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drawings/drawing1.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charts/chart3.xml" ContentType="application/vnd.openxmlformats-officedocument.drawingml.chart+xml"/>
  <Override PartName="/xl/charts/style3.xml" ContentType="application/vnd.ms-office.chartstyle+xml"/>
  <Override PartName="/xl/charts/colors3.xml" ContentType="application/vnd.ms-office.chartcolorstyle+xml"/>
  <Override PartName="/xl/comments2.xml" ContentType="application/vnd.openxmlformats-officedocument.spreadsheetml.comments+xml"/>
  <Override PartName="/xl/drawings/drawing2.xml" ContentType="application/vnd.openxmlformats-officedocument.drawing+xml"/>
  <Override PartName="/xl/charts/chart4.xml" ContentType="application/vnd.openxmlformats-officedocument.drawingml.chart+xml"/>
  <Override PartName="/xl/charts/style4.xml" ContentType="application/vnd.ms-office.chartstyle+xml"/>
  <Override PartName="/xl/charts/colors4.xml" ContentType="application/vnd.ms-office.chartcolorstyle+xml"/>
  <Override PartName="/xl/charts/chart5.xml" ContentType="application/vnd.openxmlformats-officedocument.drawingml.chart+xml"/>
  <Override PartName="/xl/charts/style5.xml" ContentType="application/vnd.ms-office.chartstyle+xml"/>
  <Override PartName="/xl/charts/colors5.xml" ContentType="application/vnd.ms-office.chartcolorsty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129"/>
  <workbookPr codeName="ThisWorkbook" defaultThemeVersion="124226"/>
  <mc:AlternateContent xmlns:mc="http://schemas.openxmlformats.org/markup-compatibility/2006">
    <mc:Choice Requires="x15">
      <x15ac:absPath xmlns:x15ac="http://schemas.microsoft.com/office/spreadsheetml/2010/11/ac" url="Y:\In Progress Files\Mohd. Umair\TEV reports\Excalibur Hotels &amp; Banquets Private Limit\Bank\"/>
    </mc:Choice>
  </mc:AlternateContent>
  <xr:revisionPtr revIDLastSave="0" documentId="13_ncr:1_{0B5711C0-2B2A-492B-AE0B-CBBD3974A4AE}" xr6:coauthVersionLast="47" xr6:coauthVersionMax="47" xr10:uidLastSave="{00000000-0000-0000-0000-000000000000}"/>
  <bookViews>
    <workbookView xWindow="-120" yWindow="-120" windowWidth="24240" windowHeight="13020" tabRatio="949" activeTab="7" xr2:uid="{00000000-000D-0000-FFFF-FFFF00000000}"/>
  </bookViews>
  <sheets>
    <sheet name="Cost" sheetId="17" r:id="rId1"/>
    <sheet name="Total Project Cost- Hotel" sheetId="11" state="hidden" r:id="rId2"/>
    <sheet name="Cost Break Up" sheetId="18" r:id="rId3"/>
    <sheet name="Financials" sheetId="5" state="hidden" r:id="rId4"/>
    <sheet name="Facilities Restro&amp;Bars" sheetId="13" state="hidden" r:id="rId5"/>
    <sheet name="P&amp;L Assumptions" sheetId="6" r:id="rId6"/>
    <sheet name="Operating Statement" sheetId="27" state="hidden" r:id="rId7"/>
    <sheet name="P&amp;L &amp; Ratio Analysis" sheetId="7" r:id="rId8"/>
    <sheet name="BS" sheetId="8" r:id="rId9"/>
    <sheet name="Sheet1" sheetId="25" state="hidden" r:id="rId10"/>
    <sheet name="CF" sheetId="9" r:id="rId11"/>
    <sheet name="Sheet5" sheetId="33" r:id="rId12"/>
    <sheet name="Loan Repay Sch" sheetId="4" r:id="rId13"/>
    <sheet name="Depr" sheetId="10" r:id="rId14"/>
    <sheet name="DSCR" sheetId="19" r:id="rId15"/>
    <sheet name="Payback Period" sheetId="20" state="hidden" r:id="rId16"/>
    <sheet name="NPV &amp; IRR" sheetId="21" r:id="rId17"/>
    <sheet name="Sheet4" sheetId="29" state="hidden" r:id="rId18"/>
    <sheet name="Breakeven &amp; Sensitivity" sheetId="22" r:id="rId19"/>
    <sheet name="Tax Calculations" sheetId="28" r:id="rId20"/>
    <sheet name="Labour Wages" sheetId="30" r:id="rId21"/>
    <sheet name="Power Consumption" sheetId="31" r:id="rId22"/>
    <sheet name="Loan Repay Sch Interest1% incre" sheetId="23" state="hidden" r:id="rId23"/>
    <sheet name="Decrease in room rent 5%" sheetId="24" state="hidden" r:id="rId24"/>
    <sheet name="Consolidated Income Stte" sheetId="14" state="hidden" r:id="rId25"/>
    <sheet name="Ratio Analysis" sheetId="15" state="hidden" r:id="rId26"/>
    <sheet name="Sheet3" sheetId="3" state="hidden" r:id="rId27"/>
  </sheets>
  <definedNames>
    <definedName name="__xlnm.Print_Area_2">#REF!</definedName>
    <definedName name="_xlchart.v1.0" hidden="1">DSCR!$B$14</definedName>
    <definedName name="_xlchart.v1.1" hidden="1">DSCR!$C$14:$K$14</definedName>
    <definedName name="_xlchart.v1.2" hidden="1">DSCR!$C$4:$K$4</definedName>
    <definedName name="A">#REF!</definedName>
    <definedName name="Completion_date" localSheetId="19">#REF!</definedName>
    <definedName name="Completion_date">#REF!</definedName>
    <definedName name="construction_period" localSheetId="19">#REF!</definedName>
    <definedName name="construction_period">#REF!</definedName>
    <definedName name="IQ_CH">110000</definedName>
    <definedName name="IQ_CQ">5000</definedName>
    <definedName name="IQ_CY">10000</definedName>
    <definedName name="IQ_DAILY">500000</definedName>
    <definedName name="IQ_FH">100000</definedName>
    <definedName name="IQ_FQ">500</definedName>
    <definedName name="IQ_FWD_CY" hidden="1">10001</definedName>
    <definedName name="IQ_FWD_CY1" hidden="1">10002</definedName>
    <definedName name="IQ_FWD_CY2" hidden="1">10003</definedName>
    <definedName name="IQ_FWD_FY" hidden="1">1001</definedName>
    <definedName name="IQ_FWD_FY1" hidden="1">1002</definedName>
    <definedName name="IQ_FWD_FY2" hidden="1">1003</definedName>
    <definedName name="IQ_FWD_Q" hidden="1">501</definedName>
    <definedName name="IQ_FWD_Q1" hidden="1">502</definedName>
    <definedName name="IQ_FWD_Q2" hidden="1">503</definedName>
    <definedName name="IQ_FY">1000</definedName>
    <definedName name="IQ_LATESTK" hidden="1">1000</definedName>
    <definedName name="IQ_LATESTQ" hidden="1">500</definedName>
    <definedName name="IQ_LTM">2000</definedName>
    <definedName name="IQ_LTMMONTH" hidden="1">120000</definedName>
    <definedName name="IQ_MONTH">15000</definedName>
    <definedName name="IQ_NTM">6000</definedName>
    <definedName name="IQ_TODAY" hidden="1">0</definedName>
    <definedName name="IQ_WEEK">50000</definedName>
    <definedName name="IQ_YTD">3000</definedName>
    <definedName name="IQ_YTDMONTH" hidden="1">130000</definedName>
    <definedName name="_xlnm.Print_Area" localSheetId="8">BS!$B$2:$M$53</definedName>
    <definedName name="_xlnm.Print_Area" localSheetId="10">CF!$B$2:$L$32</definedName>
    <definedName name="_xlnm.Print_Area" localSheetId="24">'Consolidated Income Stte'!$A$1:$P$45</definedName>
    <definedName name="_xlnm.Print_Area" localSheetId="0">Cost!$B$2:$M$45</definedName>
    <definedName name="_xlnm.Print_Area" localSheetId="2">'Cost Break Up'!$B$2:$F$80</definedName>
    <definedName name="_xlnm.Print_Area" localSheetId="4">'Facilities Restro&amp;Bars'!$A$72:$P$91</definedName>
    <definedName name="_xlnm.Print_Area" localSheetId="3">Financials!$F$24:$J$29</definedName>
    <definedName name="_xlnm.Print_Area" localSheetId="20">'Labour Wages'!$A$1:$J$84</definedName>
    <definedName name="_xlnm.Print_Area" localSheetId="12">'Loan Repay Sch'!$C$6:$O$22</definedName>
    <definedName name="_xlnm.Print_Area" localSheetId="22">'Loan Repay Sch Interest1% incre'!$B$5:$N$21</definedName>
    <definedName name="_xlnm.Print_Area" localSheetId="7">'P&amp;L &amp; Ratio Analysis'!$B$3:$O$21</definedName>
    <definedName name="_xlnm.Print_Area" localSheetId="21">'Power Consumption'!$A$1:$H$29</definedName>
    <definedName name="_xlnm.Print_Area" localSheetId="1">'Total Project Cost- Hotel'!$A$1:$F$20</definedName>
    <definedName name="_xlnm.Print_Area">#REF!</definedName>
    <definedName name="PRINT_AREA_MI">#REF!</definedName>
    <definedName name="start_date" localSheetId="19">#REF!</definedName>
    <definedName name="start_date">#REF!</definedName>
  </definedNames>
  <calcPr calcId="191029" iterate="1"/>
</workbook>
</file>

<file path=xl/calcChain.xml><?xml version="1.0" encoding="utf-8"?>
<calcChain xmlns="http://schemas.openxmlformats.org/spreadsheetml/2006/main">
  <c r="O17" i="7" l="1"/>
  <c r="O18" i="7"/>
  <c r="O20" i="7"/>
  <c r="O26" i="7" s="1"/>
  <c r="O21" i="7"/>
  <c r="N26" i="7"/>
  <c r="O25" i="7"/>
  <c r="O24" i="7"/>
  <c r="N24" i="7"/>
  <c r="N25" i="7"/>
  <c r="O16" i="7"/>
  <c r="O15" i="7"/>
  <c r="O14" i="7"/>
  <c r="O13" i="7"/>
  <c r="O12" i="7"/>
  <c r="O11" i="7"/>
  <c r="O10" i="7"/>
  <c r="O9" i="7"/>
  <c r="O8" i="7"/>
  <c r="O7" i="7"/>
  <c r="O6" i="7"/>
  <c r="O5" i="7"/>
  <c r="O4" i="7"/>
  <c r="F42" i="8"/>
  <c r="F41" i="8"/>
  <c r="F21" i="31"/>
  <c r="F30" i="6"/>
  <c r="F29" i="6"/>
  <c r="F28" i="6"/>
  <c r="F14" i="6" l="1"/>
  <c r="L47" i="4"/>
  <c r="M47" i="4"/>
  <c r="U38" i="4"/>
  <c r="U46" i="4"/>
  <c r="U45" i="4"/>
  <c r="U44" i="4"/>
  <c r="U43" i="4"/>
  <c r="U42" i="4"/>
  <c r="U41" i="4"/>
  <c r="U40" i="4"/>
  <c r="U39" i="4"/>
  <c r="U37" i="4"/>
  <c r="U36" i="4"/>
  <c r="T46" i="4"/>
  <c r="T45" i="4"/>
  <c r="T44" i="4"/>
  <c r="T43" i="4"/>
  <c r="T42" i="4"/>
  <c r="T41" i="4"/>
  <c r="T40" i="4"/>
  <c r="T39" i="4"/>
  <c r="T38" i="4"/>
  <c r="T37" i="4"/>
  <c r="T36" i="4"/>
  <c r="S45" i="4"/>
  <c r="S44" i="4"/>
  <c r="S43" i="4"/>
  <c r="S42" i="4"/>
  <c r="S41" i="4"/>
  <c r="S40" i="4"/>
  <c r="S46" i="4"/>
  <c r="S39" i="4"/>
  <c r="S38" i="4"/>
  <c r="Q46" i="4"/>
  <c r="Q45" i="4"/>
  <c r="Q44" i="4"/>
  <c r="R36" i="4"/>
  <c r="R37" i="4" s="1"/>
  <c r="R38" i="4" s="1"/>
  <c r="R39" i="4" s="1"/>
  <c r="R40" i="4" s="1"/>
  <c r="R41" i="4" s="1"/>
  <c r="R42" i="4" s="1"/>
  <c r="R43" i="4" s="1"/>
  <c r="Q43" i="4"/>
  <c r="Q42" i="4"/>
  <c r="Q41" i="4"/>
  <c r="Q40" i="4"/>
  <c r="Q39" i="4"/>
  <c r="P38" i="4"/>
  <c r="P37" i="4"/>
  <c r="P36" i="4"/>
  <c r="O46" i="4"/>
  <c r="O45" i="4"/>
  <c r="O44" i="4"/>
  <c r="O43" i="4"/>
  <c r="O42" i="4"/>
  <c r="O41" i="4"/>
  <c r="O40" i="4"/>
  <c r="O39" i="4"/>
  <c r="O38" i="4"/>
  <c r="O37" i="4"/>
  <c r="O36" i="4"/>
  <c r="R44" i="4" l="1"/>
  <c r="R45" i="4" s="1"/>
  <c r="R46" i="4" s="1"/>
  <c r="F7" i="6" l="1"/>
  <c r="F9" i="6" s="1"/>
  <c r="G7" i="6"/>
  <c r="H7" i="6"/>
  <c r="I7" i="6"/>
  <c r="J7" i="6"/>
  <c r="K7" i="6"/>
  <c r="L7" i="6"/>
  <c r="M7" i="6"/>
  <c r="N7" i="6"/>
  <c r="F8" i="6"/>
  <c r="G8" i="6" s="1"/>
  <c r="F11" i="6"/>
  <c r="G11" i="6"/>
  <c r="H11" i="6" s="1"/>
  <c r="I11" i="6" s="1"/>
  <c r="J11" i="6" s="1"/>
  <c r="K11" i="6" s="1"/>
  <c r="L11" i="6" s="1"/>
  <c r="M11" i="6" s="1"/>
  <c r="N11" i="6" s="1"/>
  <c r="Q17" i="9"/>
  <c r="P17" i="9"/>
  <c r="O17" i="9"/>
  <c r="AE42" i="17"/>
  <c r="H14" i="7"/>
  <c r="I14" i="7"/>
  <c r="J14" i="7"/>
  <c r="K14" i="7"/>
  <c r="L14" i="7"/>
  <c r="M14" i="7"/>
  <c r="N14" i="7"/>
  <c r="G14" i="7"/>
  <c r="F14" i="7"/>
  <c r="E50" i="18"/>
  <c r="E49" i="18"/>
  <c r="E29" i="18"/>
  <c r="E45" i="18"/>
  <c r="E44" i="18"/>
  <c r="E47" i="18"/>
  <c r="H8" i="6" l="1"/>
  <c r="G10" i="6"/>
  <c r="G9" i="6"/>
  <c r="F10" i="6"/>
  <c r="F96" i="6"/>
  <c r="I8" i="6" l="1"/>
  <c r="H9" i="6"/>
  <c r="H10" i="6"/>
  <c r="L39" i="18"/>
  <c r="I40" i="18"/>
  <c r="K35" i="18"/>
  <c r="K39" i="18"/>
  <c r="K37" i="18"/>
  <c r="K36" i="18"/>
  <c r="I38" i="18"/>
  <c r="J38" i="18" s="1"/>
  <c r="K38" i="18" s="1"/>
  <c r="J35" i="18"/>
  <c r="J36" i="18"/>
  <c r="G96" i="6"/>
  <c r="Z45" i="17"/>
  <c r="AB33" i="17"/>
  <c r="AB34" i="17" s="1"/>
  <c r="K33" i="4"/>
  <c r="E26" i="4"/>
  <c r="G32" i="6"/>
  <c r="H32" i="6" s="1"/>
  <c r="I32" i="6" s="1"/>
  <c r="J32" i="6" s="1"/>
  <c r="K32" i="6" s="1"/>
  <c r="L32" i="6" s="1"/>
  <c r="M32" i="6" s="1"/>
  <c r="N32" i="6" s="1"/>
  <c r="B12" i="22"/>
  <c r="B13" i="22"/>
  <c r="B14" i="22"/>
  <c r="B15" i="22"/>
  <c r="B16" i="22"/>
  <c r="B17" i="22"/>
  <c r="B21" i="22"/>
  <c r="B22" i="22"/>
  <c r="B23" i="22"/>
  <c r="B24" i="22"/>
  <c r="D21" i="31"/>
  <c r="C12" i="31"/>
  <c r="E16" i="30"/>
  <c r="E17" i="30"/>
  <c r="E18" i="30"/>
  <c r="E19" i="30"/>
  <c r="E20" i="30"/>
  <c r="D20" i="30"/>
  <c r="N22" i="22"/>
  <c r="M22" i="22"/>
  <c r="L22" i="22"/>
  <c r="K22" i="22"/>
  <c r="J22" i="22"/>
  <c r="I22" i="22"/>
  <c r="H22" i="22"/>
  <c r="G22" i="22"/>
  <c r="F22" i="22"/>
  <c r="I10" i="6" l="1"/>
  <c r="J8" i="6"/>
  <c r="I9" i="6"/>
  <c r="K40" i="18"/>
  <c r="D41" i="8"/>
  <c r="D42" i="8"/>
  <c r="E42" i="8"/>
  <c r="E96" i="6"/>
  <c r="H96" i="6"/>
  <c r="D95" i="6"/>
  <c r="D8" i="18"/>
  <c r="AB19" i="17"/>
  <c r="AB18" i="17"/>
  <c r="K8" i="6" l="1"/>
  <c r="J10" i="6"/>
  <c r="J9" i="6"/>
  <c r="K48" i="19"/>
  <c r="J48" i="19"/>
  <c r="I48" i="19"/>
  <c r="H48" i="19"/>
  <c r="G48" i="19"/>
  <c r="F48" i="19"/>
  <c r="E48" i="19"/>
  <c r="D48" i="19"/>
  <c r="C48" i="19"/>
  <c r="L8" i="6" l="1"/>
  <c r="K10" i="6"/>
  <c r="K9" i="6"/>
  <c r="H92" i="6"/>
  <c r="G92" i="6"/>
  <c r="N26" i="21"/>
  <c r="M25" i="21"/>
  <c r="G3" i="21"/>
  <c r="E52" i="28"/>
  <c r="E51" i="28"/>
  <c r="D20" i="31"/>
  <c r="D19" i="31"/>
  <c r="D22" i="31"/>
  <c r="E22" i="31" s="1"/>
  <c r="C111" i="6"/>
  <c r="G111" i="6" s="1"/>
  <c r="L40" i="27"/>
  <c r="K40" i="27"/>
  <c r="J40" i="27"/>
  <c r="I40" i="27"/>
  <c r="H40" i="27"/>
  <c r="G40" i="27"/>
  <c r="F40" i="27"/>
  <c r="E40" i="27"/>
  <c r="D40" i="27"/>
  <c r="E38" i="8"/>
  <c r="E39" i="8"/>
  <c r="E13" i="9"/>
  <c r="F13" i="9"/>
  <c r="G13" i="9"/>
  <c r="H13" i="9"/>
  <c r="I13" i="9"/>
  <c r="J13" i="9"/>
  <c r="K13" i="9"/>
  <c r="L13" i="9"/>
  <c r="M13" i="9"/>
  <c r="D13" i="9"/>
  <c r="C13" i="9"/>
  <c r="D16" i="8"/>
  <c r="E16" i="8" s="1"/>
  <c r="E33" i="4"/>
  <c r="D24" i="17"/>
  <c r="E30" i="4" l="1"/>
  <c r="G29" i="4"/>
  <c r="M8" i="6"/>
  <c r="L9" i="6"/>
  <c r="L10" i="6"/>
  <c r="G31" i="6"/>
  <c r="H31" i="6" s="1"/>
  <c r="I31" i="6" s="1"/>
  <c r="J31" i="6" s="1"/>
  <c r="K31" i="6" s="1"/>
  <c r="L31" i="6" s="1"/>
  <c r="M31" i="6" s="1"/>
  <c r="N31" i="6" s="1"/>
  <c r="F16" i="31"/>
  <c r="D23" i="31"/>
  <c r="E23" i="31" s="1"/>
  <c r="F22" i="31"/>
  <c r="M10" i="6" l="1"/>
  <c r="N8" i="6"/>
  <c r="M9" i="6"/>
  <c r="F31" i="6"/>
  <c r="F23" i="22" s="1"/>
  <c r="D24" i="31"/>
  <c r="F23" i="31"/>
  <c r="O25" i="10"/>
  <c r="O24" i="10"/>
  <c r="O23" i="10"/>
  <c r="O22" i="10"/>
  <c r="O21" i="10"/>
  <c r="O20" i="10"/>
  <c r="O19" i="10"/>
  <c r="O18" i="10"/>
  <c r="O17" i="10"/>
  <c r="N19" i="10"/>
  <c r="N20" i="10" s="1"/>
  <c r="N21" i="10" s="1"/>
  <c r="N22" i="10" s="1"/>
  <c r="N23" i="10" s="1"/>
  <c r="N24" i="10" s="1"/>
  <c r="N25" i="10" s="1"/>
  <c r="N18" i="10"/>
  <c r="N17" i="10"/>
  <c r="F35" i="6"/>
  <c r="H75" i="30"/>
  <c r="E75" i="30"/>
  <c r="E74" i="30"/>
  <c r="H71" i="30"/>
  <c r="H70" i="30"/>
  <c r="H68" i="30"/>
  <c r="H73" i="30" s="1"/>
  <c r="C46" i="30"/>
  <c r="E45" i="30"/>
  <c r="D45" i="30"/>
  <c r="E44" i="30"/>
  <c r="D44" i="30" s="1"/>
  <c r="E43" i="30"/>
  <c r="D43" i="30" s="1"/>
  <c r="C41" i="30"/>
  <c r="E40" i="30"/>
  <c r="D40" i="30" s="1"/>
  <c r="E39" i="30"/>
  <c r="D39" i="30" s="1"/>
  <c r="E38" i="30"/>
  <c r="E41" i="30" s="1"/>
  <c r="C36" i="30"/>
  <c r="E35" i="30"/>
  <c r="D35" i="30" s="1"/>
  <c r="E34" i="30"/>
  <c r="D34" i="30" s="1"/>
  <c r="E33" i="30"/>
  <c r="D33" i="30" s="1"/>
  <c r="E32" i="30"/>
  <c r="D32" i="30" s="1"/>
  <c r="E31" i="30"/>
  <c r="D31" i="30" s="1"/>
  <c r="E30" i="30"/>
  <c r="D30" i="30" s="1"/>
  <c r="E29" i="30"/>
  <c r="C27" i="30"/>
  <c r="E26" i="30"/>
  <c r="D26" i="30" s="1"/>
  <c r="E25" i="30"/>
  <c r="D25" i="30" s="1"/>
  <c r="E24" i="30"/>
  <c r="D24" i="30" s="1"/>
  <c r="E23" i="30"/>
  <c r="C21" i="30"/>
  <c r="D19" i="30"/>
  <c r="D18" i="30"/>
  <c r="D17" i="30"/>
  <c r="C14" i="30"/>
  <c r="E13" i="30"/>
  <c r="D13" i="30" s="1"/>
  <c r="E12" i="30"/>
  <c r="D12" i="30" s="1"/>
  <c r="E11" i="30"/>
  <c r="D11" i="30" s="1"/>
  <c r="E10" i="30"/>
  <c r="F31" i="4"/>
  <c r="AO20" i="4"/>
  <c r="AJ24" i="4" s="1"/>
  <c r="E27" i="4"/>
  <c r="D20" i="4"/>
  <c r="N10" i="6" l="1"/>
  <c r="N9" i="6"/>
  <c r="D38" i="30"/>
  <c r="D41" i="30" s="1"/>
  <c r="C52" i="30"/>
  <c r="E36" i="30"/>
  <c r="D46" i="30"/>
  <c r="I68" i="30"/>
  <c r="E27" i="30"/>
  <c r="D23" i="30"/>
  <c r="D27" i="30" s="1"/>
  <c r="E21" i="30"/>
  <c r="E14" i="30"/>
  <c r="D10" i="30"/>
  <c r="D14" i="30" s="1"/>
  <c r="G35" i="6"/>
  <c r="H35" i="6" s="1"/>
  <c r="I35" i="6" s="1"/>
  <c r="J35" i="6" s="1"/>
  <c r="F36" i="6"/>
  <c r="E24" i="31"/>
  <c r="F24" i="31" s="1"/>
  <c r="D25" i="31"/>
  <c r="E46" i="30"/>
  <c r="D16" i="30"/>
  <c r="D21" i="30" s="1"/>
  <c r="D29" i="30"/>
  <c r="D36" i="30" s="1"/>
  <c r="C24" i="10"/>
  <c r="C39" i="10"/>
  <c r="D40" i="10"/>
  <c r="E40" i="10" s="1"/>
  <c r="F40" i="10" s="1"/>
  <c r="G40" i="10" s="1"/>
  <c r="H40" i="10" s="1"/>
  <c r="I40" i="10" s="1"/>
  <c r="J40" i="10" s="1"/>
  <c r="K40" i="10" s="1"/>
  <c r="Q40" i="10" s="1"/>
  <c r="R40" i="10" s="1"/>
  <c r="S40" i="10" s="1"/>
  <c r="M4" i="10"/>
  <c r="M5" i="10" s="1"/>
  <c r="E24" i="17"/>
  <c r="D96" i="6"/>
  <c r="D57" i="6"/>
  <c r="D66" i="6" s="1"/>
  <c r="F92" i="6"/>
  <c r="E92" i="6"/>
  <c r="D91" i="6"/>
  <c r="K98" i="6"/>
  <c r="J98" i="6"/>
  <c r="I98" i="6"/>
  <c r="D92" i="6"/>
  <c r="H91" i="6"/>
  <c r="H98" i="6" s="1"/>
  <c r="G91" i="6"/>
  <c r="G98" i="6" s="1"/>
  <c r="F91" i="6"/>
  <c r="E91" i="6"/>
  <c r="D26" i="17"/>
  <c r="G10" i="28"/>
  <c r="H10" i="28" s="1"/>
  <c r="I10" i="28" s="1"/>
  <c r="J10" i="28" s="1"/>
  <c r="K10" i="28" s="1"/>
  <c r="L10" i="28" s="1"/>
  <c r="M10" i="28" s="1"/>
  <c r="N10" i="28" s="1"/>
  <c r="D52" i="28"/>
  <c r="D53" i="28"/>
  <c r="D51" i="28"/>
  <c r="F39" i="28"/>
  <c r="F23" i="28"/>
  <c r="F22" i="28"/>
  <c r="B2" i="28"/>
  <c r="B2" i="17" s="1"/>
  <c r="E52" i="30" l="1"/>
  <c r="B76" i="30" s="1"/>
  <c r="D52" i="30"/>
  <c r="E98" i="6"/>
  <c r="D98" i="6"/>
  <c r="F98" i="6"/>
  <c r="G15" i="6" s="1"/>
  <c r="H15" i="6" s="1"/>
  <c r="I15" i="6" s="1"/>
  <c r="J15" i="6" s="1"/>
  <c r="K15" i="6" s="1"/>
  <c r="L15" i="6" s="1"/>
  <c r="M15" i="6" s="1"/>
  <c r="N15" i="6" s="1"/>
  <c r="D26" i="31"/>
  <c r="E25" i="31"/>
  <c r="F25" i="31" s="1"/>
  <c r="F57" i="6"/>
  <c r="D67" i="6"/>
  <c r="D74" i="6" s="1"/>
  <c r="E57" i="6"/>
  <c r="G17" i="6"/>
  <c r="G9" i="28"/>
  <c r="H9" i="28" s="1"/>
  <c r="I9" i="28" s="1"/>
  <c r="D27" i="21"/>
  <c r="G15" i="21"/>
  <c r="H15" i="21" s="1"/>
  <c r="I15" i="21" s="1"/>
  <c r="J15" i="21" s="1"/>
  <c r="K15" i="21" s="1"/>
  <c r="L15" i="21" s="1"/>
  <c r="M15" i="21" s="1"/>
  <c r="N15" i="21" s="1"/>
  <c r="O15" i="21" s="1"/>
  <c r="P15" i="21" s="1"/>
  <c r="F32" i="6" l="1"/>
  <c r="F24" i="22" s="1"/>
  <c r="E71" i="30"/>
  <c r="B77" i="30"/>
  <c r="B78" i="30" s="1"/>
  <c r="E76" i="30"/>
  <c r="G76" i="30"/>
  <c r="G14" i="6"/>
  <c r="D27" i="31"/>
  <c r="E26" i="31"/>
  <c r="F26" i="31" s="1"/>
  <c r="G16" i="6"/>
  <c r="H16" i="6" s="1"/>
  <c r="H111" i="6"/>
  <c r="E67" i="6"/>
  <c r="G57" i="6"/>
  <c r="G67" i="6" s="1"/>
  <c r="F67" i="6"/>
  <c r="H57" i="6"/>
  <c r="H67" i="6" s="1"/>
  <c r="C98" i="6"/>
  <c r="G11" i="28"/>
  <c r="H11" i="28"/>
  <c r="J9" i="28"/>
  <c r="I11" i="28"/>
  <c r="C24" i="11"/>
  <c r="K16" i="7"/>
  <c r="K17" i="28" s="1"/>
  <c r="L16" i="7"/>
  <c r="L17" i="28" s="1"/>
  <c r="M16" i="7"/>
  <c r="M17" i="28" s="1"/>
  <c r="N16" i="7"/>
  <c r="N17" i="28" s="1"/>
  <c r="B16" i="7"/>
  <c r="I60" i="27"/>
  <c r="I70" i="27" s="1"/>
  <c r="J60" i="27"/>
  <c r="J70" i="27" s="1"/>
  <c r="K60" i="27"/>
  <c r="K70" i="27" s="1"/>
  <c r="L60" i="27"/>
  <c r="L70" i="27" s="1"/>
  <c r="C22" i="27"/>
  <c r="C18" i="27"/>
  <c r="L57" i="27"/>
  <c r="K57" i="27"/>
  <c r="J57" i="27"/>
  <c r="I57" i="27"/>
  <c r="H57" i="27"/>
  <c r="G57" i="27"/>
  <c r="F57" i="27"/>
  <c r="E57" i="27"/>
  <c r="D57" i="27"/>
  <c r="L25" i="27"/>
  <c r="K25" i="27"/>
  <c r="J25" i="27"/>
  <c r="I25" i="27"/>
  <c r="H25" i="27"/>
  <c r="G25" i="27"/>
  <c r="F25" i="27"/>
  <c r="E25" i="27"/>
  <c r="D25" i="27"/>
  <c r="L4" i="27"/>
  <c r="K4" i="27"/>
  <c r="J4" i="27"/>
  <c r="I4" i="27"/>
  <c r="H4" i="27"/>
  <c r="G4" i="27"/>
  <c r="F4" i="27"/>
  <c r="E4" i="27"/>
  <c r="D4" i="27"/>
  <c r="E77" i="30" l="1"/>
  <c r="D28" i="31"/>
  <c r="E27" i="31"/>
  <c r="F27" i="31" s="1"/>
  <c r="G23" i="6"/>
  <c r="G13" i="22" s="1"/>
  <c r="I16" i="6"/>
  <c r="H23" i="6"/>
  <c r="H13" i="22" s="1"/>
  <c r="E78" i="30"/>
  <c r="B79" i="30"/>
  <c r="K9" i="28"/>
  <c r="J11" i="28"/>
  <c r="J71" i="27"/>
  <c r="L71" i="27"/>
  <c r="I71" i="27"/>
  <c r="K71" i="27"/>
  <c r="J26" i="25"/>
  <c r="E14" i="25"/>
  <c r="E15" i="25" s="1"/>
  <c r="E13" i="25"/>
  <c r="D13" i="25"/>
  <c r="D14" i="25" s="1"/>
  <c r="D15" i="25" s="1"/>
  <c r="N16" i="25"/>
  <c r="N14" i="25"/>
  <c r="E28" i="31" l="1"/>
  <c r="F28" i="31" s="1"/>
  <c r="D29" i="31"/>
  <c r="E29" i="31" s="1"/>
  <c r="F29" i="31" s="1"/>
  <c r="J16" i="6"/>
  <c r="I23" i="6"/>
  <c r="I13" i="22" s="1"/>
  <c r="B80" i="30"/>
  <c r="E79" i="30"/>
  <c r="L9" i="28"/>
  <c r="K11" i="28"/>
  <c r="E42" i="25"/>
  <c r="K42" i="25"/>
  <c r="N32" i="25"/>
  <c r="N33" i="25" s="1"/>
  <c r="M32" i="25"/>
  <c r="G36" i="25"/>
  <c r="G17" i="25"/>
  <c r="K16" i="6" l="1"/>
  <c r="J23" i="6"/>
  <c r="J13" i="22" s="1"/>
  <c r="E80" i="30"/>
  <c r="B81" i="30"/>
  <c r="M9" i="28"/>
  <c r="L11" i="28"/>
  <c r="K14" i="17"/>
  <c r="L15" i="17" s="1"/>
  <c r="L16" i="6" l="1"/>
  <c r="K23" i="6"/>
  <c r="K13" i="22" s="1"/>
  <c r="B82" i="30"/>
  <c r="E81" i="30"/>
  <c r="M11" i="28"/>
  <c r="N9" i="28"/>
  <c r="K10" i="17"/>
  <c r="M16" i="6" l="1"/>
  <c r="L23" i="6"/>
  <c r="L13" i="22" s="1"/>
  <c r="E82" i="30"/>
  <c r="B83" i="30"/>
  <c r="N11" i="28"/>
  <c r="D25" i="23"/>
  <c r="N16" i="6" l="1"/>
  <c r="N23" i="6" s="1"/>
  <c r="N13" i="22" s="1"/>
  <c r="M23" i="6"/>
  <c r="M13" i="22" s="1"/>
  <c r="B84" i="30"/>
  <c r="E84" i="30" s="1"/>
  <c r="E83" i="30"/>
  <c r="K25" i="4"/>
  <c r="E10" i="24" l="1"/>
  <c r="F10" i="24" s="1"/>
  <c r="G10" i="24" s="1"/>
  <c r="H10" i="24" s="1"/>
  <c r="E105" i="24"/>
  <c r="E16" i="24" s="1"/>
  <c r="E81" i="24"/>
  <c r="E83" i="24" s="1"/>
  <c r="E84" i="24" s="1"/>
  <c r="E86" i="24" s="1"/>
  <c r="E89" i="24" s="1"/>
  <c r="E14" i="24" s="1"/>
  <c r="E21" i="24" s="1"/>
  <c r="J67" i="24"/>
  <c r="I67" i="24"/>
  <c r="H67" i="24"/>
  <c r="G67" i="24"/>
  <c r="F67" i="24"/>
  <c r="E67" i="24"/>
  <c r="D67" i="24"/>
  <c r="C67" i="24"/>
  <c r="J66" i="24"/>
  <c r="I66" i="24"/>
  <c r="H66" i="24"/>
  <c r="G66" i="24"/>
  <c r="F66" i="24"/>
  <c r="E66" i="24"/>
  <c r="D66" i="24"/>
  <c r="C66" i="24"/>
  <c r="J65" i="24"/>
  <c r="J73" i="24" s="1"/>
  <c r="J75" i="24" s="1"/>
  <c r="I65" i="24"/>
  <c r="I73" i="24" s="1"/>
  <c r="I75" i="24" s="1"/>
  <c r="H65" i="24"/>
  <c r="H73" i="24" s="1"/>
  <c r="H75" i="24" s="1"/>
  <c r="G65" i="24"/>
  <c r="G73" i="24" s="1"/>
  <c r="G75" i="24" s="1"/>
  <c r="F65" i="24"/>
  <c r="F73" i="24" s="1"/>
  <c r="F75" i="24" s="1"/>
  <c r="E65" i="24"/>
  <c r="E73" i="24" s="1"/>
  <c r="E75" i="24" s="1"/>
  <c r="D65" i="24"/>
  <c r="D73" i="24" s="1"/>
  <c r="D75" i="24" s="1"/>
  <c r="C65" i="24"/>
  <c r="C73" i="24" s="1"/>
  <c r="E43" i="24"/>
  <c r="F7" i="24"/>
  <c r="G7" i="24" s="1"/>
  <c r="H7" i="24" s="1"/>
  <c r="I7" i="24" s="1"/>
  <c r="J7" i="24" s="1"/>
  <c r="K7" i="24" s="1"/>
  <c r="L7" i="24" s="1"/>
  <c r="M7" i="24" s="1"/>
  <c r="N7" i="24" s="1"/>
  <c r="O7" i="24" s="1"/>
  <c r="P7" i="24" s="1"/>
  <c r="Q7" i="24" s="1"/>
  <c r="R7" i="24" s="1"/>
  <c r="S7" i="24" s="1"/>
  <c r="S5" i="24"/>
  <c r="R5" i="24"/>
  <c r="Q5" i="24"/>
  <c r="P5" i="24"/>
  <c r="O5" i="24"/>
  <c r="N5" i="24"/>
  <c r="M5" i="24"/>
  <c r="L5" i="24"/>
  <c r="K5" i="24"/>
  <c r="J5" i="24"/>
  <c r="I5" i="24"/>
  <c r="H5" i="24"/>
  <c r="G5" i="24"/>
  <c r="F5" i="24"/>
  <c r="E5" i="24"/>
  <c r="E4" i="24"/>
  <c r="E9" i="24" s="1"/>
  <c r="E23" i="24" l="1"/>
  <c r="F16" i="24"/>
  <c r="G16" i="24" s="1"/>
  <c r="E12" i="24"/>
  <c r="E19" i="24" s="1"/>
  <c r="E6" i="24"/>
  <c r="E8" i="24" s="1"/>
  <c r="F4" i="24"/>
  <c r="F6" i="24"/>
  <c r="F8" i="24" s="1"/>
  <c r="I10" i="24"/>
  <c r="F14" i="24"/>
  <c r="B73" i="24"/>
  <c r="E13" i="24" s="1"/>
  <c r="C75" i="24"/>
  <c r="E96" i="24"/>
  <c r="E97" i="24" s="1"/>
  <c r="E15" i="24" s="1"/>
  <c r="F43" i="24"/>
  <c r="C18" i="11"/>
  <c r="F23" i="24" l="1"/>
  <c r="H38" i="24"/>
  <c r="G38" i="24"/>
  <c r="F38" i="24"/>
  <c r="I38" i="24"/>
  <c r="E38" i="24"/>
  <c r="E20" i="24"/>
  <c r="F13" i="24"/>
  <c r="F9" i="24"/>
  <c r="F12" i="24" s="1"/>
  <c r="G4" i="24"/>
  <c r="G43" i="24"/>
  <c r="F21" i="24"/>
  <c r="G14" i="24"/>
  <c r="J10" i="24"/>
  <c r="E17" i="24"/>
  <c r="E22" i="24"/>
  <c r="F15" i="24"/>
  <c r="G23" i="24"/>
  <c r="H16" i="24"/>
  <c r="D22" i="17"/>
  <c r="D20" i="17"/>
  <c r="E24" i="8" s="1"/>
  <c r="C23" i="9" l="1"/>
  <c r="D31" i="8" s="1"/>
  <c r="D23" i="8" s="1"/>
  <c r="D26" i="8" s="1"/>
  <c r="C19" i="9" s="1"/>
  <c r="E24" i="24"/>
  <c r="F22" i="24"/>
  <c r="G15" i="24"/>
  <c r="G21" i="24"/>
  <c r="H14" i="24"/>
  <c r="H4" i="24"/>
  <c r="G9" i="24"/>
  <c r="G12" i="24" s="1"/>
  <c r="G6" i="24"/>
  <c r="G8" i="24" s="1"/>
  <c r="H23" i="24"/>
  <c r="I16" i="24"/>
  <c r="E34" i="24"/>
  <c r="E30" i="24"/>
  <c r="E25" i="24"/>
  <c r="E36" i="24"/>
  <c r="E28" i="24"/>
  <c r="E29" i="24"/>
  <c r="E35" i="24"/>
  <c r="E31" i="24"/>
  <c r="E27" i="24"/>
  <c r="F17" i="24"/>
  <c r="F19" i="24"/>
  <c r="K10" i="24"/>
  <c r="H43" i="24"/>
  <c r="F20" i="24"/>
  <c r="G13" i="24"/>
  <c r="F60" i="27" l="1"/>
  <c r="F70" i="27" s="1"/>
  <c r="F71" i="27" s="1"/>
  <c r="H16" i="7"/>
  <c r="H17" i="28" s="1"/>
  <c r="D23" i="9"/>
  <c r="F16" i="7"/>
  <c r="F17" i="28" s="1"/>
  <c r="D60" i="27"/>
  <c r="D70" i="27" s="1"/>
  <c r="D71" i="27" s="1"/>
  <c r="F24" i="24"/>
  <c r="I43" i="24"/>
  <c r="I14" i="24"/>
  <c r="H21" i="24"/>
  <c r="F34" i="24"/>
  <c r="F35" i="24"/>
  <c r="F31" i="24"/>
  <c r="F27" i="24"/>
  <c r="F29" i="24"/>
  <c r="F30" i="24"/>
  <c r="F36" i="24"/>
  <c r="F25" i="24"/>
  <c r="F28" i="24"/>
  <c r="G20" i="24"/>
  <c r="H13" i="24"/>
  <c r="E32" i="24"/>
  <c r="E33" i="24" s="1"/>
  <c r="G17" i="24"/>
  <c r="G19" i="24"/>
  <c r="G22" i="24"/>
  <c r="H15" i="24"/>
  <c r="L10" i="24"/>
  <c r="I23" i="24"/>
  <c r="J16" i="24"/>
  <c r="I4" i="24"/>
  <c r="H9" i="24"/>
  <c r="H12" i="24" s="1"/>
  <c r="H6" i="24"/>
  <c r="H8" i="24" s="1"/>
  <c r="E31" i="8" l="1"/>
  <c r="F31" i="8" s="1"/>
  <c r="I16" i="7"/>
  <c r="I17" i="28" s="1"/>
  <c r="G60" i="27"/>
  <c r="G70" i="27" s="1"/>
  <c r="G71" i="27" s="1"/>
  <c r="G16" i="7"/>
  <c r="G17" i="28" s="1"/>
  <c r="E60" i="27"/>
  <c r="E70" i="27" s="1"/>
  <c r="E71" i="27" s="1"/>
  <c r="E37" i="24"/>
  <c r="E39" i="24" s="1"/>
  <c r="E40" i="24" s="1"/>
  <c r="E48" i="24"/>
  <c r="H19" i="24"/>
  <c r="H17" i="24"/>
  <c r="G24" i="24"/>
  <c r="H20" i="24"/>
  <c r="I13" i="24"/>
  <c r="I21" i="24"/>
  <c r="J14" i="24"/>
  <c r="G35" i="24"/>
  <c r="G36" i="24"/>
  <c r="G28" i="24"/>
  <c r="G34" i="24"/>
  <c r="G30" i="24"/>
  <c r="G25" i="24"/>
  <c r="G31" i="24"/>
  <c r="G27" i="24"/>
  <c r="G29" i="24"/>
  <c r="I9" i="24"/>
  <c r="I12" i="24" s="1"/>
  <c r="J4" i="24"/>
  <c r="I6" i="24"/>
  <c r="I8" i="24" s="1"/>
  <c r="M10" i="24"/>
  <c r="K16" i="24"/>
  <c r="J23" i="24"/>
  <c r="H22" i="24"/>
  <c r="I15" i="24"/>
  <c r="J43" i="24"/>
  <c r="F32" i="24"/>
  <c r="F33" i="24" s="1"/>
  <c r="I3" i="21"/>
  <c r="J3" i="21" s="1"/>
  <c r="K3" i="21" s="1"/>
  <c r="L3" i="21" s="1"/>
  <c r="M3" i="21" s="1"/>
  <c r="N3" i="21" s="1"/>
  <c r="O3" i="21" s="1"/>
  <c r="P3" i="21" s="1"/>
  <c r="J16" i="7" l="1"/>
  <c r="J17" i="28" s="1"/>
  <c r="H60" i="27"/>
  <c r="H70" i="27" s="1"/>
  <c r="H71" i="27" s="1"/>
  <c r="F48" i="24"/>
  <c r="F37" i="24"/>
  <c r="F39" i="24" s="1"/>
  <c r="F40" i="24" s="1"/>
  <c r="J9" i="24"/>
  <c r="J12" i="24" s="1"/>
  <c r="K4" i="24"/>
  <c r="J6" i="24"/>
  <c r="J8" i="24" s="1"/>
  <c r="I22" i="24"/>
  <c r="J15" i="24"/>
  <c r="N10" i="24"/>
  <c r="I19" i="24"/>
  <c r="I17" i="24"/>
  <c r="I20" i="24"/>
  <c r="J13" i="24"/>
  <c r="H24" i="24"/>
  <c r="K43" i="24"/>
  <c r="G32" i="24"/>
  <c r="G33" i="24" s="1"/>
  <c r="J21" i="24"/>
  <c r="K14" i="24"/>
  <c r="K23" i="24"/>
  <c r="L16" i="24"/>
  <c r="H36" i="24"/>
  <c r="H29" i="24"/>
  <c r="H35" i="24"/>
  <c r="H31" i="24"/>
  <c r="H27" i="24"/>
  <c r="H34" i="24"/>
  <c r="H25" i="24"/>
  <c r="H28" i="24"/>
  <c r="H30" i="24"/>
  <c r="I24" i="24" l="1"/>
  <c r="G48" i="24"/>
  <c r="G37" i="24"/>
  <c r="G39" i="24" s="1"/>
  <c r="G40" i="24" s="1"/>
  <c r="L23" i="24"/>
  <c r="M16" i="24"/>
  <c r="I34" i="24"/>
  <c r="I30" i="24"/>
  <c r="I25" i="24"/>
  <c r="I36" i="24"/>
  <c r="I28" i="24"/>
  <c r="I35" i="24"/>
  <c r="I27" i="24"/>
  <c r="I29" i="24"/>
  <c r="I31" i="24"/>
  <c r="J22" i="24"/>
  <c r="K15" i="24"/>
  <c r="J17" i="24"/>
  <c r="J19" i="24"/>
  <c r="J20" i="24"/>
  <c r="K13" i="24"/>
  <c r="K21" i="24"/>
  <c r="L14" i="24"/>
  <c r="L43" i="24"/>
  <c r="O10" i="24"/>
  <c r="H32" i="24"/>
  <c r="H33" i="24" s="1"/>
  <c r="L4" i="24"/>
  <c r="K9" i="24"/>
  <c r="K12" i="24" s="1"/>
  <c r="K6" i="24"/>
  <c r="K8" i="24" s="1"/>
  <c r="F148" i="6"/>
  <c r="AW16" i="23"/>
  <c r="E6" i="11"/>
  <c r="D26" i="23"/>
  <c r="K19" i="23"/>
  <c r="I19" i="23"/>
  <c r="G19" i="23"/>
  <c r="E19" i="23"/>
  <c r="C19" i="23"/>
  <c r="D13" i="23"/>
  <c r="D14" i="23" s="1"/>
  <c r="D15" i="23" s="1"/>
  <c r="F12" i="23"/>
  <c r="F11" i="23"/>
  <c r="F10" i="23"/>
  <c r="F9" i="23"/>
  <c r="F8" i="23"/>
  <c r="F7" i="23"/>
  <c r="F5" i="6"/>
  <c r="F7" i="22"/>
  <c r="G5" i="6" l="1"/>
  <c r="H5" i="6" s="1"/>
  <c r="F13" i="6"/>
  <c r="F20" i="6" s="1"/>
  <c r="F10" i="22" s="1"/>
  <c r="M14" i="24"/>
  <c r="L21" i="24"/>
  <c r="K22" i="24"/>
  <c r="L15" i="24"/>
  <c r="I32" i="24"/>
  <c r="I33" i="24" s="1"/>
  <c r="K17" i="24"/>
  <c r="K19" i="24"/>
  <c r="P10" i="24"/>
  <c r="H48" i="24"/>
  <c r="H37" i="24"/>
  <c r="H39" i="24" s="1"/>
  <c r="H40" i="24" s="1"/>
  <c r="L6" i="24"/>
  <c r="L8" i="24" s="1"/>
  <c r="M4" i="24"/>
  <c r="L9" i="24"/>
  <c r="L12" i="24" s="1"/>
  <c r="M43" i="24"/>
  <c r="J24" i="24"/>
  <c r="J25" i="24" s="1"/>
  <c r="K20" i="24"/>
  <c r="L13" i="24"/>
  <c r="J34" i="24"/>
  <c r="J35" i="24"/>
  <c r="J31" i="24"/>
  <c r="J27" i="24"/>
  <c r="J29" i="24"/>
  <c r="J36" i="24"/>
  <c r="J28" i="24"/>
  <c r="J30" i="24"/>
  <c r="M23" i="24"/>
  <c r="N16" i="24"/>
  <c r="F13" i="23"/>
  <c r="F14" i="23"/>
  <c r="D16" i="23"/>
  <c r="F15" i="23"/>
  <c r="I37" i="24" l="1"/>
  <c r="I39" i="24" s="1"/>
  <c r="I40" i="24" s="1"/>
  <c r="I48" i="24"/>
  <c r="Q10" i="24"/>
  <c r="L17" i="24"/>
  <c r="L19" i="24"/>
  <c r="K24" i="24"/>
  <c r="K25" i="24" s="1"/>
  <c r="L22" i="24"/>
  <c r="M15" i="24"/>
  <c r="M9" i="24"/>
  <c r="M12" i="24" s="1"/>
  <c r="N4" i="24"/>
  <c r="M6" i="24"/>
  <c r="M8" i="24" s="1"/>
  <c r="K35" i="24"/>
  <c r="K36" i="24"/>
  <c r="K28" i="24"/>
  <c r="K34" i="24"/>
  <c r="K30" i="24"/>
  <c r="K27" i="24"/>
  <c r="K29" i="24"/>
  <c r="K31" i="24"/>
  <c r="J32" i="24"/>
  <c r="J33" i="24" s="1"/>
  <c r="L20" i="24"/>
  <c r="M13" i="24"/>
  <c r="N43" i="24"/>
  <c r="N23" i="24"/>
  <c r="O16" i="24"/>
  <c r="M21" i="24"/>
  <c r="N14" i="24"/>
  <c r="I5" i="6"/>
  <c r="D17" i="23"/>
  <c r="F16" i="23"/>
  <c r="J48" i="24" l="1"/>
  <c r="J37" i="24"/>
  <c r="J39" i="24" s="1"/>
  <c r="J40" i="24" s="1"/>
  <c r="M17" i="24"/>
  <c r="M19" i="24"/>
  <c r="L24" i="24"/>
  <c r="O23" i="24"/>
  <c r="P16" i="24"/>
  <c r="N15" i="24"/>
  <c r="M22" i="24"/>
  <c r="L36" i="24"/>
  <c r="L29" i="24"/>
  <c r="L35" i="24"/>
  <c r="L31" i="24"/>
  <c r="L27" i="24"/>
  <c r="L28" i="24"/>
  <c r="L30" i="24"/>
  <c r="L34" i="24"/>
  <c r="L25" i="24"/>
  <c r="M20" i="24"/>
  <c r="N13" i="24"/>
  <c r="K32" i="24"/>
  <c r="K33" i="24" s="1"/>
  <c r="R10" i="24"/>
  <c r="N21" i="24"/>
  <c r="O14" i="24"/>
  <c r="O43" i="24"/>
  <c r="N9" i="24"/>
  <c r="N12" i="24" s="1"/>
  <c r="O4" i="24"/>
  <c r="N6" i="24"/>
  <c r="N8" i="24" s="1"/>
  <c r="J5" i="6"/>
  <c r="F17" i="23"/>
  <c r="D18" i="23"/>
  <c r="K48" i="24" l="1"/>
  <c r="K37" i="24"/>
  <c r="K39" i="24" s="1"/>
  <c r="K40" i="24" s="1"/>
  <c r="S10" i="24"/>
  <c r="M24" i="24"/>
  <c r="M25" i="24" s="1"/>
  <c r="P4" i="24"/>
  <c r="O9" i="24"/>
  <c r="O12" i="24" s="1"/>
  <c r="O6" i="24"/>
  <c r="O8" i="24" s="1"/>
  <c r="L32" i="24"/>
  <c r="L33" i="24" s="1"/>
  <c r="Q16" i="24"/>
  <c r="P23" i="24"/>
  <c r="M34" i="24"/>
  <c r="M30" i="24"/>
  <c r="M36" i="24"/>
  <c r="M28" i="24"/>
  <c r="M29" i="24"/>
  <c r="M31" i="24"/>
  <c r="M35" i="24"/>
  <c r="M27" i="24"/>
  <c r="N17" i="24"/>
  <c r="N19" i="24"/>
  <c r="P43" i="24"/>
  <c r="O21" i="24"/>
  <c r="P14" i="24"/>
  <c r="N20" i="24"/>
  <c r="O13" i="24"/>
  <c r="N22" i="24"/>
  <c r="O15" i="24"/>
  <c r="K5" i="6"/>
  <c r="F18" i="23"/>
  <c r="F19" i="23" s="1"/>
  <c r="F20" i="23" s="1"/>
  <c r="H7" i="23"/>
  <c r="L48" i="24" l="1"/>
  <c r="L37" i="24"/>
  <c r="L39" i="24" s="1"/>
  <c r="L40" i="24" s="1"/>
  <c r="O22" i="24"/>
  <c r="P15" i="24"/>
  <c r="P21" i="24"/>
  <c r="Q14" i="24"/>
  <c r="N24" i="24"/>
  <c r="N25" i="24" s="1"/>
  <c r="Q23" i="24"/>
  <c r="R16" i="24"/>
  <c r="O17" i="24"/>
  <c r="O19" i="24"/>
  <c r="O20" i="24"/>
  <c r="P13" i="24"/>
  <c r="N34" i="24"/>
  <c r="N35" i="24"/>
  <c r="N31" i="24"/>
  <c r="N27" i="24"/>
  <c r="N29" i="24"/>
  <c r="N30" i="24"/>
  <c r="N36" i="24"/>
  <c r="N28" i="24"/>
  <c r="P9" i="24"/>
  <c r="P12" i="24" s="1"/>
  <c r="Q4" i="24"/>
  <c r="P6" i="24"/>
  <c r="P8" i="24" s="1"/>
  <c r="Q43" i="24"/>
  <c r="M32" i="24"/>
  <c r="M33" i="24" s="1"/>
  <c r="L5" i="6"/>
  <c r="H8" i="23"/>
  <c r="J7" i="23"/>
  <c r="N32" i="24" l="1"/>
  <c r="N33" i="24" s="1"/>
  <c r="M37" i="24"/>
  <c r="M39" i="24" s="1"/>
  <c r="M40" i="24"/>
  <c r="M48" i="24"/>
  <c r="P20" i="24"/>
  <c r="Q13" i="24"/>
  <c r="O35" i="24"/>
  <c r="O36" i="24"/>
  <c r="O28" i="24"/>
  <c r="O34" i="24"/>
  <c r="O30" i="24"/>
  <c r="O31" i="24"/>
  <c r="O27" i="24"/>
  <c r="O29" i="24"/>
  <c r="Q9" i="24"/>
  <c r="Q12" i="24" s="1"/>
  <c r="R4" i="24"/>
  <c r="Q6" i="24"/>
  <c r="Q8" i="24" s="1"/>
  <c r="R23" i="24"/>
  <c r="S16" i="24"/>
  <c r="S23" i="24" s="1"/>
  <c r="Q21" i="24"/>
  <c r="R14" i="24"/>
  <c r="R43" i="24"/>
  <c r="P19" i="24"/>
  <c r="P17" i="24"/>
  <c r="O24" i="24"/>
  <c r="O25" i="24" s="1"/>
  <c r="P22" i="24"/>
  <c r="Q15" i="24"/>
  <c r="M5" i="6"/>
  <c r="H9" i="23"/>
  <c r="J8" i="23"/>
  <c r="N37" i="24" l="1"/>
  <c r="N39" i="24" s="1"/>
  <c r="N40" i="24" s="1"/>
  <c r="N48" i="24"/>
  <c r="O32" i="24"/>
  <c r="O33" i="24" s="1"/>
  <c r="O48" i="24" s="1"/>
  <c r="P36" i="24"/>
  <c r="P29" i="24"/>
  <c r="P35" i="24"/>
  <c r="P31" i="24"/>
  <c r="P27" i="24"/>
  <c r="P34" i="24"/>
  <c r="P28" i="24"/>
  <c r="P30" i="24"/>
  <c r="Q20" i="24"/>
  <c r="R13" i="24"/>
  <c r="P24" i="24"/>
  <c r="P25" i="24" s="1"/>
  <c r="R9" i="24"/>
  <c r="R12" i="24" s="1"/>
  <c r="S4" i="24"/>
  <c r="R6" i="24"/>
  <c r="R8" i="24" s="1"/>
  <c r="Q22" i="24"/>
  <c r="R15" i="24"/>
  <c r="Q19" i="24"/>
  <c r="Q17" i="24"/>
  <c r="R21" i="24"/>
  <c r="S14" i="24"/>
  <c r="S21" i="24" s="1"/>
  <c r="S43" i="24"/>
  <c r="S45" i="24" s="1"/>
  <c r="N5" i="6"/>
  <c r="H10" i="23"/>
  <c r="J9" i="23"/>
  <c r="P32" i="24" l="1"/>
  <c r="O37" i="24"/>
  <c r="O39" i="24" s="1"/>
  <c r="O40" i="24" s="1"/>
  <c r="P33" i="24"/>
  <c r="P37" i="24" s="1"/>
  <c r="P39" i="24" s="1"/>
  <c r="P40" i="24" s="1"/>
  <c r="P48" i="24"/>
  <c r="R17" i="24"/>
  <c r="R19" i="24"/>
  <c r="R22" i="24"/>
  <c r="S15" i="24"/>
  <c r="S22" i="24" s="1"/>
  <c r="Q34" i="24"/>
  <c r="Q30" i="24"/>
  <c r="Q36" i="24"/>
  <c r="Q28" i="24"/>
  <c r="Q27" i="24"/>
  <c r="Q35" i="24"/>
  <c r="Q29" i="24"/>
  <c r="Q31" i="24"/>
  <c r="R20" i="24"/>
  <c r="S13" i="24"/>
  <c r="S20" i="24" s="1"/>
  <c r="Q24" i="24"/>
  <c r="Q25" i="24" s="1"/>
  <c r="S9" i="24"/>
  <c r="S12" i="24" s="1"/>
  <c r="S6" i="24"/>
  <c r="S8" i="24" s="1"/>
  <c r="H11" i="23"/>
  <c r="J10" i="23"/>
  <c r="Q32" i="24" l="1"/>
  <c r="Q33" i="24" s="1"/>
  <c r="R34" i="24"/>
  <c r="R35" i="24"/>
  <c r="R31" i="24"/>
  <c r="R27" i="24"/>
  <c r="R29" i="24"/>
  <c r="R28" i="24"/>
  <c r="R36" i="24"/>
  <c r="R30" i="24"/>
  <c r="S17" i="24"/>
  <c r="S19" i="24"/>
  <c r="S24" i="24" s="1"/>
  <c r="R24" i="24"/>
  <c r="R25" i="24" s="1"/>
  <c r="H12" i="23"/>
  <c r="J11" i="23"/>
  <c r="Q37" i="24" l="1"/>
  <c r="Q39" i="24" s="1"/>
  <c r="Q40" i="24" s="1"/>
  <c r="Q48" i="24"/>
  <c r="S35" i="24"/>
  <c r="S36" i="24"/>
  <c r="S28" i="24"/>
  <c r="S34" i="24"/>
  <c r="S30" i="24"/>
  <c r="S25" i="24"/>
  <c r="S27" i="24"/>
  <c r="S29" i="24"/>
  <c r="S31" i="24"/>
  <c r="R32" i="24"/>
  <c r="R33" i="24" s="1"/>
  <c r="H13" i="23"/>
  <c r="J12" i="23"/>
  <c r="R48" i="24" l="1"/>
  <c r="R37" i="24"/>
  <c r="R39" i="24" s="1"/>
  <c r="R40" i="24" s="1"/>
  <c r="S32" i="24"/>
  <c r="S33" i="24" s="1"/>
  <c r="H14" i="23"/>
  <c r="J13" i="23"/>
  <c r="S48" i="24" l="1"/>
  <c r="S37" i="24"/>
  <c r="S39" i="24" s="1"/>
  <c r="S40" i="24" s="1"/>
  <c r="S46" i="24" s="1"/>
  <c r="H15" i="23"/>
  <c r="J14" i="23"/>
  <c r="H16" i="23" l="1"/>
  <c r="J15" i="23"/>
  <c r="H17" i="23" l="1"/>
  <c r="J16" i="23"/>
  <c r="H18" i="23" l="1"/>
  <c r="J17" i="23"/>
  <c r="J18" i="23" l="1"/>
  <c r="J19" i="23" s="1"/>
  <c r="J20" i="23" s="1"/>
  <c r="L7" i="23"/>
  <c r="N7" i="23" l="1"/>
  <c r="L8" i="23"/>
  <c r="L9" i="23" l="1"/>
  <c r="N8" i="23"/>
  <c r="D24" i="23" l="1"/>
  <c r="D23" i="23"/>
  <c r="D27" i="23" s="1"/>
  <c r="L10" i="23"/>
  <c r="N9" i="23"/>
  <c r="F21" i="23" s="1"/>
  <c r="AW15" i="23" l="1"/>
  <c r="AW11" i="23"/>
  <c r="AW7" i="23"/>
  <c r="AT15" i="23"/>
  <c r="AT11" i="23"/>
  <c r="AT7" i="23"/>
  <c r="AQ15" i="23"/>
  <c r="AQ11" i="23"/>
  <c r="AQ7" i="23"/>
  <c r="AN15" i="23"/>
  <c r="AN11" i="23"/>
  <c r="AN7" i="23"/>
  <c r="AK15" i="23"/>
  <c r="AK11" i="23"/>
  <c r="AK7" i="23"/>
  <c r="AH15" i="23"/>
  <c r="AH11" i="23"/>
  <c r="AH7" i="23"/>
  <c r="AE15" i="23"/>
  <c r="AE11" i="23"/>
  <c r="AE7" i="23"/>
  <c r="AB15" i="23"/>
  <c r="AB11" i="23"/>
  <c r="AB7" i="23"/>
  <c r="Y15" i="23"/>
  <c r="Y11" i="23"/>
  <c r="Y7" i="23"/>
  <c r="V15" i="23"/>
  <c r="V11" i="23"/>
  <c r="V7" i="23"/>
  <c r="S15" i="23"/>
  <c r="S11" i="23"/>
  <c r="S7" i="23"/>
  <c r="P11" i="23"/>
  <c r="P15" i="23"/>
  <c r="P7" i="23"/>
  <c r="M14" i="23"/>
  <c r="M18" i="23"/>
  <c r="AW14" i="23"/>
  <c r="AW10" i="23"/>
  <c r="AT18" i="23"/>
  <c r="AT14" i="23"/>
  <c r="AT10" i="23"/>
  <c r="AQ18" i="23"/>
  <c r="AQ14" i="23"/>
  <c r="AQ10" i="23"/>
  <c r="AN18" i="23"/>
  <c r="AN14" i="23"/>
  <c r="AN10" i="23"/>
  <c r="AK18" i="23"/>
  <c r="AK14" i="23"/>
  <c r="AK10" i="23"/>
  <c r="AH18" i="23"/>
  <c r="AH14" i="23"/>
  <c r="AH10" i="23"/>
  <c r="AE18" i="23"/>
  <c r="AE14" i="23"/>
  <c r="AE10" i="23"/>
  <c r="AB18" i="23"/>
  <c r="AB14" i="23"/>
  <c r="AB10" i="23"/>
  <c r="Y18" i="23"/>
  <c r="Y14" i="23"/>
  <c r="Y10" i="23"/>
  <c r="V18" i="23"/>
  <c r="V14" i="23"/>
  <c r="V10" i="23"/>
  <c r="S18" i="23"/>
  <c r="S14" i="23"/>
  <c r="S10" i="23"/>
  <c r="P8" i="23"/>
  <c r="P12" i="23"/>
  <c r="P16" i="23"/>
  <c r="M11" i="23"/>
  <c r="M15" i="23"/>
  <c r="M10" i="23"/>
  <c r="L11" i="23" s="1"/>
  <c r="AW13" i="23"/>
  <c r="AW9" i="23"/>
  <c r="AT17" i="23"/>
  <c r="AT13" i="23"/>
  <c r="AT9" i="23"/>
  <c r="AQ17" i="23"/>
  <c r="AQ13" i="23"/>
  <c r="AQ9" i="23"/>
  <c r="AN17" i="23"/>
  <c r="AN13" i="23"/>
  <c r="AN9" i="23"/>
  <c r="AK17" i="23"/>
  <c r="AK13" i="23"/>
  <c r="AK9" i="23"/>
  <c r="AH17" i="23"/>
  <c r="AH13" i="23"/>
  <c r="AH9" i="23"/>
  <c r="AE17" i="23"/>
  <c r="AE13" i="23"/>
  <c r="AE9" i="23"/>
  <c r="AB17" i="23"/>
  <c r="AB13" i="23"/>
  <c r="AB9" i="23"/>
  <c r="Y17" i="23"/>
  <c r="Y13" i="23"/>
  <c r="Y9" i="23"/>
  <c r="V17" i="23"/>
  <c r="V13" i="23"/>
  <c r="V9" i="23"/>
  <c r="S17" i="23"/>
  <c r="S13" i="23"/>
  <c r="S9" i="23"/>
  <c r="P9" i="23"/>
  <c r="P13" i="23"/>
  <c r="P17" i="23"/>
  <c r="M12" i="23"/>
  <c r="M16" i="23"/>
  <c r="AW12" i="23"/>
  <c r="AT8" i="23"/>
  <c r="AN16" i="23"/>
  <c r="AK12" i="23"/>
  <c r="AH8" i="23"/>
  <c r="AB16" i="23"/>
  <c r="Y12" i="23"/>
  <c r="V8" i="23"/>
  <c r="P10" i="23"/>
  <c r="M17" i="23"/>
  <c r="AE8" i="23"/>
  <c r="AW8" i="23"/>
  <c r="AQ16" i="23"/>
  <c r="AN12" i="23"/>
  <c r="AK8" i="23"/>
  <c r="AE16" i="23"/>
  <c r="AB12" i="23"/>
  <c r="Y8" i="23"/>
  <c r="S16" i="23"/>
  <c r="P14" i="23"/>
  <c r="AK16" i="23"/>
  <c r="S8" i="23"/>
  <c r="AT16" i="23"/>
  <c r="AQ12" i="23"/>
  <c r="AN8" i="23"/>
  <c r="AH16" i="23"/>
  <c r="AE12" i="23"/>
  <c r="AB8" i="23"/>
  <c r="V16" i="23"/>
  <c r="S12" i="23"/>
  <c r="P18" i="23"/>
  <c r="AT12" i="23"/>
  <c r="AQ8" i="23"/>
  <c r="AH12" i="23"/>
  <c r="Y16" i="23"/>
  <c r="V12" i="23"/>
  <c r="M13" i="23"/>
  <c r="N10" i="23"/>
  <c r="S19" i="23" l="1"/>
  <c r="AB19" i="23"/>
  <c r="AE19" i="23"/>
  <c r="AN19" i="23"/>
  <c r="Y19" i="23"/>
  <c r="AK19" i="23"/>
  <c r="AW19" i="23"/>
  <c r="M19" i="23"/>
  <c r="P19" i="23"/>
  <c r="V19" i="23"/>
  <c r="AH19" i="23"/>
  <c r="AT19" i="23"/>
  <c r="AQ19" i="23"/>
  <c r="L12" i="23"/>
  <c r="N11" i="23"/>
  <c r="AS23" i="23" l="1"/>
  <c r="AP23" i="23"/>
  <c r="M20" i="23"/>
  <c r="P20" i="23" s="1"/>
  <c r="S20" i="23" s="1"/>
  <c r="V20" i="23" s="1"/>
  <c r="Y20" i="23" s="1"/>
  <c r="AB20" i="23" s="1"/>
  <c r="AE20" i="23" s="1"/>
  <c r="AH20" i="23" s="1"/>
  <c r="AK20" i="23" s="1"/>
  <c r="AN20" i="23" s="1"/>
  <c r="AQ20" i="23" s="1"/>
  <c r="AT20" i="23" s="1"/>
  <c r="AJ23" i="23"/>
  <c r="R23" i="23"/>
  <c r="AD23" i="23"/>
  <c r="AA23" i="23"/>
  <c r="AG23" i="23"/>
  <c r="X23" i="23"/>
  <c r="AM23" i="23"/>
  <c r="L23" i="23"/>
  <c r="U23" i="23"/>
  <c r="O23" i="23"/>
  <c r="L13" i="23"/>
  <c r="N12" i="23"/>
  <c r="L14" i="23" l="1"/>
  <c r="N13" i="23"/>
  <c r="L15" i="23" l="1"/>
  <c r="N14" i="23"/>
  <c r="L16" i="23" l="1"/>
  <c r="N15" i="23"/>
  <c r="L17" i="23" l="1"/>
  <c r="N16" i="23"/>
  <c r="N17" i="23" l="1"/>
  <c r="L18" i="23"/>
  <c r="N18" i="23" l="1"/>
  <c r="N19" i="23" s="1"/>
  <c r="O7" i="23"/>
  <c r="N20" i="23" l="1"/>
  <c r="L22" i="23"/>
  <c r="O8" i="23"/>
  <c r="Q7" i="23"/>
  <c r="O9" i="23" l="1"/>
  <c r="Q8" i="23"/>
  <c r="O10" i="23" l="1"/>
  <c r="Q9" i="23"/>
  <c r="Q10" i="23" l="1"/>
  <c r="O11" i="23"/>
  <c r="O12" i="23" l="1"/>
  <c r="Q11" i="23"/>
  <c r="O13" i="23" l="1"/>
  <c r="Q12" i="23"/>
  <c r="O14" i="23" l="1"/>
  <c r="Q13" i="23"/>
  <c r="O15" i="23" l="1"/>
  <c r="Q14" i="23"/>
  <c r="O16" i="23" l="1"/>
  <c r="Q15" i="23"/>
  <c r="O17" i="23" l="1"/>
  <c r="Q16" i="23"/>
  <c r="O18" i="23" l="1"/>
  <c r="Q17" i="23"/>
  <c r="R7" i="23" l="1"/>
  <c r="Q18" i="23"/>
  <c r="Q19" i="23" s="1"/>
  <c r="Q20" i="23" l="1"/>
  <c r="O22" i="23"/>
  <c r="R8" i="23"/>
  <c r="T7" i="23"/>
  <c r="T8" i="23" l="1"/>
  <c r="R9" i="23"/>
  <c r="R10" i="23" l="1"/>
  <c r="T9" i="23"/>
  <c r="R11" i="23" l="1"/>
  <c r="T10" i="23"/>
  <c r="R12" i="23" l="1"/>
  <c r="T11" i="23"/>
  <c r="R13" i="23" l="1"/>
  <c r="T12" i="23"/>
  <c r="R14" i="23" l="1"/>
  <c r="T13" i="23"/>
  <c r="R15" i="23" l="1"/>
  <c r="T14" i="23"/>
  <c r="R16" i="23" l="1"/>
  <c r="T15" i="23"/>
  <c r="R17" i="23" l="1"/>
  <c r="T16" i="23"/>
  <c r="T17" i="23" l="1"/>
  <c r="R18" i="23"/>
  <c r="T18" i="23" l="1"/>
  <c r="T19" i="23" s="1"/>
  <c r="U7" i="23"/>
  <c r="T20" i="23" l="1"/>
  <c r="R22" i="23"/>
  <c r="U8" i="23"/>
  <c r="W7" i="23"/>
  <c r="W8" i="23" l="1"/>
  <c r="U9" i="23"/>
  <c r="U10" i="23" l="1"/>
  <c r="W9" i="23"/>
  <c r="W10" i="23" l="1"/>
  <c r="U11" i="23"/>
  <c r="U12" i="23" l="1"/>
  <c r="W11" i="23"/>
  <c r="U13" i="23" l="1"/>
  <c r="W12" i="23"/>
  <c r="U14" i="23" l="1"/>
  <c r="W13" i="23"/>
  <c r="U15" i="23" l="1"/>
  <c r="W14" i="23"/>
  <c r="U16" i="23" l="1"/>
  <c r="W15" i="23"/>
  <c r="U17" i="23" l="1"/>
  <c r="W16" i="23"/>
  <c r="U18" i="23" l="1"/>
  <c r="W17" i="23"/>
  <c r="X7" i="23" l="1"/>
  <c r="W18" i="23"/>
  <c r="W19" i="23" s="1"/>
  <c r="W20" i="23" l="1"/>
  <c r="X8" i="23"/>
  <c r="Z7" i="23"/>
  <c r="U22" i="23"/>
  <c r="X9" i="23" l="1"/>
  <c r="Z8" i="23"/>
  <c r="X10" i="23" l="1"/>
  <c r="Z9" i="23"/>
  <c r="X11" i="23" l="1"/>
  <c r="Z10" i="23"/>
  <c r="X12" i="23" l="1"/>
  <c r="Z11" i="23"/>
  <c r="X13" i="23" l="1"/>
  <c r="Z12" i="23"/>
  <c r="X14" i="23" l="1"/>
  <c r="Z13" i="23"/>
  <c r="X15" i="23" l="1"/>
  <c r="Z14" i="23"/>
  <c r="X16" i="23" l="1"/>
  <c r="Z15" i="23"/>
  <c r="X17" i="23" l="1"/>
  <c r="Z16" i="23"/>
  <c r="Z17" i="23" l="1"/>
  <c r="X18" i="23"/>
  <c r="Z18" i="23" l="1"/>
  <c r="Z19" i="23" s="1"/>
  <c r="AA7" i="23"/>
  <c r="Z20" i="23" l="1"/>
  <c r="X22" i="23"/>
  <c r="AA8" i="23"/>
  <c r="AC7" i="23"/>
  <c r="AA9" i="23" l="1"/>
  <c r="AC8" i="23"/>
  <c r="AA10" i="23" l="1"/>
  <c r="AC9" i="23"/>
  <c r="AC10" i="23" l="1"/>
  <c r="AA11" i="23"/>
  <c r="AA12" i="23" l="1"/>
  <c r="AC11" i="23"/>
  <c r="AA13" i="23" l="1"/>
  <c r="AC12" i="23"/>
  <c r="AA14" i="23" l="1"/>
  <c r="AC13" i="23"/>
  <c r="AA15" i="23" l="1"/>
  <c r="AC14" i="23"/>
  <c r="AA16" i="23" l="1"/>
  <c r="AC15" i="23"/>
  <c r="AA17" i="23" l="1"/>
  <c r="AC16" i="23"/>
  <c r="AA18" i="23" l="1"/>
  <c r="AC17" i="23"/>
  <c r="AD7" i="23" l="1"/>
  <c r="AC18" i="23"/>
  <c r="AC19" i="23" s="1"/>
  <c r="AC20" i="23" l="1"/>
  <c r="AA22" i="23"/>
  <c r="AD8" i="23"/>
  <c r="AF7" i="23"/>
  <c r="AD9" i="23" l="1"/>
  <c r="AF8" i="23"/>
  <c r="AD10" i="23" l="1"/>
  <c r="AF9" i="23"/>
  <c r="AD11" i="23" l="1"/>
  <c r="AF10" i="23"/>
  <c r="AD12" i="23" l="1"/>
  <c r="AF11" i="23"/>
  <c r="AD13" i="23" l="1"/>
  <c r="AF12" i="23"/>
  <c r="AD14" i="23" l="1"/>
  <c r="AF13" i="23"/>
  <c r="AD15" i="23" l="1"/>
  <c r="AF14" i="23"/>
  <c r="AD16" i="23" l="1"/>
  <c r="AF15" i="23"/>
  <c r="AD17" i="23" l="1"/>
  <c r="AF16" i="23"/>
  <c r="AF17" i="23" l="1"/>
  <c r="AD18" i="23"/>
  <c r="AF18" i="23" l="1"/>
  <c r="AF19" i="23" s="1"/>
  <c r="AG7" i="23"/>
  <c r="AF20" i="23" l="1"/>
  <c r="AD22" i="23"/>
  <c r="AI7" i="23"/>
  <c r="AG8" i="23"/>
  <c r="AI8" i="23" l="1"/>
  <c r="AG9" i="23"/>
  <c r="AG10" i="23" l="1"/>
  <c r="AI9" i="23"/>
  <c r="AG11" i="23" l="1"/>
  <c r="AI10" i="23"/>
  <c r="AG12" i="23" l="1"/>
  <c r="AI11" i="23"/>
  <c r="AG13" i="23" l="1"/>
  <c r="AI12" i="23"/>
  <c r="AG14" i="23" l="1"/>
  <c r="AI13" i="23"/>
  <c r="AG15" i="23" l="1"/>
  <c r="AI14" i="23"/>
  <c r="AG16" i="23" l="1"/>
  <c r="AI15" i="23"/>
  <c r="AG17" i="23" l="1"/>
  <c r="AI16" i="23"/>
  <c r="AG18" i="23" l="1"/>
  <c r="AI17" i="23"/>
  <c r="AI18" i="23" l="1"/>
  <c r="AI19" i="23" s="1"/>
  <c r="AJ7" i="23"/>
  <c r="H5" i="20"/>
  <c r="I5" i="20"/>
  <c r="J5" i="20"/>
  <c r="K5" i="20"/>
  <c r="L5" i="20"/>
  <c r="M5" i="20"/>
  <c r="N5" i="20"/>
  <c r="O5" i="20"/>
  <c r="G5" i="20"/>
  <c r="AI20" i="23" l="1"/>
  <c r="AJ8" i="23"/>
  <c r="AL7" i="23"/>
  <c r="AG22" i="23"/>
  <c r="AJ9" i="23" l="1"/>
  <c r="AL8" i="23"/>
  <c r="AJ10" i="23" l="1"/>
  <c r="AL9" i="23"/>
  <c r="AJ11" i="23" l="1"/>
  <c r="AL10" i="23"/>
  <c r="B60" i="13"/>
  <c r="F124" i="6"/>
  <c r="F126" i="6" s="1"/>
  <c r="F127" i="6" s="1"/>
  <c r="B49" i="13"/>
  <c r="F129" i="6" l="1"/>
  <c r="F132" i="6" s="1"/>
  <c r="F139" i="6"/>
  <c r="F140" i="6" s="1"/>
  <c r="AJ12" i="23"/>
  <c r="AL11" i="23"/>
  <c r="H66" i="6"/>
  <c r="G66" i="6"/>
  <c r="F66" i="6"/>
  <c r="E66" i="6"/>
  <c r="K118" i="6"/>
  <c r="J118" i="6"/>
  <c r="C12" i="13"/>
  <c r="B63" i="13"/>
  <c r="F74" i="6" l="1"/>
  <c r="F15" i="6" s="1"/>
  <c r="E74" i="6"/>
  <c r="E118" i="6" s="1"/>
  <c r="G74" i="6"/>
  <c r="H74" i="6"/>
  <c r="D118" i="6"/>
  <c r="AJ13" i="23"/>
  <c r="AL12" i="23"/>
  <c r="F70" i="18"/>
  <c r="D16" i="17" s="1"/>
  <c r="C4" i="10" s="1"/>
  <c r="H17" i="6" l="1"/>
  <c r="I17" i="6" s="1"/>
  <c r="J17" i="6" s="1"/>
  <c r="K17" i="6" s="1"/>
  <c r="L17" i="6" s="1"/>
  <c r="M17" i="6" s="1"/>
  <c r="N17" i="6" s="1"/>
  <c r="F17" i="6"/>
  <c r="F24" i="6" s="1"/>
  <c r="F14" i="22" s="1"/>
  <c r="H118" i="6"/>
  <c r="G118" i="6"/>
  <c r="F16" i="6"/>
  <c r="F23" i="6" s="1"/>
  <c r="F13" i="22" s="1"/>
  <c r="F118" i="6"/>
  <c r="F22" i="6"/>
  <c r="F12" i="22" s="1"/>
  <c r="C74" i="6"/>
  <c r="F19" i="18"/>
  <c r="I118" i="6"/>
  <c r="G7" i="22"/>
  <c r="AJ14" i="23"/>
  <c r="AL13" i="23"/>
  <c r="F51" i="18"/>
  <c r="D14" i="17" s="1"/>
  <c r="C5" i="10" s="1"/>
  <c r="H14" i="6" l="1"/>
  <c r="G22" i="6"/>
  <c r="D12" i="17"/>
  <c r="H7" i="22"/>
  <c r="AJ15" i="23"/>
  <c r="AL14" i="23"/>
  <c r="P30" i="15"/>
  <c r="P28" i="15"/>
  <c r="B24" i="15"/>
  <c r="B22" i="15"/>
  <c r="B23" i="15" s="1"/>
  <c r="C21" i="15"/>
  <c r="C22" i="15" s="1"/>
  <c r="C23" i="15" s="1"/>
  <c r="P16" i="15"/>
  <c r="P18" i="15" s="1"/>
  <c r="O16" i="15"/>
  <c r="O18" i="15" s="1"/>
  <c r="N16" i="15"/>
  <c r="N18" i="15" s="1"/>
  <c r="M16" i="15"/>
  <c r="M18" i="15" s="1"/>
  <c r="L16" i="15"/>
  <c r="L18" i="15" s="1"/>
  <c r="K16" i="15"/>
  <c r="K18" i="15" s="1"/>
  <c r="J16" i="15"/>
  <c r="J18" i="15" s="1"/>
  <c r="I16" i="15"/>
  <c r="I18" i="15" s="1"/>
  <c r="H16" i="15"/>
  <c r="H18" i="15" s="1"/>
  <c r="G16" i="15"/>
  <c r="G18" i="15" s="1"/>
  <c r="F16" i="15"/>
  <c r="F18" i="15" s="1"/>
  <c r="E16" i="15"/>
  <c r="E18" i="15" s="1"/>
  <c r="D16" i="15"/>
  <c r="D18" i="15" s="1"/>
  <c r="C16" i="15"/>
  <c r="C18" i="15" s="1"/>
  <c r="C12" i="15"/>
  <c r="D12" i="15" s="1"/>
  <c r="P37" i="14"/>
  <c r="O37" i="14"/>
  <c r="N37" i="14"/>
  <c r="M37" i="14"/>
  <c r="L37" i="14"/>
  <c r="K37" i="14"/>
  <c r="J37" i="14"/>
  <c r="I37" i="14"/>
  <c r="H37" i="14"/>
  <c r="G37" i="14"/>
  <c r="F37" i="14"/>
  <c r="E37" i="14"/>
  <c r="D37" i="14"/>
  <c r="C37" i="14"/>
  <c r="B37" i="14"/>
  <c r="P28" i="14"/>
  <c r="P42" i="14" s="1"/>
  <c r="P43" i="14" s="1"/>
  <c r="D28" i="14"/>
  <c r="D42" i="14" s="1"/>
  <c r="D43" i="14" s="1"/>
  <c r="B28" i="14"/>
  <c r="B42" i="14" s="1"/>
  <c r="B43" i="14" s="1"/>
  <c r="O24" i="14"/>
  <c r="O28" i="14" s="1"/>
  <c r="O42" i="14" s="1"/>
  <c r="O43" i="14" s="1"/>
  <c r="N24" i="14"/>
  <c r="N28" i="14" s="1"/>
  <c r="N42" i="14" s="1"/>
  <c r="N43" i="14" s="1"/>
  <c r="M24" i="14"/>
  <c r="M28" i="14" s="1"/>
  <c r="M42" i="14" s="1"/>
  <c r="M43" i="14" s="1"/>
  <c r="L24" i="14"/>
  <c r="L28" i="14" s="1"/>
  <c r="L42" i="14" s="1"/>
  <c r="L43" i="14" s="1"/>
  <c r="K24" i="14"/>
  <c r="K28" i="14" s="1"/>
  <c r="K42" i="14" s="1"/>
  <c r="K43" i="14" s="1"/>
  <c r="J24" i="14"/>
  <c r="J28" i="14" s="1"/>
  <c r="J42" i="14" s="1"/>
  <c r="J43" i="14" s="1"/>
  <c r="I24" i="14"/>
  <c r="I28" i="14" s="1"/>
  <c r="I42" i="14" s="1"/>
  <c r="I43" i="14" s="1"/>
  <c r="H24" i="14"/>
  <c r="H28" i="14" s="1"/>
  <c r="H42" i="14" s="1"/>
  <c r="H43" i="14" s="1"/>
  <c r="G24" i="14"/>
  <c r="G28" i="14" s="1"/>
  <c r="G42" i="14" s="1"/>
  <c r="G43" i="14" s="1"/>
  <c r="F24" i="14"/>
  <c r="F28" i="14" s="1"/>
  <c r="F42" i="14" s="1"/>
  <c r="F43" i="14" s="1"/>
  <c r="E24" i="14"/>
  <c r="E28" i="14" s="1"/>
  <c r="E42" i="14" s="1"/>
  <c r="E43" i="14" s="1"/>
  <c r="D24" i="14"/>
  <c r="C24" i="14"/>
  <c r="C28" i="14" s="1"/>
  <c r="C42" i="14" s="1"/>
  <c r="C43" i="14" s="1"/>
  <c r="P38" i="14"/>
  <c r="O38" i="14"/>
  <c r="N38" i="14"/>
  <c r="M38" i="14"/>
  <c r="L38" i="14"/>
  <c r="K38" i="14"/>
  <c r="J38" i="14"/>
  <c r="I38" i="14"/>
  <c r="H38" i="14"/>
  <c r="G38" i="14"/>
  <c r="F38" i="14"/>
  <c r="E38" i="14"/>
  <c r="D38" i="14"/>
  <c r="C38" i="14"/>
  <c r="B38" i="14"/>
  <c r="U21" i="8"/>
  <c r="U22" i="8"/>
  <c r="U29" i="8"/>
  <c r="U12" i="8"/>
  <c r="P68" i="13"/>
  <c r="O68" i="13"/>
  <c r="N68" i="13"/>
  <c r="M68" i="13"/>
  <c r="L68" i="13"/>
  <c r="K68" i="13"/>
  <c r="J68" i="13"/>
  <c r="I68" i="13"/>
  <c r="H68" i="13"/>
  <c r="G68" i="13"/>
  <c r="F68" i="13"/>
  <c r="E68" i="13"/>
  <c r="D68" i="13"/>
  <c r="C68" i="13"/>
  <c r="B68" i="13"/>
  <c r="P63" i="13"/>
  <c r="O63" i="13"/>
  <c r="N63" i="13"/>
  <c r="M63" i="13"/>
  <c r="L63" i="13"/>
  <c r="K63" i="13"/>
  <c r="J63" i="13"/>
  <c r="I63" i="13"/>
  <c r="H63" i="13"/>
  <c r="G63" i="13"/>
  <c r="F63" i="13"/>
  <c r="E63" i="13"/>
  <c r="D63" i="13"/>
  <c r="C63" i="13"/>
  <c r="P49" i="13"/>
  <c r="P51" i="13" s="1"/>
  <c r="P56" i="13" s="1"/>
  <c r="O49" i="13"/>
  <c r="O51" i="13" s="1"/>
  <c r="O56" i="13" s="1"/>
  <c r="N49" i="13"/>
  <c r="N51" i="13" s="1"/>
  <c r="N56" i="13" s="1"/>
  <c r="M49" i="13"/>
  <c r="M51" i="13" s="1"/>
  <c r="M56" i="13" s="1"/>
  <c r="L49" i="13"/>
  <c r="L51" i="13" s="1"/>
  <c r="L56" i="13" s="1"/>
  <c r="K49" i="13"/>
  <c r="K51" i="13" s="1"/>
  <c r="K56" i="13" s="1"/>
  <c r="J49" i="13"/>
  <c r="J51" i="13" s="1"/>
  <c r="J56" i="13" s="1"/>
  <c r="I49" i="13"/>
  <c r="I51" i="13" s="1"/>
  <c r="I56" i="13" s="1"/>
  <c r="H49" i="13"/>
  <c r="H51" i="13" s="1"/>
  <c r="H56" i="13" s="1"/>
  <c r="G49" i="13"/>
  <c r="G51" i="13" s="1"/>
  <c r="G56" i="13" s="1"/>
  <c r="F49" i="13"/>
  <c r="F51" i="13" s="1"/>
  <c r="F56" i="13" s="1"/>
  <c r="E49" i="13"/>
  <c r="E51" i="13" s="1"/>
  <c r="E56" i="13" s="1"/>
  <c r="D49" i="13"/>
  <c r="D51" i="13" s="1"/>
  <c r="D56" i="13" s="1"/>
  <c r="C49" i="13"/>
  <c r="C51" i="13" s="1"/>
  <c r="C56" i="13" s="1"/>
  <c r="B51" i="13"/>
  <c r="B56" i="13" s="1"/>
  <c r="J14" i="13"/>
  <c r="I14" i="13"/>
  <c r="H14" i="13"/>
  <c r="G14" i="13"/>
  <c r="F14" i="13"/>
  <c r="E14" i="13"/>
  <c r="D14" i="13"/>
  <c r="C14" i="13"/>
  <c r="J13" i="13"/>
  <c r="I13" i="13"/>
  <c r="H13" i="13"/>
  <c r="G13" i="13"/>
  <c r="F13" i="13"/>
  <c r="E13" i="13"/>
  <c r="D13" i="13"/>
  <c r="C13" i="13"/>
  <c r="J12" i="13"/>
  <c r="J20" i="13" s="1"/>
  <c r="B39" i="13" s="1"/>
  <c r="C39" i="13" s="1"/>
  <c r="D39" i="13" s="1"/>
  <c r="E39" i="13" s="1"/>
  <c r="F39" i="13" s="1"/>
  <c r="G39" i="13" s="1"/>
  <c r="H39" i="13" s="1"/>
  <c r="I39" i="13" s="1"/>
  <c r="J39" i="13" s="1"/>
  <c r="K39" i="13" s="1"/>
  <c r="L39" i="13" s="1"/>
  <c r="M39" i="13" s="1"/>
  <c r="N39" i="13" s="1"/>
  <c r="O39" i="13" s="1"/>
  <c r="P39" i="13" s="1"/>
  <c r="I12" i="13"/>
  <c r="I20" i="13" s="1"/>
  <c r="B38" i="13" s="1"/>
  <c r="C38" i="13" s="1"/>
  <c r="D38" i="13" s="1"/>
  <c r="E38" i="13" s="1"/>
  <c r="F38" i="13" s="1"/>
  <c r="G38" i="13" s="1"/>
  <c r="H38" i="13" s="1"/>
  <c r="I38" i="13" s="1"/>
  <c r="J38" i="13" s="1"/>
  <c r="K38" i="13" s="1"/>
  <c r="L38" i="13" s="1"/>
  <c r="M38" i="13" s="1"/>
  <c r="N38" i="13" s="1"/>
  <c r="O38" i="13" s="1"/>
  <c r="P38" i="13" s="1"/>
  <c r="H12" i="13"/>
  <c r="H20" i="13" s="1"/>
  <c r="B37" i="13" s="1"/>
  <c r="C37" i="13" s="1"/>
  <c r="D37" i="13" s="1"/>
  <c r="E37" i="13" s="1"/>
  <c r="F37" i="13" s="1"/>
  <c r="G37" i="13" s="1"/>
  <c r="H37" i="13" s="1"/>
  <c r="I37" i="13" s="1"/>
  <c r="J37" i="13" s="1"/>
  <c r="K37" i="13" s="1"/>
  <c r="L37" i="13" s="1"/>
  <c r="M37" i="13" s="1"/>
  <c r="N37" i="13" s="1"/>
  <c r="O37" i="13" s="1"/>
  <c r="P37" i="13" s="1"/>
  <c r="G12" i="13"/>
  <c r="G20" i="13" s="1"/>
  <c r="B36" i="13" s="1"/>
  <c r="C36" i="13" s="1"/>
  <c r="D36" i="13" s="1"/>
  <c r="E36" i="13" s="1"/>
  <c r="F36" i="13" s="1"/>
  <c r="G36" i="13" s="1"/>
  <c r="H36" i="13" s="1"/>
  <c r="I36" i="13" s="1"/>
  <c r="J36" i="13" s="1"/>
  <c r="K36" i="13" s="1"/>
  <c r="L36" i="13" s="1"/>
  <c r="M36" i="13" s="1"/>
  <c r="N36" i="13" s="1"/>
  <c r="O36" i="13" s="1"/>
  <c r="P36" i="13" s="1"/>
  <c r="F12" i="13"/>
  <c r="F20" i="13" s="1"/>
  <c r="B35" i="13" s="1"/>
  <c r="C35" i="13" s="1"/>
  <c r="D35" i="13" s="1"/>
  <c r="E35" i="13" s="1"/>
  <c r="F35" i="13" s="1"/>
  <c r="G35" i="13" s="1"/>
  <c r="H35" i="13" s="1"/>
  <c r="I35" i="13" s="1"/>
  <c r="J35" i="13" s="1"/>
  <c r="K35" i="13" s="1"/>
  <c r="L35" i="13" s="1"/>
  <c r="M35" i="13" s="1"/>
  <c r="N35" i="13" s="1"/>
  <c r="O35" i="13" s="1"/>
  <c r="P35" i="13" s="1"/>
  <c r="E12" i="13"/>
  <c r="E20" i="13" s="1"/>
  <c r="B34" i="13" s="1"/>
  <c r="C34" i="13" s="1"/>
  <c r="D34" i="13" s="1"/>
  <c r="E34" i="13" s="1"/>
  <c r="F34" i="13" s="1"/>
  <c r="G34" i="13" s="1"/>
  <c r="H34" i="13" s="1"/>
  <c r="I34" i="13" s="1"/>
  <c r="J34" i="13" s="1"/>
  <c r="K34" i="13" s="1"/>
  <c r="L34" i="13" s="1"/>
  <c r="M34" i="13" s="1"/>
  <c r="N34" i="13" s="1"/>
  <c r="O34" i="13" s="1"/>
  <c r="P34" i="13" s="1"/>
  <c r="D12" i="13"/>
  <c r="D20" i="13" s="1"/>
  <c r="B33" i="13" s="1"/>
  <c r="C33" i="13" s="1"/>
  <c r="D33" i="13" s="1"/>
  <c r="E33" i="13" s="1"/>
  <c r="F33" i="13" s="1"/>
  <c r="G33" i="13" s="1"/>
  <c r="H33" i="13" s="1"/>
  <c r="I33" i="13" s="1"/>
  <c r="J33" i="13" s="1"/>
  <c r="K33" i="13" s="1"/>
  <c r="L33" i="13" s="1"/>
  <c r="M33" i="13" s="1"/>
  <c r="N33" i="13" s="1"/>
  <c r="O33" i="13" s="1"/>
  <c r="P33" i="13" s="1"/>
  <c r="C20" i="13"/>
  <c r="T14" i="8"/>
  <c r="T47" i="8" s="1"/>
  <c r="T18" i="8"/>
  <c r="T34" i="8"/>
  <c r="G5" i="8"/>
  <c r="H5" i="8"/>
  <c r="I5" i="8"/>
  <c r="J5" i="8"/>
  <c r="K5" i="8"/>
  <c r="H4" i="19" s="1"/>
  <c r="L5" i="8"/>
  <c r="M5" i="8"/>
  <c r="N5" i="8"/>
  <c r="T5" i="8"/>
  <c r="F5" i="8"/>
  <c r="F10" i="21"/>
  <c r="F11" i="21" s="1"/>
  <c r="F18" i="21" s="1"/>
  <c r="J15" i="9"/>
  <c r="K15" i="9"/>
  <c r="L15" i="9"/>
  <c r="M15" i="9"/>
  <c r="L20" i="4"/>
  <c r="E12" i="9" s="1"/>
  <c r="H20" i="4"/>
  <c r="D12" i="9" s="1"/>
  <c r="D7" i="9"/>
  <c r="C7" i="9"/>
  <c r="C3" i="10" l="1"/>
  <c r="X27" i="17"/>
  <c r="G15" i="22"/>
  <c r="G12" i="22"/>
  <c r="I14" i="6"/>
  <c r="H22" i="6"/>
  <c r="G24" i="6"/>
  <c r="C12" i="9"/>
  <c r="D14" i="8"/>
  <c r="D44" i="8" s="1"/>
  <c r="T44" i="8"/>
  <c r="D6" i="14"/>
  <c r="D9" i="14" s="1"/>
  <c r="D12" i="14" s="1"/>
  <c r="D15" i="14" s="1"/>
  <c r="D18" i="14" s="1"/>
  <c r="D22" i="14" s="1"/>
  <c r="D30" i="14" s="1"/>
  <c r="D32" i="14" s="1"/>
  <c r="D35" i="14" s="1"/>
  <c r="D40" i="14" s="1"/>
  <c r="D44" i="14" s="1"/>
  <c r="H6" i="14"/>
  <c r="H9" i="14" s="1"/>
  <c r="H12" i="14" s="1"/>
  <c r="H15" i="14" s="1"/>
  <c r="H18" i="14" s="1"/>
  <c r="H22" i="14" s="1"/>
  <c r="H30" i="14" s="1"/>
  <c r="H32" i="14" s="1"/>
  <c r="L6" i="14"/>
  <c r="L9" i="14" s="1"/>
  <c r="L12" i="14" s="1"/>
  <c r="L15" i="14" s="1"/>
  <c r="L18" i="14" s="1"/>
  <c r="L22" i="14" s="1"/>
  <c r="L30" i="14" s="1"/>
  <c r="L32" i="14" s="1"/>
  <c r="L35" i="14" s="1"/>
  <c r="L40" i="14" s="1"/>
  <c r="L44" i="14" s="1"/>
  <c r="P6" i="14"/>
  <c r="P9" i="14" s="1"/>
  <c r="I7" i="22"/>
  <c r="F21" i="6"/>
  <c r="F11" i="22" s="1"/>
  <c r="J6" i="9"/>
  <c r="E6" i="14"/>
  <c r="E9" i="14" s="1"/>
  <c r="E12" i="14" s="1"/>
  <c r="E15" i="14" s="1"/>
  <c r="E18" i="14" s="1"/>
  <c r="E22" i="14" s="1"/>
  <c r="E30" i="14" s="1"/>
  <c r="E32" i="14" s="1"/>
  <c r="E35" i="14" s="1"/>
  <c r="E40" i="14" s="1"/>
  <c r="E44" i="14" s="1"/>
  <c r="I6" i="14"/>
  <c r="I9" i="14" s="1"/>
  <c r="I12" i="14" s="1"/>
  <c r="I15" i="14" s="1"/>
  <c r="I18" i="14" s="1"/>
  <c r="I22" i="14" s="1"/>
  <c r="I30" i="14" s="1"/>
  <c r="I32" i="14" s="1"/>
  <c r="I35" i="14" s="1"/>
  <c r="I40" i="14" s="1"/>
  <c r="I44" i="14" s="1"/>
  <c r="B6" i="14"/>
  <c r="B9" i="14" s="1"/>
  <c r="B12" i="14" s="1"/>
  <c r="B15" i="14" s="1"/>
  <c r="B18" i="14" s="1"/>
  <c r="B22" i="14" s="1"/>
  <c r="B30" i="14" s="1"/>
  <c r="B32" i="14" s="1"/>
  <c r="B35" i="14" s="1"/>
  <c r="B40" i="14" s="1"/>
  <c r="B44" i="14" s="1"/>
  <c r="F6" i="14"/>
  <c r="F9" i="14" s="1"/>
  <c r="F12" i="14" s="1"/>
  <c r="F15" i="14" s="1"/>
  <c r="F18" i="14" s="1"/>
  <c r="F22" i="14" s="1"/>
  <c r="F30" i="14" s="1"/>
  <c r="F32" i="14" s="1"/>
  <c r="F35" i="14" s="1"/>
  <c r="F40" i="14" s="1"/>
  <c r="F44" i="14" s="1"/>
  <c r="J6" i="14"/>
  <c r="J9" i="14" s="1"/>
  <c r="J12" i="14" s="1"/>
  <c r="J15" i="14" s="1"/>
  <c r="J18" i="14" s="1"/>
  <c r="J22" i="14" s="1"/>
  <c r="J30" i="14" s="1"/>
  <c r="J32" i="14" s="1"/>
  <c r="N6" i="14"/>
  <c r="N9" i="14" s="1"/>
  <c r="N12" i="14" s="1"/>
  <c r="N15" i="14" s="1"/>
  <c r="N18" i="14" s="1"/>
  <c r="N22" i="14" s="1"/>
  <c r="N30" i="14" s="1"/>
  <c r="N32" i="14" s="1"/>
  <c r="N35" i="14" s="1"/>
  <c r="N40" i="14" s="1"/>
  <c r="N44" i="14" s="1"/>
  <c r="G15" i="9"/>
  <c r="F15" i="9"/>
  <c r="AJ16" i="23"/>
  <c r="AL15" i="23"/>
  <c r="K6" i="9"/>
  <c r="I4" i="19"/>
  <c r="G6" i="9"/>
  <c r="E4" i="19"/>
  <c r="F6" i="9"/>
  <c r="D4" i="19"/>
  <c r="M6" i="9"/>
  <c r="K4" i="19"/>
  <c r="I6" i="9"/>
  <c r="G4" i="19"/>
  <c r="E6" i="9"/>
  <c r="C4" i="19"/>
  <c r="L6" i="9"/>
  <c r="J4" i="19"/>
  <c r="H6" i="9"/>
  <c r="F4" i="19"/>
  <c r="I8" i="19"/>
  <c r="J8" i="19"/>
  <c r="H8" i="19"/>
  <c r="K8" i="19"/>
  <c r="P12" i="14"/>
  <c r="P15" i="14" s="1"/>
  <c r="P18" i="14" s="1"/>
  <c r="P22" i="14" s="1"/>
  <c r="P30" i="14" s="1"/>
  <c r="P32" i="14" s="1"/>
  <c r="P35" i="14" s="1"/>
  <c r="P40" i="14" s="1"/>
  <c r="M6" i="14"/>
  <c r="M9" i="14" s="1"/>
  <c r="M12" i="14" s="1"/>
  <c r="M15" i="14" s="1"/>
  <c r="M18" i="14" s="1"/>
  <c r="M22" i="14" s="1"/>
  <c r="M30" i="14" s="1"/>
  <c r="M32" i="14" s="1"/>
  <c r="M35" i="14" s="1"/>
  <c r="M40" i="14" s="1"/>
  <c r="M44" i="14" s="1"/>
  <c r="C6" i="14"/>
  <c r="C9" i="14" s="1"/>
  <c r="C12" i="14" s="1"/>
  <c r="C15" i="14" s="1"/>
  <c r="C18" i="14" s="1"/>
  <c r="C22" i="14" s="1"/>
  <c r="C30" i="14" s="1"/>
  <c r="C32" i="14" s="1"/>
  <c r="C35" i="14" s="1"/>
  <c r="C40" i="14" s="1"/>
  <c r="C44" i="14" s="1"/>
  <c r="G6" i="14"/>
  <c r="G9" i="14" s="1"/>
  <c r="G12" i="14" s="1"/>
  <c r="G15" i="14" s="1"/>
  <c r="G18" i="14" s="1"/>
  <c r="G22" i="14" s="1"/>
  <c r="G30" i="14" s="1"/>
  <c r="G32" i="14" s="1"/>
  <c r="K6" i="14"/>
  <c r="K9" i="14" s="1"/>
  <c r="K12" i="14" s="1"/>
  <c r="K15" i="14" s="1"/>
  <c r="K18" i="14" s="1"/>
  <c r="K22" i="14" s="1"/>
  <c r="K30" i="14" s="1"/>
  <c r="K32" i="14" s="1"/>
  <c r="K35" i="14" s="1"/>
  <c r="K40" i="14" s="1"/>
  <c r="K44" i="14" s="1"/>
  <c r="O6" i="14"/>
  <c r="O9" i="14" s="1"/>
  <c r="O12" i="14" s="1"/>
  <c r="O15" i="14" s="1"/>
  <c r="O18" i="14" s="1"/>
  <c r="O22" i="14" s="1"/>
  <c r="O30" i="14" s="1"/>
  <c r="O32" i="14" s="1"/>
  <c r="B32" i="13"/>
  <c r="B20" i="13"/>
  <c r="D27" i="13" s="1"/>
  <c r="D24" i="15"/>
  <c r="D13" i="15"/>
  <c r="E12" i="15"/>
  <c r="B28" i="15"/>
  <c r="B30" i="15"/>
  <c r="B25" i="15"/>
  <c r="C30" i="15"/>
  <c r="C25" i="15"/>
  <c r="C28" i="15"/>
  <c r="D21" i="15"/>
  <c r="C13" i="15"/>
  <c r="C24" i="15"/>
  <c r="C32" i="13"/>
  <c r="B40" i="13"/>
  <c r="D28" i="8"/>
  <c r="H15" i="22" l="1"/>
  <c r="H12" i="22"/>
  <c r="G16" i="22"/>
  <c r="G14" i="22"/>
  <c r="D47" i="8"/>
  <c r="H24" i="6"/>
  <c r="G31" i="8"/>
  <c r="H31" i="8" s="1"/>
  <c r="I31" i="8" s="1"/>
  <c r="J31" i="8" s="1"/>
  <c r="J7" i="22"/>
  <c r="E8" i="19"/>
  <c r="G35" i="14"/>
  <c r="G40" i="14" s="1"/>
  <c r="G44" i="14" s="1"/>
  <c r="J35" i="14"/>
  <c r="J40" i="14" s="1"/>
  <c r="J44" i="14" s="1"/>
  <c r="H35" i="14"/>
  <c r="H40" i="14" s="1"/>
  <c r="H44" i="14" s="1"/>
  <c r="I15" i="9"/>
  <c r="H15" i="9"/>
  <c r="E15" i="9"/>
  <c r="C8" i="19" s="1"/>
  <c r="AJ17" i="23"/>
  <c r="AL16" i="23"/>
  <c r="D8" i="19"/>
  <c r="O35" i="14"/>
  <c r="O40" i="14" s="1"/>
  <c r="O44" i="14" s="1"/>
  <c r="F12" i="15"/>
  <c r="E24" i="15"/>
  <c r="E13" i="15"/>
  <c r="D22" i="15"/>
  <c r="D23" i="15" s="1"/>
  <c r="E21" i="15"/>
  <c r="C40" i="13"/>
  <c r="D32" i="13"/>
  <c r="H16" i="22" l="1"/>
  <c r="H14" i="22"/>
  <c r="I22" i="6"/>
  <c r="I24" i="6"/>
  <c r="J22" i="6"/>
  <c r="U31" i="8"/>
  <c r="K7" i="22"/>
  <c r="F8" i="19"/>
  <c r="G8" i="19"/>
  <c r="AL17" i="23"/>
  <c r="AJ18" i="23"/>
  <c r="D28" i="15"/>
  <c r="D25" i="15"/>
  <c r="D30" i="15"/>
  <c r="F21" i="15"/>
  <c r="E22" i="15"/>
  <c r="E23" i="15" s="1"/>
  <c r="F24" i="15"/>
  <c r="F13" i="15"/>
  <c r="G12" i="15"/>
  <c r="D40" i="13"/>
  <c r="E32" i="13"/>
  <c r="I15" i="22" l="1"/>
  <c r="I12" i="22"/>
  <c r="J15" i="22"/>
  <c r="J12" i="22"/>
  <c r="I16" i="22"/>
  <c r="I14" i="22"/>
  <c r="J24" i="6"/>
  <c r="K22" i="6"/>
  <c r="J14" i="6"/>
  <c r="L7" i="22"/>
  <c r="AL18" i="23"/>
  <c r="AL19" i="23" s="1"/>
  <c r="AM7" i="23"/>
  <c r="G24" i="15"/>
  <c r="G13" i="15"/>
  <c r="H12" i="15"/>
  <c r="F22" i="15"/>
  <c r="F23" i="15" s="1"/>
  <c r="G21" i="15"/>
  <c r="E30" i="15"/>
  <c r="E25" i="15"/>
  <c r="E28" i="15"/>
  <c r="F32" i="13"/>
  <c r="E40" i="13"/>
  <c r="K15" i="22" l="1"/>
  <c r="K12" i="22"/>
  <c r="J16" i="22"/>
  <c r="J14" i="22"/>
  <c r="K24" i="6"/>
  <c r="L22" i="6"/>
  <c r="M7" i="22"/>
  <c r="K14" i="6"/>
  <c r="AL20" i="23"/>
  <c r="AJ22" i="23"/>
  <c r="AM8" i="23"/>
  <c r="AO7" i="23"/>
  <c r="F28" i="15"/>
  <c r="F30" i="15"/>
  <c r="F25" i="15"/>
  <c r="H24" i="15"/>
  <c r="H13" i="15"/>
  <c r="I12" i="15"/>
  <c r="H21" i="15"/>
  <c r="G22" i="15"/>
  <c r="G23" i="15" s="1"/>
  <c r="G32" i="13"/>
  <c r="F40" i="13"/>
  <c r="L15" i="22" l="1"/>
  <c r="L12" i="22"/>
  <c r="K16" i="22"/>
  <c r="K14" i="22"/>
  <c r="L24" i="6"/>
  <c r="M22" i="6"/>
  <c r="L14" i="6"/>
  <c r="N7" i="22"/>
  <c r="AM9" i="23"/>
  <c r="AO8" i="23"/>
  <c r="G30" i="15"/>
  <c r="G25" i="15"/>
  <c r="G28" i="15"/>
  <c r="H22" i="15"/>
  <c r="H23" i="15" s="1"/>
  <c r="I21" i="15"/>
  <c r="J12" i="15"/>
  <c r="I24" i="15"/>
  <c r="I13" i="15"/>
  <c r="G40" i="13"/>
  <c r="H32" i="13"/>
  <c r="M15" i="22" l="1"/>
  <c r="M12" i="22"/>
  <c r="L16" i="22"/>
  <c r="L14" i="22"/>
  <c r="M24" i="6"/>
  <c r="M14" i="6"/>
  <c r="N22" i="6"/>
  <c r="AM10" i="23"/>
  <c r="AO9" i="23"/>
  <c r="H28" i="15"/>
  <c r="H30" i="15"/>
  <c r="H25" i="15"/>
  <c r="J24" i="15"/>
  <c r="K12" i="15"/>
  <c r="J13" i="15"/>
  <c r="J21" i="15"/>
  <c r="I22" i="15"/>
  <c r="I23" i="15" s="1"/>
  <c r="I32" i="13"/>
  <c r="H40" i="13"/>
  <c r="N15" i="22" l="1"/>
  <c r="N12" i="22"/>
  <c r="M16" i="22"/>
  <c r="M14" i="22"/>
  <c r="N24" i="6"/>
  <c r="N14" i="6"/>
  <c r="AM11" i="23"/>
  <c r="AO10" i="23"/>
  <c r="I30" i="15"/>
  <c r="I25" i="15"/>
  <c r="I28" i="15"/>
  <c r="K21" i="15"/>
  <c r="J22" i="15"/>
  <c r="J23" i="15" s="1"/>
  <c r="L12" i="15"/>
  <c r="K24" i="15"/>
  <c r="K13" i="15"/>
  <c r="J32" i="13"/>
  <c r="I40" i="13"/>
  <c r="N16" i="22" l="1"/>
  <c r="N14" i="22"/>
  <c r="AM12" i="23"/>
  <c r="AO11" i="23"/>
  <c r="K22" i="15"/>
  <c r="K23" i="15" s="1"/>
  <c r="L21" i="15"/>
  <c r="L24" i="15"/>
  <c r="L13" i="15"/>
  <c r="M12" i="15"/>
  <c r="J28" i="15"/>
  <c r="J30" i="15"/>
  <c r="J25" i="15"/>
  <c r="K32" i="13"/>
  <c r="J40" i="13"/>
  <c r="AM13" i="23" l="1"/>
  <c r="AO12" i="23"/>
  <c r="L22" i="15"/>
  <c r="L23" i="15" s="1"/>
  <c r="M21" i="15"/>
  <c r="N12" i="15"/>
  <c r="M24" i="15"/>
  <c r="M13" i="15"/>
  <c r="K30" i="15"/>
  <c r="K25" i="15"/>
  <c r="K28" i="15"/>
  <c r="K40" i="13"/>
  <c r="L32" i="13"/>
  <c r="AM14" i="23" l="1"/>
  <c r="AO13" i="23"/>
  <c r="N24" i="15"/>
  <c r="N13" i="15"/>
  <c r="O12" i="15"/>
  <c r="N21" i="15"/>
  <c r="M22" i="15"/>
  <c r="M23" i="15" s="1"/>
  <c r="L28" i="15"/>
  <c r="L30" i="15"/>
  <c r="L25" i="15"/>
  <c r="M32" i="13"/>
  <c r="L40" i="13"/>
  <c r="AM15" i="23" l="1"/>
  <c r="AO14" i="23"/>
  <c r="O13" i="15"/>
  <c r="P12" i="15"/>
  <c r="P13" i="15" s="1"/>
  <c r="N22" i="15"/>
  <c r="N23" i="15" s="1"/>
  <c r="O21" i="15"/>
  <c r="O22" i="15" s="1"/>
  <c r="O23" i="15" s="1"/>
  <c r="M30" i="15"/>
  <c r="M25" i="15"/>
  <c r="M28" i="15"/>
  <c r="N32" i="13"/>
  <c r="M40" i="13"/>
  <c r="AM16" i="23" l="1"/>
  <c r="AO15" i="23"/>
  <c r="O30" i="15"/>
  <c r="O28" i="15"/>
  <c r="N28" i="15"/>
  <c r="N30" i="15"/>
  <c r="N25" i="15"/>
  <c r="O32" i="13"/>
  <c r="N40" i="13"/>
  <c r="AM17" i="23" l="1"/>
  <c r="AO16" i="23"/>
  <c r="O40" i="13"/>
  <c r="P32" i="13"/>
  <c r="P40" i="13" s="1"/>
  <c r="AM18" i="23" l="1"/>
  <c r="AO17" i="23"/>
  <c r="AP7" i="23" l="1"/>
  <c r="AO18" i="23"/>
  <c r="AO19" i="23" s="1"/>
  <c r="AO20" i="23" l="1"/>
  <c r="AM22" i="23"/>
  <c r="AP8" i="23"/>
  <c r="AR7" i="23"/>
  <c r="AR8" i="23" l="1"/>
  <c r="AP9" i="23"/>
  <c r="AP10" i="23" l="1"/>
  <c r="AR9" i="23"/>
  <c r="AP11" i="23" l="1"/>
  <c r="AR10" i="23"/>
  <c r="AP12" i="23" l="1"/>
  <c r="AR11" i="23"/>
  <c r="AP13" i="23" l="1"/>
  <c r="AR12" i="23"/>
  <c r="AP14" i="23" l="1"/>
  <c r="AR13" i="23"/>
  <c r="AP15" i="23" l="1"/>
  <c r="AR14" i="23"/>
  <c r="AP16" i="23" l="1"/>
  <c r="AR15" i="23"/>
  <c r="AP17" i="23" l="1"/>
  <c r="AR16" i="23"/>
  <c r="AR17" i="23" l="1"/>
  <c r="AP18" i="23"/>
  <c r="AR18" i="23" l="1"/>
  <c r="AR19" i="23" s="1"/>
  <c r="AS7" i="23"/>
  <c r="AR20" i="23" l="1"/>
  <c r="AP22" i="23"/>
  <c r="AU7" i="23"/>
  <c r="AS8" i="23"/>
  <c r="AU8" i="23" l="1"/>
  <c r="AS9" i="23"/>
  <c r="AS10" i="23" l="1"/>
  <c r="AU9" i="23"/>
  <c r="E18" i="11"/>
  <c r="F17" i="11"/>
  <c r="E17" i="11"/>
  <c r="F16" i="11"/>
  <c r="E16" i="11"/>
  <c r="F15" i="11"/>
  <c r="E15" i="11"/>
  <c r="F14" i="11"/>
  <c r="E14" i="11"/>
  <c r="F13" i="11"/>
  <c r="E13" i="11"/>
  <c r="C11" i="11"/>
  <c r="E11" i="11" s="1"/>
  <c r="F10" i="11"/>
  <c r="E10" i="11"/>
  <c r="F9" i="11"/>
  <c r="E9" i="11"/>
  <c r="C8" i="11"/>
  <c r="F7" i="11"/>
  <c r="E7" i="11"/>
  <c r="F6" i="11"/>
  <c r="D25" i="10"/>
  <c r="E25" i="10" s="1"/>
  <c r="F25" i="10" s="1"/>
  <c r="G25" i="10" s="1"/>
  <c r="H25" i="10" s="1"/>
  <c r="I25" i="10" s="1"/>
  <c r="J25" i="10" s="1"/>
  <c r="K25" i="10" s="1"/>
  <c r="Q25" i="10" s="1"/>
  <c r="R25" i="10" s="1"/>
  <c r="S25" i="10" s="1"/>
  <c r="D11" i="10"/>
  <c r="E11" i="10" s="1"/>
  <c r="F11" i="10" s="1"/>
  <c r="G11" i="10" s="1"/>
  <c r="H11" i="10" s="1"/>
  <c r="I11" i="10" s="1"/>
  <c r="J11" i="10" s="1"/>
  <c r="K11" i="10" s="1"/>
  <c r="Q11" i="10" s="1"/>
  <c r="R11" i="10" s="1"/>
  <c r="S11" i="10" s="1"/>
  <c r="C12" i="11" l="1"/>
  <c r="F11" i="11"/>
  <c r="F8" i="11"/>
  <c r="C6" i="10"/>
  <c r="AS11" i="23"/>
  <c r="AU10" i="23"/>
  <c r="F18" i="11"/>
  <c r="F12" i="11"/>
  <c r="C19" i="11"/>
  <c r="D21" i="11" s="1"/>
  <c r="E12" i="11"/>
  <c r="E8" i="11"/>
  <c r="AS12" i="23" l="1"/>
  <c r="AU11" i="23"/>
  <c r="D12" i="11"/>
  <c r="F19" i="11"/>
  <c r="D17" i="11"/>
  <c r="D13" i="11"/>
  <c r="D6" i="11"/>
  <c r="E19" i="11"/>
  <c r="D14" i="11"/>
  <c r="D7" i="11"/>
  <c r="D15" i="11"/>
  <c r="D9" i="11"/>
  <c r="D16" i="11"/>
  <c r="D11" i="11"/>
  <c r="D10" i="11"/>
  <c r="D8" i="11"/>
  <c r="AS13" i="23" l="1"/>
  <c r="AU12" i="23"/>
  <c r="AS14" i="23" l="1"/>
  <c r="AU13" i="23"/>
  <c r="AS15" i="23" l="1"/>
  <c r="AU14" i="23"/>
  <c r="AS16" i="23" l="1"/>
  <c r="AU15" i="23"/>
  <c r="AS17" i="23" l="1"/>
  <c r="AU16" i="23"/>
  <c r="AS18" i="23" l="1"/>
  <c r="AU17" i="23"/>
  <c r="AV7" i="23" l="1"/>
  <c r="AU18" i="23"/>
  <c r="AU19" i="23" s="1"/>
  <c r="AU20" i="23" l="1"/>
  <c r="AV8" i="23"/>
  <c r="AX7" i="23"/>
  <c r="AS22" i="23"/>
  <c r="AV9" i="23" l="1"/>
  <c r="AX8" i="23"/>
  <c r="AV10" i="23" l="1"/>
  <c r="AX9" i="23"/>
  <c r="AV11" i="23" l="1"/>
  <c r="AX10" i="23"/>
  <c r="AV12" i="23" l="1"/>
  <c r="AX11" i="23"/>
  <c r="AV13" i="23" l="1"/>
  <c r="AX12" i="23"/>
  <c r="AV14" i="23" l="1"/>
  <c r="AX13" i="23"/>
  <c r="AV15" i="23" l="1"/>
  <c r="AX14" i="23"/>
  <c r="AV16" i="23" l="1"/>
  <c r="AX16" i="23" s="1"/>
  <c r="AX15" i="23"/>
  <c r="AX19" i="23" l="1"/>
  <c r="AX20" i="23" l="1"/>
  <c r="D40" i="8" l="1"/>
  <c r="D38" i="8"/>
  <c r="C20" i="9" l="1"/>
  <c r="E40" i="8"/>
  <c r="E52" i="8" l="1"/>
  <c r="D20" i="9"/>
  <c r="G21" i="6" l="1"/>
  <c r="G11" i="22" s="1"/>
  <c r="Y40" i="5"/>
  <c r="Z40" i="5"/>
  <c r="AA40" i="5"/>
  <c r="H21" i="6" l="1"/>
  <c r="H11" i="22" s="1"/>
  <c r="I21" i="6" l="1"/>
  <c r="I11" i="22" s="1"/>
  <c r="J21" i="6" l="1"/>
  <c r="J11" i="22" s="1"/>
  <c r="K21" i="6" l="1"/>
  <c r="K11" i="22" s="1"/>
  <c r="E14" i="4"/>
  <c r="E15" i="4" l="1"/>
  <c r="G14" i="4"/>
  <c r="L21" i="6"/>
  <c r="L11" i="22" s="1"/>
  <c r="G10" i="4"/>
  <c r="G13" i="4"/>
  <c r="G9" i="4"/>
  <c r="G12" i="4"/>
  <c r="G11" i="4"/>
  <c r="M13" i="6"/>
  <c r="N13" i="6"/>
  <c r="V40" i="5"/>
  <c r="W40" i="5"/>
  <c r="X40" i="5"/>
  <c r="N40" i="5"/>
  <c r="O40" i="5"/>
  <c r="P40" i="5"/>
  <c r="Q40" i="5"/>
  <c r="R40" i="5"/>
  <c r="S40" i="5"/>
  <c r="T40" i="5"/>
  <c r="U40" i="5"/>
  <c r="M40" i="5"/>
  <c r="V28" i="5"/>
  <c r="D20" i="5"/>
  <c r="J17" i="5"/>
  <c r="I17" i="5"/>
  <c r="H17" i="5"/>
  <c r="G17" i="5"/>
  <c r="D13" i="5"/>
  <c r="J11" i="5"/>
  <c r="I11" i="5"/>
  <c r="H11" i="5"/>
  <c r="G11" i="5"/>
  <c r="C113" i="6" l="1"/>
  <c r="H13" i="6"/>
  <c r="H20" i="6" s="1"/>
  <c r="H10" i="22" s="1"/>
  <c r="L13" i="6"/>
  <c r="L20" i="6" s="1"/>
  <c r="K13" i="6"/>
  <c r="K18" i="6" s="1"/>
  <c r="K32" i="8" s="1"/>
  <c r="G13" i="6"/>
  <c r="G20" i="6" s="1"/>
  <c r="G10" i="22" s="1"/>
  <c r="J13" i="6"/>
  <c r="J20" i="6" s="1"/>
  <c r="J10" i="22" s="1"/>
  <c r="I13" i="6"/>
  <c r="I20" i="6" s="1"/>
  <c r="I10" i="22" s="1"/>
  <c r="N18" i="6"/>
  <c r="N32" i="8" s="1"/>
  <c r="M18" i="6"/>
  <c r="M32" i="8" s="1"/>
  <c r="N20" i="6"/>
  <c r="N10" i="22" s="1"/>
  <c r="M20" i="6"/>
  <c r="M10" i="22" s="1"/>
  <c r="K20" i="6"/>
  <c r="K10" i="22" s="1"/>
  <c r="E16" i="4"/>
  <c r="G16" i="4" s="1"/>
  <c r="G15" i="4"/>
  <c r="J19" i="5"/>
  <c r="J18" i="5" s="1"/>
  <c r="D21" i="5"/>
  <c r="D25" i="5" s="1"/>
  <c r="H19" i="5"/>
  <c r="H18" i="5" s="1"/>
  <c r="K17" i="5"/>
  <c r="G19" i="5"/>
  <c r="G20" i="5" s="1"/>
  <c r="J12" i="5"/>
  <c r="I19" i="5"/>
  <c r="I12" i="5" s="1"/>
  <c r="K11" i="5"/>
  <c r="L18" i="6" l="1"/>
  <c r="L32" i="8" s="1"/>
  <c r="H18" i="6"/>
  <c r="H32" i="8" s="1"/>
  <c r="J18" i="6"/>
  <c r="J32" i="8" s="1"/>
  <c r="I18" i="6"/>
  <c r="I32" i="8" s="1"/>
  <c r="E113" i="6"/>
  <c r="G113" i="6" s="1"/>
  <c r="G18" i="6"/>
  <c r="G32" i="8" s="1"/>
  <c r="H10" i="27"/>
  <c r="H13" i="27" s="1"/>
  <c r="H16" i="27" s="1"/>
  <c r="I10" i="27"/>
  <c r="I13" i="27" s="1"/>
  <c r="I16" i="27" s="1"/>
  <c r="G25" i="6"/>
  <c r="G33" i="8" s="1"/>
  <c r="L10" i="22"/>
  <c r="L25" i="6"/>
  <c r="L33" i="8" s="1"/>
  <c r="F18" i="6"/>
  <c r="F32" i="8" s="1"/>
  <c r="J25" i="6"/>
  <c r="J33" i="8" s="1"/>
  <c r="H25" i="6"/>
  <c r="H33" i="8" s="1"/>
  <c r="I25" i="6"/>
  <c r="I33" i="8" s="1"/>
  <c r="K25" i="6"/>
  <c r="K33" i="8" s="1"/>
  <c r="E17" i="4"/>
  <c r="K10" i="27"/>
  <c r="K13" i="27" s="1"/>
  <c r="K16" i="27" s="1"/>
  <c r="M21" i="6"/>
  <c r="R8" i="5"/>
  <c r="R49" i="5" s="1"/>
  <c r="R50" i="5" s="1"/>
  <c r="K28" i="6"/>
  <c r="K29" i="6"/>
  <c r="N21" i="6"/>
  <c r="N11" i="22" s="1"/>
  <c r="H20" i="5"/>
  <c r="I20" i="5" s="1"/>
  <c r="J20" i="5" s="1"/>
  <c r="H12" i="5"/>
  <c r="K4" i="7"/>
  <c r="I18" i="5"/>
  <c r="G12" i="5"/>
  <c r="G18" i="5"/>
  <c r="L4" i="7" l="1"/>
  <c r="L27" i="7" s="1"/>
  <c r="L29" i="6"/>
  <c r="L23" i="22" s="1"/>
  <c r="L28" i="6"/>
  <c r="L17" i="22" s="1"/>
  <c r="S8" i="5"/>
  <c r="S47" i="5" s="1"/>
  <c r="G4" i="7"/>
  <c r="G6" i="22" s="1"/>
  <c r="H29" i="6"/>
  <c r="H23" i="22" s="1"/>
  <c r="O8" i="5"/>
  <c r="O47" i="5" s="1"/>
  <c r="H4" i="7"/>
  <c r="H6" i="22" s="1"/>
  <c r="P8" i="5"/>
  <c r="P53" i="5" s="1"/>
  <c r="J4" i="7"/>
  <c r="J6" i="22" s="1"/>
  <c r="J10" i="27"/>
  <c r="J13" i="27" s="1"/>
  <c r="J16" i="27" s="1"/>
  <c r="G10" i="27"/>
  <c r="G13" i="27" s="1"/>
  <c r="G16" i="27" s="1"/>
  <c r="I29" i="6"/>
  <c r="G38" i="27" s="1"/>
  <c r="Q8" i="5"/>
  <c r="Q53" i="5" s="1"/>
  <c r="J29" i="6"/>
  <c r="J23" i="22" s="1"/>
  <c r="I28" i="6"/>
  <c r="I17" i="22" s="1"/>
  <c r="I4" i="7"/>
  <c r="J28" i="6"/>
  <c r="J17" i="22" s="1"/>
  <c r="H28" i="6"/>
  <c r="F27" i="27" s="1"/>
  <c r="F10" i="27"/>
  <c r="F13" i="27" s="1"/>
  <c r="F16" i="27" s="1"/>
  <c r="G5" i="7"/>
  <c r="N9" i="5"/>
  <c r="K23" i="22"/>
  <c r="I38" i="27"/>
  <c r="G38" i="8"/>
  <c r="O9" i="5"/>
  <c r="H38" i="8"/>
  <c r="G28" i="6"/>
  <c r="E27" i="27" s="1"/>
  <c r="I18" i="27"/>
  <c r="I22" i="27" s="1"/>
  <c r="K38" i="8"/>
  <c r="H18" i="27"/>
  <c r="H22" i="27" s="1"/>
  <c r="J38" i="8"/>
  <c r="J18" i="27"/>
  <c r="J22" i="27" s="1"/>
  <c r="L38" i="8"/>
  <c r="L5" i="7"/>
  <c r="G18" i="27"/>
  <c r="G22" i="27" s="1"/>
  <c r="I38" i="8"/>
  <c r="E18" i="27"/>
  <c r="E22" i="27" s="1"/>
  <c r="E10" i="27"/>
  <c r="E13" i="27" s="1"/>
  <c r="E16" i="27" s="1"/>
  <c r="L26" i="6"/>
  <c r="N8" i="5"/>
  <c r="N53" i="5" s="1"/>
  <c r="G29" i="6"/>
  <c r="G26" i="6"/>
  <c r="D10" i="27"/>
  <c r="D13" i="27" s="1"/>
  <c r="D16" i="27" s="1"/>
  <c r="F15" i="22"/>
  <c r="F16" i="22"/>
  <c r="S9" i="5"/>
  <c r="M8" i="5"/>
  <c r="M49" i="5" s="1"/>
  <c r="M50" i="5" s="1"/>
  <c r="M16" i="5"/>
  <c r="Q9" i="5"/>
  <c r="J5" i="7"/>
  <c r="F4" i="7"/>
  <c r="J26" i="6"/>
  <c r="H5" i="7"/>
  <c r="F25" i="6"/>
  <c r="F33" i="8" s="1"/>
  <c r="H26" i="6"/>
  <c r="R9" i="5"/>
  <c r="K26" i="6"/>
  <c r="K5" i="7"/>
  <c r="F18" i="27"/>
  <c r="F22" i="27" s="1"/>
  <c r="I5" i="7"/>
  <c r="I26" i="6"/>
  <c r="P9" i="5"/>
  <c r="J26" i="27"/>
  <c r="H26" i="27"/>
  <c r="E26" i="27"/>
  <c r="I26" i="27"/>
  <c r="F26" i="27"/>
  <c r="G26" i="27"/>
  <c r="K17" i="22"/>
  <c r="I27" i="27"/>
  <c r="N16" i="5"/>
  <c r="N25" i="5" s="1"/>
  <c r="T8" i="5"/>
  <c r="T49" i="5" s="1"/>
  <c r="T50" i="5" s="1"/>
  <c r="U32" i="8"/>
  <c r="M25" i="6"/>
  <c r="M33" i="8" s="1"/>
  <c r="M11" i="22"/>
  <c r="K6" i="22"/>
  <c r="E18" i="4"/>
  <c r="G17" i="4"/>
  <c r="R47" i="5"/>
  <c r="M4" i="7"/>
  <c r="M29" i="6"/>
  <c r="M28" i="6"/>
  <c r="R53" i="5"/>
  <c r="O16" i="5"/>
  <c r="O25" i="5" s="1"/>
  <c r="N25" i="6"/>
  <c r="N33" i="8" s="1"/>
  <c r="L10" i="27"/>
  <c r="L13" i="27" s="1"/>
  <c r="L16" i="27" s="1"/>
  <c r="S16" i="5"/>
  <c r="S25" i="5" s="1"/>
  <c r="R16" i="5"/>
  <c r="R25" i="5" s="1"/>
  <c r="P16" i="5"/>
  <c r="P25" i="5" s="1"/>
  <c r="Q16" i="5"/>
  <c r="Q25" i="5" s="1"/>
  <c r="M27" i="7" l="1"/>
  <c r="L6" i="22"/>
  <c r="G27" i="7"/>
  <c r="J27" i="27"/>
  <c r="S53" i="5"/>
  <c r="S49" i="5"/>
  <c r="S50" i="5" s="1"/>
  <c r="J38" i="27"/>
  <c r="K27" i="7"/>
  <c r="F38" i="27"/>
  <c r="P49" i="5"/>
  <c r="P50" i="5" s="1"/>
  <c r="O49" i="5"/>
  <c r="O50" i="5" s="1"/>
  <c r="G6" i="7"/>
  <c r="I27" i="7"/>
  <c r="H27" i="7"/>
  <c r="O53" i="5"/>
  <c r="I6" i="22"/>
  <c r="I23" i="22"/>
  <c r="P47" i="5"/>
  <c r="J27" i="7"/>
  <c r="Q47" i="5"/>
  <c r="H17" i="22"/>
  <c r="H38" i="27"/>
  <c r="Q49" i="5"/>
  <c r="Q50" i="5" s="1"/>
  <c r="H27" i="27"/>
  <c r="G27" i="27"/>
  <c r="G17" i="22"/>
  <c r="D27" i="27"/>
  <c r="D38" i="27"/>
  <c r="G23" i="22"/>
  <c r="E38" i="27"/>
  <c r="M23" i="22"/>
  <c r="K38" i="27"/>
  <c r="N47" i="5"/>
  <c r="K6" i="7"/>
  <c r="J6" i="7"/>
  <c r="M38" i="8"/>
  <c r="H6" i="7"/>
  <c r="N49" i="5"/>
  <c r="N50" i="5" s="1"/>
  <c r="I6" i="7"/>
  <c r="L6" i="7"/>
  <c r="H20" i="9"/>
  <c r="J20" i="9"/>
  <c r="L18" i="27"/>
  <c r="L22" i="27" s="1"/>
  <c r="N38" i="8"/>
  <c r="F5" i="7"/>
  <c r="F38" i="8"/>
  <c r="G20" i="9"/>
  <c r="K20" i="9"/>
  <c r="I20" i="9"/>
  <c r="D26" i="27"/>
  <c r="M53" i="5"/>
  <c r="M47" i="5"/>
  <c r="F6" i="22"/>
  <c r="F26" i="6"/>
  <c r="D18" i="27"/>
  <c r="D22" i="27" s="1"/>
  <c r="M9" i="5"/>
  <c r="M26" i="6"/>
  <c r="K18" i="27"/>
  <c r="K22" i="27" s="1"/>
  <c r="K26" i="27"/>
  <c r="M17" i="22"/>
  <c r="K27" i="27"/>
  <c r="T47" i="5"/>
  <c r="T53" i="5"/>
  <c r="T9" i="5"/>
  <c r="M5" i="7"/>
  <c r="E19" i="4"/>
  <c r="I8" i="4" s="1"/>
  <c r="K8" i="4" s="1"/>
  <c r="G18" i="4"/>
  <c r="M6" i="22"/>
  <c r="T16" i="5"/>
  <c r="T25" i="5" s="1"/>
  <c r="N28" i="6"/>
  <c r="N29" i="6"/>
  <c r="U8" i="5"/>
  <c r="N26" i="6"/>
  <c r="N4" i="7"/>
  <c r="N27" i="7" s="1"/>
  <c r="U9" i="5"/>
  <c r="N5" i="7"/>
  <c r="M25" i="5"/>
  <c r="L20" i="9" l="1"/>
  <c r="N23" i="22"/>
  <c r="L38" i="27"/>
  <c r="F6" i="7"/>
  <c r="M20" i="9"/>
  <c r="M6" i="7"/>
  <c r="U33" i="8"/>
  <c r="L26" i="27"/>
  <c r="N17" i="22"/>
  <c r="L27" i="27"/>
  <c r="G19" i="4"/>
  <c r="G36" i="6"/>
  <c r="N6" i="22"/>
  <c r="N6" i="7"/>
  <c r="H36" i="6"/>
  <c r="V9" i="5"/>
  <c r="U47" i="5"/>
  <c r="U53" i="5"/>
  <c r="U49" i="5"/>
  <c r="U50" i="5" s="1"/>
  <c r="U16" i="5"/>
  <c r="U25" i="5" s="1"/>
  <c r="V8" i="5"/>
  <c r="I36" i="6"/>
  <c r="E20" i="9" l="1"/>
  <c r="F20" i="9"/>
  <c r="M36" i="6"/>
  <c r="N12" i="5"/>
  <c r="N30" i="5" s="1"/>
  <c r="I9" i="4"/>
  <c r="K9" i="4" s="1"/>
  <c r="J36" i="6"/>
  <c r="K36" i="6"/>
  <c r="R12" i="5" s="1"/>
  <c r="R30" i="5" s="1"/>
  <c r="P12" i="5"/>
  <c r="L36" i="6"/>
  <c r="O12" i="5"/>
  <c r="W9" i="5"/>
  <c r="V53" i="5"/>
  <c r="V47" i="5"/>
  <c r="V49" i="5"/>
  <c r="V50" i="5" s="1"/>
  <c r="W8" i="5"/>
  <c r="V16" i="5"/>
  <c r="V25" i="5" s="1"/>
  <c r="T12" i="5" l="1"/>
  <c r="Q12" i="5"/>
  <c r="I10" i="4"/>
  <c r="K10" i="4" s="1"/>
  <c r="P30" i="5"/>
  <c r="O30" i="5"/>
  <c r="S12" i="5"/>
  <c r="W49" i="5"/>
  <c r="W50" i="5" s="1"/>
  <c r="W53" i="5"/>
  <c r="W47" i="5"/>
  <c r="W16" i="5"/>
  <c r="W25" i="5" s="1"/>
  <c r="X8" i="5"/>
  <c r="V10" i="5"/>
  <c r="X9" i="5"/>
  <c r="M12" i="5" l="1"/>
  <c r="Q30" i="5"/>
  <c r="T30" i="5"/>
  <c r="I11" i="4"/>
  <c r="K11" i="4" s="1"/>
  <c r="N36" i="6"/>
  <c r="S30" i="5"/>
  <c r="W10" i="5"/>
  <c r="V11" i="5"/>
  <c r="Y9" i="5"/>
  <c r="X47" i="5"/>
  <c r="Y8" i="5"/>
  <c r="X53" i="5"/>
  <c r="X16" i="5"/>
  <c r="X25" i="5" s="1"/>
  <c r="X49" i="5"/>
  <c r="X50" i="5" s="1"/>
  <c r="V12" i="5" l="1"/>
  <c r="V13" i="5" s="1"/>
  <c r="U12" i="5"/>
  <c r="I12" i="4"/>
  <c r="K12" i="4" s="1"/>
  <c r="Z9" i="5"/>
  <c r="Z8" i="5"/>
  <c r="Y16" i="5"/>
  <c r="Y25" i="5" s="1"/>
  <c r="Y49" i="5"/>
  <c r="Y50" i="5" s="1"/>
  <c r="Y47" i="5"/>
  <c r="Y53" i="5"/>
  <c r="T33" i="8"/>
  <c r="T32" i="8"/>
  <c r="V48" i="5"/>
  <c r="V51" i="5" s="1"/>
  <c r="W11" i="5"/>
  <c r="X10" i="5"/>
  <c r="V30" i="5" l="1"/>
  <c r="U30" i="5"/>
  <c r="I13" i="4"/>
  <c r="K13" i="4" s="1"/>
  <c r="Y10" i="5"/>
  <c r="X11" i="5"/>
  <c r="X48" i="5" s="1"/>
  <c r="X51" i="5" s="1"/>
  <c r="X12" i="5" s="1"/>
  <c r="AA9" i="5"/>
  <c r="W48" i="5"/>
  <c r="W51" i="5" s="1"/>
  <c r="W12" i="5" s="1"/>
  <c r="W13" i="5" s="1"/>
  <c r="T38" i="8"/>
  <c r="T39" i="8"/>
  <c r="Z53" i="5"/>
  <c r="Z16" i="5"/>
  <c r="Z25" i="5" s="1"/>
  <c r="Z49" i="5"/>
  <c r="Z50" i="5" s="1"/>
  <c r="Z47" i="5"/>
  <c r="AA8" i="5"/>
  <c r="I14" i="4" l="1"/>
  <c r="K14" i="4" s="1"/>
  <c r="AA47" i="5"/>
  <c r="AA16" i="5"/>
  <c r="AA25" i="5" s="1"/>
  <c r="AA49" i="5"/>
  <c r="AA50" i="5" s="1"/>
  <c r="AA53" i="5"/>
  <c r="W30" i="5"/>
  <c r="X13" i="5"/>
  <c r="X30" i="5"/>
  <c r="Z10" i="5"/>
  <c r="Y11" i="5"/>
  <c r="Y48" i="5" s="1"/>
  <c r="Y51" i="5" s="1"/>
  <c r="Y12" i="5" s="1"/>
  <c r="U11" i="3"/>
  <c r="U10" i="3"/>
  <c r="T12" i="3"/>
  <c r="T13" i="3"/>
  <c r="T11" i="3"/>
  <c r="T10" i="3"/>
  <c r="S12" i="3"/>
  <c r="S13" i="3"/>
  <c r="S10" i="3"/>
  <c r="S11" i="3"/>
  <c r="U12" i="3"/>
  <c r="U13" i="3"/>
  <c r="R12" i="3"/>
  <c r="R13" i="3"/>
  <c r="R11" i="3"/>
  <c r="R14" i="3" l="1"/>
  <c r="U14" i="3"/>
  <c r="T14" i="3"/>
  <c r="S14" i="3"/>
  <c r="I15" i="4"/>
  <c r="K15" i="4" s="1"/>
  <c r="AA10" i="5"/>
  <c r="Z11" i="5"/>
  <c r="Z48" i="5" s="1"/>
  <c r="Z51" i="5" s="1"/>
  <c r="Z12" i="5" s="1"/>
  <c r="Y13" i="5"/>
  <c r="Y30" i="5"/>
  <c r="V14" i="3"/>
  <c r="I16" i="4" l="1"/>
  <c r="K16" i="4" s="1"/>
  <c r="Z13" i="5"/>
  <c r="Z30" i="5"/>
  <c r="AA11" i="5"/>
  <c r="G8" i="4"/>
  <c r="G20" i="4" s="1"/>
  <c r="I17" i="4" l="1"/>
  <c r="K17" i="4" s="1"/>
  <c r="AA48" i="5"/>
  <c r="AA51" i="5" s="1"/>
  <c r="AA12" i="5" s="1"/>
  <c r="AA13" i="5" s="1"/>
  <c r="G21" i="4"/>
  <c r="F20" i="4"/>
  <c r="C22" i="9" s="1"/>
  <c r="T19" i="8" l="1"/>
  <c r="T40" i="8" s="1"/>
  <c r="I18" i="4"/>
  <c r="K18" i="4" s="1"/>
  <c r="AA30" i="5"/>
  <c r="I19" i="4" l="1"/>
  <c r="K19" i="4" s="1"/>
  <c r="K20" i="4" s="1"/>
  <c r="T42" i="8"/>
  <c r="T52" i="8"/>
  <c r="M8" i="4" l="1"/>
  <c r="O8" i="4" s="1"/>
  <c r="M9" i="4" l="1"/>
  <c r="O9" i="4" s="1"/>
  <c r="M10" i="4" l="1"/>
  <c r="O10" i="4" s="1"/>
  <c r="J20" i="4"/>
  <c r="D22" i="9" s="1"/>
  <c r="E25" i="4" l="1"/>
  <c r="E24" i="4"/>
  <c r="E28" i="4" s="1"/>
  <c r="C22" i="11"/>
  <c r="K21" i="4"/>
  <c r="G22" i="4" l="1"/>
  <c r="G75" i="18"/>
  <c r="M11" i="4"/>
  <c r="O11" i="4" l="1"/>
  <c r="M12" i="4"/>
  <c r="M13" i="4" l="1"/>
  <c r="O12" i="4"/>
  <c r="AY24" i="4"/>
  <c r="BB24" i="4"/>
  <c r="N20" i="4"/>
  <c r="E18" i="8" s="1"/>
  <c r="E14" i="8" l="1"/>
  <c r="E44" i="8" s="1"/>
  <c r="E41" i="8"/>
  <c r="M14" i="4"/>
  <c r="O13" i="4"/>
  <c r="E35" i="4" s="1"/>
  <c r="N21" i="4"/>
  <c r="E22" i="9"/>
  <c r="C11" i="19" s="1"/>
  <c r="E47" i="8" l="1"/>
  <c r="F75" i="18"/>
  <c r="F77" i="18" s="1"/>
  <c r="M15" i="4"/>
  <c r="O14" i="4"/>
  <c r="D18" i="17" l="1"/>
  <c r="D6" i="10" s="1"/>
  <c r="M16" i="4"/>
  <c r="O15" i="4"/>
  <c r="D27" i="17" l="1"/>
  <c r="X30" i="17" s="1"/>
  <c r="D3" i="10"/>
  <c r="D4" i="10"/>
  <c r="D5" i="10"/>
  <c r="M17" i="4"/>
  <c r="O16" i="4"/>
  <c r="Y27" i="17" l="1"/>
  <c r="D36" i="17"/>
  <c r="Y38" i="17" s="1"/>
  <c r="X25" i="17"/>
  <c r="X26" i="17" s="1"/>
  <c r="AA27" i="17"/>
  <c r="M18" i="4"/>
  <c r="O17" i="4"/>
  <c r="D35" i="17" l="1"/>
  <c r="Y37" i="17" s="1"/>
  <c r="Y35" i="17"/>
  <c r="M26" i="21"/>
  <c r="M27" i="21" s="1"/>
  <c r="O25" i="21" s="1"/>
  <c r="E11" i="9"/>
  <c r="F16" i="8" s="1"/>
  <c r="G16" i="8" s="1"/>
  <c r="H16" i="8" s="1"/>
  <c r="I16" i="8" s="1"/>
  <c r="J16" i="8" s="1"/>
  <c r="K16" i="8" s="1"/>
  <c r="L16" i="8" s="1"/>
  <c r="M16" i="8" s="1"/>
  <c r="N16" i="8" s="1"/>
  <c r="D9" i="9"/>
  <c r="M19" i="4"/>
  <c r="O18" i="4"/>
  <c r="O26" i="21" l="1"/>
  <c r="O27" i="21" s="1"/>
  <c r="O29" i="21" s="1"/>
  <c r="E12" i="21" s="1"/>
  <c r="O19" i="4"/>
  <c r="P8" i="4"/>
  <c r="I16" i="21" l="1"/>
  <c r="J16" i="21"/>
  <c r="H16" i="21"/>
  <c r="M16" i="21"/>
  <c r="N16" i="21"/>
  <c r="P16" i="21"/>
  <c r="K16" i="21"/>
  <c r="O16" i="21"/>
  <c r="F16" i="21"/>
  <c r="L16" i="21"/>
  <c r="G16" i="21"/>
  <c r="O20" i="4"/>
  <c r="M19" i="5" s="1"/>
  <c r="M39" i="5" s="1"/>
  <c r="M41" i="5" s="1"/>
  <c r="F13" i="7"/>
  <c r="R8" i="4"/>
  <c r="S8" i="4"/>
  <c r="P9" i="4"/>
  <c r="R9" i="4" s="1"/>
  <c r="O21" i="4" l="1"/>
  <c r="D41" i="27"/>
  <c r="F26" i="22"/>
  <c r="F15" i="7"/>
  <c r="C9" i="19"/>
  <c r="C12" i="19" s="1"/>
  <c r="S9" i="4"/>
  <c r="P10" i="4"/>
  <c r="R10" i="4" s="1"/>
  <c r="D43" i="27"/>
  <c r="S10" i="4" l="1"/>
  <c r="P11" i="4"/>
  <c r="R11" i="4" s="1"/>
  <c r="Q20" i="4"/>
  <c r="M23" i="4" l="1"/>
  <c r="M24" i="4"/>
  <c r="S11" i="4"/>
  <c r="P12" i="4"/>
  <c r="R12" i="4" s="1"/>
  <c r="F18" i="8"/>
  <c r="F14" i="8"/>
  <c r="Q21" i="4"/>
  <c r="F22" i="9"/>
  <c r="C44" i="19" l="1"/>
  <c r="F44" i="8"/>
  <c r="C47" i="19"/>
  <c r="C49" i="19" s="1"/>
  <c r="S12" i="4"/>
  <c r="P13" i="4"/>
  <c r="R13" i="4" s="1"/>
  <c r="U18" i="8"/>
  <c r="D11" i="19"/>
  <c r="U14" i="8"/>
  <c r="T43" i="8" s="1"/>
  <c r="S13" i="4" l="1"/>
  <c r="P14" i="4"/>
  <c r="R14" i="4" s="1"/>
  <c r="S14" i="4" l="1"/>
  <c r="P15" i="4"/>
  <c r="R15" i="4" s="1"/>
  <c r="S15" i="4" l="1"/>
  <c r="P16" i="4"/>
  <c r="R16" i="4" s="1"/>
  <c r="S16" i="4" l="1"/>
  <c r="P17" i="4"/>
  <c r="R17" i="4" s="1"/>
  <c r="S17" i="4" l="1"/>
  <c r="P18" i="4"/>
  <c r="R18" i="4" s="1"/>
  <c r="S18" i="4" l="1"/>
  <c r="P19" i="4"/>
  <c r="R19" i="4" s="1"/>
  <c r="S19" i="4" l="1"/>
  <c r="S20" i="4" s="1"/>
  <c r="G13" i="7" s="1"/>
  <c r="T8" i="4"/>
  <c r="V8" i="4" s="1"/>
  <c r="D9" i="19" l="1"/>
  <c r="D12" i="19" s="1"/>
  <c r="G26" i="22"/>
  <c r="S21" i="4"/>
  <c r="N19" i="5"/>
  <c r="N39" i="5" s="1"/>
  <c r="N41" i="5" s="1"/>
  <c r="W8" i="4"/>
  <c r="T9" i="4"/>
  <c r="V9" i="4" s="1"/>
  <c r="E41" i="27" l="1"/>
  <c r="W9" i="4"/>
  <c r="T10" i="4"/>
  <c r="V10" i="4" s="1"/>
  <c r="W10" i="4" l="1"/>
  <c r="T11" i="4"/>
  <c r="V11" i="4" s="1"/>
  <c r="E43" i="27"/>
  <c r="W11" i="4" l="1"/>
  <c r="T12" i="4"/>
  <c r="V12" i="4" s="1"/>
  <c r="W12" i="4" l="1"/>
  <c r="T13" i="4"/>
  <c r="V13" i="4" s="1"/>
  <c r="W13" i="4" l="1"/>
  <c r="T14" i="4"/>
  <c r="V14" i="4" s="1"/>
  <c r="U20" i="4"/>
  <c r="P24" i="4" s="1"/>
  <c r="W14" i="4" l="1"/>
  <c r="T15" i="4"/>
  <c r="V15" i="4" s="1"/>
  <c r="U21" i="4"/>
  <c r="G22" i="9"/>
  <c r="G18" i="8"/>
  <c r="D44" i="19" s="1"/>
  <c r="P23" i="4"/>
  <c r="G14" i="8" s="1"/>
  <c r="D47" i="19" l="1"/>
  <c r="G44" i="8"/>
  <c r="D49" i="19"/>
  <c r="W15" i="4"/>
  <c r="T16" i="4"/>
  <c r="V16" i="4" s="1"/>
  <c r="E11" i="19"/>
  <c r="W16" i="4" l="1"/>
  <c r="T17" i="4"/>
  <c r="V17" i="4" s="1"/>
  <c r="W17" i="4" l="1"/>
  <c r="T18" i="4"/>
  <c r="V18" i="4" s="1"/>
  <c r="W18" i="4" l="1"/>
  <c r="T19" i="4"/>
  <c r="V19" i="4" s="1"/>
  <c r="W19" i="4" l="1"/>
  <c r="W20" i="4" s="1"/>
  <c r="H13" i="7" s="1"/>
  <c r="X8" i="4"/>
  <c r="Z8" i="4" s="1"/>
  <c r="Y20" i="4"/>
  <c r="E9" i="19" l="1"/>
  <c r="E12" i="19" s="1"/>
  <c r="H26" i="22"/>
  <c r="T23" i="4"/>
  <c r="H14" i="8" s="1"/>
  <c r="T24" i="4"/>
  <c r="H18" i="8" s="1"/>
  <c r="E44" i="19" s="1"/>
  <c r="AA8" i="4"/>
  <c r="X9" i="4"/>
  <c r="Z9" i="4" s="1"/>
  <c r="W21" i="4"/>
  <c r="O19" i="5"/>
  <c r="O39" i="5" s="1"/>
  <c r="O41" i="5" s="1"/>
  <c r="Y21" i="4"/>
  <c r="H22" i="9"/>
  <c r="E47" i="19" l="1"/>
  <c r="E49" i="19" s="1"/>
  <c r="H44" i="8"/>
  <c r="AA9" i="4"/>
  <c r="X10" i="4"/>
  <c r="Z10" i="4" s="1"/>
  <c r="F41" i="27"/>
  <c r="F11" i="19"/>
  <c r="AA10" i="4" l="1"/>
  <c r="X11" i="4"/>
  <c r="Z11" i="4" s="1"/>
  <c r="F43" i="27"/>
  <c r="AA11" i="4" l="1"/>
  <c r="X12" i="4"/>
  <c r="Z12" i="4" s="1"/>
  <c r="AA12" i="4" l="1"/>
  <c r="X13" i="4"/>
  <c r="Z13" i="4" s="1"/>
  <c r="AC20" i="4"/>
  <c r="X24" i="4" s="1"/>
  <c r="AA13" i="4" l="1"/>
  <c r="X14" i="4"/>
  <c r="Z14" i="4" s="1"/>
  <c r="AC21" i="4"/>
  <c r="I18" i="8"/>
  <c r="I22" i="9"/>
  <c r="F44" i="19" l="1"/>
  <c r="AA14" i="4"/>
  <c r="X15" i="4"/>
  <c r="Z15" i="4" s="1"/>
  <c r="G11" i="19"/>
  <c r="AA15" i="4" l="1"/>
  <c r="X16" i="4"/>
  <c r="Z16" i="4" s="1"/>
  <c r="AA16" i="4" l="1"/>
  <c r="X17" i="4"/>
  <c r="Z17" i="4" s="1"/>
  <c r="AA17" i="4" l="1"/>
  <c r="X18" i="4"/>
  <c r="Z18" i="4" s="1"/>
  <c r="AG20" i="4"/>
  <c r="AB24" i="4" s="1"/>
  <c r="AA18" i="4" l="1"/>
  <c r="X19" i="4"/>
  <c r="Z19" i="4" s="1"/>
  <c r="AG21" i="4"/>
  <c r="J18" i="8"/>
  <c r="G44" i="19" s="1"/>
  <c r="J22" i="9"/>
  <c r="AA19" i="4" l="1"/>
  <c r="AA20" i="4" s="1"/>
  <c r="I13" i="7" s="1"/>
  <c r="AB8" i="4"/>
  <c r="H11" i="19"/>
  <c r="F9" i="19" l="1"/>
  <c r="F12" i="19" s="1"/>
  <c r="I26" i="22"/>
  <c r="AD8" i="4"/>
  <c r="X23" i="4"/>
  <c r="I14" i="8" s="1"/>
  <c r="AE8" i="4"/>
  <c r="AB9" i="4"/>
  <c r="AD9" i="4" s="1"/>
  <c r="AA21" i="4"/>
  <c r="P19" i="5"/>
  <c r="P39" i="5" s="1"/>
  <c r="P41" i="5" s="1"/>
  <c r="F47" i="19" l="1"/>
  <c r="F49" i="19" s="1"/>
  <c r="I44" i="8"/>
  <c r="G41" i="27"/>
  <c r="AE9" i="4"/>
  <c r="AB10" i="4"/>
  <c r="AD10" i="4" s="1"/>
  <c r="AE10" i="4" l="1"/>
  <c r="AB11" i="4"/>
  <c r="AD11" i="4" s="1"/>
  <c r="G43" i="27"/>
  <c r="AK20" i="4"/>
  <c r="AF24" i="4" s="1"/>
  <c r="AE11" i="4" l="1"/>
  <c r="AB12" i="4"/>
  <c r="AD12" i="4" s="1"/>
  <c r="AK21" i="4"/>
  <c r="K22" i="9"/>
  <c r="K18" i="8"/>
  <c r="H44" i="19" s="1"/>
  <c r="AE12" i="4" l="1"/>
  <c r="AB13" i="4"/>
  <c r="AD13" i="4" s="1"/>
  <c r="I11" i="19"/>
  <c r="AE13" i="4" l="1"/>
  <c r="AB14" i="4"/>
  <c r="AD14" i="4" s="1"/>
  <c r="AE14" i="4" l="1"/>
  <c r="AB15" i="4"/>
  <c r="AD15" i="4" s="1"/>
  <c r="AE15" i="4" l="1"/>
  <c r="AB16" i="4"/>
  <c r="AD16" i="4" s="1"/>
  <c r="AE16" i="4" l="1"/>
  <c r="AB17" i="4"/>
  <c r="AD17" i="4" s="1"/>
  <c r="AO21" i="4"/>
  <c r="L22" i="9"/>
  <c r="L18" i="8"/>
  <c r="I44" i="19" l="1"/>
  <c r="AE17" i="4"/>
  <c r="AB18" i="4"/>
  <c r="AD18" i="4" s="1"/>
  <c r="J11" i="19"/>
  <c r="AE18" i="4" l="1"/>
  <c r="AB19" i="4"/>
  <c r="AD19" i="4" l="1"/>
  <c r="AE19" i="4"/>
  <c r="AE20" i="4"/>
  <c r="J13" i="7" s="1"/>
  <c r="J26" i="22" s="1"/>
  <c r="AF8" i="4"/>
  <c r="G9" i="19" l="1"/>
  <c r="G12" i="19" s="1"/>
  <c r="AH8" i="4"/>
  <c r="AB23" i="4"/>
  <c r="J14" i="8" s="1"/>
  <c r="AI8" i="4"/>
  <c r="AF9" i="4"/>
  <c r="AH9" i="4" s="1"/>
  <c r="AE21" i="4"/>
  <c r="Q19" i="5"/>
  <c r="Q39" i="5" s="1"/>
  <c r="Q41" i="5" s="1"/>
  <c r="G47" i="19" l="1"/>
  <c r="G49" i="19" s="1"/>
  <c r="J44" i="8"/>
  <c r="H41" i="27"/>
  <c r="AI9" i="4"/>
  <c r="AF10" i="4"/>
  <c r="AH10" i="4" s="1"/>
  <c r="AI10" i="4" l="1"/>
  <c r="AF11" i="4"/>
  <c r="AH11" i="4" s="1"/>
  <c r="H43" i="27"/>
  <c r="AI11" i="4" l="1"/>
  <c r="AF12" i="4"/>
  <c r="AH12" i="4" s="1"/>
  <c r="AI12" i="4" l="1"/>
  <c r="AF13" i="4"/>
  <c r="AH13" i="4" s="1"/>
  <c r="AI13" i="4" l="1"/>
  <c r="AF14" i="4"/>
  <c r="AH14" i="4" s="1"/>
  <c r="AI14" i="4" l="1"/>
  <c r="AF15" i="4"/>
  <c r="AH15" i="4" s="1"/>
  <c r="AI15" i="4" l="1"/>
  <c r="AF16" i="4"/>
  <c r="AH16" i="4" s="1"/>
  <c r="AI16" i="4" l="1"/>
  <c r="AF17" i="4"/>
  <c r="AH17" i="4" s="1"/>
  <c r="AI17" i="4" l="1"/>
  <c r="AF18" i="4"/>
  <c r="AH18" i="4" s="1"/>
  <c r="AI18" i="4" l="1"/>
  <c r="AF19" i="4"/>
  <c r="AH19" i="4" s="1"/>
  <c r="AI19" i="4" l="1"/>
  <c r="AI20" i="4" s="1"/>
  <c r="K13" i="7" s="1"/>
  <c r="K26" i="22" s="1"/>
  <c r="AJ8" i="4"/>
  <c r="H9" i="19" l="1"/>
  <c r="H12" i="19" s="1"/>
  <c r="AL8" i="4"/>
  <c r="AF23" i="4"/>
  <c r="K14" i="8" s="1"/>
  <c r="AM8" i="4"/>
  <c r="AJ9" i="4"/>
  <c r="AL9" i="4" s="1"/>
  <c r="AI21" i="4"/>
  <c r="R19" i="5"/>
  <c r="R39" i="5" s="1"/>
  <c r="R41" i="5" s="1"/>
  <c r="K44" i="8" l="1"/>
  <c r="H47" i="19"/>
  <c r="H49" i="19" s="1"/>
  <c r="I41" i="27"/>
  <c r="AM9" i="4"/>
  <c r="AJ10" i="4"/>
  <c r="AL10" i="4" s="1"/>
  <c r="AM10" i="4" l="1"/>
  <c r="AJ11" i="4"/>
  <c r="AL11" i="4" s="1"/>
  <c r="I43" i="27"/>
  <c r="AM11" i="4" l="1"/>
  <c r="AJ12" i="4"/>
  <c r="AL12" i="4" s="1"/>
  <c r="AM12" i="4" l="1"/>
  <c r="AJ13" i="4"/>
  <c r="AL13" i="4" s="1"/>
  <c r="AM13" i="4" l="1"/>
  <c r="AJ14" i="4"/>
  <c r="AL14" i="4" s="1"/>
  <c r="AM14" i="4" l="1"/>
  <c r="AJ15" i="4"/>
  <c r="AL15" i="4" s="1"/>
  <c r="AM15" i="4" l="1"/>
  <c r="AJ16" i="4"/>
  <c r="AL16" i="4" s="1"/>
  <c r="AM16" i="4" l="1"/>
  <c r="AJ17" i="4"/>
  <c r="AL17" i="4" s="1"/>
  <c r="AM17" i="4" l="1"/>
  <c r="AJ18" i="4"/>
  <c r="AL18" i="4" s="1"/>
  <c r="AM18" i="4" l="1"/>
  <c r="AJ19" i="4"/>
  <c r="AL19" i="4" s="1"/>
  <c r="AM19" i="4" l="1"/>
  <c r="AM20" i="4" s="1"/>
  <c r="L13" i="7" s="1"/>
  <c r="L26" i="22" s="1"/>
  <c r="AN8" i="4"/>
  <c r="AR24" i="4"/>
  <c r="N18" i="8" s="1"/>
  <c r="K44" i="19" s="1"/>
  <c r="I9" i="19" l="1"/>
  <c r="I12" i="19" s="1"/>
  <c r="AP8" i="4"/>
  <c r="AJ23" i="4"/>
  <c r="L14" i="8" s="1"/>
  <c r="AQ8" i="4"/>
  <c r="AN9" i="4"/>
  <c r="AP9" i="4" s="1"/>
  <c r="AM21" i="4"/>
  <c r="S19" i="5"/>
  <c r="S39" i="5" s="1"/>
  <c r="S41" i="5" s="1"/>
  <c r="I47" i="19" l="1"/>
  <c r="I49" i="19" s="1"/>
  <c r="L44" i="8"/>
  <c r="J41" i="27"/>
  <c r="AQ9" i="4"/>
  <c r="AN10" i="4"/>
  <c r="AP10" i="4" s="1"/>
  <c r="AQ10" i="4" l="1"/>
  <c r="AN11" i="4"/>
  <c r="AP11" i="4" s="1"/>
  <c r="J43" i="27"/>
  <c r="AQ11" i="4" l="1"/>
  <c r="AN12" i="4"/>
  <c r="AP12" i="4" s="1"/>
  <c r="AQ12" i="4" l="1"/>
  <c r="AN13" i="4"/>
  <c r="AP13" i="4" s="1"/>
  <c r="AQ13" i="4" l="1"/>
  <c r="AN14" i="4"/>
  <c r="AP14" i="4" s="1"/>
  <c r="AQ14" i="4" l="1"/>
  <c r="AN15" i="4"/>
  <c r="AP15" i="4" s="1"/>
  <c r="AQ15" i="4" l="1"/>
  <c r="AN16" i="4"/>
  <c r="AP16" i="4" s="1"/>
  <c r="AQ16" i="4" l="1"/>
  <c r="AN17" i="4"/>
  <c r="AP17" i="4" s="1"/>
  <c r="AQ17" i="4" l="1"/>
  <c r="AN18" i="4"/>
  <c r="AP18" i="4" s="1"/>
  <c r="AQ18" i="4" l="1"/>
  <c r="AN19" i="4"/>
  <c r="AP19" i="4" s="1"/>
  <c r="AQ19" i="4" l="1"/>
  <c r="AQ20" i="4" s="1"/>
  <c r="M13" i="7" s="1"/>
  <c r="M26" i="22" s="1"/>
  <c r="AR8" i="4"/>
  <c r="AT8" i="4" s="1"/>
  <c r="J9" i="19" l="1"/>
  <c r="J12" i="19" s="1"/>
  <c r="AU8" i="4"/>
  <c r="AR9" i="4"/>
  <c r="AT9" i="4" s="1"/>
  <c r="T19" i="5"/>
  <c r="T39" i="5" s="1"/>
  <c r="T41" i="5" s="1"/>
  <c r="AQ21" i="4"/>
  <c r="K41" i="27" l="1"/>
  <c r="AU9" i="4"/>
  <c r="AR10" i="4"/>
  <c r="AT10" i="4" s="1"/>
  <c r="M30" i="5"/>
  <c r="AU10" i="4" l="1"/>
  <c r="AR11" i="4"/>
  <c r="AT11" i="4" s="1"/>
  <c r="K43" i="27"/>
  <c r="J13" i="19"/>
  <c r="AU11" i="4" l="1"/>
  <c r="AR12" i="4"/>
  <c r="AT12" i="4" s="1"/>
  <c r="AU12" i="4" l="1"/>
  <c r="AR13" i="4"/>
  <c r="AS13" i="4" l="1"/>
  <c r="AS20" i="4" s="1"/>
  <c r="AN24" i="4" s="1"/>
  <c r="AU13" i="4"/>
  <c r="AU20" i="4" s="1"/>
  <c r="N13" i="7" s="1"/>
  <c r="N26" i="22" s="1"/>
  <c r="K9" i="19" l="1"/>
  <c r="K12" i="19" s="1"/>
  <c r="L12" i="19" s="1"/>
  <c r="AT13" i="4"/>
  <c r="M22" i="9"/>
  <c r="K11" i="19" s="1"/>
  <c r="AS21" i="4"/>
  <c r="AZ21" i="4" s="1"/>
  <c r="BC21" i="4" s="1"/>
  <c r="M18" i="8"/>
  <c r="AN23" i="4"/>
  <c r="M14" i="8" s="1"/>
  <c r="J47" i="19" l="1"/>
  <c r="J49" i="19" s="1"/>
  <c r="M44" i="8"/>
  <c r="J44" i="19"/>
  <c r="U44" i="8"/>
  <c r="AR23" i="4"/>
  <c r="N14" i="8" s="1"/>
  <c r="AU21" i="4"/>
  <c r="U19" i="5"/>
  <c r="U39" i="5" s="1"/>
  <c r="U41" i="5" s="1"/>
  <c r="N44" i="8" l="1"/>
  <c r="K47" i="19"/>
  <c r="K49" i="19"/>
  <c r="L41" i="27"/>
  <c r="L43" i="27" l="1"/>
  <c r="Z19" i="5" l="1"/>
  <c r="Z39" i="5" s="1"/>
  <c r="Z41" i="5" s="1"/>
  <c r="AA19" i="5" l="1"/>
  <c r="AA39" i="5" s="1"/>
  <c r="AA41" i="5" s="1"/>
  <c r="V19" i="5" l="1"/>
  <c r="V39" i="5" s="1"/>
  <c r="V41" i="5" s="1"/>
  <c r="C25" i="9" l="1"/>
  <c r="D9" i="8" l="1"/>
  <c r="D11" i="8" s="1"/>
  <c r="D13" i="8" s="1"/>
  <c r="C17" i="9"/>
  <c r="C27" i="9" s="1"/>
  <c r="C28" i="9" s="1"/>
  <c r="D45" i="8" l="1"/>
  <c r="D48" i="8"/>
  <c r="D49" i="8" s="1"/>
  <c r="D26" i="9"/>
  <c r="E8" i="8"/>
  <c r="D46" i="8"/>
  <c r="D20" i="8"/>
  <c r="D35" i="8" l="1"/>
  <c r="D36" i="8" s="1"/>
  <c r="D39" i="8"/>
  <c r="D17" i="9" l="1"/>
  <c r="E9" i="8"/>
  <c r="E11" i="8" s="1"/>
  <c r="E13" i="8" s="1"/>
  <c r="E45" i="8" l="1"/>
  <c r="E48" i="8"/>
  <c r="E49" i="8" s="1"/>
  <c r="AY23" i="4"/>
  <c r="W19" i="5"/>
  <c r="W39" i="5" s="1"/>
  <c r="W41" i="5" s="1"/>
  <c r="BA21" i="4"/>
  <c r="E20" i="8"/>
  <c r="F8" i="8"/>
  <c r="U8" i="8" s="1"/>
  <c r="E46" i="8"/>
  <c r="D13" i="19" l="1"/>
  <c r="E13" i="19"/>
  <c r="F13" i="19"/>
  <c r="G13" i="19"/>
  <c r="H13" i="19"/>
  <c r="I13" i="19"/>
  <c r="K13" i="19"/>
  <c r="X19" i="5" l="1"/>
  <c r="X39" i="5" s="1"/>
  <c r="X41" i="5" s="1"/>
  <c r="BD21" i="4"/>
  <c r="BB23" i="4"/>
  <c r="F25" i="22" l="1"/>
  <c r="G25" i="22" l="1"/>
  <c r="H25" i="22"/>
  <c r="I25" i="22"/>
  <c r="J25" i="22"/>
  <c r="K25" i="22"/>
  <c r="L25" i="22"/>
  <c r="M25" i="22"/>
  <c r="N25" i="22"/>
  <c r="G15" i="7"/>
  <c r="H15" i="7"/>
  <c r="I15" i="7"/>
  <c r="J15" i="7"/>
  <c r="K15" i="7"/>
  <c r="L15" i="7"/>
  <c r="M15" i="7"/>
  <c r="N15" i="7"/>
  <c r="Y19" i="5" l="1"/>
  <c r="Y39" i="5" s="1"/>
  <c r="Y41" i="5" s="1"/>
  <c r="BG21" i="4"/>
  <c r="F23" i="18"/>
  <c r="F5" i="10"/>
  <c r="C47" i="10" s="1"/>
  <c r="F84" i="18" l="1"/>
  <c r="F86" i="18" s="1"/>
  <c r="F89" i="18" s="1"/>
  <c r="C48" i="10"/>
  <c r="C49" i="10" s="1"/>
  <c r="D47" i="10" s="1"/>
  <c r="C16" i="10"/>
  <c r="F25" i="8"/>
  <c r="C32" i="10"/>
  <c r="F4" i="10"/>
  <c r="C44" i="10" s="1"/>
  <c r="F27" i="17"/>
  <c r="F12" i="17"/>
  <c r="F3" i="10"/>
  <c r="C41" i="10" l="1"/>
  <c r="C42" i="10" s="1"/>
  <c r="E23" i="8"/>
  <c r="E25" i="8" s="1"/>
  <c r="E26" i="8" s="1"/>
  <c r="D48" i="10"/>
  <c r="D49" i="10" s="1"/>
  <c r="E47" i="10" s="1"/>
  <c r="C45" i="10"/>
  <c r="C46" i="10" s="1"/>
  <c r="G25" i="8"/>
  <c r="H25" i="8" s="1"/>
  <c r="I25" i="8" s="1"/>
  <c r="J25" i="8" s="1"/>
  <c r="K25" i="8" s="1"/>
  <c r="L25" i="8" s="1"/>
  <c r="M25" i="8" s="1"/>
  <c r="N25" i="8" s="1"/>
  <c r="T25" i="8" s="1"/>
  <c r="F24" i="8"/>
  <c r="C29" i="10"/>
  <c r="C30" i="10" s="1"/>
  <c r="C14" i="10"/>
  <c r="C15" i="10" s="1"/>
  <c r="D39" i="17"/>
  <c r="G9" i="20"/>
  <c r="C33" i="10"/>
  <c r="C34" i="10" s="1"/>
  <c r="D32" i="10" s="1"/>
  <c r="F6" i="10"/>
  <c r="C26" i="10"/>
  <c r="F23" i="8"/>
  <c r="C12" i="10"/>
  <c r="C17" i="10"/>
  <c r="D16" i="10"/>
  <c r="E28" i="8" l="1"/>
  <c r="D19" i="9"/>
  <c r="D25" i="9" s="1"/>
  <c r="U25" i="8"/>
  <c r="C13" i="10"/>
  <c r="D30" i="27"/>
  <c r="D44" i="10"/>
  <c r="D45" i="10" s="1"/>
  <c r="D46" i="10" s="1"/>
  <c r="E44" i="10" s="1"/>
  <c r="E45" i="10" s="1"/>
  <c r="E46" i="10" s="1"/>
  <c r="F44" i="10" s="1"/>
  <c r="C50" i="10"/>
  <c r="E48" i="10"/>
  <c r="E49" i="10" s="1"/>
  <c r="F47" i="10" s="1"/>
  <c r="C27" i="10"/>
  <c r="C28" i="10" s="1"/>
  <c r="C43" i="10"/>
  <c r="C31" i="10"/>
  <c r="D29" i="10" s="1"/>
  <c r="U24" i="8"/>
  <c r="G24" i="8"/>
  <c r="H24" i="8" s="1"/>
  <c r="I24" i="8" s="1"/>
  <c r="J24" i="8" s="1"/>
  <c r="K24" i="8" s="1"/>
  <c r="L24" i="8" s="1"/>
  <c r="M24" i="8" s="1"/>
  <c r="N24" i="8" s="1"/>
  <c r="T24" i="8" s="1"/>
  <c r="D17" i="10"/>
  <c r="E16" i="10"/>
  <c r="D33" i="10"/>
  <c r="D34" i="10" s="1"/>
  <c r="E32" i="10" s="1"/>
  <c r="C20" i="10"/>
  <c r="D12" i="10"/>
  <c r="D13" i="10" s="1"/>
  <c r="U23" i="8"/>
  <c r="F26" i="8"/>
  <c r="G23" i="8"/>
  <c r="D14" i="10"/>
  <c r="D15" i="10" s="1"/>
  <c r="G30" i="6" l="1"/>
  <c r="F17" i="22"/>
  <c r="F33" i="6"/>
  <c r="D28" i="27"/>
  <c r="D27" i="9"/>
  <c r="D28" i="9" s="1"/>
  <c r="G10" i="21"/>
  <c r="G11" i="21" s="1"/>
  <c r="G18" i="21" s="1"/>
  <c r="D18" i="10"/>
  <c r="G11" i="7" s="1"/>
  <c r="G27" i="22" s="1"/>
  <c r="F48" i="10"/>
  <c r="F49" i="10" s="1"/>
  <c r="G47" i="10" s="1"/>
  <c r="F45" i="10"/>
  <c r="F46" i="10" s="1"/>
  <c r="G44" i="10" s="1"/>
  <c r="D41" i="10"/>
  <c r="C51" i="10"/>
  <c r="C35" i="10"/>
  <c r="F20" i="28" s="1"/>
  <c r="D26" i="10"/>
  <c r="D27" i="10" s="1"/>
  <c r="E33" i="10"/>
  <c r="E34" i="10" s="1"/>
  <c r="F32" i="10" s="1"/>
  <c r="E19" i="9"/>
  <c r="U26" i="8"/>
  <c r="E17" i="10"/>
  <c r="F16" i="10"/>
  <c r="D30" i="10"/>
  <c r="D31" i="10" s="1"/>
  <c r="E29" i="10" s="1"/>
  <c r="C18" i="10"/>
  <c r="E14" i="10"/>
  <c r="E15" i="10" s="1"/>
  <c r="H23" i="8"/>
  <c r="G26" i="8"/>
  <c r="D20" i="10"/>
  <c r="E12" i="10"/>
  <c r="E13" i="10" s="1"/>
  <c r="F7" i="7" l="1"/>
  <c r="F34" i="6"/>
  <c r="F45" i="6" s="1"/>
  <c r="M10" i="5"/>
  <c r="M11" i="5" s="1"/>
  <c r="H30" i="6"/>
  <c r="G24" i="22"/>
  <c r="E28" i="27"/>
  <c r="G33" i="6"/>
  <c r="E18" i="10"/>
  <c r="D19" i="10"/>
  <c r="F11" i="7"/>
  <c r="F27" i="22" s="1"/>
  <c r="E30" i="27"/>
  <c r="F30" i="27"/>
  <c r="E26" i="9"/>
  <c r="G45" i="10"/>
  <c r="G46" i="10" s="1"/>
  <c r="H44" i="10" s="1"/>
  <c r="G48" i="10"/>
  <c r="G49" i="10" s="1"/>
  <c r="H47" i="10" s="1"/>
  <c r="D42" i="10"/>
  <c r="D50" i="10" s="1"/>
  <c r="C36" i="10"/>
  <c r="F19" i="9"/>
  <c r="F17" i="10"/>
  <c r="G16" i="10"/>
  <c r="H10" i="21"/>
  <c r="H26" i="8"/>
  <c r="I23" i="8"/>
  <c r="G30" i="27" s="1"/>
  <c r="F33" i="10"/>
  <c r="F34" i="10" s="1"/>
  <c r="G32" i="10" s="1"/>
  <c r="E20" i="10"/>
  <c r="F12" i="10"/>
  <c r="F13" i="10" s="1"/>
  <c r="D31" i="27"/>
  <c r="C19" i="10"/>
  <c r="C21" i="10" s="1"/>
  <c r="E30" i="10"/>
  <c r="E31" i="10" s="1"/>
  <c r="F29" i="10" s="1"/>
  <c r="F14" i="10"/>
  <c r="F15" i="10" s="1"/>
  <c r="D35" i="10"/>
  <c r="G20" i="28" s="1"/>
  <c r="E19" i="10" l="1"/>
  <c r="F8" i="7"/>
  <c r="I30" i="6"/>
  <c r="F28" i="27"/>
  <c r="H24" i="22"/>
  <c r="H33" i="6"/>
  <c r="G34" i="6"/>
  <c r="N10" i="5"/>
  <c r="N11" i="5" s="1"/>
  <c r="G7" i="7"/>
  <c r="F37" i="6"/>
  <c r="M48" i="5"/>
  <c r="M51" i="5" s="1"/>
  <c r="M13" i="5"/>
  <c r="F18" i="10"/>
  <c r="F19" i="10" s="1"/>
  <c r="E35" i="8"/>
  <c r="E36" i="8" s="1"/>
  <c r="D43" i="10"/>
  <c r="D51" i="10" s="1"/>
  <c r="H48" i="10"/>
  <c r="H49" i="10" s="1"/>
  <c r="I47" i="10" s="1"/>
  <c r="H45" i="10"/>
  <c r="H46" i="10" s="1"/>
  <c r="D21" i="10"/>
  <c r="G33" i="10"/>
  <c r="G34" i="10" s="1"/>
  <c r="H32" i="10" s="1"/>
  <c r="G17" i="10"/>
  <c r="H16" i="10"/>
  <c r="F20" i="10"/>
  <c r="G12" i="10"/>
  <c r="G13" i="10" s="1"/>
  <c r="E31" i="27"/>
  <c r="F27" i="8"/>
  <c r="F28" i="8" s="1"/>
  <c r="M17" i="5"/>
  <c r="M26" i="5" s="1"/>
  <c r="H8" i="21"/>
  <c r="F19" i="28"/>
  <c r="E14" i="9"/>
  <c r="C7" i="19" s="1"/>
  <c r="I26" i="8"/>
  <c r="J23" i="8"/>
  <c r="H30" i="27" s="1"/>
  <c r="D28" i="10"/>
  <c r="F30" i="10"/>
  <c r="F31" i="10" s="1"/>
  <c r="G29" i="10" s="1"/>
  <c r="G14" i="10"/>
  <c r="G15" i="10" s="1"/>
  <c r="G19" i="9"/>
  <c r="I10" i="21"/>
  <c r="G8" i="7" l="1"/>
  <c r="O10" i="5"/>
  <c r="O11" i="5" s="1"/>
  <c r="H7" i="7"/>
  <c r="H34" i="6"/>
  <c r="N48" i="5"/>
  <c r="N51" i="5" s="1"/>
  <c r="N13" i="5"/>
  <c r="F41" i="6"/>
  <c r="G45" i="6"/>
  <c r="G37" i="6"/>
  <c r="J30" i="6"/>
  <c r="I24" i="22"/>
  <c r="I33" i="6"/>
  <c r="G28" i="27"/>
  <c r="E41" i="10"/>
  <c r="E42" i="10" s="1"/>
  <c r="E50" i="10" s="1"/>
  <c r="G18" i="10"/>
  <c r="G19" i="10" s="1"/>
  <c r="I44" i="10"/>
  <c r="I45" i="10" s="1"/>
  <c r="I46" i="10" s="1"/>
  <c r="J44" i="10" s="1"/>
  <c r="J45" i="10" s="1"/>
  <c r="J46" i="10" s="1"/>
  <c r="K44" i="10" s="1"/>
  <c r="K45" i="10" s="1"/>
  <c r="K46" i="10" s="1"/>
  <c r="I48" i="10"/>
  <c r="I49" i="10" s="1"/>
  <c r="J47" i="10" s="1"/>
  <c r="H33" i="10"/>
  <c r="H34" i="10" s="1"/>
  <c r="I32" i="10" s="1"/>
  <c r="G30" i="10"/>
  <c r="G31" i="10" s="1"/>
  <c r="H29" i="10" s="1"/>
  <c r="J26" i="8"/>
  <c r="K23" i="8"/>
  <c r="I30" i="27" s="1"/>
  <c r="G27" i="8"/>
  <c r="U27" i="8"/>
  <c r="E26" i="10"/>
  <c r="E27" i="10" s="1"/>
  <c r="D36" i="10"/>
  <c r="N17" i="5"/>
  <c r="N26" i="5" s="1"/>
  <c r="I8" i="21"/>
  <c r="F14" i="9"/>
  <c r="D7" i="19" s="1"/>
  <c r="G19" i="28"/>
  <c r="H17" i="10"/>
  <c r="I16" i="10"/>
  <c r="H19" i="9"/>
  <c r="J10" i="21"/>
  <c r="H14" i="10"/>
  <c r="H15" i="10" s="1"/>
  <c r="F31" i="27"/>
  <c r="H11" i="7"/>
  <c r="H27" i="22" s="1"/>
  <c r="G20" i="10"/>
  <c r="H12" i="10"/>
  <c r="H13" i="10" s="1"/>
  <c r="H18" i="10" s="1"/>
  <c r="F42" i="6" l="1"/>
  <c r="F43" i="6" s="1"/>
  <c r="F21" i="22"/>
  <c r="F28" i="22" s="1"/>
  <c r="H8" i="7"/>
  <c r="H45" i="6"/>
  <c r="H37" i="6"/>
  <c r="I34" i="6"/>
  <c r="P10" i="5"/>
  <c r="P11" i="5" s="1"/>
  <c r="I7" i="7"/>
  <c r="K30" i="6"/>
  <c r="H28" i="27"/>
  <c r="J24" i="22"/>
  <c r="J33" i="6"/>
  <c r="O48" i="5"/>
  <c r="O51" i="5" s="1"/>
  <c r="O13" i="5"/>
  <c r="E43" i="10"/>
  <c r="E51" i="10" s="1"/>
  <c r="J48" i="10"/>
  <c r="J49" i="10" s="1"/>
  <c r="K47" i="10" s="1"/>
  <c r="I33" i="10"/>
  <c r="I34" i="10" s="1"/>
  <c r="J32" i="10" s="1"/>
  <c r="K10" i="21"/>
  <c r="H30" i="10"/>
  <c r="H31" i="10" s="1"/>
  <c r="I29" i="10" s="1"/>
  <c r="E21" i="10"/>
  <c r="E35" i="10"/>
  <c r="H20" i="28" s="1"/>
  <c r="H27" i="8"/>
  <c r="G28" i="8"/>
  <c r="G14" i="9"/>
  <c r="E7" i="19" s="1"/>
  <c r="H19" i="28"/>
  <c r="J8" i="21"/>
  <c r="O17" i="5"/>
  <c r="O26" i="5" s="1"/>
  <c r="I11" i="7"/>
  <c r="I27" i="22" s="1"/>
  <c r="G31" i="27"/>
  <c r="L23" i="8"/>
  <c r="J30" i="27" s="1"/>
  <c r="K26" i="8"/>
  <c r="I17" i="10"/>
  <c r="J16" i="10"/>
  <c r="H20" i="10"/>
  <c r="I12" i="10"/>
  <c r="I13" i="10" s="1"/>
  <c r="I14" i="10"/>
  <c r="I15" i="10" s="1"/>
  <c r="U28" i="8"/>
  <c r="E44" i="24"/>
  <c r="E45" i="24" s="1"/>
  <c r="E46" i="24" s="1"/>
  <c r="I19" i="9"/>
  <c r="F41" i="10" l="1"/>
  <c r="I8" i="7"/>
  <c r="P48" i="5"/>
  <c r="P51" i="5" s="1"/>
  <c r="P13" i="5"/>
  <c r="I45" i="6"/>
  <c r="I37" i="6"/>
  <c r="L30" i="6"/>
  <c r="K24" i="22"/>
  <c r="I28" i="27"/>
  <c r="K33" i="6"/>
  <c r="J34" i="6"/>
  <c r="Q10" i="5"/>
  <c r="Q11" i="5" s="1"/>
  <c r="J7" i="7"/>
  <c r="G41" i="6"/>
  <c r="I18" i="10"/>
  <c r="K48" i="10"/>
  <c r="K49" i="10" s="1"/>
  <c r="F42" i="10"/>
  <c r="F50" i="10" s="1"/>
  <c r="I30" i="10"/>
  <c r="I31" i="10" s="1"/>
  <c r="J29" i="10" s="1"/>
  <c r="H31" i="27"/>
  <c r="J11" i="7"/>
  <c r="J27" i="22" s="1"/>
  <c r="M23" i="8"/>
  <c r="K30" i="27" s="1"/>
  <c r="L26" i="8"/>
  <c r="E28" i="10"/>
  <c r="J12" i="10"/>
  <c r="J13" i="10" s="1"/>
  <c r="I20" i="10"/>
  <c r="J17" i="10"/>
  <c r="K16" i="10"/>
  <c r="L10" i="21"/>
  <c r="H14" i="9"/>
  <c r="F7" i="19" s="1"/>
  <c r="P17" i="5"/>
  <c r="P26" i="5" s="1"/>
  <c r="K8" i="21"/>
  <c r="I19" i="28"/>
  <c r="F44" i="24"/>
  <c r="F45" i="24" s="1"/>
  <c r="F46" i="24" s="1"/>
  <c r="J33" i="10"/>
  <c r="J34" i="10" s="1"/>
  <c r="K32" i="10" s="1"/>
  <c r="D29" i="27"/>
  <c r="D34" i="27" s="1"/>
  <c r="D37" i="27" s="1"/>
  <c r="D39" i="27" s="1"/>
  <c r="D44" i="27" s="1"/>
  <c r="D72" i="27" s="1"/>
  <c r="J14" i="10"/>
  <c r="J19" i="9"/>
  <c r="I27" i="8"/>
  <c r="H28" i="8"/>
  <c r="F21" i="10"/>
  <c r="G42" i="6" l="1"/>
  <c r="G21" i="22"/>
  <c r="G28" i="22" s="1"/>
  <c r="J8" i="7"/>
  <c r="R10" i="5"/>
  <c r="R11" i="5" s="1"/>
  <c r="K34" i="6"/>
  <c r="K7" i="7"/>
  <c r="Q48" i="5"/>
  <c r="Q51" i="5" s="1"/>
  <c r="Q13" i="5"/>
  <c r="J45" i="6"/>
  <c r="J37" i="6"/>
  <c r="M30" i="6"/>
  <c r="L33" i="6"/>
  <c r="L24" i="22"/>
  <c r="J28" i="27"/>
  <c r="H41" i="6"/>
  <c r="J15" i="10"/>
  <c r="L15" i="10" s="1"/>
  <c r="M15" i="10"/>
  <c r="F43" i="10"/>
  <c r="M10" i="21"/>
  <c r="M14" i="5"/>
  <c r="F9" i="7"/>
  <c r="K33" i="10"/>
  <c r="K34" i="10" s="1"/>
  <c r="K17" i="10"/>
  <c r="J31" i="27"/>
  <c r="L11" i="7"/>
  <c r="L27" i="22" s="1"/>
  <c r="I14" i="9"/>
  <c r="G7" i="19" s="1"/>
  <c r="L8" i="21"/>
  <c r="Q17" i="5"/>
  <c r="Q26" i="5" s="1"/>
  <c r="J19" i="28"/>
  <c r="E36" i="10"/>
  <c r="F26" i="10"/>
  <c r="F27" i="10" s="1"/>
  <c r="H19" i="10"/>
  <c r="H21" i="10" s="1"/>
  <c r="G21" i="10"/>
  <c r="G44" i="24"/>
  <c r="G45" i="24" s="1"/>
  <c r="G46" i="24" s="1"/>
  <c r="J27" i="8"/>
  <c r="I28" i="8"/>
  <c r="K11" i="7"/>
  <c r="K27" i="22" s="1"/>
  <c r="I31" i="27"/>
  <c r="K19" i="9"/>
  <c r="J30" i="10"/>
  <c r="J31" i="10" s="1"/>
  <c r="K29" i="10" s="1"/>
  <c r="K14" i="10"/>
  <c r="E29" i="27"/>
  <c r="E34" i="27" s="1"/>
  <c r="E37" i="27" s="1"/>
  <c r="E39" i="27" s="1"/>
  <c r="E44" i="27" s="1"/>
  <c r="E72" i="27" s="1"/>
  <c r="J20" i="10"/>
  <c r="K12" i="10"/>
  <c r="M26" i="8"/>
  <c r="N23" i="8"/>
  <c r="L30" i="27" s="1"/>
  <c r="F19" i="8" l="1"/>
  <c r="H42" i="6"/>
  <c r="H21" i="22"/>
  <c r="H28" i="22" s="1"/>
  <c r="K8" i="7"/>
  <c r="N30" i="6"/>
  <c r="M24" i="22"/>
  <c r="K28" i="27"/>
  <c r="M33" i="6"/>
  <c r="K45" i="6"/>
  <c r="K37" i="6"/>
  <c r="L34" i="6"/>
  <c r="L7" i="7"/>
  <c r="S10" i="5"/>
  <c r="S11" i="5" s="1"/>
  <c r="R48" i="5"/>
  <c r="R51" i="5" s="1"/>
  <c r="R13" i="5"/>
  <c r="I41" i="6"/>
  <c r="F10" i="7"/>
  <c r="F12" i="7" s="1"/>
  <c r="N15" i="10"/>
  <c r="K15" i="10" s="1"/>
  <c r="K20" i="10"/>
  <c r="K13" i="10"/>
  <c r="J18" i="10"/>
  <c r="K31" i="27" s="1"/>
  <c r="G41" i="10"/>
  <c r="F51" i="10"/>
  <c r="H44" i="24"/>
  <c r="H45" i="24" s="1"/>
  <c r="H46" i="24" s="1"/>
  <c r="I19" i="10"/>
  <c r="I21" i="10" s="1"/>
  <c r="M15" i="5"/>
  <c r="M20" i="5"/>
  <c r="M21" i="5" s="1"/>
  <c r="M31" i="5" s="1"/>
  <c r="G9" i="7"/>
  <c r="G19" i="8" s="1"/>
  <c r="G41" i="8" s="1"/>
  <c r="G43" i="6"/>
  <c r="N14" i="5"/>
  <c r="K27" i="8"/>
  <c r="J28" i="8"/>
  <c r="N8" i="21"/>
  <c r="L19" i="28"/>
  <c r="K14" i="9"/>
  <c r="I7" i="19" s="1"/>
  <c r="S17" i="5"/>
  <c r="S26" i="5" s="1"/>
  <c r="L19" i="9"/>
  <c r="N10" i="21"/>
  <c r="K30" i="10"/>
  <c r="K31" i="10" s="1"/>
  <c r="F29" i="27"/>
  <c r="F34" i="27" s="1"/>
  <c r="F37" i="27" s="1"/>
  <c r="F39" i="27" s="1"/>
  <c r="F44" i="27" s="1"/>
  <c r="F72" i="27" s="1"/>
  <c r="F35" i="10"/>
  <c r="I20" i="28" s="1"/>
  <c r="N26" i="8"/>
  <c r="K19" i="28"/>
  <c r="R17" i="5"/>
  <c r="R26" i="5" s="1"/>
  <c r="M8" i="21"/>
  <c r="J14" i="9"/>
  <c r="H7" i="19" s="1"/>
  <c r="F40" i="8" l="1"/>
  <c r="C43" i="19" s="1"/>
  <c r="F47" i="8"/>
  <c r="I42" i="6"/>
  <c r="I21" i="22"/>
  <c r="I28" i="22" s="1"/>
  <c r="L8" i="7"/>
  <c r="S48" i="5"/>
  <c r="S51" i="5" s="1"/>
  <c r="S13" i="5"/>
  <c r="N24" i="22"/>
  <c r="L28" i="27"/>
  <c r="N33" i="6"/>
  <c r="F17" i="7"/>
  <c r="M34" i="6"/>
  <c r="T10" i="5"/>
  <c r="T11" i="5" s="1"/>
  <c r="M7" i="7"/>
  <c r="L45" i="6"/>
  <c r="L37" i="6"/>
  <c r="M11" i="7"/>
  <c r="M27" i="22" s="1"/>
  <c r="J41" i="6"/>
  <c r="G47" i="8"/>
  <c r="G10" i="7"/>
  <c r="G12" i="7" s="1"/>
  <c r="Q44" i="10"/>
  <c r="Q45" i="10" s="1"/>
  <c r="G42" i="10"/>
  <c r="G50" i="10" s="1"/>
  <c r="U19" i="8"/>
  <c r="E16" i="9"/>
  <c r="L14" i="9"/>
  <c r="J7" i="19" s="1"/>
  <c r="F28" i="10"/>
  <c r="O10" i="21"/>
  <c r="L27" i="8"/>
  <c r="K28" i="8"/>
  <c r="N20" i="5"/>
  <c r="N21" i="5" s="1"/>
  <c r="N31" i="5" s="1"/>
  <c r="N15" i="5"/>
  <c r="M29" i="5"/>
  <c r="M43" i="5"/>
  <c r="M18" i="5"/>
  <c r="M22" i="5" s="1"/>
  <c r="F24" i="7"/>
  <c r="H43" i="6"/>
  <c r="O14" i="5"/>
  <c r="H9" i="7"/>
  <c r="H19" i="8" s="1"/>
  <c r="H41" i="8" s="1"/>
  <c r="K18" i="10"/>
  <c r="J19" i="10"/>
  <c r="J21" i="10" s="1"/>
  <c r="M19" i="9"/>
  <c r="I44" i="24"/>
  <c r="I45" i="24" s="1"/>
  <c r="I46" i="24" s="1"/>
  <c r="G29" i="27"/>
  <c r="G34" i="27" s="1"/>
  <c r="G37" i="27" s="1"/>
  <c r="G39" i="27" s="1"/>
  <c r="G44" i="27" s="1"/>
  <c r="G72" i="27" s="1"/>
  <c r="H9" i="21" l="1"/>
  <c r="T17" i="5"/>
  <c r="T26" i="5" s="1"/>
  <c r="O8" i="21"/>
  <c r="M19" i="28"/>
  <c r="J42" i="6"/>
  <c r="J21" i="22"/>
  <c r="J28" i="22" s="1"/>
  <c r="M8" i="7"/>
  <c r="M45" i="6"/>
  <c r="M37" i="6"/>
  <c r="T48" i="5"/>
  <c r="T51" i="5" s="1"/>
  <c r="T13" i="5"/>
  <c r="N34" i="6"/>
  <c r="N7" i="7"/>
  <c r="U10" i="5"/>
  <c r="U11" i="5" s="1"/>
  <c r="K41" i="6"/>
  <c r="H47" i="8"/>
  <c r="H10" i="7"/>
  <c r="H12" i="7" s="1"/>
  <c r="Q46" i="10"/>
  <c r="R44" i="10" s="1"/>
  <c r="R45" i="10" s="1"/>
  <c r="R46" i="10" s="1"/>
  <c r="S44" i="10" s="1"/>
  <c r="S45" i="10" s="1"/>
  <c r="G43" i="10"/>
  <c r="N18" i="5"/>
  <c r="N22" i="5" s="1"/>
  <c r="N43" i="5"/>
  <c r="N29" i="5"/>
  <c r="F36" i="10"/>
  <c r="G26" i="10"/>
  <c r="G27" i="10" s="1"/>
  <c r="H29" i="27"/>
  <c r="H34" i="27" s="1"/>
  <c r="H37" i="27" s="1"/>
  <c r="H39" i="27" s="1"/>
  <c r="H44" i="27" s="1"/>
  <c r="H72" i="27" s="1"/>
  <c r="P14" i="5"/>
  <c r="I43" i="6"/>
  <c r="I9" i="7"/>
  <c r="I19" i="8" s="1"/>
  <c r="I41" i="8" s="1"/>
  <c r="P10" i="21"/>
  <c r="O15" i="5"/>
  <c r="O20" i="5"/>
  <c r="O21" i="5" s="1"/>
  <c r="O31" i="5" s="1"/>
  <c r="M32" i="5"/>
  <c r="M24" i="5"/>
  <c r="M27" i="5" s="1"/>
  <c r="M36" i="5" s="1"/>
  <c r="M37" i="5" s="1"/>
  <c r="J44" i="24"/>
  <c r="J45" i="24" s="1"/>
  <c r="J46" i="24" s="1"/>
  <c r="K19" i="10"/>
  <c r="K21" i="10" s="1"/>
  <c r="L31" i="27"/>
  <c r="N11" i="7"/>
  <c r="N27" i="22" s="1"/>
  <c r="F25" i="7"/>
  <c r="H5" i="21"/>
  <c r="H6" i="21" s="1"/>
  <c r="H7" i="21" s="1"/>
  <c r="G24" i="7"/>
  <c r="G40" i="8"/>
  <c r="G42" i="8" s="1"/>
  <c r="F16" i="9"/>
  <c r="M27" i="8"/>
  <c r="L28" i="8"/>
  <c r="K42" i="6" l="1"/>
  <c r="K21" i="22"/>
  <c r="K28" i="22" s="1"/>
  <c r="N8" i="7"/>
  <c r="D43" i="19"/>
  <c r="I9" i="21"/>
  <c r="U48" i="5"/>
  <c r="U51" i="5" s="1"/>
  <c r="U13" i="5"/>
  <c r="N45" i="6"/>
  <c r="N37" i="6"/>
  <c r="L41" i="6"/>
  <c r="I47" i="8"/>
  <c r="I10" i="7"/>
  <c r="I12" i="7" s="1"/>
  <c r="S46" i="10"/>
  <c r="T45" i="10"/>
  <c r="Q47" i="10"/>
  <c r="Q48" i="10" s="1"/>
  <c r="G51" i="10"/>
  <c r="H41" i="10"/>
  <c r="P20" i="5"/>
  <c r="P21" i="5" s="1"/>
  <c r="P31" i="5" s="1"/>
  <c r="P15" i="5"/>
  <c r="G35" i="10"/>
  <c r="J20" i="28" s="1"/>
  <c r="G28" i="10"/>
  <c r="N32" i="5"/>
  <c r="N23" i="5"/>
  <c r="N24" i="5" s="1"/>
  <c r="N27" i="5" s="1"/>
  <c r="N36" i="5" s="1"/>
  <c r="N37" i="5" s="1"/>
  <c r="H40" i="8"/>
  <c r="G16" i="9"/>
  <c r="I29" i="27"/>
  <c r="I34" i="27" s="1"/>
  <c r="I37" i="27" s="1"/>
  <c r="I39" i="27" s="1"/>
  <c r="I44" i="27" s="1"/>
  <c r="I72" i="27" s="1"/>
  <c r="J43" i="6"/>
  <c r="Q14" i="5"/>
  <c r="J9" i="7"/>
  <c r="J19" i="8" s="1"/>
  <c r="J41" i="8" s="1"/>
  <c r="K44" i="24"/>
  <c r="K45" i="24" s="1"/>
  <c r="K46" i="24" s="1"/>
  <c r="N27" i="8"/>
  <c r="M28" i="8"/>
  <c r="G25" i="7"/>
  <c r="I5" i="21"/>
  <c r="I6" i="21" s="1"/>
  <c r="G17" i="7"/>
  <c r="E10" i="9"/>
  <c r="F16" i="28"/>
  <c r="F21" i="28" s="1"/>
  <c r="U17" i="5"/>
  <c r="U26" i="5" s="1"/>
  <c r="M14" i="9"/>
  <c r="K7" i="19" s="1"/>
  <c r="P8" i="21"/>
  <c r="N19" i="28"/>
  <c r="O43" i="5"/>
  <c r="O29" i="5"/>
  <c r="O18" i="5"/>
  <c r="O22" i="5" s="1"/>
  <c r="V17" i="5"/>
  <c r="H24" i="7"/>
  <c r="L42" i="6" l="1"/>
  <c r="L21" i="22"/>
  <c r="L28" i="22" s="1"/>
  <c r="E43" i="19"/>
  <c r="H42" i="8"/>
  <c r="J9" i="21" s="1"/>
  <c r="M41" i="6"/>
  <c r="J47" i="8"/>
  <c r="J10" i="7"/>
  <c r="J12" i="7" s="1"/>
  <c r="Q49" i="10"/>
  <c r="R47" i="10" s="1"/>
  <c r="R48" i="10" s="1"/>
  <c r="R49" i="10" s="1"/>
  <c r="S47" i="10" s="1"/>
  <c r="H42" i="10"/>
  <c r="H50" i="10" s="1"/>
  <c r="S48" i="10"/>
  <c r="S49" i="10" s="1"/>
  <c r="Q32" i="10"/>
  <c r="V26" i="5"/>
  <c r="W17" i="5"/>
  <c r="I7" i="21"/>
  <c r="N28" i="8"/>
  <c r="N41" i="6" s="1"/>
  <c r="O32" i="5"/>
  <c r="O23" i="5"/>
  <c r="O24" i="5" s="1"/>
  <c r="O27" i="5" s="1"/>
  <c r="O36" i="5" s="1"/>
  <c r="O37" i="5" s="1"/>
  <c r="Q15" i="5"/>
  <c r="Q20" i="5"/>
  <c r="Q21" i="5" s="1"/>
  <c r="Q31" i="5" s="1"/>
  <c r="G36" i="10"/>
  <c r="H26" i="10"/>
  <c r="H27" i="10" s="1"/>
  <c r="J5" i="21"/>
  <c r="J6" i="21" s="1"/>
  <c r="H25" i="7"/>
  <c r="H17" i="7"/>
  <c r="F26" i="28"/>
  <c r="G23" i="28" s="1"/>
  <c r="F24" i="28"/>
  <c r="F28" i="28" s="1"/>
  <c r="F25" i="28"/>
  <c r="I24" i="7"/>
  <c r="J29" i="27"/>
  <c r="J34" i="27" s="1"/>
  <c r="J37" i="27" s="1"/>
  <c r="J39" i="27" s="1"/>
  <c r="J44" i="27" s="1"/>
  <c r="J72" i="27" s="1"/>
  <c r="Q16" i="10"/>
  <c r="H16" i="9"/>
  <c r="I40" i="8"/>
  <c r="G16" i="28"/>
  <c r="G21" i="28" s="1"/>
  <c r="F10" i="9"/>
  <c r="L44" i="24"/>
  <c r="L45" i="24" s="1"/>
  <c r="L46" i="24" s="1"/>
  <c r="K43" i="6"/>
  <c r="R14" i="5"/>
  <c r="K9" i="7"/>
  <c r="K19" i="8" s="1"/>
  <c r="K41" i="8" s="1"/>
  <c r="P18" i="5"/>
  <c r="P22" i="5" s="1"/>
  <c r="P29" i="5"/>
  <c r="P43" i="5"/>
  <c r="N42" i="6" l="1"/>
  <c r="N21" i="22"/>
  <c r="N28" i="22" s="1"/>
  <c r="M42" i="6"/>
  <c r="M21" i="22"/>
  <c r="M28" i="22" s="1"/>
  <c r="I42" i="8"/>
  <c r="K9" i="21" s="1"/>
  <c r="F43" i="19"/>
  <c r="F32" i="28"/>
  <c r="F35" i="28" s="1"/>
  <c r="K10" i="7"/>
  <c r="K12" i="7" s="1"/>
  <c r="T48" i="10"/>
  <c r="H43" i="10"/>
  <c r="I41" i="10" s="1"/>
  <c r="Q29" i="10"/>
  <c r="Q33" i="10"/>
  <c r="Q34" i="10" s="1"/>
  <c r="R32" i="10" s="1"/>
  <c r="G10" i="9"/>
  <c r="H16" i="28"/>
  <c r="H21" i="28" s="1"/>
  <c r="M44" i="24"/>
  <c r="M45" i="24" s="1"/>
  <c r="M46" i="24" s="1"/>
  <c r="W26" i="5"/>
  <c r="X17" i="5"/>
  <c r="P23" i="5"/>
  <c r="P24" i="5" s="1"/>
  <c r="P27" i="5" s="1"/>
  <c r="P36" i="5" s="1"/>
  <c r="P37" i="5" s="1"/>
  <c r="P32" i="5"/>
  <c r="I25" i="7"/>
  <c r="K5" i="21"/>
  <c r="K6" i="21" s="1"/>
  <c r="I17" i="7"/>
  <c r="J7" i="21"/>
  <c r="Q14" i="10"/>
  <c r="I16" i="9"/>
  <c r="J40" i="8"/>
  <c r="R15" i="5"/>
  <c r="R20" i="5"/>
  <c r="R21" i="5" s="1"/>
  <c r="R31" i="5" s="1"/>
  <c r="Q17" i="10"/>
  <c r="R16" i="10"/>
  <c r="L43" i="6"/>
  <c r="S14" i="5"/>
  <c r="L9" i="7"/>
  <c r="L19" i="8" s="1"/>
  <c r="L41" i="8" s="1"/>
  <c r="G22" i="28"/>
  <c r="G24" i="28" s="1"/>
  <c r="G28" i="28" s="1"/>
  <c r="H35" i="10"/>
  <c r="K20" i="28" s="1"/>
  <c r="Q12" i="10"/>
  <c r="J24" i="7"/>
  <c r="K29" i="27"/>
  <c r="K34" i="27" s="1"/>
  <c r="K37" i="27" s="1"/>
  <c r="K39" i="27" s="1"/>
  <c r="K44" i="27" s="1"/>
  <c r="K72" i="27" s="1"/>
  <c r="Q29" i="5"/>
  <c r="Q43" i="5"/>
  <c r="Q18" i="5"/>
  <c r="Q22" i="5" s="1"/>
  <c r="T23" i="8"/>
  <c r="T26" i="8" s="1"/>
  <c r="K47" i="8" l="1"/>
  <c r="G43" i="19"/>
  <c r="J42" i="8"/>
  <c r="L9" i="21" s="1"/>
  <c r="L47" i="8"/>
  <c r="H51" i="10"/>
  <c r="L10" i="7"/>
  <c r="L12" i="7" s="1"/>
  <c r="I42" i="10"/>
  <c r="I50" i="10" s="1"/>
  <c r="G25" i="28"/>
  <c r="G26" i="28"/>
  <c r="H23" i="28" s="1"/>
  <c r="H28" i="10"/>
  <c r="I26" i="10" s="1"/>
  <c r="I27" i="10" s="1"/>
  <c r="M43" i="6"/>
  <c r="T14" i="5"/>
  <c r="M9" i="7"/>
  <c r="M19" i="8" s="1"/>
  <c r="M41" i="8" s="1"/>
  <c r="H10" i="9"/>
  <c r="I16" i="28"/>
  <c r="I21" i="28" s="1"/>
  <c r="X26" i="5"/>
  <c r="Y17" i="5"/>
  <c r="L29" i="27"/>
  <c r="L34" i="27" s="1"/>
  <c r="L37" i="27" s="1"/>
  <c r="L39" i="27" s="1"/>
  <c r="L44" i="27" s="1"/>
  <c r="L72" i="27" s="1"/>
  <c r="N44" i="24"/>
  <c r="N45" i="24" s="1"/>
  <c r="N46" i="24" s="1"/>
  <c r="Q20" i="10"/>
  <c r="R12" i="10"/>
  <c r="Q13" i="10"/>
  <c r="S20" i="5"/>
  <c r="S21" i="5" s="1"/>
  <c r="S31" i="5" s="1"/>
  <c r="S15" i="5"/>
  <c r="R43" i="5"/>
  <c r="R18" i="5"/>
  <c r="R22" i="5" s="1"/>
  <c r="R29" i="5"/>
  <c r="K7" i="21"/>
  <c r="Q30" i="10"/>
  <c r="Q31" i="10" s="1"/>
  <c r="F40" i="28"/>
  <c r="F36" i="28"/>
  <c r="K24" i="7"/>
  <c r="R33" i="10"/>
  <c r="R34" i="10" s="1"/>
  <c r="S32" i="10" s="1"/>
  <c r="Q32" i="5"/>
  <c r="Q23" i="5"/>
  <c r="Q24" i="5" s="1"/>
  <c r="Q27" i="5" s="1"/>
  <c r="Q36" i="5" s="1"/>
  <c r="Q37" i="5" s="1"/>
  <c r="J25" i="7"/>
  <c r="L5" i="21"/>
  <c r="L6" i="21" s="1"/>
  <c r="J17" i="7"/>
  <c r="R17" i="10"/>
  <c r="S16" i="10"/>
  <c r="S17" i="10" s="1"/>
  <c r="J16" i="9"/>
  <c r="K40" i="8"/>
  <c r="Q15" i="10"/>
  <c r="R14" i="10"/>
  <c r="H43" i="19" l="1"/>
  <c r="K42" i="8"/>
  <c r="M9" i="21" s="1"/>
  <c r="F41" i="28"/>
  <c r="F42" i="28" s="1"/>
  <c r="F37" i="28"/>
  <c r="H22" i="28"/>
  <c r="H25" i="28" s="1"/>
  <c r="G32" i="28"/>
  <c r="G40" i="28" s="1"/>
  <c r="I43" i="10"/>
  <c r="I51" i="10" s="1"/>
  <c r="M10" i="7"/>
  <c r="M12" i="7" s="1"/>
  <c r="T17" i="10"/>
  <c r="R29" i="10"/>
  <c r="J41" i="10"/>
  <c r="H36" i="10"/>
  <c r="R30" i="10"/>
  <c r="R31" i="10" s="1"/>
  <c r="S29" i="10" s="1"/>
  <c r="S33" i="10"/>
  <c r="S34" i="10" s="1"/>
  <c r="R20" i="10"/>
  <c r="R13" i="10"/>
  <c r="S12" i="10"/>
  <c r="K25" i="7"/>
  <c r="M5" i="21"/>
  <c r="M6" i="21" s="1"/>
  <c r="K17" i="7"/>
  <c r="S18" i="5"/>
  <c r="S22" i="5" s="1"/>
  <c r="S29" i="5"/>
  <c r="S43" i="5"/>
  <c r="Y26" i="5"/>
  <c r="Z17" i="5"/>
  <c r="I35" i="10"/>
  <c r="L20" i="28" s="1"/>
  <c r="T15" i="5"/>
  <c r="T20" i="5"/>
  <c r="T21" i="5" s="1"/>
  <c r="T31" i="5" s="1"/>
  <c r="I10" i="9"/>
  <c r="J16" i="28"/>
  <c r="J21" i="28" s="1"/>
  <c r="O44" i="24"/>
  <c r="O45" i="24" s="1"/>
  <c r="O46" i="24" s="1"/>
  <c r="L24" i="7"/>
  <c r="R15" i="10"/>
  <c r="S14" i="10"/>
  <c r="S15" i="10" s="1"/>
  <c r="L7" i="21"/>
  <c r="R23" i="5"/>
  <c r="R24" i="5" s="1"/>
  <c r="R27" i="5" s="1"/>
  <c r="R36" i="5" s="1"/>
  <c r="R37" i="5" s="1"/>
  <c r="R32" i="5"/>
  <c r="Q18" i="10"/>
  <c r="N43" i="6"/>
  <c r="U14" i="5"/>
  <c r="N9" i="7"/>
  <c r="N19" i="8" s="1"/>
  <c r="N41" i="8" s="1"/>
  <c r="L40" i="8"/>
  <c r="K16" i="9"/>
  <c r="M47" i="8" l="1"/>
  <c r="L42" i="8"/>
  <c r="N9" i="21" s="1"/>
  <c r="I43" i="19"/>
  <c r="H26" i="28"/>
  <c r="I23" i="28" s="1"/>
  <c r="G39" i="28"/>
  <c r="F30" i="8"/>
  <c r="H24" i="28"/>
  <c r="H28" i="28" s="1"/>
  <c r="I22" i="28"/>
  <c r="I25" i="28" s="1"/>
  <c r="J22" i="28" s="1"/>
  <c r="J25" i="28" s="1"/>
  <c r="N10" i="7"/>
  <c r="N12" i="7" s="1"/>
  <c r="T15" i="10"/>
  <c r="T29" i="10"/>
  <c r="J42" i="10"/>
  <c r="J50" i="10" s="1"/>
  <c r="G35" i="28"/>
  <c r="I28" i="10"/>
  <c r="I36" i="10" s="1"/>
  <c r="S30" i="10"/>
  <c r="S31" i="10" s="1"/>
  <c r="T31" i="10" s="1"/>
  <c r="S23" i="5"/>
  <c r="S24" i="5" s="1"/>
  <c r="S27" i="5" s="1"/>
  <c r="S36" i="5" s="1"/>
  <c r="S37" i="5" s="1"/>
  <c r="S32" i="5"/>
  <c r="M7" i="21"/>
  <c r="S13" i="10"/>
  <c r="S18" i="10" s="1"/>
  <c r="S20" i="10"/>
  <c r="G36" i="28"/>
  <c r="G41" i="28" s="1"/>
  <c r="G42" i="28" s="1"/>
  <c r="G30" i="8" s="1"/>
  <c r="Q19" i="10"/>
  <c r="M24" i="7"/>
  <c r="R18" i="10"/>
  <c r="U15" i="5"/>
  <c r="U20" i="5"/>
  <c r="U21" i="5" s="1"/>
  <c r="U31" i="5" s="1"/>
  <c r="F18" i="7"/>
  <c r="F20" i="7" s="1"/>
  <c r="D74" i="27"/>
  <c r="D76" i="27" s="1"/>
  <c r="D78" i="27" s="1"/>
  <c r="D80" i="27" s="1"/>
  <c r="J10" i="9"/>
  <c r="K16" i="28"/>
  <c r="K21" i="28" s="1"/>
  <c r="P44" i="24"/>
  <c r="P45" i="24" s="1"/>
  <c r="P46" i="24" s="1"/>
  <c r="L25" i="7"/>
  <c r="L17" i="7"/>
  <c r="N5" i="21"/>
  <c r="N6" i="21" s="1"/>
  <c r="V14" i="5"/>
  <c r="T29" i="5"/>
  <c r="T43" i="5"/>
  <c r="T18" i="5"/>
  <c r="T22" i="5" s="1"/>
  <c r="Z26" i="5"/>
  <c r="AA17" i="5"/>
  <c r="AA26" i="5" s="1"/>
  <c r="M40" i="8"/>
  <c r="L16" i="9"/>
  <c r="N47" i="8" l="1"/>
  <c r="M42" i="8"/>
  <c r="O9" i="21" s="1"/>
  <c r="J43" i="19"/>
  <c r="F21" i="7"/>
  <c r="F26" i="7"/>
  <c r="H32" i="28"/>
  <c r="H40" i="28" s="1"/>
  <c r="F21" i="9"/>
  <c r="I24" i="28"/>
  <c r="I28" i="28" s="1"/>
  <c r="E21" i="9"/>
  <c r="U30" i="8"/>
  <c r="I26" i="28"/>
  <c r="J23" i="28" s="1"/>
  <c r="J26" i="28" s="1"/>
  <c r="K23" i="28" s="1"/>
  <c r="U40" i="8"/>
  <c r="J43" i="10"/>
  <c r="J51" i="10" s="1"/>
  <c r="T13" i="10"/>
  <c r="J26" i="10"/>
  <c r="J27" i="10" s="1"/>
  <c r="J35" i="10" s="1"/>
  <c r="M20" i="28" s="1"/>
  <c r="G37" i="28"/>
  <c r="E74" i="27" s="1"/>
  <c r="E76" i="27" s="1"/>
  <c r="E78" i="27" s="1"/>
  <c r="E80" i="27" s="1"/>
  <c r="H39" i="28"/>
  <c r="K22" i="28"/>
  <c r="K25" i="28" s="1"/>
  <c r="U43" i="5"/>
  <c r="U18" i="5"/>
  <c r="U22" i="5" s="1"/>
  <c r="U29" i="5"/>
  <c r="O5" i="21"/>
  <c r="O6" i="21" s="1"/>
  <c r="M25" i="7"/>
  <c r="M17" i="7"/>
  <c r="N7" i="21"/>
  <c r="T23" i="5"/>
  <c r="T24" i="5" s="1"/>
  <c r="T27" i="5" s="1"/>
  <c r="T36" i="5" s="1"/>
  <c r="T37" i="5" s="1"/>
  <c r="T32" i="5"/>
  <c r="V20" i="5"/>
  <c r="V21" i="5" s="1"/>
  <c r="V31" i="5" s="1"/>
  <c r="W14" i="5"/>
  <c r="V15" i="5"/>
  <c r="L16" i="28"/>
  <c r="L21" i="28" s="1"/>
  <c r="K10" i="9"/>
  <c r="Q44" i="24"/>
  <c r="Q45" i="24" s="1"/>
  <c r="Q46" i="24" s="1"/>
  <c r="F18" i="22"/>
  <c r="F19" i="22" s="1"/>
  <c r="F31" i="22" s="1"/>
  <c r="F32" i="22" s="1"/>
  <c r="F33" i="22" s="1"/>
  <c r="E24" i="9"/>
  <c r="F10" i="8"/>
  <c r="M16" i="9"/>
  <c r="N40" i="8"/>
  <c r="R19" i="10"/>
  <c r="Q21" i="10"/>
  <c r="T27" i="8"/>
  <c r="T28" i="8" s="1"/>
  <c r="T35" i="8" s="1"/>
  <c r="J24" i="28" l="1"/>
  <c r="J28" i="28" s="1"/>
  <c r="F34" i="22"/>
  <c r="F29" i="22"/>
  <c r="K43" i="19"/>
  <c r="N42" i="8"/>
  <c r="P9" i="21" s="1"/>
  <c r="K41" i="10"/>
  <c r="H36" i="28"/>
  <c r="H41" i="28" s="1"/>
  <c r="H42" i="28" s="1"/>
  <c r="H30" i="8" s="1"/>
  <c r="G21" i="9" s="1"/>
  <c r="H35" i="28"/>
  <c r="E25" i="9"/>
  <c r="I32" i="28"/>
  <c r="I40" i="28" s="1"/>
  <c r="J32" i="28"/>
  <c r="F51" i="8"/>
  <c r="G18" i="7"/>
  <c r="G18" i="22" s="1"/>
  <c r="K42" i="10"/>
  <c r="K50" i="10" s="1"/>
  <c r="K26" i="28"/>
  <c r="L23" i="28" s="1"/>
  <c r="K24" i="28"/>
  <c r="O7" i="21"/>
  <c r="U32" i="5"/>
  <c r="U23" i="5"/>
  <c r="U24" i="5" s="1"/>
  <c r="U27" i="5" s="1"/>
  <c r="U36" i="5" s="1"/>
  <c r="U37" i="5" s="1"/>
  <c r="J28" i="10"/>
  <c r="R44" i="24"/>
  <c r="R45" i="24" s="1"/>
  <c r="R46" i="24" s="1"/>
  <c r="M16" i="28"/>
  <c r="M21" i="28" s="1"/>
  <c r="L10" i="9"/>
  <c r="L22" i="28"/>
  <c r="L25" i="28" s="1"/>
  <c r="P5" i="21"/>
  <c r="P6" i="21" s="1"/>
  <c r="N17" i="7"/>
  <c r="S19" i="10"/>
  <c r="S21" i="10" s="1"/>
  <c r="R21" i="10"/>
  <c r="C6" i="19"/>
  <c r="V43" i="5"/>
  <c r="V29" i="5"/>
  <c r="V18" i="5"/>
  <c r="V22" i="5" s="1"/>
  <c r="W20" i="5"/>
  <c r="W21" i="5" s="1"/>
  <c r="W31" i="5" s="1"/>
  <c r="W15" i="5"/>
  <c r="X14" i="5"/>
  <c r="G19" i="22" l="1"/>
  <c r="H37" i="28"/>
  <c r="F74" i="27" s="1"/>
  <c r="F76" i="27" s="1"/>
  <c r="F78" i="27" s="1"/>
  <c r="F80" i="27" s="1"/>
  <c r="I35" i="28"/>
  <c r="K28" i="28"/>
  <c r="K33" i="28" s="1"/>
  <c r="K32" i="28"/>
  <c r="G20" i="7"/>
  <c r="G26" i="7" s="1"/>
  <c r="F24" i="9"/>
  <c r="F25" i="9" s="1"/>
  <c r="K43" i="10"/>
  <c r="K51" i="10" s="1"/>
  <c r="L24" i="28"/>
  <c r="M22" i="28"/>
  <c r="M25" i="28" s="1"/>
  <c r="P7" i="21"/>
  <c r="G6" i="20"/>
  <c r="G7" i="20" s="1"/>
  <c r="C5" i="20"/>
  <c r="L26" i="28"/>
  <c r="M23" i="28" s="1"/>
  <c r="Y14" i="5"/>
  <c r="X20" i="5"/>
  <c r="X21" i="5" s="1"/>
  <c r="X31" i="5" s="1"/>
  <c r="X15" i="5"/>
  <c r="W43" i="5"/>
  <c r="W18" i="5"/>
  <c r="W22" i="5" s="1"/>
  <c r="W29" i="5"/>
  <c r="U10" i="8"/>
  <c r="N16" i="28"/>
  <c r="M10" i="9"/>
  <c r="N10" i="9" s="1"/>
  <c r="J35" i="28"/>
  <c r="J40" i="28"/>
  <c r="I39" i="28"/>
  <c r="I36" i="28"/>
  <c r="V23" i="5"/>
  <c r="V24" i="5" s="1"/>
  <c r="V27" i="5" s="1"/>
  <c r="V36" i="5" s="1"/>
  <c r="V37" i="5" s="1"/>
  <c r="V32" i="5"/>
  <c r="J36" i="10"/>
  <c r="K26" i="10"/>
  <c r="K27" i="10" s="1"/>
  <c r="G31" i="22" l="1"/>
  <c r="G32" i="22" s="1"/>
  <c r="G33" i="22" s="1"/>
  <c r="G34" i="22" s="1"/>
  <c r="G29" i="22"/>
  <c r="H18" i="7"/>
  <c r="H20" i="7" s="1"/>
  <c r="H21" i="7" s="1"/>
  <c r="I6" i="20" s="1"/>
  <c r="K35" i="28"/>
  <c r="L28" i="28"/>
  <c r="L33" i="28" s="1"/>
  <c r="L32" i="28"/>
  <c r="D6" i="19"/>
  <c r="D10" i="19" s="1"/>
  <c r="G21" i="7"/>
  <c r="H6" i="20" s="1"/>
  <c r="G10" i="8"/>
  <c r="K40" i="28"/>
  <c r="M24" i="28"/>
  <c r="M26" i="28"/>
  <c r="N23" i="28" s="1"/>
  <c r="Y20" i="5"/>
  <c r="Y21" i="5" s="1"/>
  <c r="Y31" i="5" s="1"/>
  <c r="Z14" i="5"/>
  <c r="Y15" i="5"/>
  <c r="I41" i="28"/>
  <c r="I42" i="28" s="1"/>
  <c r="I30" i="8" s="1"/>
  <c r="H21" i="9" s="1"/>
  <c r="I37" i="28"/>
  <c r="N22" i="28"/>
  <c r="W23" i="5"/>
  <c r="W24" i="5" s="1"/>
  <c r="W27" i="5" s="1"/>
  <c r="W36" i="5" s="1"/>
  <c r="W37" i="5" s="1"/>
  <c r="W32" i="5"/>
  <c r="X29" i="5"/>
  <c r="X43" i="5"/>
  <c r="X18" i="5"/>
  <c r="X22" i="5" s="1"/>
  <c r="K35" i="10"/>
  <c r="N20" i="28" s="1"/>
  <c r="N21" i="28" s="1"/>
  <c r="G24" i="9" l="1"/>
  <c r="G25" i="9" s="1"/>
  <c r="E6" i="19"/>
  <c r="E10" i="19" s="1"/>
  <c r="E14" i="19" s="1"/>
  <c r="D14" i="19"/>
  <c r="D15" i="19"/>
  <c r="H26" i="7"/>
  <c r="H18" i="22"/>
  <c r="L35" i="28"/>
  <c r="M28" i="28"/>
  <c r="M33" i="28" s="1"/>
  <c r="H22" i="7"/>
  <c r="M32" i="28"/>
  <c r="H7" i="20"/>
  <c r="H10" i="8"/>
  <c r="G51" i="8"/>
  <c r="K28" i="10"/>
  <c r="K36" i="10" s="1"/>
  <c r="N26" i="28"/>
  <c r="N24" i="28"/>
  <c r="N25" i="28"/>
  <c r="J39" i="28"/>
  <c r="J36" i="28"/>
  <c r="L40" i="28"/>
  <c r="AA14" i="5"/>
  <c r="Z15" i="5"/>
  <c r="Z20" i="5"/>
  <c r="Z21" i="5" s="1"/>
  <c r="Z31" i="5" s="1"/>
  <c r="X23" i="5"/>
  <c r="X24" i="5" s="1"/>
  <c r="X27" i="5" s="1"/>
  <c r="X36" i="5" s="1"/>
  <c r="X37" i="5" s="1"/>
  <c r="X32" i="5"/>
  <c r="I18" i="7"/>
  <c r="G74" i="27"/>
  <c r="G76" i="27" s="1"/>
  <c r="G78" i="27" s="1"/>
  <c r="G80" i="27" s="1"/>
  <c r="Y29" i="5"/>
  <c r="Y43" i="5"/>
  <c r="Y18" i="5"/>
  <c r="Y22" i="5" s="1"/>
  <c r="E15" i="19" l="1"/>
  <c r="I7" i="20"/>
  <c r="H19" i="22"/>
  <c r="M35" i="28"/>
  <c r="N32" i="28"/>
  <c r="N28" i="28"/>
  <c r="N33" i="28" s="1"/>
  <c r="H51" i="8"/>
  <c r="M40" i="28"/>
  <c r="J41" i="28"/>
  <c r="J42" i="28" s="1"/>
  <c r="J30" i="8" s="1"/>
  <c r="I21" i="9" s="1"/>
  <c r="J37" i="28"/>
  <c r="Y23" i="5"/>
  <c r="Y24" i="5" s="1"/>
  <c r="Y27" i="5" s="1"/>
  <c r="Y36" i="5" s="1"/>
  <c r="Y37" i="5" s="1"/>
  <c r="Y32" i="5"/>
  <c r="U24" i="7"/>
  <c r="Z18" i="5"/>
  <c r="Z22" i="5" s="1"/>
  <c r="Z29" i="5"/>
  <c r="Z43" i="5"/>
  <c r="I18" i="22"/>
  <c r="H24" i="9"/>
  <c r="H25" i="9" s="1"/>
  <c r="I20" i="7"/>
  <c r="I21" i="7" s="1"/>
  <c r="I22" i="7" s="1"/>
  <c r="AA20" i="5"/>
  <c r="AA21" i="5" s="1"/>
  <c r="AA31" i="5" s="1"/>
  <c r="AA15" i="5"/>
  <c r="I19" i="22" l="1"/>
  <c r="H29" i="22"/>
  <c r="H31" i="22"/>
  <c r="H32" i="22" s="1"/>
  <c r="H33" i="22" s="1"/>
  <c r="H34" i="22" s="1"/>
  <c r="I10" i="8"/>
  <c r="I51" i="8" s="1"/>
  <c r="Z23" i="5"/>
  <c r="Z24" i="5" s="1"/>
  <c r="Z27" i="5" s="1"/>
  <c r="Z36" i="5" s="1"/>
  <c r="Z37" i="5" s="1"/>
  <c r="Z32" i="5"/>
  <c r="H74" i="27"/>
  <c r="H76" i="27" s="1"/>
  <c r="H78" i="27" s="1"/>
  <c r="H80" i="27" s="1"/>
  <c r="J18" i="7"/>
  <c r="N35" i="28"/>
  <c r="N40" i="28"/>
  <c r="AA18" i="5"/>
  <c r="AA22" i="5" s="1"/>
  <c r="AA43" i="5"/>
  <c r="AA29" i="5"/>
  <c r="U25" i="7"/>
  <c r="K39" i="28"/>
  <c r="K36" i="28"/>
  <c r="J6" i="20"/>
  <c r="F6" i="19"/>
  <c r="F10" i="19" s="1"/>
  <c r="F15" i="19" s="1"/>
  <c r="I26" i="7"/>
  <c r="I31" i="22" l="1"/>
  <c r="I32" i="22" s="1"/>
  <c r="I33" i="22" s="1"/>
  <c r="I34" i="22" s="1"/>
  <c r="I29" i="22"/>
  <c r="J18" i="22"/>
  <c r="I24" i="9"/>
  <c r="I25" i="9" s="1"/>
  <c r="J20" i="7"/>
  <c r="J10" i="8" s="1"/>
  <c r="F14" i="19"/>
  <c r="J7" i="20"/>
  <c r="K41" i="28"/>
  <c r="K42" i="28" s="1"/>
  <c r="K37" i="28"/>
  <c r="AA23" i="5"/>
  <c r="AA24" i="5" s="1"/>
  <c r="AA27" i="5" s="1"/>
  <c r="AA36" i="5" s="1"/>
  <c r="AA37" i="5" s="1"/>
  <c r="AA32" i="5"/>
  <c r="J19" i="22" l="1"/>
  <c r="L36" i="28"/>
  <c r="K30" i="8"/>
  <c r="J21" i="9" s="1"/>
  <c r="J51" i="8"/>
  <c r="J21" i="7"/>
  <c r="L39" i="28"/>
  <c r="G6" i="19"/>
  <c r="G10" i="19" s="1"/>
  <c r="G15" i="19" s="1"/>
  <c r="J26" i="7"/>
  <c r="K18" i="7"/>
  <c r="I74" i="27"/>
  <c r="I76" i="27" s="1"/>
  <c r="I78" i="27" s="1"/>
  <c r="I80" i="27" s="1"/>
  <c r="J31" i="22" l="1"/>
  <c r="J32" i="22" s="1"/>
  <c r="J33" i="22" s="1"/>
  <c r="J34" i="22" s="1"/>
  <c r="J29" i="22"/>
  <c r="K6" i="20"/>
  <c r="K7" i="20" s="1"/>
  <c r="J22" i="7"/>
  <c r="L41" i="28"/>
  <c r="L42" i="28" s="1"/>
  <c r="L37" i="28"/>
  <c r="G14" i="19"/>
  <c r="K18" i="22"/>
  <c r="J24" i="9"/>
  <c r="J25" i="9" s="1"/>
  <c r="K20" i="7"/>
  <c r="K19" i="22" l="1"/>
  <c r="M36" i="28"/>
  <c r="L30" i="8"/>
  <c r="K21" i="9" s="1"/>
  <c r="K21" i="7"/>
  <c r="K10" i="8"/>
  <c r="K51" i="8" s="1"/>
  <c r="M39" i="28"/>
  <c r="K26" i="7"/>
  <c r="H6" i="19"/>
  <c r="H10" i="19" s="1"/>
  <c r="H15" i="19" s="1"/>
  <c r="J74" i="27"/>
  <c r="J76" i="27" s="1"/>
  <c r="J78" i="27" s="1"/>
  <c r="J80" i="27" s="1"/>
  <c r="L18" i="7"/>
  <c r="K31" i="22" l="1"/>
  <c r="K32" i="22" s="1"/>
  <c r="K33" i="22" s="1"/>
  <c r="K34" i="22" s="1"/>
  <c r="K29" i="22"/>
  <c r="L6" i="20"/>
  <c r="L7" i="20" s="1"/>
  <c r="K22" i="7"/>
  <c r="K24" i="9"/>
  <c r="K25" i="9" s="1"/>
  <c r="L18" i="22"/>
  <c r="L20" i="7"/>
  <c r="L10" i="8" s="1"/>
  <c r="M41" i="28"/>
  <c r="M42" i="28" s="1"/>
  <c r="M37" i="28"/>
  <c r="H14" i="19"/>
  <c r="L19" i="22" l="1"/>
  <c r="N36" i="28"/>
  <c r="M30" i="8"/>
  <c r="L21" i="9" s="1"/>
  <c r="L51" i="8"/>
  <c r="L21" i="7"/>
  <c r="N39" i="28"/>
  <c r="M18" i="7"/>
  <c r="K74" i="27"/>
  <c r="K76" i="27" s="1"/>
  <c r="K78" i="27" s="1"/>
  <c r="K80" i="27" s="1"/>
  <c r="L26" i="7"/>
  <c r="I6" i="19"/>
  <c r="I10" i="19" s="1"/>
  <c r="L29" i="22" l="1"/>
  <c r="L31" i="22"/>
  <c r="L32" i="22" s="1"/>
  <c r="L33" i="22" s="1"/>
  <c r="L34" i="22" s="1"/>
  <c r="I14" i="19"/>
  <c r="I15" i="19"/>
  <c r="M6" i="20"/>
  <c r="M7" i="20" s="1"/>
  <c r="L22" i="7"/>
  <c r="Q41" i="10"/>
  <c r="M18" i="22"/>
  <c r="L24" i="9"/>
  <c r="L25" i="9" s="1"/>
  <c r="M20" i="7"/>
  <c r="N41" i="28"/>
  <c r="N42" i="28" s="1"/>
  <c r="N30" i="8" s="1"/>
  <c r="M21" i="9" s="1"/>
  <c r="N37" i="28"/>
  <c r="M19" i="22" l="1"/>
  <c r="M21" i="7"/>
  <c r="M10" i="8"/>
  <c r="M51" i="8" s="1"/>
  <c r="Q42" i="10"/>
  <c r="Q43" i="10"/>
  <c r="L74" i="27"/>
  <c r="L76" i="27" s="1"/>
  <c r="L78" i="27" s="1"/>
  <c r="L80" i="27" s="1"/>
  <c r="N18" i="7"/>
  <c r="J6" i="19"/>
  <c r="J10" i="19" s="1"/>
  <c r="J15" i="19" s="1"/>
  <c r="M26" i="7"/>
  <c r="M31" i="22" l="1"/>
  <c r="M32" i="22" s="1"/>
  <c r="M33" i="22" s="1"/>
  <c r="M34" i="22" s="1"/>
  <c r="M29" i="22"/>
  <c r="N6" i="20"/>
  <c r="N7" i="20" s="1"/>
  <c r="M22" i="7"/>
  <c r="J14" i="19"/>
  <c r="Q50" i="10"/>
  <c r="R41" i="10"/>
  <c r="Q51" i="10"/>
  <c r="N18" i="22"/>
  <c r="M24" i="9"/>
  <c r="M25" i="9" s="1"/>
  <c r="N20" i="7"/>
  <c r="N10" i="8" s="1"/>
  <c r="N19" i="22" l="1"/>
  <c r="N51" i="8"/>
  <c r="N21" i="7"/>
  <c r="R42" i="10"/>
  <c r="Q26" i="10"/>
  <c r="K6" i="19"/>
  <c r="K10" i="19" s="1"/>
  <c r="K15" i="19" s="1"/>
  <c r="N31" i="22" l="1"/>
  <c r="N32" i="22" s="1"/>
  <c r="N33" i="22" s="1"/>
  <c r="N34" i="22" s="1"/>
  <c r="N29" i="22"/>
  <c r="O6" i="20"/>
  <c r="G10" i="20" s="1"/>
  <c r="N22" i="7"/>
  <c r="K14" i="19"/>
  <c r="R50" i="10"/>
  <c r="R43" i="10"/>
  <c r="Q27" i="10"/>
  <c r="O7" i="20" l="1"/>
  <c r="Q35" i="10"/>
  <c r="S41" i="10"/>
  <c r="R51" i="10"/>
  <c r="Q28" i="10"/>
  <c r="Q36" i="10" s="1"/>
  <c r="N14" i="20" l="1"/>
  <c r="G11" i="20"/>
  <c r="G12" i="20"/>
  <c r="G13" i="20"/>
  <c r="S42" i="10"/>
  <c r="S43" i="10" s="1"/>
  <c r="S51" i="10" s="1"/>
  <c r="R26" i="10"/>
  <c r="R27" i="10" s="1"/>
  <c r="R35" i="10" l="1"/>
  <c r="S50" i="10"/>
  <c r="T42" i="10"/>
  <c r="R28" i="10"/>
  <c r="R36" i="10" s="1"/>
  <c r="S26" i="10" l="1"/>
  <c r="S27" i="10"/>
  <c r="S35" i="10" l="1"/>
  <c r="T27" i="10"/>
  <c r="S28" i="10"/>
  <c r="S36" i="10" s="1"/>
  <c r="U26" i="7" l="1"/>
  <c r="T8" i="8" l="1"/>
  <c r="T10" i="8"/>
  <c r="T51" i="8" s="1"/>
  <c r="T11" i="8" l="1"/>
  <c r="T13" i="8" s="1"/>
  <c r="T45" i="8" s="1"/>
  <c r="T46" i="8" s="1"/>
  <c r="T53" i="8"/>
  <c r="T20" i="8" l="1"/>
  <c r="T36" i="8" s="1"/>
  <c r="T48" i="8"/>
  <c r="T49" i="8" s="1"/>
  <c r="C10" i="19" l="1"/>
  <c r="C15" i="19" s="1"/>
  <c r="C13" i="19"/>
  <c r="L10" i="19" l="1"/>
  <c r="C17" i="19" s="1"/>
  <c r="L13" i="19"/>
  <c r="C14" i="19"/>
  <c r="C16" i="19" l="1"/>
  <c r="K38" i="22" s="1"/>
  <c r="L15" i="19"/>
  <c r="L14" i="19"/>
  <c r="I11" i="21"/>
  <c r="I18" i="21" s="1"/>
  <c r="J11" i="21"/>
  <c r="J18" i="21" s="1"/>
  <c r="K11" i="21"/>
  <c r="K18" i="21" s="1"/>
  <c r="L11" i="21"/>
  <c r="L18" i="21" s="1"/>
  <c r="M11" i="21"/>
  <c r="M18" i="21" s="1"/>
  <c r="N11" i="21"/>
  <c r="N18" i="21" s="1"/>
  <c r="O11" i="21"/>
  <c r="O18" i="21" s="1"/>
  <c r="P11" i="21"/>
  <c r="P17" i="21" s="1"/>
  <c r="H11" i="21"/>
  <c r="H18" i="21" s="1"/>
  <c r="P18" i="21" l="1"/>
  <c r="H19" i="21" s="1"/>
  <c r="H20" i="21" l="1"/>
  <c r="G8" i="8" l="1"/>
  <c r="H8" i="8"/>
  <c r="I8" i="8"/>
  <c r="J8" i="8"/>
  <c r="K8" i="8"/>
  <c r="L8" i="8"/>
  <c r="M8" i="8"/>
  <c r="N8" i="8"/>
  <c r="F9" i="8"/>
  <c r="G9" i="8"/>
  <c r="H9" i="8"/>
  <c r="I9" i="8"/>
  <c r="J9" i="8"/>
  <c r="K9" i="8"/>
  <c r="L9" i="8"/>
  <c r="M9" i="8"/>
  <c r="N9" i="8"/>
  <c r="U9" i="8"/>
  <c r="F11" i="8"/>
  <c r="G11" i="8"/>
  <c r="H11" i="8"/>
  <c r="I11" i="8"/>
  <c r="J11" i="8"/>
  <c r="K11" i="8"/>
  <c r="L11" i="8"/>
  <c r="M11" i="8"/>
  <c r="N11" i="8"/>
  <c r="U11" i="8"/>
  <c r="F13" i="8"/>
  <c r="G13" i="8"/>
  <c r="H13" i="8"/>
  <c r="I13" i="8"/>
  <c r="J13" i="8"/>
  <c r="K13" i="8"/>
  <c r="L13" i="8"/>
  <c r="M13" i="8"/>
  <c r="N13" i="8"/>
  <c r="U13" i="8"/>
  <c r="F20" i="8"/>
  <c r="G20" i="8"/>
  <c r="H20" i="8"/>
  <c r="I20" i="8"/>
  <c r="J20" i="8"/>
  <c r="K20" i="8"/>
  <c r="L20" i="8"/>
  <c r="M20" i="8"/>
  <c r="N20" i="8"/>
  <c r="U20" i="8"/>
  <c r="F34" i="8"/>
  <c r="G34" i="8"/>
  <c r="H34" i="8"/>
  <c r="I34" i="8"/>
  <c r="J34" i="8"/>
  <c r="K34" i="8"/>
  <c r="L34" i="8"/>
  <c r="M34" i="8"/>
  <c r="N34" i="8"/>
  <c r="U34" i="8"/>
  <c r="F35" i="8"/>
  <c r="G35" i="8"/>
  <c r="H35" i="8"/>
  <c r="I35" i="8"/>
  <c r="J35" i="8"/>
  <c r="K35" i="8"/>
  <c r="L35" i="8"/>
  <c r="M35" i="8"/>
  <c r="N35" i="8"/>
  <c r="F36" i="8"/>
  <c r="G36" i="8"/>
  <c r="H36" i="8"/>
  <c r="I36" i="8"/>
  <c r="J36" i="8"/>
  <c r="K36" i="8"/>
  <c r="L36" i="8"/>
  <c r="M36" i="8"/>
  <c r="N36" i="8"/>
  <c r="F39" i="8"/>
  <c r="G39" i="8"/>
  <c r="H39" i="8"/>
  <c r="I39" i="8"/>
  <c r="J39" i="8"/>
  <c r="K39" i="8"/>
  <c r="L39" i="8"/>
  <c r="M39" i="8"/>
  <c r="N39" i="8"/>
  <c r="U39" i="8"/>
  <c r="U42" i="8"/>
  <c r="F43" i="8"/>
  <c r="G43" i="8"/>
  <c r="H43" i="8"/>
  <c r="I43" i="8"/>
  <c r="J43" i="8"/>
  <c r="K43" i="8"/>
  <c r="L43" i="8"/>
  <c r="M43" i="8"/>
  <c r="N43" i="8"/>
  <c r="U43" i="8"/>
  <c r="F45" i="8"/>
  <c r="G45" i="8"/>
  <c r="H45" i="8"/>
  <c r="I45" i="8"/>
  <c r="J45" i="8"/>
  <c r="K45" i="8"/>
  <c r="L45" i="8"/>
  <c r="M45" i="8"/>
  <c r="N45" i="8"/>
  <c r="U45" i="8"/>
  <c r="F46" i="8"/>
  <c r="G46" i="8"/>
  <c r="H46" i="8"/>
  <c r="I46" i="8"/>
  <c r="J46" i="8"/>
  <c r="K46" i="8"/>
  <c r="L46" i="8"/>
  <c r="M46" i="8"/>
  <c r="N46" i="8"/>
  <c r="U46" i="8"/>
  <c r="F48" i="8"/>
  <c r="G48" i="8"/>
  <c r="H48" i="8"/>
  <c r="I48" i="8"/>
  <c r="J48" i="8"/>
  <c r="K48" i="8"/>
  <c r="L48" i="8"/>
  <c r="M48" i="8"/>
  <c r="N48" i="8"/>
  <c r="F49" i="8"/>
  <c r="G49" i="8"/>
  <c r="H49" i="8"/>
  <c r="I49" i="8"/>
  <c r="J49" i="8"/>
  <c r="K49" i="8"/>
  <c r="L49" i="8"/>
  <c r="M49" i="8"/>
  <c r="N49" i="8"/>
  <c r="U49" i="8"/>
  <c r="F52" i="8"/>
  <c r="G52" i="8"/>
  <c r="H52" i="8"/>
  <c r="I52" i="8"/>
  <c r="J52" i="8"/>
  <c r="K52" i="8"/>
  <c r="L52" i="8"/>
  <c r="M52" i="8"/>
  <c r="N52" i="8"/>
  <c r="F53" i="8"/>
  <c r="G53" i="8"/>
  <c r="H53" i="8"/>
  <c r="I53" i="8"/>
  <c r="J53" i="8"/>
  <c r="K53" i="8"/>
  <c r="L53" i="8"/>
  <c r="M53" i="8"/>
  <c r="N53" i="8"/>
  <c r="E9" i="9"/>
  <c r="F9" i="9"/>
  <c r="G9" i="9"/>
  <c r="H9" i="9"/>
  <c r="I9" i="9"/>
  <c r="J9" i="9"/>
  <c r="K9" i="9"/>
  <c r="L9" i="9"/>
  <c r="M9" i="9"/>
  <c r="E17" i="9"/>
  <c r="F17" i="9"/>
  <c r="G17" i="9"/>
  <c r="H17" i="9"/>
  <c r="I17" i="9"/>
  <c r="J17" i="9"/>
  <c r="K17" i="9"/>
  <c r="L17" i="9"/>
  <c r="M17" i="9"/>
  <c r="F26" i="9"/>
  <c r="G26" i="9"/>
  <c r="H26" i="9"/>
  <c r="I26" i="9"/>
  <c r="J26" i="9"/>
  <c r="K26" i="9"/>
  <c r="L26" i="9"/>
  <c r="M26" i="9"/>
  <c r="E27" i="9"/>
  <c r="F27" i="9"/>
  <c r="G27" i="9"/>
  <c r="H27" i="9"/>
  <c r="I27" i="9"/>
  <c r="J27" i="9"/>
  <c r="K27" i="9"/>
  <c r="L27" i="9"/>
  <c r="M27" i="9"/>
  <c r="E28" i="9"/>
  <c r="F28" i="9"/>
  <c r="G28" i="9"/>
  <c r="H28" i="9"/>
  <c r="I28" i="9"/>
  <c r="J28" i="9"/>
  <c r="K28" i="9"/>
  <c r="L28" i="9"/>
  <c r="M28" i="9"/>
  <c r="C42" i="19"/>
  <c r="D42" i="19"/>
  <c r="E42" i="19"/>
  <c r="F42" i="19"/>
  <c r="G42" i="19"/>
  <c r="H42" i="19"/>
  <c r="I42" i="19"/>
  <c r="J42" i="19"/>
  <c r="K42" i="19"/>
  <c r="C46" i="19"/>
  <c r="D46" i="19"/>
  <c r="E46" i="19"/>
  <c r="F46" i="19"/>
  <c r="G46" i="19"/>
  <c r="H46" i="19"/>
  <c r="I46" i="19"/>
  <c r="J46" i="19"/>
  <c r="K46" i="19"/>
  <c r="C50" i="19"/>
  <c r="D50" i="19"/>
  <c r="E50" i="19"/>
  <c r="F50" i="19"/>
  <c r="G50" i="19"/>
  <c r="H50" i="19"/>
  <c r="I50" i="19"/>
  <c r="J50" i="19"/>
  <c r="K50" i="19"/>
  <c r="F28" i="7"/>
  <c r="G28" i="7"/>
  <c r="H28" i="7"/>
  <c r="I28" i="7"/>
  <c r="J28" i="7"/>
  <c r="K28" i="7"/>
  <c r="L28" i="7"/>
  <c r="M28" i="7"/>
  <c r="N28" i="7"/>
  <c r="F29" i="7"/>
  <c r="G29" i="7"/>
  <c r="H29" i="7"/>
  <c r="I29" i="7"/>
  <c r="J29" i="7"/>
  <c r="K29" i="7"/>
  <c r="L29" i="7"/>
  <c r="M29" i="7"/>
  <c r="N29" i="7"/>
  <c r="F30" i="7"/>
  <c r="G30" i="7"/>
  <c r="H30" i="7"/>
  <c r="I30" i="7"/>
  <c r="J30" i="7"/>
  <c r="K30" i="7"/>
  <c r="L30" i="7"/>
  <c r="M30" i="7"/>
  <c r="N30" i="7"/>
  <c r="F31" i="7"/>
  <c r="G31" i="7"/>
  <c r="H31" i="7"/>
  <c r="I31" i="7"/>
  <c r="J31" i="7"/>
  <c r="K31" i="7"/>
  <c r="L31" i="7"/>
  <c r="M31" i="7"/>
  <c r="N31" i="7"/>
  <c r="F32" i="7"/>
  <c r="G32" i="7"/>
  <c r="H32" i="7"/>
  <c r="I32" i="7"/>
  <c r="J32" i="7"/>
  <c r="K32" i="7"/>
  <c r="L32" i="7"/>
  <c r="M32" i="7"/>
  <c r="N32" i="7"/>
  <c r="F33" i="7"/>
  <c r="G33" i="7"/>
  <c r="H33" i="7"/>
  <c r="I33" i="7"/>
  <c r="J33" i="7"/>
  <c r="K33" i="7"/>
  <c r="L33" i="7"/>
  <c r="M33" i="7"/>
  <c r="N33" i="7"/>
</calcChain>
</file>

<file path=xl/comments1.xml><?xml version="1.0" encoding="utf-8"?>
<comments xmlns="http://schemas.openxmlformats.org/spreadsheetml/2006/main" xmlns:mc="http://schemas.openxmlformats.org/markup-compatibility/2006" xmlns:xr="http://schemas.microsoft.com/office/spreadsheetml/2014/revision" mc:Ignorable="xr">
  <authors>
    <author/>
  </authors>
  <commentList>
    <comment ref="D1" authorId="0" shapeId="0" xr:uid="{00000000-0006-0000-0600-000001000000}">
      <text>
        <r>
          <rPr>
            <b/>
            <sz val="9"/>
            <rFont val="Tahoma"/>
            <family val="2"/>
          </rPr>
          <t xml:space="preserve">Owner:
</t>
        </r>
        <r>
          <rPr>
            <b/>
            <sz val="9"/>
            <color indexed="12"/>
            <rFont val="Tahoma"/>
            <family val="2"/>
          </rPr>
          <t>MANDATORY FIELD in dd/mm/yyyy format</t>
        </r>
      </text>
    </comment>
    <comment ref="E1" authorId="0" shapeId="0" xr:uid="{00000000-0006-0000-0600-000002000000}">
      <text>
        <r>
          <rPr>
            <b/>
            <sz val="9"/>
            <rFont val="Tahoma"/>
            <family val="2"/>
          </rPr>
          <t xml:space="preserve">Owner:
</t>
        </r>
        <r>
          <rPr>
            <b/>
            <sz val="9"/>
            <color indexed="12"/>
            <rFont val="Tahoma"/>
            <family val="2"/>
          </rPr>
          <t>MANDATORY FIELD in dd/mm/yyyy format</t>
        </r>
      </text>
    </comment>
    <comment ref="F1" authorId="0" shapeId="0" xr:uid="{00000000-0006-0000-0600-000003000000}">
      <text>
        <r>
          <rPr>
            <b/>
            <sz val="9"/>
            <rFont val="Tahoma"/>
            <family val="2"/>
          </rPr>
          <t xml:space="preserve">Owner:
</t>
        </r>
        <r>
          <rPr>
            <b/>
            <sz val="9"/>
            <color indexed="12"/>
            <rFont val="Tahoma"/>
            <family val="2"/>
          </rPr>
          <t>MANDATORY FIELD</t>
        </r>
      </text>
    </comment>
    <comment ref="G1" authorId="0" shapeId="0" xr:uid="{00000000-0006-0000-0600-000004000000}">
      <text>
        <r>
          <rPr>
            <b/>
            <sz val="9"/>
            <rFont val="Tahoma"/>
            <family val="2"/>
          </rPr>
          <t xml:space="preserve">Owner:
</t>
        </r>
        <r>
          <rPr>
            <b/>
            <sz val="9"/>
            <color indexed="12"/>
            <rFont val="Tahoma"/>
            <family val="2"/>
          </rPr>
          <t>MANDATORY FIELD</t>
        </r>
      </text>
    </comment>
    <comment ref="H1" authorId="0" shapeId="0" xr:uid="{00000000-0006-0000-0600-000005000000}">
      <text>
        <r>
          <rPr>
            <b/>
            <sz val="9"/>
            <rFont val="Tahoma"/>
            <family val="2"/>
          </rPr>
          <t xml:space="preserve">Owner:
</t>
        </r>
        <r>
          <rPr>
            <b/>
            <sz val="9"/>
            <color indexed="12"/>
            <rFont val="Tahoma"/>
            <family val="2"/>
          </rPr>
          <t>MANDATORY FIELD</t>
        </r>
      </text>
    </comment>
    <comment ref="I1" authorId="0" shapeId="0" xr:uid="{00000000-0006-0000-0600-000006000000}">
      <text>
        <r>
          <rPr>
            <b/>
            <sz val="9"/>
            <rFont val="Tahoma"/>
            <family val="2"/>
          </rPr>
          <t xml:space="preserve">Owner:
</t>
        </r>
        <r>
          <rPr>
            <b/>
            <sz val="9"/>
            <color indexed="12"/>
            <rFont val="Tahoma"/>
            <family val="2"/>
          </rPr>
          <t>MANDATORY FIELD</t>
        </r>
      </text>
    </comment>
    <comment ref="J1" authorId="0" shapeId="0" xr:uid="{00000000-0006-0000-0600-000007000000}">
      <text>
        <r>
          <rPr>
            <b/>
            <sz val="9"/>
            <rFont val="Tahoma"/>
            <family val="2"/>
          </rPr>
          <t xml:space="preserve">Owner:
</t>
        </r>
        <r>
          <rPr>
            <b/>
            <sz val="9"/>
            <color indexed="12"/>
            <rFont val="Tahoma"/>
            <family val="2"/>
          </rPr>
          <t>MANDATORY FIELD</t>
        </r>
      </text>
    </comment>
    <comment ref="K1" authorId="0" shapeId="0" xr:uid="{00000000-0006-0000-0600-000008000000}">
      <text>
        <r>
          <rPr>
            <b/>
            <sz val="9"/>
            <rFont val="Tahoma"/>
            <family val="2"/>
          </rPr>
          <t xml:space="preserve">Owner:
</t>
        </r>
        <r>
          <rPr>
            <b/>
            <sz val="9"/>
            <color indexed="12"/>
            <rFont val="Tahoma"/>
            <family val="2"/>
          </rPr>
          <t>MANDATORY FIELD</t>
        </r>
      </text>
    </comment>
    <comment ref="L1" authorId="0" shapeId="0" xr:uid="{00000000-0006-0000-0600-000009000000}">
      <text>
        <r>
          <rPr>
            <b/>
            <sz val="9"/>
            <rFont val="Tahoma"/>
            <family val="2"/>
          </rPr>
          <t xml:space="preserve">Owner:
</t>
        </r>
        <r>
          <rPr>
            <b/>
            <sz val="9"/>
            <color indexed="12"/>
            <rFont val="Tahoma"/>
            <family val="2"/>
          </rPr>
          <t>MANDATORY FIELD</t>
        </r>
      </text>
    </comment>
    <comment ref="M1" authorId="0" shapeId="0" xr:uid="{00000000-0006-0000-0600-00000A000000}">
      <text>
        <r>
          <rPr>
            <b/>
            <sz val="9"/>
            <rFont val="Tahoma"/>
            <family val="2"/>
          </rPr>
          <t xml:space="preserve">Owner:
</t>
        </r>
        <r>
          <rPr>
            <b/>
            <sz val="9"/>
            <color indexed="12"/>
            <rFont val="Tahoma"/>
            <family val="2"/>
          </rPr>
          <t>MANDATORY FIELD</t>
        </r>
      </text>
    </comment>
    <comment ref="N1" authorId="0" shapeId="0" xr:uid="{00000000-0006-0000-0600-00000B000000}">
      <text>
        <r>
          <rPr>
            <b/>
            <sz val="9"/>
            <rFont val="Tahoma"/>
            <family val="2"/>
          </rPr>
          <t xml:space="preserve">Owner:
</t>
        </r>
        <r>
          <rPr>
            <b/>
            <sz val="9"/>
            <color indexed="12"/>
            <rFont val="Tahoma"/>
            <family val="2"/>
          </rPr>
          <t>MANDATORY FIELD</t>
        </r>
      </text>
    </comment>
    <comment ref="O1" authorId="0" shapeId="0" xr:uid="{00000000-0006-0000-0600-00000C000000}">
      <text>
        <r>
          <rPr>
            <b/>
            <sz val="9"/>
            <rFont val="Tahoma"/>
            <family val="2"/>
          </rPr>
          <t xml:space="preserve">Owner:
</t>
        </r>
        <r>
          <rPr>
            <b/>
            <sz val="9"/>
            <color indexed="12"/>
            <rFont val="Tahoma"/>
            <family val="2"/>
          </rPr>
          <t>MANDATORY FIELD</t>
        </r>
      </text>
    </comment>
    <comment ref="P1" authorId="0" shapeId="0" xr:uid="{00000000-0006-0000-0600-00000D000000}">
      <text>
        <r>
          <rPr>
            <b/>
            <sz val="9"/>
            <rFont val="Tahoma"/>
            <family val="2"/>
          </rPr>
          <t xml:space="preserve">Owner:
</t>
        </r>
        <r>
          <rPr>
            <b/>
            <sz val="9"/>
            <color indexed="12"/>
            <rFont val="Tahoma"/>
            <family val="2"/>
          </rPr>
          <t>MANDATORY FIELD</t>
        </r>
      </text>
    </comment>
    <comment ref="Q1" authorId="0" shapeId="0" xr:uid="{00000000-0006-0000-0600-00000E000000}">
      <text>
        <r>
          <rPr>
            <b/>
            <sz val="9"/>
            <rFont val="Tahoma"/>
            <family val="2"/>
          </rPr>
          <t xml:space="preserve">Owner:
</t>
        </r>
        <r>
          <rPr>
            <b/>
            <sz val="9"/>
            <color indexed="12"/>
            <rFont val="Tahoma"/>
            <family val="2"/>
          </rPr>
          <t>MANDATORY FIELD</t>
        </r>
      </text>
    </comment>
    <comment ref="R1" authorId="0" shapeId="0" xr:uid="{00000000-0006-0000-0600-00000F000000}">
      <text>
        <r>
          <rPr>
            <b/>
            <sz val="9"/>
            <rFont val="Tahoma"/>
            <family val="2"/>
          </rPr>
          <t xml:space="preserve">Owner:
</t>
        </r>
        <r>
          <rPr>
            <b/>
            <sz val="9"/>
            <color indexed="12"/>
            <rFont val="Tahoma"/>
            <family val="2"/>
          </rPr>
          <t>MANDATORY FIELD</t>
        </r>
      </text>
    </comment>
    <comment ref="S1" authorId="0" shapeId="0" xr:uid="{00000000-0006-0000-0600-000010000000}">
      <text>
        <r>
          <rPr>
            <b/>
            <sz val="9"/>
            <rFont val="Tahoma"/>
            <family val="2"/>
          </rPr>
          <t xml:space="preserve">Owner:
</t>
        </r>
        <r>
          <rPr>
            <b/>
            <sz val="9"/>
            <color indexed="12"/>
            <rFont val="Tahoma"/>
            <family val="2"/>
          </rPr>
          <t>MANDATORY FIELD</t>
        </r>
      </text>
    </comment>
    <comment ref="T1" authorId="0" shapeId="0" xr:uid="{00000000-0006-0000-0600-000011000000}">
      <text>
        <r>
          <rPr>
            <b/>
            <sz val="9"/>
            <rFont val="Tahoma"/>
            <family val="2"/>
          </rPr>
          <t xml:space="preserve">Owner:
</t>
        </r>
        <r>
          <rPr>
            <b/>
            <sz val="9"/>
            <color indexed="12"/>
            <rFont val="Tahoma"/>
            <family val="2"/>
          </rPr>
          <t>MANDATORY FIELD</t>
        </r>
      </text>
    </comment>
    <comment ref="U1" authorId="0" shapeId="0" xr:uid="{00000000-0006-0000-0600-000012000000}">
      <text>
        <r>
          <rPr>
            <b/>
            <sz val="9"/>
            <rFont val="Tahoma"/>
            <family val="2"/>
          </rPr>
          <t xml:space="preserve">Owner:
</t>
        </r>
        <r>
          <rPr>
            <b/>
            <sz val="9"/>
            <color indexed="12"/>
            <rFont val="Tahoma"/>
            <family val="2"/>
          </rPr>
          <t>MANDATORY FIELD</t>
        </r>
      </text>
    </comment>
    <comment ref="V1" authorId="0" shapeId="0" xr:uid="{00000000-0006-0000-0600-000013000000}">
      <text>
        <r>
          <rPr>
            <b/>
            <sz val="9"/>
            <rFont val="Tahoma"/>
            <family val="2"/>
          </rPr>
          <t xml:space="preserve">Owner:
</t>
        </r>
        <r>
          <rPr>
            <b/>
            <sz val="9"/>
            <color indexed="12"/>
            <rFont val="Tahoma"/>
            <family val="2"/>
          </rPr>
          <t>MANDATORY FIELD</t>
        </r>
      </text>
    </comment>
    <comment ref="W1" authorId="0" shapeId="0" xr:uid="{00000000-0006-0000-0600-000014000000}">
      <text>
        <r>
          <rPr>
            <b/>
            <sz val="9"/>
            <rFont val="Tahoma"/>
            <family val="2"/>
          </rPr>
          <t xml:space="preserve">Owner:
</t>
        </r>
        <r>
          <rPr>
            <b/>
            <sz val="9"/>
            <color indexed="12"/>
            <rFont val="Tahoma"/>
            <family val="2"/>
          </rPr>
          <t>MANDATORY FIELD</t>
        </r>
      </text>
    </comment>
    <comment ref="X1" authorId="0" shapeId="0" xr:uid="{00000000-0006-0000-0600-000015000000}">
      <text>
        <r>
          <rPr>
            <b/>
            <sz val="9"/>
            <rFont val="Tahoma"/>
            <family val="2"/>
          </rPr>
          <t xml:space="preserve">Owner:
</t>
        </r>
        <r>
          <rPr>
            <b/>
            <sz val="9"/>
            <color indexed="12"/>
            <rFont val="Tahoma"/>
            <family val="2"/>
          </rPr>
          <t>MANDATORY FIELD</t>
        </r>
      </text>
    </comment>
    <comment ref="Y1" authorId="0" shapeId="0" xr:uid="{00000000-0006-0000-0600-000016000000}">
      <text>
        <r>
          <rPr>
            <b/>
            <sz val="9"/>
            <rFont val="Tahoma"/>
            <family val="2"/>
          </rPr>
          <t xml:space="preserve">Owner:
</t>
        </r>
        <r>
          <rPr>
            <b/>
            <sz val="9"/>
            <color indexed="12"/>
            <rFont val="Tahoma"/>
            <family val="2"/>
          </rPr>
          <t>MANDATORY FIELD</t>
        </r>
      </text>
    </comment>
    <comment ref="Z1" authorId="0" shapeId="0" xr:uid="{00000000-0006-0000-0600-000017000000}">
      <text>
        <r>
          <rPr>
            <b/>
            <sz val="9"/>
            <rFont val="Tahoma"/>
            <family val="2"/>
          </rPr>
          <t xml:space="preserve">Owner:
</t>
        </r>
        <r>
          <rPr>
            <b/>
            <sz val="9"/>
            <color indexed="12"/>
            <rFont val="Tahoma"/>
            <family val="2"/>
          </rPr>
          <t>MANDATORY FIELD</t>
        </r>
      </text>
    </comment>
    <comment ref="AA1" authorId="0" shapeId="0" xr:uid="{00000000-0006-0000-0600-000018000000}">
      <text>
        <r>
          <rPr>
            <b/>
            <sz val="9"/>
            <rFont val="Tahoma"/>
            <family val="2"/>
          </rPr>
          <t xml:space="preserve">Owner:
</t>
        </r>
        <r>
          <rPr>
            <b/>
            <sz val="9"/>
            <color indexed="12"/>
            <rFont val="Tahoma"/>
            <family val="2"/>
          </rPr>
          <t>MANDATORY FIELD</t>
        </r>
      </text>
    </comment>
    <comment ref="AB1" authorId="0" shapeId="0" xr:uid="{00000000-0006-0000-0600-000019000000}">
      <text>
        <r>
          <rPr>
            <b/>
            <sz val="9"/>
            <rFont val="Tahoma"/>
            <family val="2"/>
          </rPr>
          <t xml:space="preserve">Owner:
</t>
        </r>
        <r>
          <rPr>
            <b/>
            <sz val="9"/>
            <color indexed="12"/>
            <rFont val="Tahoma"/>
            <family val="2"/>
          </rPr>
          <t>MANDATORY FIELD</t>
        </r>
      </text>
    </comment>
    <comment ref="AC1" authorId="0" shapeId="0" xr:uid="{00000000-0006-0000-0600-00001A000000}">
      <text>
        <r>
          <rPr>
            <b/>
            <sz val="9"/>
            <rFont val="Tahoma"/>
            <family val="2"/>
          </rPr>
          <t xml:space="preserve">Owner:
</t>
        </r>
        <r>
          <rPr>
            <b/>
            <sz val="9"/>
            <color indexed="12"/>
            <rFont val="Tahoma"/>
            <family val="2"/>
          </rPr>
          <t>MANDATORY FIELD</t>
        </r>
      </text>
    </comment>
    <comment ref="AD1" authorId="0" shapeId="0" xr:uid="{00000000-0006-0000-0600-00001B000000}">
      <text>
        <r>
          <rPr>
            <b/>
            <sz val="9"/>
            <rFont val="Tahoma"/>
            <family val="2"/>
          </rPr>
          <t xml:space="preserve">Owner:
</t>
        </r>
        <r>
          <rPr>
            <b/>
            <sz val="9"/>
            <color indexed="12"/>
            <rFont val="Tahoma"/>
            <family val="2"/>
          </rPr>
          <t>MANDATORY FIELD</t>
        </r>
      </text>
    </comment>
    <comment ref="AE1" authorId="0" shapeId="0" xr:uid="{00000000-0006-0000-0600-00001C000000}">
      <text>
        <r>
          <rPr>
            <b/>
            <sz val="9"/>
            <rFont val="Tahoma"/>
            <family val="2"/>
          </rPr>
          <t xml:space="preserve">Owner:
</t>
        </r>
        <r>
          <rPr>
            <b/>
            <sz val="9"/>
            <color indexed="12"/>
            <rFont val="Tahoma"/>
            <family val="2"/>
          </rPr>
          <t>MANDATORY FIELD</t>
        </r>
      </text>
    </comment>
    <comment ref="D2" authorId="0" shapeId="0" xr:uid="{00000000-0006-0000-0600-00001D000000}">
      <text>
        <r>
          <rPr>
            <b/>
            <sz val="9"/>
            <rFont val="Tahoma"/>
            <family val="2"/>
          </rPr>
          <t xml:space="preserve">AGM-LLMS:
</t>
        </r>
        <r>
          <rPr>
            <b/>
            <sz val="9"/>
            <color indexed="12"/>
            <rFont val="Tahoma"/>
            <family val="2"/>
          </rPr>
          <t>MANDATORY FIELD</t>
        </r>
      </text>
    </comment>
    <comment ref="E2" authorId="0" shapeId="0" xr:uid="{00000000-0006-0000-0600-00001E000000}">
      <text>
        <r>
          <rPr>
            <b/>
            <sz val="9"/>
            <rFont val="Tahoma"/>
            <family val="2"/>
          </rPr>
          <t xml:space="preserve">AGM-LLMS:
</t>
        </r>
        <r>
          <rPr>
            <b/>
            <sz val="9"/>
            <color indexed="12"/>
            <rFont val="Tahoma"/>
            <family val="2"/>
          </rPr>
          <t>MANDATORY FIELD</t>
        </r>
      </text>
    </comment>
    <comment ref="F2" authorId="0" shapeId="0" xr:uid="{00000000-0006-0000-0600-00001F000000}">
      <text>
        <r>
          <rPr>
            <b/>
            <sz val="9"/>
            <rFont val="Tahoma"/>
            <family val="2"/>
          </rPr>
          <t xml:space="preserve">AGM-LLMS:
</t>
        </r>
        <r>
          <rPr>
            <b/>
            <sz val="9"/>
            <color indexed="12"/>
            <rFont val="Tahoma"/>
            <family val="2"/>
          </rPr>
          <t>MANDATORY FIELD</t>
        </r>
      </text>
    </comment>
    <comment ref="G2" authorId="0" shapeId="0" xr:uid="{00000000-0006-0000-0600-000020000000}">
      <text>
        <r>
          <rPr>
            <b/>
            <sz val="9"/>
            <rFont val="Tahoma"/>
            <family val="2"/>
          </rPr>
          <t xml:space="preserve">AGM-LLMS:
</t>
        </r>
        <r>
          <rPr>
            <b/>
            <sz val="9"/>
            <color indexed="12"/>
            <rFont val="Tahoma"/>
            <family val="2"/>
          </rPr>
          <t>MANDATORY FIELD</t>
        </r>
      </text>
    </comment>
    <comment ref="H2" authorId="0" shapeId="0" xr:uid="{00000000-0006-0000-0600-000021000000}">
      <text>
        <r>
          <rPr>
            <b/>
            <sz val="9"/>
            <rFont val="Tahoma"/>
            <family val="2"/>
          </rPr>
          <t xml:space="preserve">AGM-LLMS:
</t>
        </r>
        <r>
          <rPr>
            <b/>
            <sz val="9"/>
            <color indexed="12"/>
            <rFont val="Tahoma"/>
            <family val="2"/>
          </rPr>
          <t>MANDATORY FIELD</t>
        </r>
      </text>
    </comment>
    <comment ref="I2" authorId="0" shapeId="0" xr:uid="{00000000-0006-0000-0600-000022000000}">
      <text>
        <r>
          <rPr>
            <b/>
            <sz val="9"/>
            <rFont val="Tahoma"/>
            <family val="2"/>
          </rPr>
          <t xml:space="preserve">AGM-LLMS:
</t>
        </r>
        <r>
          <rPr>
            <b/>
            <sz val="9"/>
            <color indexed="12"/>
            <rFont val="Tahoma"/>
            <family val="2"/>
          </rPr>
          <t>MANDATORY FIELD</t>
        </r>
      </text>
    </comment>
    <comment ref="J2" authorId="0" shapeId="0" xr:uid="{00000000-0006-0000-0600-000023000000}">
      <text>
        <r>
          <rPr>
            <b/>
            <sz val="9"/>
            <rFont val="Tahoma"/>
            <family val="2"/>
          </rPr>
          <t xml:space="preserve">AGM-LLMS:
</t>
        </r>
        <r>
          <rPr>
            <b/>
            <sz val="9"/>
            <color indexed="12"/>
            <rFont val="Tahoma"/>
            <family val="2"/>
          </rPr>
          <t>MANDATORY FIELD</t>
        </r>
      </text>
    </comment>
    <comment ref="K2" authorId="0" shapeId="0" xr:uid="{00000000-0006-0000-0600-000024000000}">
      <text>
        <r>
          <rPr>
            <b/>
            <sz val="9"/>
            <rFont val="Tahoma"/>
            <family val="2"/>
          </rPr>
          <t xml:space="preserve">AGM-LLMS:
</t>
        </r>
        <r>
          <rPr>
            <b/>
            <sz val="9"/>
            <color indexed="12"/>
            <rFont val="Tahoma"/>
            <family val="2"/>
          </rPr>
          <t>MANDATORY FIELD</t>
        </r>
      </text>
    </comment>
    <comment ref="L2" authorId="0" shapeId="0" xr:uid="{00000000-0006-0000-0600-000025000000}">
      <text>
        <r>
          <rPr>
            <b/>
            <sz val="9"/>
            <rFont val="Tahoma"/>
            <family val="2"/>
          </rPr>
          <t xml:space="preserve">AGM-LLMS:
</t>
        </r>
        <r>
          <rPr>
            <b/>
            <sz val="9"/>
            <color indexed="12"/>
            <rFont val="Tahoma"/>
            <family val="2"/>
          </rPr>
          <t>MANDATORY FIELD</t>
        </r>
      </text>
    </comment>
    <comment ref="M2" authorId="0" shapeId="0" xr:uid="{00000000-0006-0000-0600-000026000000}">
      <text>
        <r>
          <rPr>
            <b/>
            <sz val="9"/>
            <rFont val="Tahoma"/>
            <family val="2"/>
          </rPr>
          <t xml:space="preserve">AGM-LLMS:
</t>
        </r>
        <r>
          <rPr>
            <b/>
            <sz val="9"/>
            <color indexed="12"/>
            <rFont val="Tahoma"/>
            <family val="2"/>
          </rPr>
          <t>MANDATORY FIELD</t>
        </r>
      </text>
    </comment>
    <comment ref="N2" authorId="0" shapeId="0" xr:uid="{00000000-0006-0000-0600-000027000000}">
      <text>
        <r>
          <rPr>
            <b/>
            <sz val="9"/>
            <rFont val="Tahoma"/>
            <family val="2"/>
          </rPr>
          <t xml:space="preserve">AGM-LLMS:
</t>
        </r>
        <r>
          <rPr>
            <b/>
            <sz val="9"/>
            <color indexed="12"/>
            <rFont val="Tahoma"/>
            <family val="2"/>
          </rPr>
          <t>MANDATORY FIELD</t>
        </r>
      </text>
    </comment>
    <comment ref="O2" authorId="0" shapeId="0" xr:uid="{00000000-0006-0000-0600-000028000000}">
      <text>
        <r>
          <rPr>
            <b/>
            <sz val="9"/>
            <rFont val="Tahoma"/>
            <family val="2"/>
          </rPr>
          <t xml:space="preserve">AGM-LLMS:
</t>
        </r>
        <r>
          <rPr>
            <b/>
            <sz val="9"/>
            <color indexed="12"/>
            <rFont val="Tahoma"/>
            <family val="2"/>
          </rPr>
          <t>MANDATORY FIELD</t>
        </r>
      </text>
    </comment>
    <comment ref="P2" authorId="0" shapeId="0" xr:uid="{00000000-0006-0000-0600-000029000000}">
      <text>
        <r>
          <rPr>
            <b/>
            <sz val="9"/>
            <rFont val="Tahoma"/>
            <family val="2"/>
          </rPr>
          <t xml:space="preserve">AGM-LLMS:
</t>
        </r>
        <r>
          <rPr>
            <b/>
            <sz val="9"/>
            <color indexed="12"/>
            <rFont val="Tahoma"/>
            <family val="2"/>
          </rPr>
          <t>MANDATORY FIELD</t>
        </r>
      </text>
    </comment>
    <comment ref="Q2" authorId="0" shapeId="0" xr:uid="{00000000-0006-0000-0600-00002A000000}">
      <text>
        <r>
          <rPr>
            <b/>
            <sz val="9"/>
            <rFont val="Tahoma"/>
            <family val="2"/>
          </rPr>
          <t xml:space="preserve">AGM-LLMS:
</t>
        </r>
        <r>
          <rPr>
            <b/>
            <sz val="9"/>
            <color indexed="12"/>
            <rFont val="Tahoma"/>
            <family val="2"/>
          </rPr>
          <t>MANDATORY FIELD</t>
        </r>
      </text>
    </comment>
    <comment ref="R2" authorId="0" shapeId="0" xr:uid="{00000000-0006-0000-0600-00002B000000}">
      <text>
        <r>
          <rPr>
            <b/>
            <sz val="9"/>
            <rFont val="Tahoma"/>
            <family val="2"/>
          </rPr>
          <t xml:space="preserve">AGM-LLMS:
</t>
        </r>
        <r>
          <rPr>
            <b/>
            <sz val="9"/>
            <color indexed="12"/>
            <rFont val="Tahoma"/>
            <family val="2"/>
          </rPr>
          <t>MANDATORY FIELD</t>
        </r>
      </text>
    </comment>
    <comment ref="S2" authorId="0" shapeId="0" xr:uid="{00000000-0006-0000-0600-00002C000000}">
      <text>
        <r>
          <rPr>
            <b/>
            <sz val="9"/>
            <rFont val="Tahoma"/>
            <family val="2"/>
          </rPr>
          <t xml:space="preserve">AGM-LLMS:
</t>
        </r>
        <r>
          <rPr>
            <b/>
            <sz val="9"/>
            <color indexed="12"/>
            <rFont val="Tahoma"/>
            <family val="2"/>
          </rPr>
          <t>MANDATORY FIELD</t>
        </r>
      </text>
    </comment>
    <comment ref="T2" authorId="0" shapeId="0" xr:uid="{00000000-0006-0000-0600-00002D000000}">
      <text>
        <r>
          <rPr>
            <b/>
            <sz val="9"/>
            <rFont val="Tahoma"/>
            <family val="2"/>
          </rPr>
          <t xml:space="preserve">AGM-LLMS:
</t>
        </r>
        <r>
          <rPr>
            <b/>
            <sz val="9"/>
            <color indexed="12"/>
            <rFont val="Tahoma"/>
            <family val="2"/>
          </rPr>
          <t>MANDATORY FIELD</t>
        </r>
      </text>
    </comment>
    <comment ref="U2" authorId="0" shapeId="0" xr:uid="{00000000-0006-0000-0600-00002E000000}">
      <text>
        <r>
          <rPr>
            <b/>
            <sz val="9"/>
            <rFont val="Tahoma"/>
            <family val="2"/>
          </rPr>
          <t xml:space="preserve">AGM-LLMS:
</t>
        </r>
        <r>
          <rPr>
            <b/>
            <sz val="9"/>
            <color indexed="12"/>
            <rFont val="Tahoma"/>
            <family val="2"/>
          </rPr>
          <t>MANDATORY FIELD</t>
        </r>
      </text>
    </comment>
    <comment ref="V2" authorId="0" shapeId="0" xr:uid="{00000000-0006-0000-0600-00002F000000}">
      <text>
        <r>
          <rPr>
            <b/>
            <sz val="9"/>
            <rFont val="Tahoma"/>
            <family val="2"/>
          </rPr>
          <t xml:space="preserve">AGM-LLMS:
</t>
        </r>
        <r>
          <rPr>
            <b/>
            <sz val="9"/>
            <color indexed="12"/>
            <rFont val="Tahoma"/>
            <family val="2"/>
          </rPr>
          <t>MANDATORY FIELD</t>
        </r>
      </text>
    </comment>
    <comment ref="W2" authorId="0" shapeId="0" xr:uid="{00000000-0006-0000-0600-000030000000}">
      <text>
        <r>
          <rPr>
            <b/>
            <sz val="9"/>
            <rFont val="Tahoma"/>
            <family val="2"/>
          </rPr>
          <t xml:space="preserve">AGM-LLMS:
</t>
        </r>
        <r>
          <rPr>
            <b/>
            <sz val="9"/>
            <color indexed="12"/>
            <rFont val="Tahoma"/>
            <family val="2"/>
          </rPr>
          <t>MANDATORY FIELD</t>
        </r>
      </text>
    </comment>
    <comment ref="X2" authorId="0" shapeId="0" xr:uid="{00000000-0006-0000-0600-000031000000}">
      <text>
        <r>
          <rPr>
            <b/>
            <sz val="9"/>
            <rFont val="Tahoma"/>
            <family val="2"/>
          </rPr>
          <t xml:space="preserve">AGM-LLMS:
</t>
        </r>
        <r>
          <rPr>
            <b/>
            <sz val="9"/>
            <color indexed="12"/>
            <rFont val="Tahoma"/>
            <family val="2"/>
          </rPr>
          <t>MANDATORY FIELD</t>
        </r>
      </text>
    </comment>
    <comment ref="Y2" authorId="0" shapeId="0" xr:uid="{00000000-0006-0000-0600-000032000000}">
      <text>
        <r>
          <rPr>
            <b/>
            <sz val="9"/>
            <rFont val="Tahoma"/>
            <family val="2"/>
          </rPr>
          <t xml:space="preserve">AGM-LLMS:
</t>
        </r>
        <r>
          <rPr>
            <b/>
            <sz val="9"/>
            <color indexed="12"/>
            <rFont val="Tahoma"/>
            <family val="2"/>
          </rPr>
          <t>MANDATORY FIELD</t>
        </r>
      </text>
    </comment>
    <comment ref="Z2" authorId="0" shapeId="0" xr:uid="{00000000-0006-0000-0600-000033000000}">
      <text>
        <r>
          <rPr>
            <b/>
            <sz val="9"/>
            <rFont val="Tahoma"/>
            <family val="2"/>
          </rPr>
          <t xml:space="preserve">AGM-LLMS:
</t>
        </r>
        <r>
          <rPr>
            <b/>
            <sz val="9"/>
            <color indexed="12"/>
            <rFont val="Tahoma"/>
            <family val="2"/>
          </rPr>
          <t>MANDATORY FIELD</t>
        </r>
      </text>
    </comment>
    <comment ref="AA2" authorId="0" shapeId="0" xr:uid="{00000000-0006-0000-0600-000034000000}">
      <text>
        <r>
          <rPr>
            <b/>
            <sz val="9"/>
            <rFont val="Tahoma"/>
            <family val="2"/>
          </rPr>
          <t xml:space="preserve">AGM-LLMS:
</t>
        </r>
        <r>
          <rPr>
            <b/>
            <sz val="9"/>
            <color indexed="12"/>
            <rFont val="Tahoma"/>
            <family val="2"/>
          </rPr>
          <t>MANDATORY FIELD</t>
        </r>
      </text>
    </comment>
    <comment ref="AB2" authorId="0" shapeId="0" xr:uid="{00000000-0006-0000-0600-000035000000}">
      <text>
        <r>
          <rPr>
            <b/>
            <sz val="9"/>
            <rFont val="Tahoma"/>
            <family val="2"/>
          </rPr>
          <t xml:space="preserve">AGM-LLMS:
</t>
        </r>
        <r>
          <rPr>
            <b/>
            <sz val="9"/>
            <color indexed="12"/>
            <rFont val="Tahoma"/>
            <family val="2"/>
          </rPr>
          <t>MANDATORY FIELD</t>
        </r>
      </text>
    </comment>
    <comment ref="AC2" authorId="0" shapeId="0" xr:uid="{00000000-0006-0000-0600-000036000000}">
      <text>
        <r>
          <rPr>
            <b/>
            <sz val="9"/>
            <rFont val="Tahoma"/>
            <family val="2"/>
          </rPr>
          <t xml:space="preserve">AGM-LLMS:
</t>
        </r>
        <r>
          <rPr>
            <b/>
            <sz val="9"/>
            <color indexed="12"/>
            <rFont val="Tahoma"/>
            <family val="2"/>
          </rPr>
          <t>MANDATORY FIELD</t>
        </r>
      </text>
    </comment>
    <comment ref="AD2" authorId="0" shapeId="0" xr:uid="{00000000-0006-0000-0600-000037000000}">
      <text>
        <r>
          <rPr>
            <b/>
            <sz val="9"/>
            <rFont val="Tahoma"/>
            <family val="2"/>
          </rPr>
          <t xml:space="preserve">AGM-LLMS:
</t>
        </r>
        <r>
          <rPr>
            <b/>
            <sz val="9"/>
            <color indexed="12"/>
            <rFont val="Tahoma"/>
            <family val="2"/>
          </rPr>
          <t>MANDATORY FIELD</t>
        </r>
      </text>
    </comment>
    <comment ref="AE2" authorId="0" shapeId="0" xr:uid="{00000000-0006-0000-0600-000038000000}">
      <text>
        <r>
          <rPr>
            <b/>
            <sz val="9"/>
            <rFont val="Tahoma"/>
            <family val="2"/>
          </rPr>
          <t xml:space="preserve">AGM-LLMS:
</t>
        </r>
        <r>
          <rPr>
            <b/>
            <sz val="9"/>
            <color indexed="12"/>
            <rFont val="Tahoma"/>
            <family val="2"/>
          </rPr>
          <t>MANDATORY FIELD</t>
        </r>
      </text>
    </comment>
    <comment ref="D3" authorId="0" shapeId="0" xr:uid="{00000000-0006-0000-0600-000039000000}">
      <text>
        <r>
          <rPr>
            <b/>
            <sz val="9"/>
            <rFont val="Tahoma"/>
            <family val="2"/>
          </rPr>
          <t xml:space="preserve">Owner:
</t>
        </r>
        <r>
          <rPr>
            <b/>
            <sz val="9"/>
            <color indexed="12"/>
            <rFont val="Tahoma"/>
            <family val="2"/>
          </rPr>
          <t>MANDATORY FIELD</t>
        </r>
      </text>
    </comment>
    <comment ref="E3" authorId="0" shapeId="0" xr:uid="{00000000-0006-0000-0600-00003A000000}">
      <text>
        <r>
          <rPr>
            <b/>
            <sz val="9"/>
            <rFont val="Tahoma"/>
            <family val="2"/>
          </rPr>
          <t xml:space="preserve">Owner:
</t>
        </r>
        <r>
          <rPr>
            <b/>
            <sz val="9"/>
            <color indexed="12"/>
            <rFont val="Tahoma"/>
            <family val="2"/>
          </rPr>
          <t>MANDATORY FIELD</t>
        </r>
      </text>
    </comment>
    <comment ref="F3" authorId="0" shapeId="0" xr:uid="{00000000-0006-0000-0600-00003B000000}">
      <text>
        <r>
          <rPr>
            <b/>
            <sz val="9"/>
            <rFont val="Tahoma"/>
            <family val="2"/>
          </rPr>
          <t xml:space="preserve">Owner:
</t>
        </r>
        <r>
          <rPr>
            <b/>
            <sz val="9"/>
            <color indexed="12"/>
            <rFont val="Tahoma"/>
            <family val="2"/>
          </rPr>
          <t>MANDATORY FIELD</t>
        </r>
      </text>
    </comment>
    <comment ref="G3" authorId="0" shapeId="0" xr:uid="{00000000-0006-0000-0600-00003C000000}">
      <text>
        <r>
          <rPr>
            <b/>
            <sz val="9"/>
            <rFont val="Tahoma"/>
            <family val="2"/>
          </rPr>
          <t xml:space="preserve">Owner:
</t>
        </r>
        <r>
          <rPr>
            <b/>
            <sz val="9"/>
            <color indexed="12"/>
            <rFont val="Tahoma"/>
            <family val="2"/>
          </rPr>
          <t>MANDATORY FIELD</t>
        </r>
      </text>
    </comment>
    <comment ref="H3" authorId="0" shapeId="0" xr:uid="{00000000-0006-0000-0600-00003D000000}">
      <text>
        <r>
          <rPr>
            <b/>
            <sz val="9"/>
            <rFont val="Tahoma"/>
            <family val="2"/>
          </rPr>
          <t xml:space="preserve">Owner:
</t>
        </r>
        <r>
          <rPr>
            <b/>
            <sz val="9"/>
            <color indexed="12"/>
            <rFont val="Tahoma"/>
            <family val="2"/>
          </rPr>
          <t>MANDATORY FIELD</t>
        </r>
      </text>
    </comment>
    <comment ref="I3" authorId="0" shapeId="0" xr:uid="{00000000-0006-0000-0600-00003E000000}">
      <text>
        <r>
          <rPr>
            <b/>
            <sz val="9"/>
            <rFont val="Tahoma"/>
            <family val="2"/>
          </rPr>
          <t xml:space="preserve">Owner:
</t>
        </r>
        <r>
          <rPr>
            <b/>
            <sz val="9"/>
            <color indexed="12"/>
            <rFont val="Tahoma"/>
            <family val="2"/>
          </rPr>
          <t>MANDATORY FIELD</t>
        </r>
      </text>
    </comment>
    <comment ref="J3" authorId="0" shapeId="0" xr:uid="{00000000-0006-0000-0600-00003F000000}">
      <text>
        <r>
          <rPr>
            <b/>
            <sz val="9"/>
            <rFont val="Tahoma"/>
            <family val="2"/>
          </rPr>
          <t xml:space="preserve">Owner:
</t>
        </r>
        <r>
          <rPr>
            <b/>
            <sz val="9"/>
            <color indexed="12"/>
            <rFont val="Tahoma"/>
            <family val="2"/>
          </rPr>
          <t>MANDATORY FIELD</t>
        </r>
      </text>
    </comment>
    <comment ref="K3" authorId="0" shapeId="0" xr:uid="{00000000-0006-0000-0600-000040000000}">
      <text>
        <r>
          <rPr>
            <b/>
            <sz val="9"/>
            <rFont val="Tahoma"/>
            <family val="2"/>
          </rPr>
          <t xml:space="preserve">Owner:
</t>
        </r>
        <r>
          <rPr>
            <b/>
            <sz val="9"/>
            <color indexed="12"/>
            <rFont val="Tahoma"/>
            <family val="2"/>
          </rPr>
          <t>MANDATORY FIELD</t>
        </r>
      </text>
    </comment>
    <comment ref="L3" authorId="0" shapeId="0" xr:uid="{00000000-0006-0000-0600-000041000000}">
      <text>
        <r>
          <rPr>
            <b/>
            <sz val="9"/>
            <rFont val="Tahoma"/>
            <family val="2"/>
          </rPr>
          <t xml:space="preserve">Owner:
</t>
        </r>
        <r>
          <rPr>
            <b/>
            <sz val="9"/>
            <color indexed="12"/>
            <rFont val="Tahoma"/>
            <family val="2"/>
          </rPr>
          <t>MANDATORY FIELD</t>
        </r>
      </text>
    </comment>
    <comment ref="M3" authorId="0" shapeId="0" xr:uid="{00000000-0006-0000-0600-000042000000}">
      <text>
        <r>
          <rPr>
            <b/>
            <sz val="9"/>
            <rFont val="Tahoma"/>
            <family val="2"/>
          </rPr>
          <t xml:space="preserve">Owner:
</t>
        </r>
        <r>
          <rPr>
            <b/>
            <sz val="9"/>
            <color indexed="12"/>
            <rFont val="Tahoma"/>
            <family val="2"/>
          </rPr>
          <t>MANDATORY FIELD</t>
        </r>
      </text>
    </comment>
    <comment ref="N3" authorId="0" shapeId="0" xr:uid="{00000000-0006-0000-0600-000043000000}">
      <text>
        <r>
          <rPr>
            <b/>
            <sz val="9"/>
            <rFont val="Tahoma"/>
            <family val="2"/>
          </rPr>
          <t xml:space="preserve">Owner:
</t>
        </r>
        <r>
          <rPr>
            <b/>
            <sz val="9"/>
            <color indexed="12"/>
            <rFont val="Tahoma"/>
            <family val="2"/>
          </rPr>
          <t>MANDATORY FIELD</t>
        </r>
      </text>
    </comment>
    <comment ref="O3" authorId="0" shapeId="0" xr:uid="{00000000-0006-0000-0600-000044000000}">
      <text>
        <r>
          <rPr>
            <b/>
            <sz val="9"/>
            <rFont val="Tahoma"/>
            <family val="2"/>
          </rPr>
          <t xml:space="preserve">Owner:
</t>
        </r>
        <r>
          <rPr>
            <b/>
            <sz val="9"/>
            <color indexed="12"/>
            <rFont val="Tahoma"/>
            <family val="2"/>
          </rPr>
          <t>MANDATORY FIELD</t>
        </r>
      </text>
    </comment>
    <comment ref="P3" authorId="0" shapeId="0" xr:uid="{00000000-0006-0000-0600-000045000000}">
      <text>
        <r>
          <rPr>
            <b/>
            <sz val="9"/>
            <rFont val="Tahoma"/>
            <family val="2"/>
          </rPr>
          <t xml:space="preserve">Owner:
</t>
        </r>
        <r>
          <rPr>
            <b/>
            <sz val="9"/>
            <color indexed="12"/>
            <rFont val="Tahoma"/>
            <family val="2"/>
          </rPr>
          <t>MANDATORY FIELD</t>
        </r>
      </text>
    </comment>
    <comment ref="Q3" authorId="0" shapeId="0" xr:uid="{00000000-0006-0000-0600-000046000000}">
      <text>
        <r>
          <rPr>
            <b/>
            <sz val="9"/>
            <rFont val="Tahoma"/>
            <family val="2"/>
          </rPr>
          <t xml:space="preserve">Owner:
</t>
        </r>
        <r>
          <rPr>
            <b/>
            <sz val="9"/>
            <color indexed="12"/>
            <rFont val="Tahoma"/>
            <family val="2"/>
          </rPr>
          <t>MANDATORY FIELD</t>
        </r>
      </text>
    </comment>
    <comment ref="R3" authorId="0" shapeId="0" xr:uid="{00000000-0006-0000-0600-000047000000}">
      <text>
        <r>
          <rPr>
            <b/>
            <sz val="9"/>
            <rFont val="Tahoma"/>
            <family val="2"/>
          </rPr>
          <t xml:space="preserve">Owner:
</t>
        </r>
        <r>
          <rPr>
            <b/>
            <sz val="9"/>
            <color indexed="12"/>
            <rFont val="Tahoma"/>
            <family val="2"/>
          </rPr>
          <t>MANDATORY FIELD</t>
        </r>
      </text>
    </comment>
    <comment ref="S3" authorId="0" shapeId="0" xr:uid="{00000000-0006-0000-0600-000048000000}">
      <text>
        <r>
          <rPr>
            <b/>
            <sz val="9"/>
            <rFont val="Tahoma"/>
            <family val="2"/>
          </rPr>
          <t xml:space="preserve">Owner:
</t>
        </r>
        <r>
          <rPr>
            <b/>
            <sz val="9"/>
            <color indexed="12"/>
            <rFont val="Tahoma"/>
            <family val="2"/>
          </rPr>
          <t>MANDATORY FIELD</t>
        </r>
      </text>
    </comment>
    <comment ref="T3" authorId="0" shapeId="0" xr:uid="{00000000-0006-0000-0600-000049000000}">
      <text>
        <r>
          <rPr>
            <b/>
            <sz val="9"/>
            <rFont val="Tahoma"/>
            <family val="2"/>
          </rPr>
          <t xml:space="preserve">Owner:
</t>
        </r>
        <r>
          <rPr>
            <b/>
            <sz val="9"/>
            <color indexed="12"/>
            <rFont val="Tahoma"/>
            <family val="2"/>
          </rPr>
          <t>MANDATORY FIELD</t>
        </r>
      </text>
    </comment>
    <comment ref="U3" authorId="0" shapeId="0" xr:uid="{00000000-0006-0000-0600-00004A000000}">
      <text>
        <r>
          <rPr>
            <b/>
            <sz val="9"/>
            <rFont val="Tahoma"/>
            <family val="2"/>
          </rPr>
          <t xml:space="preserve">Owner:
</t>
        </r>
        <r>
          <rPr>
            <b/>
            <sz val="9"/>
            <color indexed="12"/>
            <rFont val="Tahoma"/>
            <family val="2"/>
          </rPr>
          <t>MANDATORY FIELD</t>
        </r>
      </text>
    </comment>
    <comment ref="V3" authorId="0" shapeId="0" xr:uid="{00000000-0006-0000-0600-00004B000000}">
      <text>
        <r>
          <rPr>
            <b/>
            <sz val="9"/>
            <rFont val="Tahoma"/>
            <family val="2"/>
          </rPr>
          <t xml:space="preserve">Owner:
</t>
        </r>
        <r>
          <rPr>
            <b/>
            <sz val="9"/>
            <color indexed="12"/>
            <rFont val="Tahoma"/>
            <family val="2"/>
          </rPr>
          <t>MANDATORY FIELD</t>
        </r>
      </text>
    </comment>
    <comment ref="W3" authorId="0" shapeId="0" xr:uid="{00000000-0006-0000-0600-00004C000000}">
      <text>
        <r>
          <rPr>
            <b/>
            <sz val="9"/>
            <rFont val="Tahoma"/>
            <family val="2"/>
          </rPr>
          <t xml:space="preserve">Owner:
</t>
        </r>
        <r>
          <rPr>
            <b/>
            <sz val="9"/>
            <color indexed="12"/>
            <rFont val="Tahoma"/>
            <family val="2"/>
          </rPr>
          <t>MANDATORY FIELD</t>
        </r>
      </text>
    </comment>
    <comment ref="X3" authorId="0" shapeId="0" xr:uid="{00000000-0006-0000-0600-00004D000000}">
      <text>
        <r>
          <rPr>
            <b/>
            <sz val="9"/>
            <rFont val="Tahoma"/>
            <family val="2"/>
          </rPr>
          <t xml:space="preserve">Owner:
</t>
        </r>
        <r>
          <rPr>
            <b/>
            <sz val="9"/>
            <color indexed="12"/>
            <rFont val="Tahoma"/>
            <family val="2"/>
          </rPr>
          <t>MANDATORY FIELD</t>
        </r>
      </text>
    </comment>
    <comment ref="Y3" authorId="0" shapeId="0" xr:uid="{00000000-0006-0000-0600-00004E000000}">
      <text>
        <r>
          <rPr>
            <b/>
            <sz val="9"/>
            <rFont val="Tahoma"/>
            <family val="2"/>
          </rPr>
          <t xml:space="preserve">Owner:
</t>
        </r>
        <r>
          <rPr>
            <b/>
            <sz val="9"/>
            <color indexed="12"/>
            <rFont val="Tahoma"/>
            <family val="2"/>
          </rPr>
          <t>MANDATORY FIELD</t>
        </r>
      </text>
    </comment>
    <comment ref="Z3" authorId="0" shapeId="0" xr:uid="{00000000-0006-0000-0600-00004F000000}">
      <text>
        <r>
          <rPr>
            <b/>
            <sz val="9"/>
            <rFont val="Tahoma"/>
            <family val="2"/>
          </rPr>
          <t xml:space="preserve">Owner:
</t>
        </r>
        <r>
          <rPr>
            <b/>
            <sz val="9"/>
            <color indexed="12"/>
            <rFont val="Tahoma"/>
            <family val="2"/>
          </rPr>
          <t>MANDATORY FIELD</t>
        </r>
      </text>
    </comment>
    <comment ref="AA3" authorId="0" shapeId="0" xr:uid="{00000000-0006-0000-0600-000050000000}">
      <text>
        <r>
          <rPr>
            <b/>
            <sz val="9"/>
            <rFont val="Tahoma"/>
            <family val="2"/>
          </rPr>
          <t xml:space="preserve">Owner:
</t>
        </r>
        <r>
          <rPr>
            <b/>
            <sz val="9"/>
            <color indexed="12"/>
            <rFont val="Tahoma"/>
            <family val="2"/>
          </rPr>
          <t>MANDATORY FIELD</t>
        </r>
      </text>
    </comment>
    <comment ref="AB3" authorId="0" shapeId="0" xr:uid="{00000000-0006-0000-0600-000051000000}">
      <text>
        <r>
          <rPr>
            <b/>
            <sz val="9"/>
            <rFont val="Tahoma"/>
            <family val="2"/>
          </rPr>
          <t xml:space="preserve">Owner:
</t>
        </r>
        <r>
          <rPr>
            <b/>
            <sz val="9"/>
            <color indexed="12"/>
            <rFont val="Tahoma"/>
            <family val="2"/>
          </rPr>
          <t>MANDATORY FIELD</t>
        </r>
      </text>
    </comment>
    <comment ref="AC3" authorId="0" shapeId="0" xr:uid="{00000000-0006-0000-0600-000052000000}">
      <text>
        <r>
          <rPr>
            <b/>
            <sz val="9"/>
            <rFont val="Tahoma"/>
            <family val="2"/>
          </rPr>
          <t xml:space="preserve">Owner:
</t>
        </r>
        <r>
          <rPr>
            <b/>
            <sz val="9"/>
            <color indexed="12"/>
            <rFont val="Tahoma"/>
            <family val="2"/>
          </rPr>
          <t>MANDATORY FIELD</t>
        </r>
      </text>
    </comment>
    <comment ref="AD3" authorId="0" shapeId="0" xr:uid="{00000000-0006-0000-0600-000053000000}">
      <text>
        <r>
          <rPr>
            <b/>
            <sz val="9"/>
            <rFont val="Tahoma"/>
            <family val="2"/>
          </rPr>
          <t xml:space="preserve">Owner:
</t>
        </r>
        <r>
          <rPr>
            <b/>
            <sz val="9"/>
            <color indexed="12"/>
            <rFont val="Tahoma"/>
            <family val="2"/>
          </rPr>
          <t>MANDATORY FIELD</t>
        </r>
      </text>
    </comment>
    <comment ref="AE3" authorId="0" shapeId="0" xr:uid="{00000000-0006-0000-0600-000054000000}">
      <text>
        <r>
          <rPr>
            <b/>
            <sz val="9"/>
            <rFont val="Tahoma"/>
            <family val="2"/>
          </rPr>
          <t xml:space="preserve">Owner:
</t>
        </r>
        <r>
          <rPr>
            <b/>
            <sz val="9"/>
            <color indexed="12"/>
            <rFont val="Tahoma"/>
            <family val="2"/>
          </rPr>
          <t>MANDATORY FIELD</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welcome</author>
  </authors>
  <commentList>
    <comment ref="D9" authorId="0" shapeId="0" xr:uid="{00000000-0006-0000-0800-000001000000}">
      <text>
        <r>
          <rPr>
            <b/>
            <sz val="9"/>
            <color indexed="81"/>
            <rFont val="Tahoma"/>
            <family val="2"/>
          </rPr>
          <t>welcome:</t>
        </r>
        <r>
          <rPr>
            <sz val="9"/>
            <color indexed="81"/>
            <rFont val="Tahoma"/>
            <family val="2"/>
          </rPr>
          <t xml:space="preserve">
from the means of finance sheet</t>
        </r>
      </text>
    </comment>
    <comment ref="E9" authorId="0" shapeId="0" xr:uid="{00000000-0006-0000-0800-000002000000}">
      <text>
        <r>
          <rPr>
            <b/>
            <sz val="9"/>
            <color indexed="81"/>
            <rFont val="Tahoma"/>
            <family val="2"/>
          </rPr>
          <t>welcome:</t>
        </r>
        <r>
          <rPr>
            <sz val="9"/>
            <color indexed="81"/>
            <rFont val="Tahoma"/>
            <family val="2"/>
          </rPr>
          <t xml:space="preserve">
from the means of finance sheet</t>
        </r>
      </text>
    </comment>
    <comment ref="D11" authorId="0" shapeId="0" xr:uid="{00000000-0006-0000-0800-000003000000}">
      <text>
        <r>
          <rPr>
            <b/>
            <sz val="9"/>
            <color indexed="81"/>
            <rFont val="Tahoma"/>
            <family val="2"/>
          </rPr>
          <t>welcome:</t>
        </r>
        <r>
          <rPr>
            <sz val="9"/>
            <color indexed="81"/>
            <rFont val="Tahoma"/>
            <family val="2"/>
          </rPr>
          <t xml:space="preserve">
from the means of finance sheet</t>
        </r>
      </text>
    </comment>
  </commentList>
</comments>
</file>

<file path=xl/sharedStrings.xml><?xml version="1.0" encoding="utf-8"?>
<sst xmlns="http://schemas.openxmlformats.org/spreadsheetml/2006/main" count="1930" uniqueCount="1008">
  <si>
    <t>ROOMS</t>
  </si>
  <si>
    <t>BUILT UP AREA</t>
  </si>
  <si>
    <t>SQ FT</t>
  </si>
  <si>
    <t>COST OF BUILDING</t>
  </si>
  <si>
    <t>REIN &amp; LAND DEV</t>
  </si>
  <si>
    <t>EQUIPMENTS</t>
  </si>
  <si>
    <t>A</t>
  </si>
  <si>
    <t>PROF FEES</t>
  </si>
  <si>
    <t>INT DURING CONSTN</t>
  </si>
  <si>
    <t>PROV FOR CONTIN</t>
  </si>
  <si>
    <t>B</t>
  </si>
  <si>
    <t>PROJECT COST</t>
  </si>
  <si>
    <t>MARGIN W/C</t>
  </si>
  <si>
    <t>TOTAL PROJ COST</t>
  </si>
  <si>
    <t>Year 1</t>
  </si>
  <si>
    <t>Year2</t>
  </si>
  <si>
    <t>Year 3</t>
  </si>
  <si>
    <t>Year 4</t>
  </si>
  <si>
    <t>Year 5</t>
  </si>
  <si>
    <t>Year 6</t>
  </si>
  <si>
    <t>Year 7</t>
  </si>
  <si>
    <t>Year 8</t>
  </si>
  <si>
    <t>Year 9</t>
  </si>
  <si>
    <t>Year 10</t>
  </si>
  <si>
    <t>Debt</t>
  </si>
  <si>
    <t>Equity</t>
  </si>
  <si>
    <t>Q1</t>
  </si>
  <si>
    <t>Q2</t>
  </si>
  <si>
    <t>Q3</t>
  </si>
  <si>
    <t>Q4</t>
  </si>
  <si>
    <t>TOTAL</t>
  </si>
  <si>
    <t>INTEREST</t>
  </si>
  <si>
    <t>INVESTMENT</t>
  </si>
  <si>
    <t>GROSS REVENUE</t>
  </si>
  <si>
    <t>DEPARTMENTAL EXP</t>
  </si>
  <si>
    <t>UNDISTR OPTNG EXP</t>
  </si>
  <si>
    <t>GOP</t>
  </si>
  <si>
    <t>MANAGEMENT FEES</t>
  </si>
  <si>
    <t>INCOME BEFORE FIXED EXP</t>
  </si>
  <si>
    <t>FIXED EXP</t>
  </si>
  <si>
    <t>DEPRECIATION</t>
  </si>
  <si>
    <t>EBITDA</t>
  </si>
  <si>
    <t>LESS FF&amp;E RES</t>
  </si>
  <si>
    <t>EBIT</t>
  </si>
  <si>
    <t>INTEREST ON TL</t>
  </si>
  <si>
    <t>INTEREST ON WC</t>
  </si>
  <si>
    <t>TOTAL INTEREST</t>
  </si>
  <si>
    <t>PBT</t>
  </si>
  <si>
    <t>DEPRN</t>
  </si>
  <si>
    <t>CASH ACCRUALS</t>
  </si>
  <si>
    <t>EBITDA % TO GR</t>
  </si>
  <si>
    <t>MAN FEES % GR</t>
  </si>
  <si>
    <t>INTEREST % TO GR</t>
  </si>
  <si>
    <t>PBT % GR</t>
  </si>
  <si>
    <t>PROJECTIONS</t>
  </si>
  <si>
    <t>Rs '000</t>
  </si>
  <si>
    <t>Year 2</t>
  </si>
  <si>
    <t>Year 11</t>
  </si>
  <si>
    <t>Year 12</t>
  </si>
  <si>
    <t>Year 13</t>
  </si>
  <si>
    <t>Year 14</t>
  </si>
  <si>
    <t>April</t>
  </si>
  <si>
    <t>May</t>
  </si>
  <si>
    <t>June</t>
  </si>
  <si>
    <t>July</t>
  </si>
  <si>
    <t>August</t>
  </si>
  <si>
    <t>September</t>
  </si>
  <si>
    <t>October</t>
  </si>
  <si>
    <t>November</t>
  </si>
  <si>
    <t>December</t>
  </si>
  <si>
    <t>January</t>
  </si>
  <si>
    <t>February</t>
  </si>
  <si>
    <t>March</t>
  </si>
  <si>
    <t>INTEREST CALCULATION @ 13% p.a</t>
  </si>
  <si>
    <t>LOAN DRAWAL FOR PROJECT</t>
  </si>
  <si>
    <t>APRIL</t>
  </si>
  <si>
    <t>MAY</t>
  </si>
  <si>
    <t>JUNE</t>
  </si>
  <si>
    <t>JULY</t>
  </si>
  <si>
    <t>AUGUST</t>
  </si>
  <si>
    <t>SEPTEMBER</t>
  </si>
  <si>
    <t>OCTOBER</t>
  </si>
  <si>
    <t>NOVEMBER</t>
  </si>
  <si>
    <t>DECEMBER</t>
  </si>
  <si>
    <t>JANUARY</t>
  </si>
  <si>
    <t>FEBRUARY</t>
  </si>
  <si>
    <t>MARCH</t>
  </si>
  <si>
    <t>YEAR 1</t>
  </si>
  <si>
    <t>YEAR 5</t>
  </si>
  <si>
    <t>YEAR 2</t>
  </si>
  <si>
    <t>YEAR 3</t>
  </si>
  <si>
    <t>YEAR 4</t>
  </si>
  <si>
    <t>YEAR 6</t>
  </si>
  <si>
    <t>YEAR 7</t>
  </si>
  <si>
    <t>YEAR 8</t>
  </si>
  <si>
    <t>DSCR</t>
  </si>
  <si>
    <t>INTEREST PAYMENT</t>
  </si>
  <si>
    <t>PRINCIPAL PAYMENT</t>
  </si>
  <si>
    <t>EBITDA/TOTAL DEBT PAY</t>
  </si>
  <si>
    <t>TOTAL DEBT PAY</t>
  </si>
  <si>
    <t>YEAR 9</t>
  </si>
  <si>
    <t>YEAR 10</t>
  </si>
  <si>
    <t>YEAR 11</t>
  </si>
  <si>
    <t>YEAR 12</t>
  </si>
  <si>
    <t>YEAR 13</t>
  </si>
  <si>
    <t>YEAR 14</t>
  </si>
  <si>
    <t>INTEREST DURING CONSTRUCTION</t>
  </si>
  <si>
    <t>CUM INVTMNT</t>
  </si>
  <si>
    <t>EQUITY INFLOW</t>
  </si>
  <si>
    <t>LOAN INFLOW</t>
  </si>
  <si>
    <t>%AGE</t>
  </si>
  <si>
    <t>PROJECTED PROFITABILITY FROM OPERATIONS</t>
  </si>
  <si>
    <t>PROJECT COST &amp; EQUITY DEBT INFLOW ANALYSIS</t>
  </si>
  <si>
    <t>RESERVES AS PER TERMS</t>
  </si>
  <si>
    <t>BALANCE</t>
  </si>
  <si>
    <t>REPAYMENT MANDATE</t>
  </si>
  <si>
    <t>YEAR 15</t>
  </si>
  <si>
    <t>INCENTIVE FEES</t>
  </si>
  <si>
    <t>SALES &amp; MARKETING FEES</t>
  </si>
  <si>
    <t>CENTRAL GROUP SERVICE CH</t>
  </si>
  <si>
    <t>FF&amp;E FUND</t>
  </si>
  <si>
    <t>NET CASH AT BANK</t>
  </si>
  <si>
    <t>CUM CASH AT BANK</t>
  </si>
  <si>
    <t>Inventory</t>
  </si>
  <si>
    <t>Year1</t>
  </si>
  <si>
    <t>Year3</t>
  </si>
  <si>
    <t>Year4</t>
  </si>
  <si>
    <t>Year5</t>
  </si>
  <si>
    <t>Year6</t>
  </si>
  <si>
    <t>Year7</t>
  </si>
  <si>
    <t>Year8</t>
  </si>
  <si>
    <t>Year9</t>
  </si>
  <si>
    <t>Year10</t>
  </si>
  <si>
    <t>Days Operational</t>
  </si>
  <si>
    <t>Total Room Nights Available</t>
  </si>
  <si>
    <t>Forecast Occupancy</t>
  </si>
  <si>
    <t>Total Room Nights Occupied</t>
  </si>
  <si>
    <t>Average Daily Rooms Occupied</t>
  </si>
  <si>
    <t>Forecast ARR (Rs)</t>
  </si>
  <si>
    <t>REVENUES</t>
  </si>
  <si>
    <t>Rooms</t>
  </si>
  <si>
    <t>Food &amp; Beverage</t>
  </si>
  <si>
    <t>Spa &amp; Fitness</t>
  </si>
  <si>
    <t>Minor Operating Departments</t>
  </si>
  <si>
    <t>Rentals &amp; Other Income</t>
  </si>
  <si>
    <t>TOTAL GROSS REVENUES</t>
  </si>
  <si>
    <t>DEPARTMENTAL EXPENSES</t>
  </si>
  <si>
    <t>TOTAL DEPARTMENTAL EXPENSES</t>
  </si>
  <si>
    <t>GROSS DEPARTMENTAL INCOME</t>
  </si>
  <si>
    <t>UNDISTRIBUTED OPERATING EXPENSES</t>
  </si>
  <si>
    <t>Admin &amp; General</t>
  </si>
  <si>
    <t>Sales &amp; Marketing</t>
  </si>
  <si>
    <t>Property Operations &amp; Maintenance</t>
  </si>
  <si>
    <t>Utilities &amp; Energy Costs</t>
  </si>
  <si>
    <t>TOTAL UNDISTRIBUTED EXPENSES</t>
  </si>
  <si>
    <t>GROSS OPERATING PROFIT (GOP)</t>
  </si>
  <si>
    <t>Brand Marketing Fees</t>
  </si>
  <si>
    <t>Management Fees</t>
  </si>
  <si>
    <t>Incentive Fees</t>
  </si>
  <si>
    <t>TOTAL MANAGEMENT FEES</t>
  </si>
  <si>
    <t>INCOME BEFORE FIXED EXPENSES</t>
  </si>
  <si>
    <t xml:space="preserve">FIXED EXPENSES </t>
  </si>
  <si>
    <t>Property Taxes</t>
  </si>
  <si>
    <t>Insurance</t>
  </si>
  <si>
    <t>TOTAL FIXED EXPENSES</t>
  </si>
  <si>
    <t>FINANCIAL YEAR</t>
  </si>
  <si>
    <t>FY 2027</t>
  </si>
  <si>
    <t>FY 2028</t>
  </si>
  <si>
    <t>FY 2029</t>
  </si>
  <si>
    <t>FY 2030</t>
  </si>
  <si>
    <t>FY 2031</t>
  </si>
  <si>
    <t>FY 2032</t>
  </si>
  <si>
    <t>FY 2033</t>
  </si>
  <si>
    <t>FY 2034</t>
  </si>
  <si>
    <t>FY 2035</t>
  </si>
  <si>
    <t>FY 2036</t>
  </si>
  <si>
    <t>Gross Income - Hospitality</t>
  </si>
  <si>
    <t>Operating Profit - Hospitality</t>
  </si>
  <si>
    <t>Cash Operating Income (EBITDA)</t>
  </si>
  <si>
    <t>Less Book Depreciation</t>
  </si>
  <si>
    <t>Operating Income (EBIT)</t>
  </si>
  <si>
    <t>Less Interest on Term Loan</t>
  </si>
  <si>
    <t>Interest Expenses</t>
  </si>
  <si>
    <t>Profit Before Tax</t>
  </si>
  <si>
    <t>Current Tax</t>
  </si>
  <si>
    <t>Profit After Tax</t>
  </si>
  <si>
    <t>Less Current Tax</t>
  </si>
  <si>
    <t>PAT</t>
  </si>
  <si>
    <t>FY 2037</t>
  </si>
  <si>
    <t>FY 2038</t>
  </si>
  <si>
    <t xml:space="preserve">Landscape </t>
  </si>
  <si>
    <t>INTERIORS</t>
  </si>
  <si>
    <t>DRAWAL</t>
  </si>
  <si>
    <t xml:space="preserve">TERM LOAN REPAYMENT SCHEDULE </t>
  </si>
  <si>
    <t>PRIN</t>
  </si>
  <si>
    <t>AVERAGE DSCR 10YRS</t>
  </si>
  <si>
    <t>AVERAGE DSCR 15YRS</t>
  </si>
  <si>
    <t>Year 15</t>
  </si>
  <si>
    <t>FY 2039</t>
  </si>
  <si>
    <t>FY 2040</t>
  </si>
  <si>
    <t>FY 2041</t>
  </si>
  <si>
    <t>Interest During Construction</t>
  </si>
  <si>
    <t>TAJ, HAMPI</t>
  </si>
  <si>
    <t>PRE OPTNG OS &amp; EXP</t>
  </si>
  <si>
    <t>Figs in Rs Thousands</t>
  </si>
  <si>
    <t>Balance Sheet</t>
  </si>
  <si>
    <t>YEARS</t>
  </si>
  <si>
    <t>Construction Period</t>
  </si>
  <si>
    <t>Projected</t>
  </si>
  <si>
    <t>Equity &amp; Liability</t>
  </si>
  <si>
    <t>Equity (Share Capital + Securities Premium)</t>
  </si>
  <si>
    <t xml:space="preserve">Addition </t>
  </si>
  <si>
    <t>Net Profit after tax transferred to Capital a/c</t>
  </si>
  <si>
    <t>Total</t>
  </si>
  <si>
    <t>Less: Dividends</t>
  </si>
  <si>
    <t>Net Capital a/c</t>
  </si>
  <si>
    <t xml:space="preserve">Term Loan </t>
  </si>
  <si>
    <t>Assets</t>
  </si>
  <si>
    <t>Pre- Operative Expenses Not Written Off</t>
  </si>
  <si>
    <t>Cash &amp; Bank Balance</t>
  </si>
  <si>
    <t xml:space="preserve"> </t>
  </si>
  <si>
    <t xml:space="preserve">Total Outside Liabilites </t>
  </si>
  <si>
    <t>TOL/ATNW</t>
  </si>
  <si>
    <t>Cash Accrual</t>
  </si>
  <si>
    <t>Net Working Capital</t>
  </si>
  <si>
    <t>Change in New Working Capital</t>
  </si>
  <si>
    <t>Cash Flow Statement</t>
  </si>
  <si>
    <t>Years</t>
  </si>
  <si>
    <t xml:space="preserve">Sources of Funds </t>
  </si>
  <si>
    <t>Share Capital a/c</t>
  </si>
  <si>
    <t>Profit before tax but after Interest &amp; depreciation</t>
  </si>
  <si>
    <t>Depreciation</t>
  </si>
  <si>
    <t>Preliminary Expenses Written Off</t>
  </si>
  <si>
    <t>Application of Funds</t>
  </si>
  <si>
    <t>Capital Expenditure</t>
  </si>
  <si>
    <t>Increase in Current Assets</t>
  </si>
  <si>
    <t>Repayment of Term Loan</t>
  </si>
  <si>
    <t>Taxation</t>
  </si>
  <si>
    <t>Opening Balance</t>
  </si>
  <si>
    <t>Surplus</t>
  </si>
  <si>
    <t>Closing Balance</t>
  </si>
  <si>
    <t>CALCULATION OF DEBT S.COVERAGE RATIO</t>
  </si>
  <si>
    <t xml:space="preserve">Profit after tax </t>
  </si>
  <si>
    <t xml:space="preserve">Add: Depreciation for the year </t>
  </si>
  <si>
    <t>Add: Pre Operating Expenses Written Off</t>
  </si>
  <si>
    <t>Add: Interest on Term Loan</t>
  </si>
  <si>
    <t xml:space="preserve">Total  ( A ) </t>
  </si>
  <si>
    <t>Interest on Term Loan</t>
  </si>
  <si>
    <t>Total ( B )</t>
  </si>
  <si>
    <t xml:space="preserve">Average DSCR </t>
  </si>
  <si>
    <t>Particulars</t>
  </si>
  <si>
    <t xml:space="preserve">Amt </t>
  </si>
  <si>
    <t>WCM, IDC &amp; Cont</t>
  </si>
  <si>
    <t>Total CoP</t>
  </si>
  <si>
    <t>WDV rate</t>
  </si>
  <si>
    <t xml:space="preserve">YEAR/ASSET  HEAD </t>
  </si>
  <si>
    <t xml:space="preserve">Building </t>
  </si>
  <si>
    <t xml:space="preserve">Plant &amp; Machinery </t>
  </si>
  <si>
    <t>DEPRECIATION DSCHEDULE AS PER INCOME TAX ACT  (Lakh INR)</t>
  </si>
  <si>
    <t>Month</t>
  </si>
  <si>
    <t xml:space="preserve">YEAR/ASSET HEAD </t>
  </si>
  <si>
    <t xml:space="preserve">Less : Depreciation </t>
  </si>
  <si>
    <t xml:space="preserve">WDV of Building </t>
  </si>
  <si>
    <t xml:space="preserve">WDV of Plant &amp; Machinery </t>
  </si>
  <si>
    <t xml:space="preserve">Total WDV Depreciation </t>
  </si>
  <si>
    <t xml:space="preserve">Total WDV </t>
  </si>
  <si>
    <t>TOTAL PROJECT COST - HOTEL</t>
  </si>
  <si>
    <t>Total Inventory</t>
  </si>
  <si>
    <t>Total Constructed Area-Hotel</t>
  </si>
  <si>
    <t>Square Feet</t>
  </si>
  <si>
    <t>Total Reinforcement Area-Hotel</t>
  </si>
  <si>
    <t>Cost Components</t>
  </si>
  <si>
    <t>% of Total</t>
  </si>
  <si>
    <t>Per Sq. Ft.</t>
  </si>
  <si>
    <t>Per Room</t>
  </si>
  <si>
    <t>Building Cost</t>
  </si>
  <si>
    <t>External Land Dev. Cost</t>
  </si>
  <si>
    <t>Total Building Cost</t>
  </si>
  <si>
    <t xml:space="preserve">Furniture &amp; Fixtures Interiors </t>
  </si>
  <si>
    <t>Plants &amp; Equipments</t>
  </si>
  <si>
    <t>Total FF&amp;E, Interiors &amp; Equipments</t>
  </si>
  <si>
    <t>Tangible Assets</t>
  </si>
  <si>
    <t>Professional Fees</t>
  </si>
  <si>
    <t>Pre-Opening Expenses</t>
  </si>
  <si>
    <t>Pre Operating Expenses</t>
  </si>
  <si>
    <t>Provision fo rContingencies and Liabilities</t>
  </si>
  <si>
    <t>Other Costs</t>
  </si>
  <si>
    <t>DEPRECIATION SCHEDULE AS PER COMPANY LAW (Lakh INR)</t>
  </si>
  <si>
    <t xml:space="preserve">WDV of Furniture &amp; Fixtures Interiors </t>
  </si>
  <si>
    <t>(Tax Calculation)</t>
  </si>
  <si>
    <t>Operational Years</t>
  </si>
  <si>
    <t>Year Ending (INR Crore)</t>
  </si>
  <si>
    <t>Year Counter</t>
  </si>
  <si>
    <t>Months Counter</t>
  </si>
  <si>
    <t>Gross Assets</t>
  </si>
  <si>
    <t>Total Gross Block</t>
  </si>
  <si>
    <t>Fixed assets Net Block</t>
  </si>
  <si>
    <t>FY 2025</t>
  </si>
  <si>
    <t>FY 2026</t>
  </si>
  <si>
    <t>Preliminary Expenses</t>
  </si>
  <si>
    <t>Accumulated Depriciation</t>
  </si>
  <si>
    <t>Total Value of assets</t>
  </si>
  <si>
    <t>Net value of Asstes</t>
  </si>
  <si>
    <t>Check</t>
  </si>
  <si>
    <t>long term liability</t>
  </si>
  <si>
    <t>short term liability</t>
  </si>
  <si>
    <t>principal payment</t>
  </si>
  <si>
    <t>Months</t>
  </si>
  <si>
    <t>principal amount</t>
  </si>
  <si>
    <t>long Term Loan</t>
  </si>
  <si>
    <t>Short Term loan</t>
  </si>
  <si>
    <t>Increase in Term Loan</t>
  </si>
  <si>
    <t>FACILITIES: RESTAURANTS &amp; BARS</t>
  </si>
  <si>
    <t>FACILITIES: MEETING AND CONFERENCES</t>
  </si>
  <si>
    <t>All Day Dining</t>
  </si>
  <si>
    <t>Specialty Restaurant A</t>
  </si>
  <si>
    <t>Bar</t>
  </si>
  <si>
    <t>Pool Bar</t>
  </si>
  <si>
    <t>Ball Rooms</t>
  </si>
  <si>
    <t>Conference Rooms</t>
  </si>
  <si>
    <t>Meeting Rooms</t>
  </si>
  <si>
    <t>Board Rooms</t>
  </si>
  <si>
    <t>Cumulative Capacity</t>
  </si>
  <si>
    <t>Dinner</t>
  </si>
  <si>
    <t>Forecast Occupancy %</t>
  </si>
  <si>
    <t>Breakfast</t>
  </si>
  <si>
    <t>Lunch</t>
  </si>
  <si>
    <t>Annual Covers</t>
  </si>
  <si>
    <t>Estimated APC (Rs.)</t>
  </si>
  <si>
    <t>Forecast Annual Revenue (Rs. Thousand)</t>
  </si>
  <si>
    <t>Total Cumulative Capacity</t>
  </si>
  <si>
    <t>Annual Cumulative Covers Available</t>
  </si>
  <si>
    <t>Annual Cumulative Covers Utilized</t>
  </si>
  <si>
    <t>F&amp;B Facilities Occ %</t>
  </si>
  <si>
    <t>Estimated APC - F&amp;B Facilities (Rs.)</t>
  </si>
  <si>
    <t>Forecast Annual revenue - F&amp;B Operations (Rs.) - Year 1</t>
  </si>
  <si>
    <t>FY 27</t>
  </si>
  <si>
    <t>FY 28</t>
  </si>
  <si>
    <t>FY 29</t>
  </si>
  <si>
    <t>FY 30</t>
  </si>
  <si>
    <t>FY 31</t>
  </si>
  <si>
    <t>FY 32</t>
  </si>
  <si>
    <t>FY 33</t>
  </si>
  <si>
    <t>FY 34</t>
  </si>
  <si>
    <t>FY 35</t>
  </si>
  <si>
    <t>FY 36</t>
  </si>
  <si>
    <t>FY 37</t>
  </si>
  <si>
    <t>FY 38</t>
  </si>
  <si>
    <t>FY 39</t>
  </si>
  <si>
    <t>FY 40</t>
  </si>
  <si>
    <t>FY 41</t>
  </si>
  <si>
    <t>Forecast Annual Revenue - F&amp;B Operations (Rs.)</t>
  </si>
  <si>
    <t>Hotel Inventory</t>
  </si>
  <si>
    <t>Forecasted Annual Occupancy</t>
  </si>
  <si>
    <t>Annual Room Nights Occupied</t>
  </si>
  <si>
    <t>Double Occupancy Ratio</t>
  </si>
  <si>
    <t>1.5x</t>
  </si>
  <si>
    <t>Resident Guests</t>
  </si>
  <si>
    <t>0.0x</t>
  </si>
  <si>
    <t>Total No: Guests (Annual)</t>
  </si>
  <si>
    <t>Average Spa Visitation Rate</t>
  </si>
  <si>
    <t>Total No of Spa Guests (Annual)</t>
  </si>
  <si>
    <t>Forecast Spend per Visit (Rs.)</t>
  </si>
  <si>
    <t>Forecast Annual Revenues - Spa Ops (Rs.)</t>
  </si>
  <si>
    <t>INCOME FROM MINOR OPERATING DEPARTMENTS</t>
  </si>
  <si>
    <t>Rs. Per Room Nights Occupied</t>
  </si>
  <si>
    <t>Forecasted Income from Minor Operating</t>
  </si>
  <si>
    <t>RENTAL INCOME</t>
  </si>
  <si>
    <t>Rental Area</t>
  </si>
  <si>
    <t>Rental per sq. ft.</t>
  </si>
  <si>
    <t>Forecasted Rental Income (Rs.)</t>
  </si>
  <si>
    <t>EXPENSES AS A % OF GROSS REVENUES</t>
  </si>
  <si>
    <t>Spa &amp; Fitness Centre</t>
  </si>
  <si>
    <t>Rentals and Other Income</t>
  </si>
  <si>
    <t>Property O&amp;M</t>
  </si>
  <si>
    <t>Brand Marketing Fees on Gross Revenues</t>
  </si>
  <si>
    <t>Management Fees on GR</t>
  </si>
  <si>
    <t>Incentive Fees on GOP</t>
  </si>
  <si>
    <t>FIXED EXPENSES</t>
  </si>
  <si>
    <t>Rent</t>
  </si>
  <si>
    <t>FF&amp;E RESERVE ACCOUNT</t>
  </si>
  <si>
    <t>Consolidated Income Statement</t>
  </si>
  <si>
    <t>Financial Year</t>
  </si>
  <si>
    <t>Gross Revenue - Hospitality</t>
  </si>
  <si>
    <t xml:space="preserve">Add Non operating Rental Income </t>
  </si>
  <si>
    <t>Less: Gross Expenses- Hospitality</t>
  </si>
  <si>
    <t>Less: Operating Expenses - Hospitality</t>
  </si>
  <si>
    <t>Less: Management Fees - Hospitality</t>
  </si>
  <si>
    <t>Income before Fixed Expenses - Hospitality</t>
  </si>
  <si>
    <t>Less: Fixed Expenses - Hospitality</t>
  </si>
  <si>
    <t>Net Operating Income - Hospitality</t>
  </si>
  <si>
    <t>Add: Net Operating Income - Retail &amp; Commercial</t>
  </si>
  <si>
    <t>Less: FF&amp;E Reserve Account</t>
  </si>
  <si>
    <t>Less: Book Depreciation</t>
  </si>
  <si>
    <t>Less: Interest on Term Loan</t>
  </si>
  <si>
    <t>Less: Interest on Working Capital</t>
  </si>
  <si>
    <t>Less: Interest on Unsecured Loan</t>
  </si>
  <si>
    <t>Add: Interest Income on Short Term Investments</t>
  </si>
  <si>
    <t>Net Interest Expense</t>
  </si>
  <si>
    <t>Profit Before Tax (PBT)</t>
  </si>
  <si>
    <t>Profit After Tax (PAT)</t>
  </si>
  <si>
    <t>Add: Book Depreciation</t>
  </si>
  <si>
    <t>Add: FF&amp;E Reserves</t>
  </si>
  <si>
    <t>Cash Profit</t>
  </si>
  <si>
    <t>Debt Repayment</t>
  </si>
  <si>
    <t>Net Interest Expenses</t>
  </si>
  <si>
    <t>TOTAL FINANCIAL OBLIGATION</t>
  </si>
  <si>
    <t>AVERAGE DSCR</t>
  </si>
  <si>
    <t>Ratio Analysis</t>
  </si>
  <si>
    <t>Margins</t>
  </si>
  <si>
    <t>EBITDA Margin</t>
  </si>
  <si>
    <t>EBIT Margin</t>
  </si>
  <si>
    <t>Profit Before Tax Margin</t>
  </si>
  <si>
    <t>Net Profit Margin</t>
  </si>
  <si>
    <t>Cash Profit Margin</t>
  </si>
  <si>
    <t>ROCE</t>
  </si>
  <si>
    <t>Post Tax Operating Profit</t>
  </si>
  <si>
    <t>Capital Employed</t>
  </si>
  <si>
    <t>Return on Capital Employed</t>
  </si>
  <si>
    <t>ROE</t>
  </si>
  <si>
    <t>Net Income</t>
  </si>
  <si>
    <t>Return on Equity</t>
  </si>
  <si>
    <t>Leverage Ratios</t>
  </si>
  <si>
    <t>Lont Term Debt</t>
  </si>
  <si>
    <t>Total Debt</t>
  </si>
  <si>
    <t>Net Debt</t>
  </si>
  <si>
    <t>Equity As a % of Total Capital Employed</t>
  </si>
  <si>
    <t>Term Loan As a % of Total Capital Employed</t>
  </si>
  <si>
    <t>Unsecured Loan As a % of Total Capital Employed</t>
  </si>
  <si>
    <t>Working Capital As a % of Total Capital Employed</t>
  </si>
  <si>
    <t>Total Debt to Equity</t>
  </si>
  <si>
    <t>Long Term Debt to EBITDA</t>
  </si>
  <si>
    <t>Total Debt to EBITDA</t>
  </si>
  <si>
    <t>Dhruvdesh Venture LLP Taj Hampi</t>
  </si>
  <si>
    <t xml:space="preserve">Application of  funds : </t>
  </si>
  <si>
    <t xml:space="preserve">Total </t>
  </si>
  <si>
    <t>Land [owned] Since Investment  already done not taken here</t>
  </si>
  <si>
    <t>Equipments</t>
  </si>
  <si>
    <t>Furniture &amp; Fixtures</t>
  </si>
  <si>
    <t>Interiors Decoration</t>
  </si>
  <si>
    <t xml:space="preserve">TOTAL </t>
  </si>
  <si>
    <t>SOURCES OF FUNDS</t>
  </si>
  <si>
    <t>Project ADER</t>
  </si>
  <si>
    <t>Location</t>
  </si>
  <si>
    <t>Area ( In Sq Mtr )</t>
  </si>
  <si>
    <t xml:space="preserve">Whether owned or Leased </t>
  </si>
  <si>
    <t>Owned</t>
  </si>
  <si>
    <t>Cost of Land including Registration &amp; Stamp duty (Rs. In lakhs)</t>
  </si>
  <si>
    <t xml:space="preserve"> 2. COST OF CONSTRUCTION</t>
  </si>
  <si>
    <t>S.No.</t>
  </si>
  <si>
    <t>Description of each building</t>
  </si>
  <si>
    <t xml:space="preserve">Area in sq ft </t>
  </si>
  <si>
    <t xml:space="preserve">Rate per sq ft </t>
  </si>
  <si>
    <t xml:space="preserve"> Estimated Cost </t>
  </si>
  <si>
    <r>
      <t>Civil Work -</t>
    </r>
    <r>
      <rPr>
        <sz val="11"/>
        <rFont val="Calibri"/>
        <family val="2"/>
        <scheme val="minor"/>
      </rPr>
      <t xml:space="preserve"> Hotel consisting of 90 rooms - with all related facilities as per area statement and cost estimate of architect attached</t>
    </r>
  </si>
  <si>
    <t>Landscaping of Gardens &amp; Horticulture</t>
  </si>
  <si>
    <t>Swimming pool</t>
  </si>
  <si>
    <t>Internal paths</t>
  </si>
  <si>
    <t>Fencing and boundary wall</t>
  </si>
  <si>
    <t xml:space="preserve">Water Tanks </t>
  </si>
  <si>
    <t>Sub total</t>
  </si>
  <si>
    <t xml:space="preserve">Architect/Project Consultancy Fees </t>
  </si>
  <si>
    <t xml:space="preserve">Misc/ Contingency </t>
  </si>
  <si>
    <t xml:space="preserve">Details of Equipments and Plant &amp; Machinery:                              </t>
  </si>
  <si>
    <t>S.No</t>
  </si>
  <si>
    <t>Rate</t>
  </si>
  <si>
    <t xml:space="preserve">Estimated Cost </t>
  </si>
  <si>
    <t>Fans</t>
  </si>
  <si>
    <t>Geysers</t>
  </si>
  <si>
    <t>LED TVS</t>
  </si>
  <si>
    <t xml:space="preserve">Mini Bars for the rooms </t>
  </si>
  <si>
    <t xml:space="preserve">Safes for the rooms </t>
  </si>
  <si>
    <t xml:space="preserve">Hair Dryers </t>
  </si>
  <si>
    <t xml:space="preserve">Electric Kettles for the rooms </t>
  </si>
  <si>
    <t xml:space="preserve">Front office euipment </t>
  </si>
  <si>
    <t>Computer Hardware &amp; Software</t>
  </si>
  <si>
    <t>Fire fighting system</t>
  </si>
  <si>
    <t xml:space="preserve">Intercom and Wi Fi System </t>
  </si>
  <si>
    <t xml:space="preserve">Gardening Tools and Equipments </t>
  </si>
  <si>
    <t xml:space="preserve">Solar Water Heater </t>
  </si>
  <si>
    <t>CCTV &amp; Camera</t>
  </si>
  <si>
    <t>STP plant &amp; connection + Water harvesting pipelines etc</t>
  </si>
  <si>
    <t>Kitchen Equipments</t>
  </si>
  <si>
    <t xml:space="preserve">Crockery &amp; Cutlery for Restaurant &amp; Bar </t>
  </si>
  <si>
    <t>Lift</t>
  </si>
  <si>
    <t xml:space="preserve">Miscellaneous </t>
  </si>
  <si>
    <t>Details of Furniture &amp; Furnishing [Rs. In lakhs]</t>
  </si>
  <si>
    <t>S. No.</t>
  </si>
  <si>
    <t>Description</t>
  </si>
  <si>
    <t>Qty</t>
  </si>
  <si>
    <t xml:space="preserve">Furniture </t>
  </si>
  <si>
    <t xml:space="preserve">Restaurant </t>
  </si>
  <si>
    <t xml:space="preserve">Banquet </t>
  </si>
  <si>
    <t>Stores</t>
  </si>
  <si>
    <t>Kitchen</t>
  </si>
  <si>
    <t>Pantry</t>
  </si>
  <si>
    <t>Time Office</t>
  </si>
  <si>
    <t>Security Office</t>
  </si>
  <si>
    <t>Administration Office</t>
  </si>
  <si>
    <t>Laundry Room</t>
  </si>
  <si>
    <t>Staff Changing room</t>
  </si>
  <si>
    <t>Front office furniture</t>
  </si>
  <si>
    <t>Furniture of garden</t>
  </si>
  <si>
    <t xml:space="preserve">Misc. Furniture </t>
  </si>
  <si>
    <t>Amount</t>
  </si>
  <si>
    <t>Interest during construction (3 years)</t>
  </si>
  <si>
    <t xml:space="preserve">Preopening Advertisment &amp; Publicity Expenses </t>
  </si>
  <si>
    <t>Average Room Rate</t>
  </si>
  <si>
    <t>No. of People</t>
  </si>
  <si>
    <t>per person rate</t>
  </si>
  <si>
    <t>Ball Rooms (A ballroom or ballhall is a large room inside a building, the primary purpose of which is holding large formal parties called balls.)</t>
  </si>
  <si>
    <t>For year 1</t>
  </si>
  <si>
    <t>F&amp;B Annual Revenue</t>
  </si>
  <si>
    <t>Income from Gift Shops, water sports, tennis, horseback riding, or guided tours organized by the resort.</t>
  </si>
  <si>
    <t>Rental Area in Sq ft</t>
  </si>
  <si>
    <t>Per Month</t>
  </si>
  <si>
    <t>Preliminary/pre-operative Expenses Written off (divided in 05 years)</t>
  </si>
  <si>
    <t>Property Taxes per sq ft</t>
  </si>
  <si>
    <t xml:space="preserve">Rs per Sq Mts </t>
  </si>
  <si>
    <t>Assumption</t>
  </si>
  <si>
    <t xml:space="preserve">Operating Expenses </t>
  </si>
  <si>
    <t>Total Gross Revernue</t>
  </si>
  <si>
    <t>Total Departmental Expenses</t>
  </si>
  <si>
    <t>Gross Departmental Income</t>
  </si>
  <si>
    <t>Gross Operating Profit</t>
  </si>
  <si>
    <t>GOP %</t>
  </si>
  <si>
    <t xml:space="preserve">As per O&amp;M Agreement with IHCL </t>
  </si>
  <si>
    <t>Management Fee</t>
  </si>
  <si>
    <t xml:space="preserve">For 1 to 5 Years </t>
  </si>
  <si>
    <t>Of Total Revenue</t>
  </si>
  <si>
    <t>6 year onwartds</t>
  </si>
  <si>
    <t>Incentive Fee</t>
  </si>
  <si>
    <t>GOP % &lt; 20%</t>
  </si>
  <si>
    <t>20% &lt;= GOP % &lt;25%</t>
  </si>
  <si>
    <t>25% &lt;= GOP % &lt;30%</t>
  </si>
  <si>
    <t>30% &lt;= GOP % &lt;35%</t>
  </si>
  <si>
    <t>35% &lt;= GOP % &lt;45%</t>
  </si>
  <si>
    <t>GOP % &gt; = 45%</t>
  </si>
  <si>
    <t>Incentive Fee as a % of GOP</t>
  </si>
  <si>
    <t>Year 2 Onwards</t>
  </si>
  <si>
    <t>FF&amp;E Funds</t>
  </si>
  <si>
    <t>Year 1 &amp; 2</t>
  </si>
  <si>
    <t>Year 3, 4 &amp; 5</t>
  </si>
  <si>
    <t>As a % of Total Revenue of the year</t>
  </si>
  <si>
    <t>Brand Marketing Fee (S&amp;M)</t>
  </si>
  <si>
    <t>Interest on Working Capital</t>
  </si>
  <si>
    <t>Revenue Growth</t>
  </si>
  <si>
    <t>Current Ratio</t>
  </si>
  <si>
    <t>DER</t>
  </si>
  <si>
    <t>Cash Accruals</t>
  </si>
  <si>
    <t>Year</t>
  </si>
  <si>
    <t>Accumulated Cash Accruals</t>
  </si>
  <si>
    <t>Project Cost</t>
  </si>
  <si>
    <t>Payback Period</t>
  </si>
  <si>
    <t>EBIT</t>
    <phoneticPr fontId="4" type="noConversion"/>
  </si>
  <si>
    <t>NOPAT</t>
  </si>
  <si>
    <t>Addback depreciation</t>
    <phoneticPr fontId="4" type="noConversion"/>
  </si>
  <si>
    <t>CAPEX</t>
    <phoneticPr fontId="6" type="noConversion"/>
  </si>
  <si>
    <t>Free Cash Flow to Firm (FCFF)</t>
    <phoneticPr fontId="6" type="noConversion"/>
  </si>
  <si>
    <t>Discount Rate</t>
  </si>
  <si>
    <t>Expected growth rate(Terminal)</t>
  </si>
  <si>
    <t>Discount Period</t>
  </si>
  <si>
    <t>Discount Factor</t>
  </si>
  <si>
    <t>Terminal Value of the project</t>
  </si>
  <si>
    <t>FCF+TV</t>
  </si>
  <si>
    <t>IRR</t>
  </si>
  <si>
    <t>NPV</t>
  </si>
  <si>
    <t xml:space="preserve">Adjusted Tax </t>
  </si>
  <si>
    <t>FF&amp;E Expense</t>
  </si>
  <si>
    <t>Key Input for NPV &amp; IRR</t>
  </si>
  <si>
    <t>Key Input</t>
  </si>
  <si>
    <t>1.   </t>
  </si>
  <si>
    <t>2.   </t>
  </si>
  <si>
    <t>Company Risk Premium</t>
  </si>
  <si>
    <t>3.   </t>
  </si>
  <si>
    <t>https://kunaldesai.blog/nifty-returns/</t>
  </si>
  <si>
    <t>Nifty 50 Returns (CAGR) in the Last 10 Years</t>
  </si>
  <si>
    <t>Break Even Analysis</t>
  </si>
  <si>
    <t>Sales</t>
  </si>
  <si>
    <t>PV Ratio</t>
  </si>
  <si>
    <t>Break Even Point  Sales</t>
  </si>
  <si>
    <t>Break even Point % of Sales</t>
  </si>
  <si>
    <t>Occupancy</t>
  </si>
  <si>
    <t>Variable Costs</t>
  </si>
  <si>
    <t>Taxes</t>
  </si>
  <si>
    <t>Total Variable Costs</t>
  </si>
  <si>
    <t>Per Month Interest Rate</t>
  </si>
  <si>
    <t>Annual Interest Rate</t>
  </si>
  <si>
    <t xml:space="preserve">CONTRIBUTION </t>
  </si>
  <si>
    <t>Profit Volume (PV) Ratio</t>
  </si>
  <si>
    <t>Net Sales</t>
  </si>
  <si>
    <t>Room Inventory</t>
  </si>
  <si>
    <t>Per month principal installments</t>
  </si>
  <si>
    <t>In Crs.</t>
  </si>
  <si>
    <t>In  Crores</t>
  </si>
  <si>
    <t>Repayment in months</t>
  </si>
  <si>
    <t xml:space="preserve">total tenour </t>
  </si>
  <si>
    <t>Drawal</t>
  </si>
  <si>
    <t>Central Group Service Charges</t>
  </si>
  <si>
    <t>INTERIOR &amp; LANDSCAPE BUDGET</t>
  </si>
  <si>
    <t>Consultancy Fee</t>
  </si>
  <si>
    <t xml:space="preserve">Interest Capitalisation &amp; Other cost </t>
  </si>
  <si>
    <t xml:space="preserve">Specialty Restaurant </t>
  </si>
  <si>
    <t>Disbursment start date</t>
  </si>
  <si>
    <t>Disbursment end date</t>
  </si>
  <si>
    <t>Repayment Start Date</t>
  </si>
  <si>
    <t>Repayment End Date</t>
  </si>
  <si>
    <t xml:space="preserve">Air Conditioner, Firefighting system , CCTV and Camera and Electrical connection including transformer  </t>
  </si>
  <si>
    <t>(Break up pending)</t>
  </si>
  <si>
    <t>BOH (Back of house) areas are hidden from the guests. These are used for the back of house services for the functioning of the hotel. Separate consultants are required for the integration of these services. These include areas such as Service entrance, Kitchen – food preparation area, Employee areas – Locker rooms, Laundry area, Housekeeping, Storage areas, Locker rooms, Administration, offices, etc.</t>
  </si>
  <si>
    <t xml:space="preserve">It's important to note that the cost of proposed furniture &amp; fixtures may vary depending on the brand name and quality of the furniture &amp; fixtures. As per the Hotel Development Cost Survey 2023, India done by Hotelivate standard cost of FF&amp;E is ~25% of the Total project cost. Thus cost of equipment is taken in the line with industrial benchmark.
</t>
  </si>
  <si>
    <t>Area of rooms</t>
  </si>
  <si>
    <t>SL. NO.</t>
  </si>
  <si>
    <t>Room Type</t>
  </si>
  <si>
    <t>No. of room</t>
  </si>
  <si>
    <t>Area per room Sq. ft</t>
  </si>
  <si>
    <t>Total Area in Sq.ft</t>
  </si>
  <si>
    <t>Superior Rooms</t>
  </si>
  <si>
    <t> 317.00</t>
  </si>
  <si>
    <t> 23458.00</t>
  </si>
  <si>
    <t>Executive Rooms</t>
  </si>
  <si>
    <t> 691.04</t>
  </si>
  <si>
    <t> 4146.24</t>
  </si>
  <si>
    <t>Presidential Suite</t>
  </si>
  <si>
    <t>Stand-alone Villas</t>
  </si>
  <si>
    <t>Presidential Villa</t>
  </si>
  <si>
    <t> 85662.11</t>
  </si>
  <si>
    <t>Area covered by various amenities</t>
  </si>
  <si>
    <t>Amenities</t>
  </si>
  <si>
    <t>Area </t>
  </si>
  <si>
    <t>Floor</t>
  </si>
  <si>
    <t> 2271.19</t>
  </si>
  <si>
    <t>1 </t>
  </si>
  <si>
    <t>Specialty Restaurant</t>
  </si>
  <si>
    <t> 1278.75</t>
  </si>
  <si>
    <t> 1281.00</t>
  </si>
  <si>
    <t> 968.00</t>
  </si>
  <si>
    <t>Ball Rooms (A ballroom or ball hall is a large room inside a building, the primary purpose of which is holding large formal parties called balls.)</t>
  </si>
  <si>
    <t> 4305.56</t>
  </si>
  <si>
    <t> 914.93</t>
  </si>
  <si>
    <t> 473.61</t>
  </si>
  <si>
    <t> 297.06</t>
  </si>
  <si>
    <t> Floor wise construction: (hotel complex)</t>
  </si>
  <si>
    <t>Area of construction Sq. ft</t>
  </si>
  <si>
    <t>Area of construction Sq. m</t>
  </si>
  <si>
    <t>No of rooms</t>
  </si>
  <si>
    <t>Ground</t>
  </si>
  <si>
    <t>1st Floor</t>
  </si>
  <si>
    <t>A 100-room hotel, on an average, consumes between 3,000 and 4,000 units of electricity per day. (https://economictimes.indiatimes.com/industry/services/hotels-/-restaurants/itc-hotels-trident-oberoi-and-others-ask-executives-to-tame-rising-power-bills/articleshow/11160662.cms?from=mdr)</t>
  </si>
  <si>
    <t>PM Modi to inaugurate 5-star hotel built atop Gandhinagar railway station at the cost of ₹790 crores. The luxury hotel has 318 rooms and will be operated by a private entity. It is spread across 7,400 square meters and has been built at a cost of ₹790 crore. Prime Minister Narendra Modi will be inaugurating a newly constructed five-star hotel atop the redeveloped Gandhinagar Railway station on July 16 via video conferencing, the Gujarat government announced. The redevelopment project and the construction of the hotel started back in January 2017 after the Prime Minister performed a groundbreaking ceremony. The luxury hotel has 318 rooms and will be operated by a private entity. It is spread across 7,400 square meters and has been built at a cost of ₹790 crore, the government press release said. The hotel has been built to host national and international guests who would come for seminars and conferences at Mahatma Mandir, a convention centre, located right opposite the hotel.</t>
  </si>
  <si>
    <r>
      <t>ACCOUNTING YEAR =&gt; START DATE=&gt;&gt;</t>
    </r>
    <r>
      <rPr>
        <b/>
        <sz val="11"/>
        <color indexed="10"/>
        <rFont val="Calibri"/>
        <family val="2"/>
      </rPr>
      <t xml:space="preserve"> DD/MM/YYYY</t>
    </r>
    <r>
      <rPr>
        <b/>
        <sz val="11"/>
        <color indexed="8"/>
        <rFont val="Calibri"/>
        <family val="2"/>
      </rPr>
      <t xml:space="preserve"> ==&gt;&gt;&gt;</t>
    </r>
  </si>
  <si>
    <t>01/04/2026</t>
  </si>
  <si>
    <t>01/04/2027</t>
  </si>
  <si>
    <t>Audited</t>
  </si>
  <si>
    <r>
      <t xml:space="preserve">ACCOUNTING YEAR =&gt; END DATE=&gt; </t>
    </r>
    <r>
      <rPr>
        <b/>
        <sz val="11"/>
        <color indexed="10"/>
        <rFont val="Calibri"/>
        <family val="2"/>
      </rPr>
      <t>DD/MM/YYYY</t>
    </r>
    <r>
      <rPr>
        <b/>
        <sz val="11"/>
        <color indexed="8"/>
        <rFont val="Calibri"/>
        <family val="2"/>
      </rPr>
      <t xml:space="preserve"> ==&gt;&gt;&gt;</t>
    </r>
  </si>
  <si>
    <t>31/03/2027</t>
  </si>
  <si>
    <t>31/03/2028</t>
  </si>
  <si>
    <t>Estimated</t>
  </si>
  <si>
    <t>TYPE OF FINANCIALS ===&gt;&gt;&gt;</t>
  </si>
  <si>
    <t>ACCOUNTING YEAR ===&gt;&gt;&gt;</t>
  </si>
  <si>
    <t>Provisional</t>
  </si>
  <si>
    <t>Item Description</t>
  </si>
  <si>
    <t>Amount
(Rs. In Cr.)</t>
  </si>
  <si>
    <t>Gross Sales:</t>
  </si>
  <si>
    <t>Domestic Sales</t>
  </si>
  <si>
    <t>Export Sales</t>
  </si>
  <si>
    <t>Other Operating / Revenue Income</t>
  </si>
  <si>
    <t>Total Gross Sales</t>
  </si>
  <si>
    <t>Deduct: Excise Duty / Service Tax</t>
  </si>
  <si>
    <t>Deduct: Other items</t>
  </si>
  <si>
    <t>Cost of Sales:</t>
  </si>
  <si>
    <r>
      <t xml:space="preserve">Raw Materials </t>
    </r>
    <r>
      <rPr>
        <sz val="11"/>
        <color indexed="8"/>
        <rFont val="Calibri"/>
        <family val="2"/>
      </rPr>
      <t>(including stores &amp; other items used in manufacturing process):</t>
    </r>
  </si>
  <si>
    <t>Imported</t>
  </si>
  <si>
    <t>Indigenous</t>
  </si>
  <si>
    <t>Spares Imported</t>
  </si>
  <si>
    <t>Spares Indigenous</t>
  </si>
  <si>
    <t>Total Spares</t>
  </si>
  <si>
    <t>Power &amp; Fuel</t>
  </si>
  <si>
    <t>Direct Labour</t>
  </si>
  <si>
    <t>Other Manufacturing Expenses / Other Direct Costs</t>
  </si>
  <si>
    <t>Depreciation &amp; Amortisation</t>
  </si>
  <si>
    <t>Add: Opening of Stock in Process</t>
  </si>
  <si>
    <t>Less: Closing Stock in Process</t>
  </si>
  <si>
    <t>Cost of Production</t>
  </si>
  <si>
    <t>Add: Opening of Stock of Finished Goods</t>
  </si>
  <si>
    <t>Less: Closing Stock of Finished Goods</t>
  </si>
  <si>
    <t xml:space="preserve">Cost of Sales </t>
  </si>
  <si>
    <t>Selling &amp; General Administrative Expenses</t>
  </si>
  <si>
    <t>Operating Profit Before Interest</t>
  </si>
  <si>
    <t>Interest on Term Loans</t>
  </si>
  <si>
    <t>Other Finance Charges</t>
  </si>
  <si>
    <t>Total Interest Outgo</t>
  </si>
  <si>
    <t>Operating Profit After Interest</t>
  </si>
  <si>
    <t>Other Non-Operating Income</t>
  </si>
  <si>
    <t>Interest on Unsecured Loans &amp; Loans to related parties</t>
  </si>
  <si>
    <t>Income from Investments &amp; Interest on Deposits</t>
  </si>
  <si>
    <t>Forex gain</t>
  </si>
  <si>
    <t>Profit on Sale of Fixed Assets</t>
  </si>
  <si>
    <t>Profit on Sale of Investments</t>
  </si>
  <si>
    <t>Others, if any (Please specify)</t>
  </si>
  <si>
    <t>39(i)</t>
  </si>
  <si>
    <t>39(ii)</t>
  </si>
  <si>
    <t>39(iii)</t>
  </si>
  <si>
    <t>39(iv)</t>
  </si>
  <si>
    <t>39(v)</t>
  </si>
  <si>
    <t>Total Other Non-Operating Income</t>
  </si>
  <si>
    <t>Other Non-Operating Expenses</t>
  </si>
  <si>
    <t>Goodwill &amp; Other Intangible Assets Written off</t>
  </si>
  <si>
    <t>Preliminary Expenses Written off</t>
  </si>
  <si>
    <t>Other Miscellaneous Expenses Written off</t>
  </si>
  <si>
    <t>Forex Loss</t>
  </si>
  <si>
    <t>Loss on Sale of Fixed Assets</t>
  </si>
  <si>
    <t>47(i)</t>
  </si>
  <si>
    <t>47(ii)</t>
  </si>
  <si>
    <t>47(iii)</t>
  </si>
  <si>
    <t>47(iv)</t>
  </si>
  <si>
    <t>47(v)</t>
  </si>
  <si>
    <t>Total Other Non-Operating Expenses</t>
  </si>
  <si>
    <t>Net Non-Operating Income</t>
  </si>
  <si>
    <t>Profit Before Tax / Loss</t>
  </si>
  <si>
    <t>MAT Credit</t>
  </si>
  <si>
    <t>Provision for Taxes</t>
  </si>
  <si>
    <t>Prior Period Expenses</t>
  </si>
  <si>
    <t>Net Profit / Loss</t>
  </si>
  <si>
    <t>Equity Dividend paid (including Dividend Tax)</t>
  </si>
  <si>
    <t>Retained Profit</t>
  </si>
  <si>
    <t>Transfers to Other Reserves</t>
  </si>
  <si>
    <t>Amount Transferred to Profit &amp; Loss Account</t>
  </si>
  <si>
    <t>Comments:---&gt;&gt;&gt;</t>
  </si>
  <si>
    <t>Pre-operative and Preliminary Expenses</t>
  </si>
  <si>
    <t>Tax Rate:</t>
  </si>
  <si>
    <t>Base Rate</t>
  </si>
  <si>
    <t>Educatuion and health</t>
  </si>
  <si>
    <t>Surcharge</t>
  </si>
  <si>
    <t>1) IF taxable income is below 1 crore</t>
  </si>
  <si>
    <t>2) if taxable income falls between 1 crore to 10 crore</t>
  </si>
  <si>
    <t>3) Above 10 crore</t>
  </si>
  <si>
    <t>MAT Rate</t>
  </si>
  <si>
    <t>Normal Tax rate</t>
  </si>
  <si>
    <t>Profit before taxes</t>
  </si>
  <si>
    <t>Add: Exceptional items</t>
  </si>
  <si>
    <t>Add: Provision for foreign exchange fluctuations</t>
  </si>
  <si>
    <t>Add: Dep.as per Co Act</t>
  </si>
  <si>
    <t>Less: Dep. as per IT Act</t>
  </si>
  <si>
    <t>Adjusted PBT</t>
  </si>
  <si>
    <t>Losses B/F</t>
  </si>
  <si>
    <t>Unabsorbed Depreciation B/F</t>
  </si>
  <si>
    <t>Taxable Profits</t>
  </si>
  <si>
    <t>Losses C/F</t>
  </si>
  <si>
    <t>Unabsorbed Depreciation C/F</t>
  </si>
  <si>
    <t>Tax Liability as per normal provisions</t>
  </si>
  <si>
    <t>Tax Rate Business Income</t>
  </si>
  <si>
    <t>MAT Liability on book profits</t>
  </si>
  <si>
    <t>Tax Liability higher of two</t>
  </si>
  <si>
    <t>Less: Mat Credit set off</t>
  </si>
  <si>
    <t>Tax paid</t>
  </si>
  <si>
    <t>Opening</t>
  </si>
  <si>
    <t>Additions</t>
  </si>
  <si>
    <t>Utilized</t>
  </si>
  <si>
    <t>Cumulative MAT Credit</t>
  </si>
  <si>
    <t>As per the original technical services agreement the schedule was as under</t>
  </si>
  <si>
    <t>Date of signing of Agreement</t>
  </si>
  <si>
    <t>Completion of design</t>
  </si>
  <si>
    <t>Mock-up room</t>
  </si>
  <si>
    <t>Super Structure</t>
  </si>
  <si>
    <t>Date of Completion</t>
  </si>
  <si>
    <t>Particular</t>
  </si>
  <si>
    <t>Date</t>
  </si>
  <si>
    <t>However, as per the supplementary agreement the tail of the project has been extended by 15 months and the project to be completed by 24.06.2026</t>
  </si>
  <si>
    <t>In Lacs</t>
  </si>
  <si>
    <t>M/S Excalibur Hotels &amp; Banquets Private Limit</t>
  </si>
  <si>
    <t>Proposed 50 rooms Luxury Hotel set up M/S Excalibur Hotels &amp; Banquets Private Limit</t>
  </si>
  <si>
    <t>COST OF PROJECT OF HOTEL OF 50 ROOMS</t>
  </si>
  <si>
    <t xml:space="preserve">Bhatinda, Punjab </t>
  </si>
  <si>
    <t>In lakhs.</t>
  </si>
  <si>
    <t>Land Development</t>
  </si>
  <si>
    <t xml:space="preserve">Working Capila </t>
  </si>
  <si>
    <t>required Working capital</t>
  </si>
  <si>
    <t>Lakhs</t>
  </si>
  <si>
    <t>S.no</t>
  </si>
  <si>
    <t>Building including Land Development</t>
  </si>
  <si>
    <t>CC limit</t>
  </si>
  <si>
    <t xml:space="preserve">Rooftop Restaurant </t>
  </si>
  <si>
    <t>Banquet Hall</t>
  </si>
  <si>
    <t>Kitty Halls</t>
  </si>
  <si>
    <t>Number</t>
  </si>
  <si>
    <t>FACILITIES: Banquet hall and Kitty halls</t>
  </si>
  <si>
    <t>BAR Income</t>
  </si>
  <si>
    <t xml:space="preserve">M/S Excalibur Hotels &amp; Banquets Private Limit </t>
  </si>
  <si>
    <t>No. of days</t>
  </si>
  <si>
    <t>No. of days/event</t>
  </si>
  <si>
    <t>For year 2</t>
  </si>
  <si>
    <t xml:space="preserve">Kitty Hall </t>
  </si>
  <si>
    <t>Bar Expenses</t>
  </si>
  <si>
    <t>Banquet Hall Expenses</t>
  </si>
  <si>
    <t>Depreciation - Build</t>
  </si>
  <si>
    <t>Depreciation - P&amp;M</t>
  </si>
  <si>
    <t xml:space="preserve">Total Depreciation </t>
  </si>
  <si>
    <t xml:space="preserve">Depreciation - Furniture &amp; Fixtures Interiors </t>
  </si>
  <si>
    <t>DEPRECIATION DSCHEDULE AS PER Companies ACT  (Lakh INR)</t>
  </si>
  <si>
    <t>Compnanies act WDV</t>
  </si>
  <si>
    <t>34 months</t>
  </si>
  <si>
    <t>Closing</t>
  </si>
  <si>
    <t>DETAILS OF WAGES</t>
  </si>
  <si>
    <t>Department</t>
  </si>
  <si>
    <t>Role</t>
  </si>
  <si>
    <t>Number of Staff</t>
  </si>
  <si>
    <t>Annual Salary (Rs. Lakhs)</t>
  </si>
  <si>
    <t>Monthly Salary (Rs. Lakhs)</t>
  </si>
  <si>
    <t>Management and Administrative</t>
  </si>
  <si>
    <t>General Manager</t>
  </si>
  <si>
    <t>Assistant Managers (Operations, F&amp;B, Sales)</t>
  </si>
  <si>
    <t>HR, Finance, and Accounts staff</t>
  </si>
  <si>
    <t>Event Planners and Coordinators</t>
  </si>
  <si>
    <t>Total (Management)</t>
  </si>
  <si>
    <t>Front Office and Guest Relations</t>
  </si>
  <si>
    <t>Front Desk Managers</t>
  </si>
  <si>
    <t>Receptionists</t>
  </si>
  <si>
    <t>Concierge</t>
  </si>
  <si>
    <t>Bellhops</t>
  </si>
  <si>
    <t>Valet parking attendants</t>
  </si>
  <si>
    <t>Total (Front Office)</t>
  </si>
  <si>
    <t>Housekeeping and Maintenance</t>
  </si>
  <si>
    <t>Housekeeping Manager</t>
  </si>
  <si>
    <t>Housekeeping staff (cleaners, room attendants)</t>
  </si>
  <si>
    <t>Laundry services</t>
  </si>
  <si>
    <t>Maintenance staff (electricians, plumbers, carpenters)</t>
  </si>
  <si>
    <t>Total (Housekeeping)</t>
  </si>
  <si>
    <t>Food &amp; Beverage (F&amp;B) Department</t>
  </si>
  <si>
    <t>Executive Chef</t>
  </si>
  <si>
    <t>Sous Chefs</t>
  </si>
  <si>
    <t>Kitchen staff</t>
  </si>
  <si>
    <t>Restaurant &amp; Bar Managers</t>
  </si>
  <si>
    <t>Waiters (restaurants, rooftop dining, bar)</t>
  </si>
  <si>
    <t>Banquet service staff</t>
  </si>
  <si>
    <t>Bartenders</t>
  </si>
  <si>
    <t>Total (F&amp;B)</t>
  </si>
  <si>
    <t>Recreation and Wellness</t>
  </si>
  <si>
    <t>Gym Trainers and Assistants</t>
  </si>
  <si>
    <t>Salon Staff (hairdressers, beauticians)</t>
  </si>
  <si>
    <t>Spa Attendants (if added)</t>
  </si>
  <si>
    <t>Total (Recreation)</t>
  </si>
  <si>
    <t>Security and Support</t>
  </si>
  <si>
    <t>Security Manager</t>
  </si>
  <si>
    <t>Security personnel (guards)</t>
  </si>
  <si>
    <t>IT and Technical Support</t>
  </si>
  <si>
    <t>Total (Security &amp; Support)</t>
  </si>
  <si>
    <t>Grand Total</t>
  </si>
  <si>
    <t>Total Salary Per Month</t>
  </si>
  <si>
    <t>No Of Months</t>
  </si>
  <si>
    <t>Total Salary</t>
  </si>
  <si>
    <t>31.03.2025</t>
  </si>
  <si>
    <t>31.03.2026</t>
  </si>
  <si>
    <t>31.03.2027</t>
  </si>
  <si>
    <t>31.03.2028</t>
  </si>
  <si>
    <t>31.03.2029</t>
  </si>
  <si>
    <t>31.03.2030</t>
  </si>
  <si>
    <t>31.03.2031</t>
  </si>
  <si>
    <t>31.03.2032</t>
  </si>
  <si>
    <t>31.03.2033</t>
  </si>
  <si>
    <t>31.03.2034</t>
  </si>
  <si>
    <t>31.03.2035</t>
  </si>
  <si>
    <t>Salary and Wages</t>
  </si>
  <si>
    <t xml:space="preserve">Less Fixed Expenses </t>
  </si>
  <si>
    <t>In Lakhs</t>
  </si>
  <si>
    <t>For year 1 (Starting From October 2027 to March 2028)</t>
  </si>
  <si>
    <t>Moraturium</t>
  </si>
  <si>
    <t>COD</t>
  </si>
  <si>
    <t>Unsecured Loan</t>
  </si>
  <si>
    <t xml:space="preserve">Unscured Loan </t>
  </si>
  <si>
    <t>CC Loan</t>
  </si>
  <si>
    <t>Working Capital</t>
  </si>
  <si>
    <t>Increase in CC Limit</t>
  </si>
  <si>
    <t>Lease rental</t>
  </si>
  <si>
    <t>Current Assets other than cash &amp; bank = A</t>
  </si>
  <si>
    <t>Total Current Assets  = B</t>
  </si>
  <si>
    <t>Net Operating Working Capital=[ A - C ]</t>
  </si>
  <si>
    <t>Total Adjusted Networth [ share capital + unsecured loans - Intangible Assets]</t>
  </si>
  <si>
    <t>In  lakhs</t>
  </si>
  <si>
    <t>Banque hall</t>
  </si>
  <si>
    <t>2 hall</t>
  </si>
  <si>
    <t>Max capiicty</t>
  </si>
  <si>
    <t>SPA</t>
  </si>
  <si>
    <t>Total No. of Room Nights</t>
  </si>
  <si>
    <t xml:space="preserve">Probablity </t>
  </si>
  <si>
    <t>DETAILS OF POWER CONSUMPTION</t>
  </si>
  <si>
    <t>Power Load</t>
  </si>
  <si>
    <t>KW</t>
  </si>
  <si>
    <t>No. of Working Days in a Year</t>
  </si>
  <si>
    <t>No. of Working Hours</t>
  </si>
  <si>
    <t>No. of Units</t>
  </si>
  <si>
    <t>Lac</t>
  </si>
  <si>
    <t>Rate of Unit</t>
  </si>
  <si>
    <t>Cost Per Unit (Rs.)</t>
  </si>
  <si>
    <t>Total Cost</t>
  </si>
  <si>
    <t>Rs in Lacs</t>
  </si>
  <si>
    <t>31.03.2036</t>
  </si>
  <si>
    <t>In  Lakhs</t>
  </si>
  <si>
    <t>wacc</t>
  </si>
  <si>
    <t>D</t>
  </si>
  <si>
    <t>E</t>
  </si>
  <si>
    <t>Cost</t>
  </si>
  <si>
    <t xml:space="preserve">Weighted Cost </t>
  </si>
  <si>
    <t>Change in MAT</t>
  </si>
  <si>
    <t>Income tax</t>
  </si>
  <si>
    <t>MAT</t>
  </si>
  <si>
    <t xml:space="preserve">Sensitivity Analysis when there is decrease in room rent by 05% </t>
  </si>
  <si>
    <t xml:space="preserve">Sensitivity Analysis when there is increase in Interest Rate by 1.00% </t>
  </si>
  <si>
    <t>5% Incremental Inflation rate</t>
  </si>
  <si>
    <t>CALCULATION OF AS ASSETS COVERAGE RATIO</t>
  </si>
  <si>
    <t>CC Limit</t>
  </si>
  <si>
    <t>Term Loan</t>
  </si>
  <si>
    <t>Asset Coverage ratio</t>
  </si>
  <si>
    <t>Tengible Assets (A)</t>
  </si>
  <si>
    <t>Current liabilities (B)</t>
  </si>
  <si>
    <t>Short Term Borrowing ( C)</t>
  </si>
  <si>
    <t>Total  ( A -(B-C))</t>
  </si>
  <si>
    <t>Interest Coverage Ratio</t>
  </si>
  <si>
    <t>3816  Sq yards</t>
  </si>
  <si>
    <t>IDC</t>
  </si>
  <si>
    <t>Total Preliminary Expenses</t>
  </si>
  <si>
    <t>ROCE (F1)</t>
  </si>
  <si>
    <t>ROCE (F2)</t>
  </si>
  <si>
    <t>Increase in Current Liabilities</t>
  </si>
  <si>
    <t>M/s Excalibur Hotels &amp; Banquets Private Limited</t>
  </si>
  <si>
    <t>Change in NOWC</t>
  </si>
  <si>
    <t xml:space="preserve">Interest to CC </t>
  </si>
  <si>
    <t xml:space="preserve">Interest on Term Loan </t>
  </si>
  <si>
    <t>Fixed Costs</t>
  </si>
  <si>
    <t>Total Fixed Cost</t>
  </si>
  <si>
    <t xml:space="preserve">As per the industry </t>
  </si>
  <si>
    <t>https://www.payscale.com/research/IN/Industry=Hotel/Salary</t>
  </si>
  <si>
    <t>https://in.jooble.org/salary/hospitality-industry#:~:text=How%20much%20does%20a%20Hospitality%20industry%20make%20in,month%2C%20%E2%82%B911%2C388%20per%20week%2C%20or%20%E2%82%B9275.3%20per%20hour.</t>
  </si>
  <si>
    <t>https://www.ambitionbox.com/profile/hotel-staff-salary</t>
  </si>
  <si>
    <t>Other Admin &amp; General Expenses</t>
  </si>
  <si>
    <t>Sensitivity Analysis</t>
  </si>
  <si>
    <t xml:space="preserve">Sensitivity Analysis when there is decrease in room occupancy by 05% </t>
  </si>
  <si>
    <t>ICR</t>
  </si>
  <si>
    <t>Base for the sensitivity</t>
  </si>
  <si>
    <t xml:space="preserve">Room Rent Refrence </t>
  </si>
  <si>
    <t>Stella Hotel</t>
  </si>
  <si>
    <t>Sapphire</t>
  </si>
  <si>
    <t xml:space="preserve">Comfort Inn </t>
  </si>
  <si>
    <t>https://signetroyale.bookingjini.com/property</t>
  </si>
  <si>
    <t>Signet Royal</t>
  </si>
  <si>
    <t>CAGR</t>
  </si>
  <si>
    <t>24-29</t>
  </si>
  <si>
    <t>https://www.ibef.org/research/case-study/growth-of-hotel-industry-in-india</t>
  </si>
  <si>
    <t>https://www.marketresearchfuture.com/reports/india-hospitality-market-21425#:~:text=India's%20Hospitality%20Market%20Size%20was,of%20the%20India%20hospitality%20market.</t>
  </si>
  <si>
    <t>24-32</t>
  </si>
  <si>
    <t>https://www.statista.com/outlook/mmo/travel-tourism/hotels/india</t>
  </si>
  <si>
    <t>by 2029</t>
  </si>
  <si>
    <t>https://www.google.com/maps/place/Hotel+Sapphire/@30.225977,74.951275,17z/data=!4m10!3m9!1s0x391732b7dcdb859b:0x3242a77feeb822af!5m3!1s2024-12-07!4m1!1i2!8m2!3d30.225977!4d74.951275!16s%2Fg%2F11b6zw7ybb?authuser=0&amp;hl=en&amp;entry=ttu&amp;g_ep=EgoyMDI0MTIwMy4wIKXMDSoASAFQAw%3D%3D</t>
  </si>
  <si>
    <t>https://www.google.com/travel/search?q=comfort%20inn%20bhatinda&amp;g2lb=4893075%2C4965990%2C4969803%2C72277293%2C72302247%2C72317059%2C72406588%2C72414906%2C72421566%2C72471280%2C72472051%2C72481459%2C72485658%2C72499705%2C72614662%2C72616120%2C72619927%2C72647020%2C72648289%2C72658035%2C72686036%2C72760082%2C72808078%2C72825295%2C72836240&amp;hl=en-IN&amp;gl=in&amp;ssta=1&amp;ts=CAEaRwopEicyJTB4MzkxNzJkNWYyY2VjMWNkZDoweDNjZmEyNjIwYmEyMzViNmMSGhIUCgcI6A8QDBgHEgcI6A8QDBgIGAEyAggC&amp;qs=CAEyE0Nnb0k3TGFOMFl2RWlmMDhFQUU4AkIJCWxbI7ogJvo8QgkJbFsjuiAm-jw&amp;ap=ugEGcHJpY2Vz&amp;ictx=1&amp;ved=0CAAQ5JsGahcKEwjIuO7z85KKAxUAAAAAHQAAAAAQEA</t>
  </si>
  <si>
    <t>https://www.google.com/travel/search?q=stella%20hotel%20bathinda&amp;g2lb=4893075%2C4965990%2C4969803%2C72277293%2C72302247%2C72317059%2C72406588%2C72414906%2C72421566%2C72471280%2C72472051%2C72481459%2C72485658%2C72499705%2C72614662%2C72616120%2C72619927%2C72647020%2C72648289%2C72658035%2C72686036%2C72760082%2C72808078%2C72825295%2C72836240&amp;hl=en-IN&amp;gl=in&amp;ssta=1&amp;ts=CAEqBwoFOgNJTlI&amp;qs=CAAgASgAMidDaGtJX3ZycjQ5T1VqdVRJQVJvTUwyY3ZNVEoyZEhGak5IazFFQUU&amp;ap=MAC6AQZwcmljZXM&amp;ictx=1&amp;ved=0CAAQ5JsGahcKEwjIuO7z85KKAxUAAAAAHQAAAAAQcw</t>
  </si>
  <si>
    <t xml:space="preserve">diifrence </t>
  </si>
  <si>
    <t xml:space="preserve">DSCR Sheet </t>
  </si>
  <si>
    <t xml:space="preserve">rate of change </t>
  </si>
  <si>
    <t>Stock (4 weeks of Department Expenses)</t>
  </si>
  <si>
    <t>Kitchen Euipment</t>
  </si>
  <si>
    <t>Daikin</t>
  </si>
  <si>
    <t xml:space="preserve">Electrical </t>
  </si>
  <si>
    <t>DG Set</t>
  </si>
  <si>
    <t>Current Liabilities[=2 weeks exp.,other than dep.&amp; int on term loan]</t>
  </si>
  <si>
    <t>Occupancy decrease by 5%</t>
  </si>
  <si>
    <t>Room rent decrease by 5%</t>
  </si>
  <si>
    <t>Interest Rate increased by 1%</t>
  </si>
  <si>
    <t>Sundry Debtors[=3 weeks month Room &amp; Food Sale]</t>
  </si>
  <si>
    <t xml:space="preserve">Air Conditioner </t>
  </si>
  <si>
    <t>3987692/-</t>
  </si>
  <si>
    <t xml:space="preserve">Electric fitting and others DG set requirment </t>
  </si>
  <si>
    <t xml:space="preserve"> 500 KVA TP AND 125 KVA SP KIRLOSKAR GREEN GENERATOR SET</t>
  </si>
  <si>
    <t>4 Lifts</t>
  </si>
  <si>
    <t>Total Current Liabilities = D</t>
  </si>
  <si>
    <t>Current Ratio = [ B / D ]</t>
  </si>
  <si>
    <t>Debt = X</t>
  </si>
  <si>
    <t>Share Capital + Unsecured loan = Equity = Y</t>
  </si>
  <si>
    <t>Adjusted Debt / Equity Ratio =[ X / Y ]</t>
  </si>
  <si>
    <t>Operating Current Liabilities = C</t>
  </si>
  <si>
    <t>construction</t>
  </si>
  <si>
    <t>2024-2025</t>
  </si>
  <si>
    <t>2025-2026</t>
  </si>
  <si>
    <t>2026-2027</t>
  </si>
  <si>
    <t>2027-2028</t>
  </si>
  <si>
    <t>2028-2029</t>
  </si>
  <si>
    <t>2029-2030</t>
  </si>
  <si>
    <t>2030-2031</t>
  </si>
  <si>
    <t>2031-2032</t>
  </si>
  <si>
    <t>2032-2033</t>
  </si>
  <si>
    <t>2034-2035</t>
  </si>
  <si>
    <t>2033-2034</t>
  </si>
  <si>
    <t>Interest</t>
  </si>
  <si>
    <t>Outstanding</t>
  </si>
  <si>
    <t>Current Maturity</t>
  </si>
  <si>
    <t>Long Term Maturity</t>
  </si>
  <si>
    <t>Installment</t>
  </si>
  <si>
    <t>Discpursment</t>
  </si>
  <si>
    <t>PRepayment</t>
  </si>
  <si>
    <t>closing Balance</t>
  </si>
  <si>
    <t>Principal Repayment</t>
  </si>
  <si>
    <t>Rooftop</t>
  </si>
  <si>
    <t>Restaurant</t>
  </si>
  <si>
    <t>Kitty Hall</t>
  </si>
  <si>
    <t>Capacity</t>
  </si>
  <si>
    <t>Days</t>
  </si>
  <si>
    <t>-</t>
  </si>
  <si>
    <t>Rev. (In lakhs)</t>
  </si>
  <si>
    <t xml:space="preserve">Particulars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</si>
</sst>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5">
    <numFmt numFmtId="43" formatCode="_ * #,##0.00_ ;_ * \-#,##0.00_ ;_ * &quot;-&quot;??_ ;_ @_ "/>
    <numFmt numFmtId="164" formatCode="_(* #,##0.00_);_(* \(#,##0.00\);_(* &quot;-&quot;??_);_(@_)"/>
    <numFmt numFmtId="165" formatCode="0_);\(0\)"/>
    <numFmt numFmtId="166" formatCode="_(* #,##0_);_(* \(#,##0\);_(* &quot;-&quot;??_);_(@_)"/>
    <numFmt numFmtId="167" formatCode="_ * #,##0_ ;_ * \-#,##0_ ;_ * &quot;-&quot;??_ ;_ @_ "/>
    <numFmt numFmtId="168" formatCode="0.0"/>
    <numFmt numFmtId="169" formatCode="0.0%"/>
    <numFmt numFmtId="170" formatCode="[$-409]d\-mmm\-yy;@"/>
    <numFmt numFmtId="171" formatCode="0.000%"/>
    <numFmt numFmtId="172" formatCode="_-* #,##0.00_-;\-* #,##0.00_-;_-* &quot;-&quot;??_-;_-@_-"/>
    <numFmt numFmtId="173" formatCode="0.000"/>
    <numFmt numFmtId="174" formatCode="0.0000"/>
    <numFmt numFmtId="175" formatCode="0.00000"/>
    <numFmt numFmtId="176" formatCode="[$-409]dd/mmm/yy;@"/>
    <numFmt numFmtId="186" formatCode="_(* #,##0.00_);_(* \(#,##0.00\);_(* \-??_);_(@_)"/>
  </numFmts>
  <fonts count="64" x14ac:knownFonts="1">
    <font>
      <sz val="11"/>
      <color theme="1"/>
      <name val="Calibri"/>
      <family val="2"/>
      <scheme val="minor"/>
    </font>
    <font>
      <sz val="11"/>
      <color theme="1"/>
      <name val="Calibri"/>
      <family val="2"/>
      <scheme val="minor"/>
    </font>
    <font>
      <b/>
      <sz val="11"/>
      <color theme="1"/>
      <name val="Calibri"/>
      <family val="2"/>
      <scheme val="minor"/>
    </font>
    <font>
      <b/>
      <sz val="14"/>
      <color theme="1"/>
      <name val="Calibri"/>
      <family val="2"/>
      <scheme val="minor"/>
    </font>
    <font>
      <sz val="14"/>
      <color theme="1"/>
      <name val="Calibri"/>
      <family val="2"/>
      <scheme val="minor"/>
    </font>
    <font>
      <b/>
      <sz val="16"/>
      <color theme="1"/>
      <name val="Calibri"/>
      <family val="2"/>
      <scheme val="minor"/>
    </font>
    <font>
      <b/>
      <sz val="18"/>
      <color theme="1"/>
      <name val="Calibri"/>
      <family val="2"/>
      <scheme val="minor"/>
    </font>
    <font>
      <b/>
      <sz val="12"/>
      <color theme="1"/>
      <name val="Calibri"/>
      <family val="2"/>
      <scheme val="minor"/>
    </font>
    <font>
      <sz val="12"/>
      <color theme="1"/>
      <name val="Calibri"/>
      <family val="2"/>
      <scheme val="minor"/>
    </font>
    <font>
      <sz val="8"/>
      <name val="Calibri"/>
      <family val="2"/>
      <scheme val="minor"/>
    </font>
    <font>
      <b/>
      <sz val="11"/>
      <color theme="0"/>
      <name val="Calibri"/>
      <family val="2"/>
      <scheme val="minor"/>
    </font>
    <font>
      <sz val="11"/>
      <color rgb="FFFF0000"/>
      <name val="Calibri"/>
      <family val="2"/>
      <scheme val="minor"/>
    </font>
    <font>
      <sz val="11"/>
      <color theme="0"/>
      <name val="Calibri"/>
      <family val="2"/>
      <scheme val="minor"/>
    </font>
    <font>
      <sz val="10"/>
      <name val="Arial"/>
      <family val="2"/>
    </font>
    <font>
      <b/>
      <sz val="11"/>
      <name val="Calibri"/>
      <family val="2"/>
      <scheme val="minor"/>
    </font>
    <font>
      <sz val="11"/>
      <name val="Calibri"/>
      <family val="2"/>
      <scheme val="minor"/>
    </font>
    <font>
      <b/>
      <u/>
      <sz val="11"/>
      <name val="Calibri"/>
      <family val="2"/>
      <scheme val="minor"/>
    </font>
    <font>
      <u/>
      <sz val="11"/>
      <name val="Calibri"/>
      <family val="2"/>
      <scheme val="minor"/>
    </font>
    <font>
      <b/>
      <sz val="11"/>
      <color theme="0"/>
      <name val="Calibri"/>
      <family val="2"/>
    </font>
    <font>
      <sz val="11"/>
      <color theme="0"/>
      <name val="Calibri"/>
      <family val="2"/>
    </font>
    <font>
      <sz val="11"/>
      <color theme="1"/>
      <name val="Calibri"/>
      <family val="2"/>
    </font>
    <font>
      <b/>
      <sz val="11"/>
      <color theme="1"/>
      <name val="Calibri"/>
      <family val="2"/>
    </font>
    <font>
      <sz val="9"/>
      <color theme="1"/>
      <name val="Gill Sans MT"/>
      <family val="2"/>
    </font>
    <font>
      <b/>
      <sz val="14"/>
      <color rgb="FFC00000"/>
      <name val="Calibri"/>
      <family val="2"/>
    </font>
    <font>
      <b/>
      <sz val="12"/>
      <color theme="0"/>
      <name val="Calibri"/>
      <family val="2"/>
    </font>
    <font>
      <b/>
      <sz val="12"/>
      <color rgb="FFC00000"/>
      <name val="Calibri"/>
      <family val="2"/>
    </font>
    <font>
      <b/>
      <i/>
      <sz val="10"/>
      <color theme="1"/>
      <name val="Calibri"/>
      <family val="2"/>
    </font>
    <font>
      <i/>
      <sz val="10"/>
      <color theme="1"/>
      <name val="Calibri"/>
      <family val="2"/>
    </font>
    <font>
      <b/>
      <u/>
      <sz val="11"/>
      <color theme="0"/>
      <name val="Calibri"/>
      <family val="2"/>
      <scheme val="minor"/>
    </font>
    <font>
      <u/>
      <sz val="10"/>
      <color theme="10"/>
      <name val="Arial"/>
      <family val="2"/>
    </font>
    <font>
      <u/>
      <sz val="11"/>
      <color theme="10"/>
      <name val="Calibri"/>
      <family val="2"/>
      <scheme val="minor"/>
    </font>
    <font>
      <b/>
      <sz val="11"/>
      <color indexed="8"/>
      <name val="Calibri"/>
      <family val="2"/>
      <scheme val="minor"/>
    </font>
    <font>
      <b/>
      <sz val="11"/>
      <color rgb="FFFFFFFF"/>
      <name val="Calibri"/>
      <family val="2"/>
      <scheme val="minor"/>
    </font>
    <font>
      <b/>
      <sz val="11"/>
      <color rgb="FF000000"/>
      <name val="Calibri"/>
      <family val="2"/>
      <scheme val="minor"/>
    </font>
    <font>
      <b/>
      <sz val="10"/>
      <color theme="0"/>
      <name val="Arial"/>
      <family val="2"/>
    </font>
    <font>
      <b/>
      <sz val="10"/>
      <name val="Arial"/>
      <family val="2"/>
    </font>
    <font>
      <b/>
      <sz val="10"/>
      <color indexed="8"/>
      <name val="Calibri"/>
      <family val="2"/>
      <scheme val="minor"/>
    </font>
    <font>
      <sz val="10"/>
      <color indexed="8"/>
      <name val="Calibri"/>
      <family val="2"/>
      <scheme val="minor"/>
    </font>
    <font>
      <sz val="9"/>
      <color indexed="81"/>
      <name val="Tahoma"/>
      <family val="2"/>
    </font>
    <font>
      <b/>
      <sz val="9"/>
      <color indexed="81"/>
      <name val="Tahoma"/>
      <family val="2"/>
    </font>
    <font>
      <sz val="12"/>
      <color rgb="FF000000"/>
      <name val="Calibri"/>
      <family val="2"/>
      <scheme val="minor"/>
    </font>
    <font>
      <sz val="11"/>
      <color indexed="8"/>
      <name val="Calibri"/>
      <family val="2"/>
    </font>
    <font>
      <b/>
      <sz val="11.05"/>
      <color indexed="8"/>
      <name val="Calibri"/>
      <family val="2"/>
    </font>
    <font>
      <b/>
      <sz val="11"/>
      <color indexed="10"/>
      <name val="Calibri"/>
      <family val="2"/>
    </font>
    <font>
      <b/>
      <sz val="11"/>
      <color indexed="8"/>
      <name val="Calibri"/>
      <family val="2"/>
    </font>
    <font>
      <b/>
      <u/>
      <sz val="11"/>
      <color indexed="8"/>
      <name val="Calibri"/>
      <family val="2"/>
    </font>
    <font>
      <u/>
      <sz val="11.05"/>
      <color indexed="8"/>
      <name val="Calibri"/>
      <family val="2"/>
    </font>
    <font>
      <b/>
      <sz val="9"/>
      <name val="Tahoma"/>
      <family val="2"/>
    </font>
    <font>
      <b/>
      <sz val="9"/>
      <color indexed="12"/>
      <name val="Tahoma"/>
      <family val="2"/>
    </font>
    <font>
      <b/>
      <i/>
      <sz val="11"/>
      <color theme="1"/>
      <name val="Calibri"/>
      <family val="2"/>
    </font>
    <font>
      <b/>
      <sz val="11"/>
      <color rgb="FFC00000"/>
      <name val="Calibri"/>
      <family val="2"/>
    </font>
    <font>
      <sz val="11"/>
      <color rgb="FF0070C0"/>
      <name val="Calibri"/>
      <family val="2"/>
      <scheme val="minor"/>
    </font>
    <font>
      <b/>
      <sz val="11"/>
      <color rgb="FF0070C0"/>
      <name val="Calibri"/>
      <family val="2"/>
      <scheme val="minor"/>
    </font>
    <font>
      <b/>
      <sz val="12"/>
      <color rgb="FFC00000"/>
      <name val="Calibri"/>
      <family val="2"/>
      <scheme val="minor"/>
    </font>
    <font>
      <sz val="10"/>
      <name val="Arial"/>
    </font>
    <font>
      <b/>
      <u/>
      <sz val="10"/>
      <name val="Arial"/>
      <family val="2"/>
    </font>
    <font>
      <b/>
      <sz val="10"/>
      <name val="Arial"/>
    </font>
    <font>
      <b/>
      <u/>
      <sz val="11"/>
      <color theme="1"/>
      <name val="Calibri"/>
      <family val="2"/>
      <scheme val="minor"/>
    </font>
    <font>
      <b/>
      <sz val="10"/>
      <color theme="1"/>
      <name val="Calibri"/>
      <family val="2"/>
      <scheme val="minor"/>
    </font>
    <font>
      <b/>
      <sz val="11"/>
      <color rgb="FFFFFFFF"/>
      <name val="Calibri"/>
      <family val="2"/>
    </font>
    <font>
      <b/>
      <sz val="9"/>
      <color rgb="FFFFFFFF"/>
      <name val="Calibri"/>
      <family val="2"/>
    </font>
    <font>
      <b/>
      <sz val="9"/>
      <color rgb="FF000000"/>
      <name val="Calibri"/>
      <family val="2"/>
    </font>
    <font>
      <sz val="9"/>
      <color theme="1"/>
      <name val="Calibri"/>
      <family val="2"/>
    </font>
    <font>
      <sz val="9"/>
      <color rgb="FF000000"/>
      <name val="Calibri"/>
      <family val="2"/>
    </font>
  </fonts>
  <fills count="32">
    <fill>
      <patternFill patternType="none"/>
    </fill>
    <fill>
      <patternFill patternType="gray125"/>
    </fill>
    <fill>
      <patternFill patternType="solid">
        <fgColor rgb="FFFFFF00"/>
        <bgColor indexed="64"/>
      </patternFill>
    </fill>
    <fill>
      <patternFill patternType="solid">
        <fgColor theme="3" tint="0.79998168889431442"/>
        <bgColor indexed="64"/>
      </patternFill>
    </fill>
    <fill>
      <patternFill patternType="solid">
        <fgColor theme="9" tint="0.39997558519241921"/>
        <bgColor indexed="64"/>
      </patternFill>
    </fill>
    <fill>
      <patternFill patternType="solid">
        <fgColor rgb="FF002060"/>
        <bgColor indexed="64"/>
      </patternFill>
    </fill>
    <fill>
      <patternFill patternType="solid">
        <fgColor theme="3" tint="0.59999389629810485"/>
        <bgColor indexed="64"/>
      </patternFill>
    </fill>
    <fill>
      <patternFill patternType="solid">
        <fgColor theme="0" tint="-0.14999847407452621"/>
        <bgColor indexed="64"/>
      </patternFill>
    </fill>
    <fill>
      <patternFill patternType="solid">
        <fgColor theme="4" tint="0.79998168889431442"/>
        <bgColor indexed="64"/>
      </patternFill>
    </fill>
    <fill>
      <patternFill patternType="solid">
        <fgColor theme="8" tint="0.79998168889431442"/>
        <bgColor indexed="64"/>
      </patternFill>
    </fill>
    <fill>
      <patternFill patternType="solid">
        <fgColor theme="5"/>
        <bgColor indexed="64"/>
      </patternFill>
    </fill>
    <fill>
      <patternFill patternType="solid">
        <fgColor theme="0" tint="-0.499984740745262"/>
        <bgColor indexed="64"/>
      </patternFill>
    </fill>
    <fill>
      <patternFill patternType="solid">
        <fgColor rgb="FF00B050"/>
        <bgColor indexed="64"/>
      </patternFill>
    </fill>
    <fill>
      <patternFill patternType="solid">
        <fgColor theme="4" tint="0.39997558519241921"/>
        <bgColor indexed="64"/>
      </patternFill>
    </fill>
    <fill>
      <patternFill patternType="solid">
        <fgColor theme="5" tint="-0.249977111117893"/>
        <bgColor indexed="64"/>
      </patternFill>
    </fill>
    <fill>
      <patternFill patternType="solid">
        <fgColor rgb="FFDBE5F1"/>
        <bgColor indexed="64"/>
      </patternFill>
    </fill>
    <fill>
      <patternFill patternType="solid">
        <fgColor theme="4" tint="0.59999389629810485"/>
        <bgColor indexed="64"/>
      </patternFill>
    </fill>
    <fill>
      <patternFill patternType="solid">
        <fgColor indexed="15"/>
        <bgColor indexed="35"/>
      </patternFill>
    </fill>
    <fill>
      <patternFill patternType="solid">
        <fgColor indexed="13"/>
        <bgColor indexed="34"/>
      </patternFill>
    </fill>
    <fill>
      <patternFill patternType="solid">
        <fgColor indexed="40"/>
        <bgColor indexed="49"/>
      </patternFill>
    </fill>
    <fill>
      <patternFill patternType="solid">
        <fgColor indexed="42"/>
        <bgColor indexed="31"/>
      </patternFill>
    </fill>
    <fill>
      <patternFill patternType="solid">
        <fgColor indexed="47"/>
        <bgColor indexed="22"/>
      </patternFill>
    </fill>
    <fill>
      <patternFill patternType="solid">
        <fgColor indexed="24"/>
        <bgColor indexed="44"/>
      </patternFill>
    </fill>
    <fill>
      <patternFill patternType="solid">
        <fgColor indexed="44"/>
        <bgColor indexed="24"/>
      </patternFill>
    </fill>
    <fill>
      <patternFill patternType="solid">
        <fgColor indexed="23"/>
        <bgColor indexed="55"/>
      </patternFill>
    </fill>
    <fill>
      <patternFill patternType="solid">
        <fgColor rgb="FFFFD966"/>
        <bgColor indexed="64"/>
      </patternFill>
    </fill>
    <fill>
      <patternFill patternType="solid">
        <fgColor theme="6" tint="0.39997558519241921"/>
        <bgColor indexed="64"/>
      </patternFill>
    </fill>
    <fill>
      <patternFill patternType="solid">
        <fgColor rgb="FFFFC000"/>
        <bgColor indexed="64"/>
      </patternFill>
    </fill>
    <fill>
      <patternFill patternType="solid">
        <fgColor rgb="FF92D050"/>
        <bgColor indexed="64"/>
      </patternFill>
    </fill>
    <fill>
      <patternFill patternType="solid">
        <fgColor theme="2"/>
        <bgColor indexed="64"/>
      </patternFill>
    </fill>
    <fill>
      <patternFill patternType="solid">
        <fgColor theme="9"/>
        <bgColor indexed="64"/>
      </patternFill>
    </fill>
    <fill>
      <patternFill patternType="solid">
        <fgColor rgb="FFFF0000"/>
        <bgColor indexed="64"/>
      </patternFill>
    </fill>
  </fills>
  <borders count="59">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style="medium">
        <color indexed="64"/>
      </right>
      <top style="medium">
        <color indexed="64"/>
      </top>
      <bottom/>
      <diagonal/>
    </border>
    <border>
      <left/>
      <right style="medium">
        <color indexed="64"/>
      </right>
      <top/>
      <bottom/>
      <diagonal/>
    </border>
    <border>
      <left style="medium">
        <color indexed="64"/>
      </left>
      <right/>
      <top style="medium">
        <color indexed="64"/>
      </top>
      <bottom/>
      <diagonal/>
    </border>
    <border>
      <left/>
      <right/>
      <top style="medium">
        <color indexed="64"/>
      </top>
      <bottom/>
      <diagonal/>
    </border>
    <border>
      <left style="medium">
        <color indexed="64"/>
      </left>
      <right/>
      <top/>
      <bottom/>
      <diagonal/>
    </border>
    <border>
      <left style="medium">
        <color indexed="64"/>
      </left>
      <right/>
      <top/>
      <bottom style="medium">
        <color indexed="64"/>
      </bottom>
      <diagonal/>
    </border>
    <border>
      <left/>
      <right/>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medium">
        <color indexed="64"/>
      </right>
      <top style="thin">
        <color indexed="64"/>
      </top>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style="thin">
        <color indexed="64"/>
      </right>
      <top style="medium">
        <color indexed="64"/>
      </top>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right style="medium">
        <color indexed="64"/>
      </right>
      <top/>
      <bottom style="medium">
        <color indexed="64"/>
      </bottom>
      <diagonal/>
    </border>
    <border>
      <left/>
      <right/>
      <top style="thin">
        <color indexed="64"/>
      </top>
      <bottom style="thin">
        <color indexed="64"/>
      </bottom>
      <diagonal/>
    </border>
    <border>
      <left style="medium">
        <color indexed="64"/>
      </left>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top style="medium">
        <color indexed="64"/>
      </top>
      <bottom style="medium">
        <color indexed="64"/>
      </bottom>
      <diagonal/>
    </border>
    <border>
      <left style="thin">
        <color indexed="64"/>
      </left>
      <right/>
      <top style="medium">
        <color indexed="64"/>
      </top>
      <bottom style="thin">
        <color indexed="64"/>
      </bottom>
      <diagonal/>
    </border>
    <border>
      <left style="medium">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top/>
      <bottom/>
      <diagonal/>
    </border>
    <border>
      <left style="thin">
        <color indexed="64"/>
      </left>
      <right/>
      <top style="thin">
        <color indexed="64"/>
      </top>
      <bottom/>
      <diagonal/>
    </border>
    <border>
      <left style="thin">
        <color indexed="64"/>
      </left>
      <right/>
      <top/>
      <bottom style="thin">
        <color indexed="64"/>
      </bottom>
      <diagonal/>
    </border>
    <border>
      <left/>
      <right/>
      <top style="thin">
        <color indexed="64"/>
      </top>
      <bottom/>
      <diagonal/>
    </border>
    <border>
      <left/>
      <right style="thin">
        <color indexed="64"/>
      </right>
      <top style="thin">
        <color indexed="64"/>
      </top>
      <bottom/>
      <diagonal/>
    </border>
    <border>
      <left/>
      <right style="thin">
        <color indexed="64"/>
      </right>
      <top/>
      <bottom/>
      <diagonal/>
    </border>
    <border>
      <left/>
      <right style="thin">
        <color indexed="64"/>
      </right>
      <top/>
      <bottom style="thin">
        <color indexed="64"/>
      </bottom>
      <diagonal/>
    </border>
    <border>
      <left style="thin">
        <color indexed="8"/>
      </left>
      <right style="thin">
        <color indexed="8"/>
      </right>
      <top style="thin">
        <color indexed="8"/>
      </top>
      <bottom style="thin">
        <color indexed="8"/>
      </bottom>
      <diagonal/>
    </border>
    <border>
      <left style="thin">
        <color indexed="8"/>
      </left>
      <right/>
      <top style="thin">
        <color indexed="8"/>
      </top>
      <bottom/>
      <diagonal/>
    </border>
    <border>
      <left/>
      <right/>
      <top style="medium">
        <color indexed="64"/>
      </top>
      <bottom style="thin">
        <color indexed="64"/>
      </bottom>
      <diagonal/>
    </border>
    <border>
      <left/>
      <right style="thin">
        <color indexed="64"/>
      </right>
      <top style="medium">
        <color indexed="64"/>
      </top>
      <bottom style="medium">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right/>
      <top style="thin">
        <color indexed="64"/>
      </top>
      <bottom style="double">
        <color indexed="64"/>
      </bottom>
      <diagonal/>
    </border>
  </borders>
  <cellStyleXfs count="19">
    <xf numFmtId="0" fontId="0" fillId="0" borderId="0"/>
    <xf numFmtId="164" fontId="1" fillId="0" borderId="0" applyFont="0" applyFill="0" applyBorder="0" applyAlignment="0" applyProtection="0"/>
    <xf numFmtId="9" fontId="1" fillId="0" borderId="0" applyFont="0" applyFill="0" applyBorder="0" applyAlignment="0" applyProtection="0"/>
    <xf numFmtId="0" fontId="13" fillId="0" borderId="0"/>
    <xf numFmtId="164" fontId="13" fillId="0" borderId="0" applyFont="0" applyFill="0" applyBorder="0" applyAlignment="0" applyProtection="0"/>
    <xf numFmtId="9" fontId="13" fillId="0" borderId="0" applyFont="0" applyFill="0" applyBorder="0" applyAlignment="0" applyProtection="0"/>
    <xf numFmtId="0" fontId="22" fillId="0" borderId="0"/>
    <xf numFmtId="43" fontId="1" fillId="0" borderId="0" applyFont="0" applyFill="0" applyBorder="0" applyAlignment="0" applyProtection="0"/>
    <xf numFmtId="0" fontId="29" fillId="0" borderId="0" applyNumberFormat="0" applyFill="0" applyBorder="0" applyAlignment="0" applyProtection="0"/>
    <xf numFmtId="164" fontId="13" fillId="0" borderId="0" applyFont="0" applyFill="0" applyBorder="0" applyAlignment="0" applyProtection="0"/>
    <xf numFmtId="0" fontId="41" fillId="0" borderId="0"/>
    <xf numFmtId="0" fontId="54" fillId="0" borderId="0"/>
    <xf numFmtId="164" fontId="54" fillId="0" borderId="0" applyFont="0" applyFill="0" applyBorder="0" applyAlignment="0" applyProtection="0"/>
    <xf numFmtId="43" fontId="13" fillId="0" borderId="0" applyFont="0" applyFill="0" applyBorder="0" applyAlignment="0" applyProtection="0"/>
    <xf numFmtId="172" fontId="13" fillId="0" borderId="0" applyFont="0" applyFill="0" applyBorder="0" applyAlignment="0" applyProtection="0"/>
    <xf numFmtId="43" fontId="13" fillId="0" borderId="0" applyFont="0" applyFill="0" applyBorder="0" applyAlignment="0" applyProtection="0"/>
    <xf numFmtId="0" fontId="13" fillId="0" borderId="0"/>
    <xf numFmtId="0" fontId="1" fillId="0" borderId="0"/>
    <xf numFmtId="186" fontId="13" fillId="0" borderId="0" applyFill="0" applyBorder="0" applyAlignment="0" applyProtection="0"/>
  </cellStyleXfs>
  <cellXfs count="807">
    <xf numFmtId="0" fontId="0" fillId="0" borderId="0" xfId="0"/>
    <xf numFmtId="0" fontId="2" fillId="0" borderId="0" xfId="0" applyFont="1"/>
    <xf numFmtId="1" fontId="0" fillId="0" borderId="0" xfId="0" applyNumberFormat="1"/>
    <xf numFmtId="0" fontId="0" fillId="0" borderId="1" xfId="0" applyBorder="1"/>
    <xf numFmtId="0" fontId="0" fillId="0" borderId="1" xfId="0" applyBorder="1" applyAlignment="1">
      <alignment horizontal="center"/>
    </xf>
    <xf numFmtId="0" fontId="0" fillId="0" borderId="2" xfId="0" applyBorder="1" applyAlignment="1">
      <alignment horizontal="center"/>
    </xf>
    <xf numFmtId="0" fontId="0" fillId="0" borderId="3" xfId="0" applyBorder="1" applyAlignment="1">
      <alignment horizontal="center"/>
    </xf>
    <xf numFmtId="0" fontId="2" fillId="0" borderId="1" xfId="0" applyFont="1" applyBorder="1" applyAlignment="1">
      <alignment horizontal="center"/>
    </xf>
    <xf numFmtId="0" fontId="2" fillId="0" borderId="7" xfId="0" applyFont="1" applyBorder="1" applyAlignment="1">
      <alignment horizontal="center"/>
    </xf>
    <xf numFmtId="0" fontId="2" fillId="0" borderId="8" xfId="0" applyFont="1" applyBorder="1" applyAlignment="1">
      <alignment horizontal="center"/>
    </xf>
    <xf numFmtId="0" fontId="2" fillId="0" borderId="9" xfId="0" applyFont="1" applyBorder="1" applyAlignment="1">
      <alignment horizontal="center"/>
    </xf>
    <xf numFmtId="0" fontId="0" fillId="0" borderId="10" xfId="0" applyBorder="1"/>
    <xf numFmtId="0" fontId="0" fillId="0" borderId="11" xfId="0" applyBorder="1"/>
    <xf numFmtId="0" fontId="0" fillId="0" borderId="12" xfId="0" applyBorder="1"/>
    <xf numFmtId="0" fontId="0" fillId="0" borderId="13" xfId="0" applyBorder="1"/>
    <xf numFmtId="0" fontId="0" fillId="0" borderId="14" xfId="0" applyBorder="1"/>
    <xf numFmtId="0" fontId="0" fillId="0" borderId="0" xfId="0" applyAlignment="1">
      <alignment horizontal="center"/>
    </xf>
    <xf numFmtId="9" fontId="0" fillId="0" borderId="0" xfId="0" applyNumberFormat="1"/>
    <xf numFmtId="0" fontId="0" fillId="0" borderId="15" xfId="0" applyBorder="1"/>
    <xf numFmtId="0" fontId="0" fillId="0" borderId="16" xfId="0" applyBorder="1"/>
    <xf numFmtId="10" fontId="0" fillId="0" borderId="19" xfId="2" applyNumberFormat="1" applyFont="1" applyBorder="1" applyAlignment="1">
      <alignment horizontal="center"/>
    </xf>
    <xf numFmtId="9" fontId="0" fillId="0" borderId="21" xfId="2" applyFont="1" applyBorder="1" applyAlignment="1">
      <alignment horizontal="center"/>
    </xf>
    <xf numFmtId="9" fontId="0" fillId="0" borderId="24" xfId="2" applyFont="1" applyBorder="1" applyAlignment="1">
      <alignment horizontal="center"/>
    </xf>
    <xf numFmtId="0" fontId="2" fillId="0" borderId="1" xfId="0" applyFont="1" applyBorder="1"/>
    <xf numFmtId="166" fontId="0" fillId="0" borderId="1" xfId="1" applyNumberFormat="1" applyFont="1" applyBorder="1" applyAlignment="1">
      <alignment horizontal="center"/>
    </xf>
    <xf numFmtId="166" fontId="0" fillId="0" borderId="1" xfId="0" applyNumberFormat="1" applyBorder="1" applyAlignment="1">
      <alignment horizontal="center"/>
    </xf>
    <xf numFmtId="166" fontId="0" fillId="0" borderId="1" xfId="0" applyNumberFormat="1" applyBorder="1"/>
    <xf numFmtId="0" fontId="0" fillId="0" borderId="1" xfId="0" applyBorder="1" applyAlignment="1">
      <alignment horizontal="left"/>
    </xf>
    <xf numFmtId="0" fontId="2" fillId="0" borderId="0" xfId="0" applyFont="1" applyAlignment="1">
      <alignment horizontal="center"/>
    </xf>
    <xf numFmtId="1" fontId="2" fillId="0" borderId="1" xfId="0" applyNumberFormat="1" applyFont="1" applyBorder="1"/>
    <xf numFmtId="1" fontId="2" fillId="0" borderId="7" xfId="0" applyNumberFormat="1" applyFont="1" applyBorder="1"/>
    <xf numFmtId="0" fontId="2" fillId="0" borderId="12" xfId="0" applyFont="1" applyBorder="1" applyAlignment="1">
      <alignment horizontal="center"/>
    </xf>
    <xf numFmtId="0" fontId="2" fillId="0" borderId="13" xfId="0" applyFont="1" applyBorder="1" applyAlignment="1">
      <alignment horizontal="center"/>
    </xf>
    <xf numFmtId="0" fontId="2" fillId="0" borderId="10" xfId="0" applyFont="1" applyBorder="1" applyAlignment="1">
      <alignment horizontal="center"/>
    </xf>
    <xf numFmtId="1" fontId="2" fillId="0" borderId="20" xfId="0" applyNumberFormat="1" applyFont="1" applyBorder="1"/>
    <xf numFmtId="1" fontId="2" fillId="0" borderId="21" xfId="0" applyNumberFormat="1" applyFont="1" applyBorder="1"/>
    <xf numFmtId="166" fontId="0" fillId="0" borderId="2" xfId="1" applyNumberFormat="1" applyFont="1" applyBorder="1" applyAlignment="1">
      <alignment horizontal="center"/>
    </xf>
    <xf numFmtId="2" fontId="0" fillId="0" borderId="0" xfId="0" applyNumberFormat="1"/>
    <xf numFmtId="0" fontId="3" fillId="0" borderId="0" xfId="0" applyFont="1"/>
    <xf numFmtId="0" fontId="4" fillId="0" borderId="0" xfId="0" applyFont="1"/>
    <xf numFmtId="0" fontId="2" fillId="0" borderId="14" xfId="0" applyFont="1" applyBorder="1"/>
    <xf numFmtId="0" fontId="2" fillId="0" borderId="4" xfId="0" applyFont="1" applyBorder="1"/>
    <xf numFmtId="166" fontId="0" fillId="0" borderId="25" xfId="1" applyNumberFormat="1" applyFont="1" applyBorder="1" applyAlignment="1">
      <alignment horizontal="center"/>
    </xf>
    <xf numFmtId="0" fontId="2" fillId="0" borderId="27" xfId="0" applyFont="1" applyBorder="1"/>
    <xf numFmtId="0" fontId="2" fillId="0" borderId="28" xfId="0" applyFont="1" applyBorder="1"/>
    <xf numFmtId="0" fontId="2" fillId="0" borderId="29" xfId="0" applyFont="1" applyBorder="1"/>
    <xf numFmtId="0" fontId="2" fillId="0" borderId="15" xfId="0" applyFont="1" applyBorder="1"/>
    <xf numFmtId="1" fontId="0" fillId="0" borderId="17" xfId="0" applyNumberFormat="1" applyBorder="1"/>
    <xf numFmtId="0" fontId="0" fillId="0" borderId="20" xfId="0" applyBorder="1"/>
    <xf numFmtId="1" fontId="0" fillId="0" borderId="23" xfId="0" applyNumberFormat="1" applyBorder="1"/>
    <xf numFmtId="164" fontId="0" fillId="0" borderId="5" xfId="1" applyFont="1" applyBorder="1" applyAlignment="1">
      <alignment horizontal="center"/>
    </xf>
    <xf numFmtId="0" fontId="2" fillId="0" borderId="30" xfId="0" applyFont="1" applyBorder="1" applyAlignment="1">
      <alignment horizontal="center"/>
    </xf>
    <xf numFmtId="164" fontId="0" fillId="0" borderId="0" xfId="1" applyFont="1" applyBorder="1"/>
    <xf numFmtId="0" fontId="0" fillId="0" borderId="17" xfId="0" applyBorder="1"/>
    <xf numFmtId="2" fontId="0" fillId="0" borderId="18" xfId="0" applyNumberFormat="1" applyBorder="1"/>
    <xf numFmtId="2" fontId="0" fillId="0" borderId="21" xfId="0" applyNumberFormat="1" applyBorder="1"/>
    <xf numFmtId="2" fontId="0" fillId="0" borderId="24" xfId="0" applyNumberFormat="1" applyBorder="1"/>
    <xf numFmtId="0" fontId="2" fillId="0" borderId="3" xfId="0" applyFont="1" applyBorder="1" applyAlignment="1">
      <alignment horizontal="center"/>
    </xf>
    <xf numFmtId="9" fontId="2" fillId="0" borderId="31" xfId="2" applyFont="1" applyBorder="1" applyAlignment="1">
      <alignment horizontal="center"/>
    </xf>
    <xf numFmtId="9" fontId="2" fillId="0" borderId="32" xfId="2" applyFont="1" applyBorder="1" applyAlignment="1">
      <alignment horizontal="center"/>
    </xf>
    <xf numFmtId="9" fontId="2" fillId="0" borderId="33" xfId="2" applyFont="1" applyBorder="1" applyAlignment="1">
      <alignment horizontal="center"/>
    </xf>
    <xf numFmtId="0" fontId="5" fillId="0" borderId="0" xfId="0" applyFont="1"/>
    <xf numFmtId="0" fontId="2" fillId="0" borderId="13" xfId="0" applyFont="1" applyBorder="1"/>
    <xf numFmtId="166" fontId="2" fillId="0" borderId="5" xfId="1" applyNumberFormat="1" applyFont="1" applyBorder="1" applyAlignment="1">
      <alignment horizontal="center"/>
    </xf>
    <xf numFmtId="166" fontId="2" fillId="0" borderId="6" xfId="1" applyNumberFormat="1" applyFont="1" applyBorder="1" applyAlignment="1">
      <alignment horizontal="center"/>
    </xf>
    <xf numFmtId="166" fontId="0" fillId="0" borderId="3" xfId="1" applyNumberFormat="1" applyFont="1" applyBorder="1" applyAlignment="1">
      <alignment horizontal="center"/>
    </xf>
    <xf numFmtId="166" fontId="0" fillId="0" borderId="11" xfId="1" applyNumberFormat="1" applyFont="1" applyBorder="1" applyAlignment="1">
      <alignment horizontal="center"/>
    </xf>
    <xf numFmtId="1" fontId="0" fillId="0" borderId="20" xfId="0" applyNumberFormat="1" applyBorder="1"/>
    <xf numFmtId="1" fontId="0" fillId="0" borderId="1" xfId="0" applyNumberFormat="1" applyBorder="1"/>
    <xf numFmtId="0" fontId="2" fillId="0" borderId="22" xfId="0" applyFont="1" applyBorder="1" applyAlignment="1">
      <alignment horizontal="center"/>
    </xf>
    <xf numFmtId="1" fontId="2" fillId="0" borderId="0" xfId="0" applyNumberFormat="1" applyFont="1"/>
    <xf numFmtId="43" fontId="0" fillId="0" borderId="0" xfId="0" applyNumberFormat="1"/>
    <xf numFmtId="167" fontId="0" fillId="0" borderId="0" xfId="0" applyNumberFormat="1"/>
    <xf numFmtId="167" fontId="2" fillId="0" borderId="0" xfId="0" applyNumberFormat="1" applyFont="1"/>
    <xf numFmtId="165" fontId="2" fillId="0" borderId="18" xfId="0" applyNumberFormat="1" applyFont="1" applyBorder="1" applyAlignment="1">
      <alignment horizontal="center"/>
    </xf>
    <xf numFmtId="165" fontId="2" fillId="0" borderId="19" xfId="0" applyNumberFormat="1" applyFont="1" applyBorder="1" applyAlignment="1">
      <alignment horizontal="center"/>
    </xf>
    <xf numFmtId="165" fontId="2" fillId="0" borderId="23" xfId="0" applyNumberFormat="1" applyFont="1" applyBorder="1" applyAlignment="1">
      <alignment horizontal="center"/>
    </xf>
    <xf numFmtId="165" fontId="2" fillId="0" borderId="24" xfId="0" applyNumberFormat="1" applyFont="1" applyBorder="1" applyAlignment="1">
      <alignment horizontal="center"/>
    </xf>
    <xf numFmtId="0" fontId="2" fillId="0" borderId="12" xfId="0" applyFont="1" applyBorder="1" applyAlignment="1">
      <alignment horizontal="right"/>
    </xf>
    <xf numFmtId="0" fontId="2" fillId="0" borderId="14" xfId="0" applyFont="1" applyBorder="1" applyAlignment="1">
      <alignment horizontal="right"/>
    </xf>
    <xf numFmtId="167" fontId="2" fillId="0" borderId="13" xfId="0" applyNumberFormat="1" applyFont="1" applyBorder="1"/>
    <xf numFmtId="0" fontId="2" fillId="0" borderId="4" xfId="0" applyFont="1" applyBorder="1" applyAlignment="1">
      <alignment horizontal="center"/>
    </xf>
    <xf numFmtId="0" fontId="2" fillId="0" borderId="6" xfId="0" applyFont="1" applyBorder="1" applyAlignment="1">
      <alignment horizontal="center"/>
    </xf>
    <xf numFmtId="9" fontId="0" fillId="0" borderId="0" xfId="0" applyNumberFormat="1" applyAlignment="1">
      <alignment horizontal="center"/>
    </xf>
    <xf numFmtId="1" fontId="0" fillId="0" borderId="0" xfId="0" applyNumberFormat="1" applyAlignment="1">
      <alignment horizontal="center"/>
    </xf>
    <xf numFmtId="166" fontId="2" fillId="0" borderId="0" xfId="1" applyNumberFormat="1" applyFont="1" applyBorder="1" applyAlignment="1">
      <alignment horizontal="center"/>
    </xf>
    <xf numFmtId="166" fontId="7" fillId="0" borderId="11" xfId="1" applyNumberFormat="1" applyFont="1" applyFill="1" applyBorder="1"/>
    <xf numFmtId="166" fontId="8" fillId="0" borderId="11" xfId="1" applyNumberFormat="1" applyFont="1" applyBorder="1"/>
    <xf numFmtId="0" fontId="0" fillId="0" borderId="34" xfId="0" applyBorder="1"/>
    <xf numFmtId="1" fontId="2" fillId="0" borderId="35" xfId="0" applyNumberFormat="1" applyFont="1" applyBorder="1"/>
    <xf numFmtId="0" fontId="2" fillId="0" borderId="35" xfId="0" applyFont="1" applyBorder="1" applyAlignment="1">
      <alignment horizontal="center"/>
    </xf>
    <xf numFmtId="1" fontId="2" fillId="0" borderId="36" xfId="0" applyNumberFormat="1" applyFont="1" applyBorder="1"/>
    <xf numFmtId="166" fontId="0" fillId="0" borderId="0" xfId="1" applyNumberFormat="1" applyFont="1" applyFill="1"/>
    <xf numFmtId="0" fontId="2" fillId="2" borderId="30" xfId="0" applyFont="1" applyFill="1" applyBorder="1" applyAlignment="1">
      <alignment horizontal="center"/>
    </xf>
    <xf numFmtId="0" fontId="2" fillId="2" borderId="22" xfId="0" applyFont="1" applyFill="1" applyBorder="1" applyAlignment="1">
      <alignment horizontal="center"/>
    </xf>
    <xf numFmtId="166" fontId="0" fillId="2" borderId="3" xfId="1" applyNumberFormat="1" applyFont="1" applyFill="1" applyBorder="1" applyAlignment="1">
      <alignment horizontal="center"/>
    </xf>
    <xf numFmtId="166" fontId="0" fillId="2" borderId="1" xfId="1" applyNumberFormat="1" applyFont="1" applyFill="1" applyBorder="1" applyAlignment="1">
      <alignment horizontal="center"/>
    </xf>
    <xf numFmtId="166" fontId="0" fillId="2" borderId="2" xfId="1" applyNumberFormat="1" applyFont="1" applyFill="1" applyBorder="1" applyAlignment="1">
      <alignment horizontal="center"/>
    </xf>
    <xf numFmtId="166" fontId="2" fillId="2" borderId="5" xfId="1" applyNumberFormat="1" applyFont="1" applyFill="1" applyBorder="1" applyAlignment="1">
      <alignment horizontal="center"/>
    </xf>
    <xf numFmtId="166" fontId="2" fillId="2" borderId="6" xfId="1" applyNumberFormat="1" applyFont="1" applyFill="1" applyBorder="1" applyAlignment="1">
      <alignment horizontal="center"/>
    </xf>
    <xf numFmtId="166" fontId="0" fillId="2" borderId="0" xfId="1" applyNumberFormat="1" applyFont="1" applyFill="1" applyBorder="1" applyAlignment="1">
      <alignment horizontal="center"/>
    </xf>
    <xf numFmtId="166" fontId="0" fillId="2" borderId="11" xfId="1" applyNumberFormat="1" applyFont="1" applyFill="1" applyBorder="1" applyAlignment="1">
      <alignment horizontal="center"/>
    </xf>
    <xf numFmtId="166" fontId="0" fillId="2" borderId="25" xfId="1" applyNumberFormat="1" applyFont="1" applyFill="1" applyBorder="1" applyAlignment="1">
      <alignment horizontal="center"/>
    </xf>
    <xf numFmtId="166" fontId="2" fillId="2" borderId="0" xfId="1" applyNumberFormat="1" applyFont="1" applyFill="1" applyBorder="1" applyAlignment="1">
      <alignment horizontal="center"/>
    </xf>
    <xf numFmtId="0" fontId="0" fillId="2" borderId="0" xfId="0" applyFill="1"/>
    <xf numFmtId="0" fontId="0" fillId="2" borderId="0" xfId="0" applyFill="1" applyAlignment="1">
      <alignment horizontal="center"/>
    </xf>
    <xf numFmtId="0" fontId="0" fillId="2" borderId="11" xfId="0" applyFill="1" applyBorder="1"/>
    <xf numFmtId="10" fontId="0" fillId="2" borderId="17" xfId="2" applyNumberFormat="1" applyFont="1" applyFill="1" applyBorder="1" applyAlignment="1">
      <alignment horizontal="center"/>
    </xf>
    <xf numFmtId="10" fontId="0" fillId="2" borderId="18" xfId="2" applyNumberFormat="1" applyFont="1" applyFill="1" applyBorder="1" applyAlignment="1">
      <alignment horizontal="center"/>
    </xf>
    <xf numFmtId="10" fontId="0" fillId="2" borderId="19" xfId="2" applyNumberFormat="1" applyFont="1" applyFill="1" applyBorder="1" applyAlignment="1">
      <alignment horizontal="center"/>
    </xf>
    <xf numFmtId="9" fontId="0" fillId="2" borderId="20" xfId="2" applyFont="1" applyFill="1" applyBorder="1" applyAlignment="1">
      <alignment horizontal="center"/>
    </xf>
    <xf numFmtId="9" fontId="0" fillId="2" borderId="1" xfId="2" applyFont="1" applyFill="1" applyBorder="1" applyAlignment="1">
      <alignment horizontal="center"/>
    </xf>
    <xf numFmtId="9" fontId="0" fillId="2" borderId="21" xfId="2" applyFont="1" applyFill="1" applyBorder="1" applyAlignment="1">
      <alignment horizontal="center"/>
    </xf>
    <xf numFmtId="9" fontId="0" fillId="2" borderId="22" xfId="2" applyFont="1" applyFill="1" applyBorder="1" applyAlignment="1">
      <alignment horizontal="center"/>
    </xf>
    <xf numFmtId="9" fontId="0" fillId="2" borderId="23" xfId="2" applyFont="1" applyFill="1" applyBorder="1" applyAlignment="1">
      <alignment horizontal="center"/>
    </xf>
    <xf numFmtId="9" fontId="0" fillId="2" borderId="24" xfId="2" applyFont="1" applyFill="1" applyBorder="1" applyAlignment="1">
      <alignment horizontal="center"/>
    </xf>
    <xf numFmtId="1" fontId="7" fillId="2" borderId="7" xfId="0" applyNumberFormat="1" applyFont="1" applyFill="1" applyBorder="1"/>
    <xf numFmtId="165" fontId="2" fillId="2" borderId="17" xfId="0" applyNumberFormat="1" applyFont="1" applyFill="1" applyBorder="1" applyAlignment="1">
      <alignment horizontal="center"/>
    </xf>
    <xf numFmtId="165" fontId="2" fillId="2" borderId="18" xfId="0" applyNumberFormat="1" applyFont="1" applyFill="1" applyBorder="1" applyAlignment="1">
      <alignment horizontal="center"/>
    </xf>
    <xf numFmtId="165" fontId="2" fillId="2" borderId="22" xfId="0" applyNumberFormat="1" applyFont="1" applyFill="1" applyBorder="1" applyAlignment="1">
      <alignment horizontal="center"/>
    </xf>
    <xf numFmtId="165" fontId="2" fillId="2" borderId="23" xfId="0" applyNumberFormat="1" applyFont="1" applyFill="1" applyBorder="1" applyAlignment="1">
      <alignment horizontal="center"/>
    </xf>
    <xf numFmtId="1" fontId="0" fillId="2" borderId="17" xfId="0" applyNumberFormat="1" applyFill="1" applyBorder="1"/>
    <xf numFmtId="1" fontId="0" fillId="2" borderId="20" xfId="0" applyNumberFormat="1" applyFill="1" applyBorder="1"/>
    <xf numFmtId="1" fontId="0" fillId="2" borderId="22" xfId="0" applyNumberFormat="1" applyFill="1" applyBorder="1"/>
    <xf numFmtId="1" fontId="0" fillId="2" borderId="23" xfId="0" applyNumberFormat="1" applyFill="1" applyBorder="1"/>
    <xf numFmtId="164" fontId="0" fillId="2" borderId="4" xfId="1" applyFont="1" applyFill="1" applyBorder="1" applyAlignment="1">
      <alignment horizontal="center"/>
    </xf>
    <xf numFmtId="164" fontId="0" fillId="2" borderId="5" xfId="1" applyFont="1" applyFill="1" applyBorder="1" applyAlignment="1">
      <alignment horizontal="center"/>
    </xf>
    <xf numFmtId="0" fontId="2" fillId="2" borderId="26" xfId="0" applyFont="1" applyFill="1" applyBorder="1"/>
    <xf numFmtId="1" fontId="2" fillId="0" borderId="37" xfId="0" applyNumberFormat="1" applyFont="1" applyBorder="1"/>
    <xf numFmtId="0" fontId="0" fillId="0" borderId="18" xfId="0" applyBorder="1"/>
    <xf numFmtId="0" fontId="0" fillId="0" borderId="19" xfId="0" applyBorder="1"/>
    <xf numFmtId="0" fontId="0" fillId="0" borderId="21" xfId="0" applyBorder="1"/>
    <xf numFmtId="0" fontId="0" fillId="0" borderId="22" xfId="0" applyBorder="1"/>
    <xf numFmtId="0" fontId="0" fillId="0" borderId="23" xfId="0" applyBorder="1"/>
    <xf numFmtId="0" fontId="0" fillId="0" borderId="24" xfId="0" applyBorder="1"/>
    <xf numFmtId="0" fontId="0" fillId="0" borderId="37" xfId="0" applyBorder="1"/>
    <xf numFmtId="0" fontId="2" fillId="0" borderId="2" xfId="0" applyFont="1" applyBorder="1" applyAlignment="1">
      <alignment horizontal="center"/>
    </xf>
    <xf numFmtId="1" fontId="0" fillId="0" borderId="18" xfId="0" applyNumberFormat="1" applyBorder="1"/>
    <xf numFmtId="1" fontId="0" fillId="0" borderId="19" xfId="0" applyNumberFormat="1" applyBorder="1"/>
    <xf numFmtId="2" fontId="0" fillId="0" borderId="40" xfId="0" applyNumberFormat="1" applyBorder="1"/>
    <xf numFmtId="1" fontId="0" fillId="0" borderId="41" xfId="0" applyNumberFormat="1" applyBorder="1"/>
    <xf numFmtId="1" fontId="0" fillId="0" borderId="26" xfId="0" applyNumberFormat="1" applyBorder="1"/>
    <xf numFmtId="0" fontId="15" fillId="0" borderId="0" xfId="3" applyFont="1"/>
    <xf numFmtId="0" fontId="15" fillId="0" borderId="1" xfId="3" applyFont="1" applyBorder="1" applyAlignment="1">
      <alignment vertical="center"/>
    </xf>
    <xf numFmtId="2" fontId="15" fillId="0" borderId="1" xfId="3" applyNumberFormat="1" applyFont="1" applyBorder="1" applyAlignment="1">
      <alignment vertical="center"/>
    </xf>
    <xf numFmtId="0" fontId="14" fillId="0" borderId="0" xfId="3" applyFont="1"/>
    <xf numFmtId="164" fontId="10" fillId="5" borderId="1" xfId="4" applyFont="1" applyFill="1" applyBorder="1" applyAlignment="1">
      <alignment horizontal="left"/>
    </xf>
    <xf numFmtId="0" fontId="18" fillId="5" borderId="0" xfId="0" applyFont="1" applyFill="1" applyAlignment="1">
      <alignment vertical="center"/>
    </xf>
    <xf numFmtId="0" fontId="18" fillId="5" borderId="0" xfId="0" applyFont="1" applyFill="1" applyAlignment="1">
      <alignment horizontal="center" vertical="center"/>
    </xf>
    <xf numFmtId="0" fontId="19" fillId="5" borderId="0" xfId="0" applyFont="1" applyFill="1" applyAlignment="1">
      <alignment horizontal="center" vertical="center"/>
    </xf>
    <xf numFmtId="0" fontId="20" fillId="0" borderId="0" xfId="0" applyFont="1" applyAlignment="1">
      <alignment horizontal="center" vertical="center"/>
    </xf>
    <xf numFmtId="0" fontId="20" fillId="0" borderId="0" xfId="0" applyFont="1"/>
    <xf numFmtId="2" fontId="20" fillId="0" borderId="0" xfId="0" applyNumberFormat="1" applyFont="1" applyAlignment="1">
      <alignment horizontal="center" vertical="center"/>
    </xf>
    <xf numFmtId="1" fontId="20" fillId="0" borderId="0" xfId="0" applyNumberFormat="1" applyFont="1" applyAlignment="1">
      <alignment horizontal="center" vertical="center"/>
    </xf>
    <xf numFmtId="10" fontId="20" fillId="0" borderId="0" xfId="5" applyNumberFormat="1" applyFont="1" applyFill="1" applyBorder="1" applyAlignment="1">
      <alignment horizontal="center" vertical="center"/>
    </xf>
    <xf numFmtId="0" fontId="20" fillId="0" borderId="0" xfId="0" applyFont="1" applyAlignment="1">
      <alignment vertical="center"/>
    </xf>
    <xf numFmtId="0" fontId="21" fillId="3" borderId="35" xfId="0" applyFont="1" applyFill="1" applyBorder="1" applyAlignment="1">
      <alignment vertical="center"/>
    </xf>
    <xf numFmtId="2" fontId="21" fillId="3" borderId="35" xfId="0" applyNumberFormat="1" applyFont="1" applyFill="1" applyBorder="1" applyAlignment="1">
      <alignment horizontal="center" vertical="center"/>
    </xf>
    <xf numFmtId="1" fontId="21" fillId="3" borderId="35" xfId="0" applyNumberFormat="1" applyFont="1" applyFill="1" applyBorder="1" applyAlignment="1">
      <alignment horizontal="center" vertical="center"/>
    </xf>
    <xf numFmtId="0" fontId="20" fillId="3" borderId="35" xfId="0" applyFont="1" applyFill="1" applyBorder="1" applyAlignment="1">
      <alignment horizontal="center" vertical="center"/>
    </xf>
    <xf numFmtId="0" fontId="21" fillId="3" borderId="0" xfId="0" applyFont="1" applyFill="1" applyAlignment="1">
      <alignment vertical="center" wrapText="1"/>
    </xf>
    <xf numFmtId="0" fontId="21" fillId="3" borderId="0" xfId="0" applyFont="1" applyFill="1" applyAlignment="1">
      <alignment horizontal="center" vertical="center" wrapText="1"/>
    </xf>
    <xf numFmtId="0" fontId="20" fillId="0" borderId="0" xfId="0" applyFont="1" applyAlignment="1">
      <alignment horizontal="center" vertical="center" wrapText="1"/>
    </xf>
    <xf numFmtId="4" fontId="20" fillId="0" borderId="0" xfId="0" applyNumberFormat="1" applyFont="1" applyAlignment="1">
      <alignment horizontal="center" vertical="center"/>
    </xf>
    <xf numFmtId="0" fontId="21" fillId="0" borderId="35" xfId="0" applyFont="1" applyBorder="1" applyAlignment="1">
      <alignment vertical="center"/>
    </xf>
    <xf numFmtId="4" fontId="21" fillId="0" borderId="35" xfId="0" applyNumberFormat="1" applyFont="1" applyBorder="1" applyAlignment="1">
      <alignment horizontal="center" vertical="center"/>
    </xf>
    <xf numFmtId="0" fontId="21" fillId="0" borderId="0" xfId="0" applyFont="1"/>
    <xf numFmtId="0" fontId="21" fillId="3" borderId="0" xfId="0" applyFont="1" applyFill="1" applyAlignment="1">
      <alignment vertical="center"/>
    </xf>
    <xf numFmtId="0" fontId="21" fillId="3" borderId="0" xfId="0" applyFont="1" applyFill="1" applyAlignment="1">
      <alignment horizontal="center" vertical="center"/>
    </xf>
    <xf numFmtId="0" fontId="0" fillId="0" borderId="46" xfId="0" applyBorder="1"/>
    <xf numFmtId="0" fontId="0" fillId="0" borderId="48" xfId="0" applyBorder="1"/>
    <xf numFmtId="0" fontId="0" fillId="0" borderId="49" xfId="0" applyBorder="1"/>
    <xf numFmtId="0" fontId="0" fillId="0" borderId="45" xfId="0" applyBorder="1"/>
    <xf numFmtId="0" fontId="0" fillId="0" borderId="50" xfId="0" applyBorder="1"/>
    <xf numFmtId="0" fontId="0" fillId="0" borderId="47" xfId="0" applyBorder="1"/>
    <xf numFmtId="0" fontId="0" fillId="0" borderId="42" xfId="0" applyBorder="1"/>
    <xf numFmtId="0" fontId="0" fillId="0" borderId="51" xfId="0" applyBorder="1"/>
    <xf numFmtId="0" fontId="2" fillId="7" borderId="46" xfId="0" applyFont="1" applyFill="1" applyBorder="1"/>
    <xf numFmtId="0" fontId="2" fillId="7" borderId="48" xfId="0" applyFont="1" applyFill="1" applyBorder="1"/>
    <xf numFmtId="0" fontId="2" fillId="7" borderId="49" xfId="0" applyFont="1" applyFill="1" applyBorder="1"/>
    <xf numFmtId="169" fontId="0" fillId="0" borderId="42" xfId="0" applyNumberFormat="1" applyBorder="1"/>
    <xf numFmtId="1" fontId="0" fillId="0" borderId="42" xfId="0" applyNumberFormat="1" applyBorder="1"/>
    <xf numFmtId="9" fontId="0" fillId="0" borderId="42" xfId="0" applyNumberFormat="1" applyBorder="1"/>
    <xf numFmtId="0" fontId="2" fillId="7" borderId="45" xfId="0" applyFont="1" applyFill="1" applyBorder="1"/>
    <xf numFmtId="0" fontId="2" fillId="7" borderId="0" xfId="0" applyFont="1" applyFill="1"/>
    <xf numFmtId="9" fontId="2" fillId="8" borderId="0" xfId="0" applyNumberFormat="1" applyFont="1" applyFill="1"/>
    <xf numFmtId="0" fontId="2" fillId="7" borderId="37" xfId="0" applyFont="1" applyFill="1" applyBorder="1"/>
    <xf numFmtId="0" fontId="2" fillId="7" borderId="35" xfId="0" applyFont="1" applyFill="1" applyBorder="1"/>
    <xf numFmtId="9" fontId="2" fillId="8" borderId="35" xfId="0" applyNumberFormat="1" applyFont="1" applyFill="1" applyBorder="1"/>
    <xf numFmtId="0" fontId="2" fillId="7" borderId="47" xfId="0" applyFont="1" applyFill="1" applyBorder="1"/>
    <xf numFmtId="0" fontId="2" fillId="7" borderId="42" xfId="0" applyFont="1" applyFill="1" applyBorder="1"/>
    <xf numFmtId="9" fontId="2" fillId="8" borderId="42" xfId="0" applyNumberFormat="1" applyFont="1" applyFill="1" applyBorder="1"/>
    <xf numFmtId="0" fontId="15" fillId="0" borderId="1" xfId="0" applyFont="1" applyBorder="1"/>
    <xf numFmtId="0" fontId="21" fillId="0" borderId="0" xfId="0" applyFont="1" applyAlignment="1">
      <alignment vertical="center"/>
    </xf>
    <xf numFmtId="4" fontId="21" fillId="0" borderId="0" xfId="0" applyNumberFormat="1" applyFont="1" applyAlignment="1">
      <alignment horizontal="center" vertical="center"/>
    </xf>
    <xf numFmtId="4" fontId="21" fillId="0" borderId="0" xfId="0" applyNumberFormat="1" applyFont="1"/>
    <xf numFmtId="0" fontId="0" fillId="0" borderId="35" xfId="0" applyBorder="1"/>
    <xf numFmtId="0" fontId="2" fillId="0" borderId="35" xfId="0" applyFont="1" applyBorder="1"/>
    <xf numFmtId="10" fontId="0" fillId="0" borderId="0" xfId="0" applyNumberFormat="1"/>
    <xf numFmtId="167" fontId="2" fillId="0" borderId="35" xfId="7" applyNumberFormat="1" applyFont="1" applyBorder="1"/>
    <xf numFmtId="167" fontId="0" fillId="0" borderId="23" xfId="7" applyNumberFormat="1" applyFont="1" applyBorder="1"/>
    <xf numFmtId="167" fontId="0" fillId="0" borderId="42" xfId="0" applyNumberFormat="1" applyBorder="1"/>
    <xf numFmtId="167" fontId="2" fillId="0" borderId="35" xfId="7" applyNumberFormat="1" applyFont="1" applyFill="1" applyBorder="1"/>
    <xf numFmtId="10" fontId="0" fillId="0" borderId="1" xfId="0" applyNumberFormat="1" applyBorder="1" applyAlignment="1">
      <alignment horizontal="right"/>
    </xf>
    <xf numFmtId="1" fontId="0" fillId="0" borderId="1" xfId="0" applyNumberFormat="1" applyBorder="1" applyAlignment="1">
      <alignment horizontal="right"/>
    </xf>
    <xf numFmtId="0" fontId="2" fillId="0" borderId="42" xfId="0" applyFont="1" applyBorder="1"/>
    <xf numFmtId="10" fontId="0" fillId="0" borderId="42" xfId="0" applyNumberFormat="1" applyBorder="1"/>
    <xf numFmtId="0" fontId="10" fillId="11" borderId="0" xfId="0" applyFont="1" applyFill="1"/>
    <xf numFmtId="0" fontId="10" fillId="0" borderId="0" xfId="0" applyFont="1"/>
    <xf numFmtId="1" fontId="2" fillId="0" borderId="43" xfId="0" applyNumberFormat="1" applyFont="1" applyBorder="1"/>
    <xf numFmtId="2" fontId="0" fillId="0" borderId="0" xfId="0" applyNumberFormat="1" applyAlignment="1">
      <alignment horizontal="center"/>
    </xf>
    <xf numFmtId="0" fontId="2" fillId="0" borderId="37" xfId="0" applyFont="1" applyBorder="1"/>
    <xf numFmtId="0" fontId="2" fillId="0" borderId="43" xfId="0" applyFont="1" applyBorder="1" applyAlignment="1">
      <alignment horizontal="center"/>
    </xf>
    <xf numFmtId="10" fontId="0" fillId="0" borderId="0" xfId="2" applyNumberFormat="1" applyFont="1"/>
    <xf numFmtId="169" fontId="2" fillId="0" borderId="0" xfId="0" applyNumberFormat="1" applyFont="1"/>
    <xf numFmtId="10" fontId="2" fillId="0" borderId="0" xfId="0" applyNumberFormat="1" applyFont="1"/>
    <xf numFmtId="1" fontId="0" fillId="0" borderId="0" xfId="2" applyNumberFormat="1" applyFont="1"/>
    <xf numFmtId="168" fontId="0" fillId="0" borderId="0" xfId="0" applyNumberFormat="1" applyAlignment="1">
      <alignment horizontal="right"/>
    </xf>
    <xf numFmtId="0" fontId="14" fillId="4" borderId="0" xfId="3" applyFont="1" applyFill="1"/>
    <xf numFmtId="0" fontId="2" fillId="6" borderId="18" xfId="0" applyFont="1" applyFill="1" applyBorder="1"/>
    <xf numFmtId="0" fontId="2" fillId="6" borderId="39" xfId="0" applyFont="1" applyFill="1" applyBorder="1"/>
    <xf numFmtId="0" fontId="2" fillId="6" borderId="1" xfId="0" applyFont="1" applyFill="1" applyBorder="1"/>
    <xf numFmtId="0" fontId="0" fillId="6" borderId="0" xfId="0" applyFill="1"/>
    <xf numFmtId="0" fontId="2" fillId="6" borderId="0" xfId="0" applyFont="1" applyFill="1"/>
    <xf numFmtId="0" fontId="15" fillId="0" borderId="0" xfId="3" applyFont="1" applyAlignment="1">
      <alignment vertical="center"/>
    </xf>
    <xf numFmtId="2" fontId="15" fillId="0" borderId="0" xfId="3" applyNumberFormat="1" applyFont="1" applyAlignment="1">
      <alignment vertical="center"/>
    </xf>
    <xf numFmtId="1" fontId="15" fillId="0" borderId="0" xfId="3" applyNumberFormat="1" applyFont="1" applyAlignment="1">
      <alignment vertical="center"/>
    </xf>
    <xf numFmtId="167" fontId="15" fillId="0" borderId="1" xfId="7" applyNumberFormat="1" applyFont="1" applyBorder="1" applyAlignment="1">
      <alignment vertical="center"/>
    </xf>
    <xf numFmtId="1" fontId="14" fillId="9" borderId="1" xfId="3" applyNumberFormat="1" applyFont="1" applyFill="1" applyBorder="1" applyAlignment="1">
      <alignment horizontal="center" vertical="center" wrapText="1"/>
    </xf>
    <xf numFmtId="1" fontId="14" fillId="9" borderId="1" xfId="3" applyNumberFormat="1" applyFont="1" applyFill="1" applyBorder="1" applyAlignment="1">
      <alignment horizontal="right" vertical="center" wrapText="1"/>
    </xf>
    <xf numFmtId="0" fontId="15" fillId="0" borderId="1" xfId="3" applyFont="1" applyBorder="1" applyAlignment="1">
      <alignment horizontal="center" vertical="center" wrapText="1"/>
    </xf>
    <xf numFmtId="0" fontId="15" fillId="0" borderId="2" xfId="3" applyFont="1" applyBorder="1" applyAlignment="1">
      <alignment horizontal="center" vertical="center" wrapText="1"/>
    </xf>
    <xf numFmtId="0" fontId="14" fillId="6" borderId="1" xfId="3" applyFont="1" applyFill="1" applyBorder="1" applyAlignment="1">
      <alignment horizontal="justify" vertical="center" wrapText="1"/>
    </xf>
    <xf numFmtId="0" fontId="14" fillId="0" borderId="42" xfId="3" applyFont="1" applyBorder="1" applyAlignment="1">
      <alignment horizontal="justify" vertical="center" wrapText="1"/>
    </xf>
    <xf numFmtId="2" fontId="14" fillId="0" borderId="42" xfId="3" applyNumberFormat="1" applyFont="1" applyBorder="1" applyAlignment="1">
      <alignment horizontal="right" vertical="center" wrapText="1"/>
    </xf>
    <xf numFmtId="0" fontId="15" fillId="0" borderId="43" xfId="3" applyFont="1" applyBorder="1" applyAlignment="1">
      <alignment horizontal="center" vertical="center" wrapText="1"/>
    </xf>
    <xf numFmtId="0" fontId="15" fillId="0" borderId="1" xfId="3" applyFont="1" applyBorder="1" applyAlignment="1">
      <alignment horizontal="center" vertical="center"/>
    </xf>
    <xf numFmtId="167" fontId="15" fillId="0" borderId="0" xfId="3" applyNumberFormat="1" applyFont="1" applyAlignment="1">
      <alignment vertical="center"/>
    </xf>
    <xf numFmtId="169" fontId="0" fillId="0" borderId="0" xfId="0" applyNumberFormat="1"/>
    <xf numFmtId="168" fontId="0" fillId="0" borderId="0" xfId="0" applyNumberFormat="1"/>
    <xf numFmtId="0" fontId="2" fillId="4" borderId="0" xfId="0" applyFont="1" applyFill="1"/>
    <xf numFmtId="0" fontId="0" fillId="4" borderId="0" xfId="0" applyFill="1"/>
    <xf numFmtId="0" fontId="10" fillId="5" borderId="1" xfId="0" applyFont="1" applyFill="1" applyBorder="1"/>
    <xf numFmtId="2" fontId="0" fillId="0" borderId="1" xfId="0" applyNumberFormat="1" applyBorder="1" applyAlignment="1">
      <alignment horizontal="center"/>
    </xf>
    <xf numFmtId="9" fontId="0" fillId="0" borderId="0" xfId="2" applyFont="1"/>
    <xf numFmtId="0" fontId="2" fillId="12" borderId="0" xfId="0" applyFont="1" applyFill="1"/>
    <xf numFmtId="0" fontId="2" fillId="13" borderId="1" xfId="0" applyFont="1" applyFill="1" applyBorder="1"/>
    <xf numFmtId="0" fontId="2" fillId="13" borderId="0" xfId="0" applyFont="1" applyFill="1"/>
    <xf numFmtId="0" fontId="10" fillId="5" borderId="0" xfId="0" applyFont="1" applyFill="1"/>
    <xf numFmtId="2" fontId="0" fillId="0" borderId="1" xfId="0" applyNumberFormat="1" applyBorder="1"/>
    <xf numFmtId="0" fontId="15" fillId="0" borderId="0" xfId="0" applyFont="1"/>
    <xf numFmtId="0" fontId="14" fillId="8" borderId="0" xfId="0" applyFont="1" applyFill="1"/>
    <xf numFmtId="0" fontId="31" fillId="8" borderId="0" xfId="0" applyFont="1" applyFill="1"/>
    <xf numFmtId="0" fontId="1" fillId="0" borderId="0" xfId="0" applyFont="1" applyAlignment="1">
      <alignment vertical="center"/>
    </xf>
    <xf numFmtId="0" fontId="33" fillId="15" borderId="29" xfId="0" applyFont="1" applyFill="1" applyBorder="1" applyAlignment="1">
      <alignment horizontal="center" vertical="center" wrapText="1"/>
    </xf>
    <xf numFmtId="0" fontId="33" fillId="15" borderId="34" xfId="0" applyFont="1" applyFill="1" applyBorder="1" applyAlignment="1">
      <alignment horizontal="center" vertical="center" wrapText="1"/>
    </xf>
    <xf numFmtId="0" fontId="15" fillId="0" borderId="29" xfId="0" applyFont="1" applyBorder="1" applyAlignment="1">
      <alignment horizontal="center" vertical="center" wrapText="1"/>
    </xf>
    <xf numFmtId="0" fontId="15" fillId="0" borderId="34" xfId="0" applyFont="1" applyBorder="1" applyAlignment="1">
      <alignment vertical="center" wrapText="1"/>
    </xf>
    <xf numFmtId="10" fontId="15" fillId="0" borderId="34" xfId="5" applyNumberFormat="1" applyFont="1" applyBorder="1" applyAlignment="1">
      <alignment horizontal="center" vertical="center" wrapText="1"/>
    </xf>
    <xf numFmtId="0" fontId="29" fillId="0" borderId="0" xfId="8"/>
    <xf numFmtId="2" fontId="15" fillId="0" borderId="0" xfId="5" applyNumberFormat="1" applyFont="1" applyAlignment="1">
      <alignment horizontal="center" vertical="center"/>
    </xf>
    <xf numFmtId="10" fontId="15" fillId="0" borderId="29" xfId="5" applyNumberFormat="1" applyFont="1" applyBorder="1" applyAlignment="1">
      <alignment horizontal="center" vertical="center" wrapText="1"/>
    </xf>
    <xf numFmtId="10" fontId="15" fillId="0" borderId="26" xfId="5" applyNumberFormat="1" applyFont="1" applyFill="1" applyBorder="1" applyAlignment="1">
      <alignment horizontal="center" vertical="center"/>
    </xf>
    <xf numFmtId="0" fontId="34" fillId="5" borderId="1" xfId="0" applyFont="1" applyFill="1" applyBorder="1"/>
    <xf numFmtId="0" fontId="35" fillId="6" borderId="1" xfId="0" applyFont="1" applyFill="1" applyBorder="1"/>
    <xf numFmtId="0" fontId="35" fillId="0" borderId="1" xfId="0" applyFont="1" applyBorder="1"/>
    <xf numFmtId="172" fontId="36" fillId="0" borderId="0" xfId="9" applyNumberFormat="1" applyFont="1" applyFill="1" applyBorder="1"/>
    <xf numFmtId="172" fontId="37" fillId="0" borderId="0" xfId="9" applyNumberFormat="1" applyFont="1" applyFill="1" applyBorder="1"/>
    <xf numFmtId="14" fontId="0" fillId="0" borderId="0" xfId="0" applyNumberFormat="1"/>
    <xf numFmtId="0" fontId="13" fillId="0" borderId="1" xfId="0" applyFont="1" applyBorder="1"/>
    <xf numFmtId="172" fontId="36" fillId="16" borderId="0" xfId="9" applyNumberFormat="1" applyFont="1" applyFill="1" applyBorder="1"/>
    <xf numFmtId="0" fontId="0" fillId="16" borderId="0" xfId="0" applyFill="1"/>
    <xf numFmtId="0" fontId="2" fillId="16" borderId="1" xfId="0" applyFont="1" applyFill="1" applyBorder="1"/>
    <xf numFmtId="0" fontId="2" fillId="16" borderId="0" xfId="0" applyFont="1" applyFill="1"/>
    <xf numFmtId="0" fontId="2" fillId="16" borderId="7" xfId="0" applyFont="1" applyFill="1" applyBorder="1"/>
    <xf numFmtId="0" fontId="0" fillId="16" borderId="8" xfId="0" applyFill="1" applyBorder="1"/>
    <xf numFmtId="2" fontId="2" fillId="0" borderId="0" xfId="0" applyNumberFormat="1" applyFont="1"/>
    <xf numFmtId="0" fontId="2" fillId="8" borderId="37" xfId="0" applyFont="1" applyFill="1" applyBorder="1" applyAlignment="1">
      <alignment horizontal="center"/>
    </xf>
    <xf numFmtId="0" fontId="0" fillId="5" borderId="37" xfId="0" applyFill="1" applyBorder="1" applyAlignment="1">
      <alignment horizontal="center"/>
    </xf>
    <xf numFmtId="174" fontId="0" fillId="0" borderId="0" xfId="0" applyNumberFormat="1"/>
    <xf numFmtId="175" fontId="0" fillId="0" borderId="0" xfId="0" applyNumberFormat="1"/>
    <xf numFmtId="2" fontId="2" fillId="8" borderId="1" xfId="0" applyNumberFormat="1" applyFont="1" applyFill="1" applyBorder="1"/>
    <xf numFmtId="43" fontId="14" fillId="9" borderId="1" xfId="7" applyFont="1" applyFill="1" applyBorder="1" applyAlignment="1">
      <alignment horizontal="right" vertical="center" wrapText="1"/>
    </xf>
    <xf numFmtId="2" fontId="2" fillId="0" borderId="4" xfId="0" applyNumberFormat="1" applyFont="1" applyBorder="1"/>
    <xf numFmtId="2" fontId="2" fillId="0" borderId="20" xfId="0" applyNumberFormat="1" applyFont="1" applyBorder="1"/>
    <xf numFmtId="2" fontId="2" fillId="0" borderId="21" xfId="0" applyNumberFormat="1" applyFont="1" applyBorder="1"/>
    <xf numFmtId="173" fontId="2" fillId="0" borderId="21" xfId="0" applyNumberFormat="1" applyFont="1" applyBorder="1"/>
    <xf numFmtId="2" fontId="2" fillId="0" borderId="8" xfId="0" applyNumberFormat="1" applyFont="1" applyBorder="1"/>
    <xf numFmtId="2" fontId="2" fillId="0" borderId="9" xfId="0" applyNumberFormat="1" applyFont="1" applyBorder="1"/>
    <xf numFmtId="2" fontId="2" fillId="0" borderId="5" xfId="0" applyNumberFormat="1" applyFont="1" applyBorder="1"/>
    <xf numFmtId="2" fontId="2" fillId="0" borderId="7" xfId="0" applyNumberFormat="1" applyFont="1" applyBorder="1"/>
    <xf numFmtId="2" fontId="2" fillId="0" borderId="1" xfId="0" applyNumberFormat="1" applyFont="1" applyBorder="1"/>
    <xf numFmtId="174" fontId="2" fillId="0" borderId="1" xfId="0" applyNumberFormat="1" applyFont="1" applyBorder="1"/>
    <xf numFmtId="2" fontId="2" fillId="0" borderId="38" xfId="0" applyNumberFormat="1" applyFont="1" applyBorder="1"/>
    <xf numFmtId="2" fontId="2" fillId="0" borderId="37" xfId="0" applyNumberFormat="1" applyFont="1" applyBorder="1"/>
    <xf numFmtId="2" fontId="2" fillId="6" borderId="1" xfId="0" applyNumberFormat="1" applyFont="1" applyFill="1" applyBorder="1"/>
    <xf numFmtId="2" fontId="2" fillId="6" borderId="0" xfId="0" applyNumberFormat="1" applyFont="1" applyFill="1"/>
    <xf numFmtId="2" fontId="2" fillId="13" borderId="1" xfId="0" applyNumberFormat="1" applyFont="1" applyFill="1" applyBorder="1"/>
    <xf numFmtId="4" fontId="18" fillId="5" borderId="0" xfId="0" applyNumberFormat="1" applyFont="1" applyFill="1" applyAlignment="1">
      <alignment horizontal="center" vertical="center"/>
    </xf>
    <xf numFmtId="2" fontId="2" fillId="13" borderId="1" xfId="0" applyNumberFormat="1" applyFont="1" applyFill="1" applyBorder="1" applyAlignment="1">
      <alignment horizontal="center"/>
    </xf>
    <xf numFmtId="2" fontId="2" fillId="0" borderId="1" xfId="0" applyNumberFormat="1" applyFont="1" applyBorder="1" applyAlignment="1">
      <alignment horizontal="center"/>
    </xf>
    <xf numFmtId="10" fontId="0" fillId="0" borderId="0" xfId="0" applyNumberFormat="1" applyAlignment="1">
      <alignment horizontal="center"/>
    </xf>
    <xf numFmtId="0" fontId="14" fillId="0" borderId="0" xfId="3" applyFont="1" applyAlignment="1">
      <alignment horizontal="center"/>
    </xf>
    <xf numFmtId="0" fontId="40" fillId="0" borderId="0" xfId="0" applyFont="1"/>
    <xf numFmtId="0" fontId="20" fillId="0" borderId="26" xfId="0" applyFont="1" applyBorder="1" applyAlignment="1">
      <alignment horizontal="center" vertical="center" wrapText="1"/>
    </xf>
    <xf numFmtId="0" fontId="20" fillId="0" borderId="29" xfId="0" applyFont="1" applyBorder="1" applyAlignment="1">
      <alignment horizontal="center" vertical="center" wrapText="1"/>
    </xf>
    <xf numFmtId="0" fontId="12" fillId="5" borderId="0" xfId="3" applyFont="1" applyFill="1" applyAlignment="1">
      <alignment horizontal="right" vertical="center"/>
    </xf>
    <xf numFmtId="0" fontId="12" fillId="5" borderId="0" xfId="3" applyFont="1" applyFill="1" applyAlignment="1">
      <alignment vertical="center"/>
    </xf>
    <xf numFmtId="0" fontId="14" fillId="0" borderId="1" xfId="3" applyFont="1" applyBorder="1" applyAlignment="1">
      <alignment vertical="center" wrapText="1"/>
    </xf>
    <xf numFmtId="0" fontId="14" fillId="0" borderId="2" xfId="3" applyFont="1" applyBorder="1" applyAlignment="1">
      <alignment horizontal="left" vertical="center" wrapText="1"/>
    </xf>
    <xf numFmtId="171" fontId="15" fillId="0" borderId="0" xfId="2" applyNumberFormat="1" applyFont="1" applyAlignment="1">
      <alignment vertical="center"/>
    </xf>
    <xf numFmtId="0" fontId="14" fillId="0" borderId="0" xfId="3" applyFont="1" applyAlignment="1">
      <alignment vertical="center"/>
    </xf>
    <xf numFmtId="2" fontId="14" fillId="0" borderId="0" xfId="3" applyNumberFormat="1" applyFont="1" applyAlignment="1">
      <alignment horizontal="right" vertical="center"/>
    </xf>
    <xf numFmtId="0" fontId="14" fillId="6" borderId="1" xfId="3" applyFont="1" applyFill="1" applyBorder="1" applyAlignment="1">
      <alignment vertical="center" wrapText="1"/>
    </xf>
    <xf numFmtId="0" fontId="14" fillId="6" borderId="1" xfId="3" applyFont="1" applyFill="1" applyBorder="1" applyAlignment="1">
      <alignment horizontal="center" vertical="center" wrapText="1"/>
    </xf>
    <xf numFmtId="0" fontId="15" fillId="0" borderId="37" xfId="3" applyFont="1" applyBorder="1" applyAlignment="1">
      <alignment horizontal="center" vertical="center" wrapText="1"/>
    </xf>
    <xf numFmtId="0" fontId="15" fillId="0" borderId="1" xfId="3" applyFont="1" applyBorder="1" applyAlignment="1">
      <alignment vertical="center" wrapText="1"/>
    </xf>
    <xf numFmtId="0" fontId="15" fillId="0" borderId="37" xfId="3" applyFont="1" applyBorder="1" applyAlignment="1">
      <alignment vertical="center"/>
    </xf>
    <xf numFmtId="43" fontId="14" fillId="6" borderId="43" xfId="7" applyFont="1" applyFill="1" applyBorder="1" applyAlignment="1">
      <alignment horizontal="right" vertical="center" wrapText="1"/>
    </xf>
    <xf numFmtId="0" fontId="14" fillId="6" borderId="1" xfId="3" applyFont="1" applyFill="1" applyBorder="1" applyAlignment="1">
      <alignment horizontal="left" vertical="center" wrapText="1"/>
    </xf>
    <xf numFmtId="0" fontId="15" fillId="0" borderId="0" xfId="3" applyFont="1" applyAlignment="1">
      <alignment vertical="center" wrapText="1"/>
    </xf>
    <xf numFmtId="0" fontId="14" fillId="0" borderId="0" xfId="3" applyFont="1" applyAlignment="1">
      <alignment horizontal="left" vertical="center" wrapText="1"/>
    </xf>
    <xf numFmtId="0" fontId="14" fillId="0" borderId="0" xfId="3" applyFont="1" applyAlignment="1">
      <alignment vertical="center" wrapText="1"/>
    </xf>
    <xf numFmtId="167" fontId="14" fillId="0" borderId="0" xfId="7" applyNumberFormat="1" applyFont="1" applyAlignment="1">
      <alignment vertical="center" wrapText="1"/>
    </xf>
    <xf numFmtId="167" fontId="12" fillId="5" borderId="0" xfId="7" applyNumberFormat="1" applyFont="1" applyFill="1" applyAlignment="1">
      <alignment vertical="center"/>
    </xf>
    <xf numFmtId="0" fontId="14" fillId="9" borderId="1" xfId="3" applyFont="1" applyFill="1" applyBorder="1" applyAlignment="1">
      <alignment vertical="center" wrapText="1"/>
    </xf>
    <xf numFmtId="0" fontId="15" fillId="0" borderId="35" xfId="3" applyFont="1" applyBorder="1" applyAlignment="1">
      <alignment vertical="center"/>
    </xf>
    <xf numFmtId="0" fontId="14" fillId="0" borderId="35" xfId="3" applyFont="1" applyBorder="1" applyAlignment="1">
      <alignment vertical="center" wrapText="1"/>
    </xf>
    <xf numFmtId="0" fontId="14" fillId="0" borderId="35" xfId="3" applyFont="1" applyBorder="1" applyAlignment="1">
      <alignment horizontal="center" vertical="center" wrapText="1"/>
    </xf>
    <xf numFmtId="0" fontId="14" fillId="0" borderId="35" xfId="3" applyFont="1" applyBorder="1" applyAlignment="1">
      <alignment horizontal="right" vertical="center" wrapText="1"/>
    </xf>
    <xf numFmtId="2" fontId="14" fillId="0" borderId="35" xfId="3" applyNumberFormat="1" applyFont="1" applyBorder="1" applyAlignment="1">
      <alignment horizontal="right" vertical="center" wrapText="1"/>
    </xf>
    <xf numFmtId="0" fontId="15" fillId="0" borderId="1" xfId="3" applyFont="1" applyBorder="1" applyAlignment="1">
      <alignment horizontal="justify" vertical="center" wrapText="1"/>
    </xf>
    <xf numFmtId="0" fontId="15" fillId="0" borderId="2" xfId="3" applyFont="1" applyBorder="1" applyAlignment="1">
      <alignment vertical="center" wrapText="1"/>
    </xf>
    <xf numFmtId="0" fontId="15" fillId="0" borderId="42" xfId="3" applyFont="1" applyBorder="1" applyAlignment="1">
      <alignment vertical="center"/>
    </xf>
    <xf numFmtId="0" fontId="15" fillId="0" borderId="43" xfId="3" applyFont="1" applyBorder="1" applyAlignment="1">
      <alignment vertical="center"/>
    </xf>
    <xf numFmtId="43" fontId="14" fillId="6" borderId="43" xfId="7" applyFont="1" applyFill="1" applyBorder="1" applyAlignment="1">
      <alignment horizontal="right" vertical="center"/>
    </xf>
    <xf numFmtId="0" fontId="30" fillId="0" borderId="48" xfId="8" applyFont="1" applyBorder="1" applyAlignment="1">
      <alignment vertical="center"/>
    </xf>
    <xf numFmtId="167" fontId="15" fillId="0" borderId="0" xfId="7" applyNumberFormat="1" applyFont="1" applyAlignment="1">
      <alignment horizontal="right" vertical="center"/>
    </xf>
    <xf numFmtId="0" fontId="15" fillId="0" borderId="0" xfId="3" applyFont="1" applyAlignment="1">
      <alignment horizontal="right" vertical="center"/>
    </xf>
    <xf numFmtId="43" fontId="14" fillId="0" borderId="0" xfId="7" applyFont="1" applyFill="1" applyAlignment="1">
      <alignment vertical="center"/>
    </xf>
    <xf numFmtId="0" fontId="14" fillId="0" borderId="0" xfId="3" applyFont="1" applyAlignment="1">
      <alignment horizontal="right" vertical="center"/>
    </xf>
    <xf numFmtId="43" fontId="15" fillId="0" borderId="0" xfId="3" applyNumberFormat="1" applyFont="1" applyAlignment="1">
      <alignment vertical="center"/>
    </xf>
    <xf numFmtId="166" fontId="0" fillId="0" borderId="0" xfId="1" applyNumberFormat="1" applyFont="1"/>
    <xf numFmtId="0" fontId="14" fillId="4" borderId="0" xfId="3" applyFont="1" applyFill="1" applyAlignment="1">
      <alignment horizontal="center" vertical="center"/>
    </xf>
    <xf numFmtId="0" fontId="41" fillId="0" borderId="0" xfId="10" applyAlignment="1">
      <alignment horizontal="center" vertical="top" wrapText="1"/>
    </xf>
    <xf numFmtId="0" fontId="42" fillId="17" borderId="52" xfId="10" applyFont="1" applyFill="1" applyBorder="1" applyAlignment="1">
      <alignment horizontal="right" vertical="top" wrapText="1"/>
    </xf>
    <xf numFmtId="49" fontId="41" fillId="18" borderId="52" xfId="10" applyNumberFormat="1" applyFill="1" applyBorder="1" applyAlignment="1">
      <alignment vertical="top" wrapText="1"/>
    </xf>
    <xf numFmtId="0" fontId="41" fillId="0" borderId="0" xfId="10" applyAlignment="1">
      <alignment vertical="top" wrapText="1"/>
    </xf>
    <xf numFmtId="0" fontId="41" fillId="0" borderId="0" xfId="10" applyAlignment="1">
      <alignment horizontal="left" vertical="top" wrapText="1"/>
    </xf>
    <xf numFmtId="0" fontId="44" fillId="17" borderId="52" xfId="10" applyFont="1" applyFill="1" applyBorder="1" applyAlignment="1">
      <alignment horizontal="right" vertical="top" wrapText="1"/>
    </xf>
    <xf numFmtId="2" fontId="41" fillId="18" borderId="52" xfId="10" applyNumberFormat="1" applyFill="1" applyBorder="1" applyAlignment="1">
      <alignment vertical="top" wrapText="1"/>
    </xf>
    <xf numFmtId="0" fontId="44" fillId="0" borderId="0" xfId="10" applyFont="1" applyAlignment="1">
      <alignment horizontal="left" vertical="top" wrapText="1"/>
    </xf>
    <xf numFmtId="14" fontId="41" fillId="19" borderId="52" xfId="10" applyNumberFormat="1" applyFill="1" applyBorder="1" applyAlignment="1">
      <alignment vertical="top" wrapText="1"/>
    </xf>
    <xf numFmtId="0" fontId="44" fillId="20" borderId="52" xfId="10" applyFont="1" applyFill="1" applyBorder="1" applyAlignment="1">
      <alignment horizontal="center" vertical="top" wrapText="1"/>
    </xf>
    <xf numFmtId="0" fontId="42" fillId="20" borderId="52" xfId="10" applyFont="1" applyFill="1" applyBorder="1" applyAlignment="1">
      <alignment horizontal="center" vertical="top" wrapText="1"/>
    </xf>
    <xf numFmtId="0" fontId="41" fillId="0" borderId="52" xfId="10" applyBorder="1" applyAlignment="1">
      <alignment horizontal="center" vertical="top" wrapText="1"/>
    </xf>
    <xf numFmtId="0" fontId="45" fillId="21" borderId="52" xfId="10" applyFont="1" applyFill="1" applyBorder="1" applyAlignment="1">
      <alignment vertical="top" wrapText="1"/>
    </xf>
    <xf numFmtId="2" fontId="44" fillId="21" borderId="52" xfId="10" applyNumberFormat="1" applyFont="1" applyFill="1" applyBorder="1" applyAlignment="1">
      <alignment horizontal="center" vertical="top" wrapText="1"/>
    </xf>
    <xf numFmtId="0" fontId="44" fillId="0" borderId="0" xfId="10" applyFont="1" applyAlignment="1">
      <alignment horizontal="center" vertical="top" wrapText="1"/>
    </xf>
    <xf numFmtId="0" fontId="41" fillId="0" borderId="52" xfId="10" applyBorder="1" applyAlignment="1">
      <alignment vertical="top" wrapText="1"/>
    </xf>
    <xf numFmtId="0" fontId="44" fillId="22" borderId="52" xfId="10" applyFont="1" applyFill="1" applyBorder="1" applyAlignment="1">
      <alignment vertical="top" wrapText="1"/>
    </xf>
    <xf numFmtId="2" fontId="41" fillId="23" borderId="52" xfId="10" applyNumberFormat="1" applyFill="1" applyBorder="1" applyAlignment="1">
      <alignment vertical="top" wrapText="1"/>
    </xf>
    <xf numFmtId="0" fontId="45" fillId="0" borderId="52" xfId="10" applyFont="1" applyBorder="1" applyAlignment="1">
      <alignment vertical="top" wrapText="1"/>
    </xf>
    <xf numFmtId="2" fontId="41" fillId="24" borderId="52" xfId="10" applyNumberFormat="1" applyFill="1" applyBorder="1" applyAlignment="1">
      <alignment vertical="top" wrapText="1"/>
    </xf>
    <xf numFmtId="0" fontId="46" fillId="0" borderId="52" xfId="10" applyFont="1" applyBorder="1" applyAlignment="1">
      <alignment vertical="top" wrapText="1"/>
    </xf>
    <xf numFmtId="0" fontId="44" fillId="23" borderId="52" xfId="10" applyFont="1" applyFill="1" applyBorder="1" applyAlignment="1">
      <alignment vertical="top" wrapText="1"/>
    </xf>
    <xf numFmtId="0" fontId="44" fillId="0" borderId="52" xfId="10" applyFont="1" applyBorder="1" applyAlignment="1">
      <alignment vertical="top" wrapText="1"/>
    </xf>
    <xf numFmtId="0" fontId="41" fillId="18" borderId="52" xfId="10" applyFill="1" applyBorder="1" applyAlignment="1">
      <alignment vertical="top" wrapText="1"/>
    </xf>
    <xf numFmtId="0" fontId="45" fillId="0" borderId="53" xfId="10" applyFont="1" applyBorder="1" applyAlignment="1">
      <alignment horizontal="right" vertical="top" wrapText="1"/>
    </xf>
    <xf numFmtId="2" fontId="41" fillId="0" borderId="0" xfId="10" applyNumberFormat="1" applyAlignment="1">
      <alignment vertical="top" wrapText="1"/>
    </xf>
    <xf numFmtId="0" fontId="18" fillId="5" borderId="1" xfId="6" applyFont="1" applyFill="1" applyBorder="1" applyAlignment="1">
      <alignment vertical="center"/>
    </xf>
    <xf numFmtId="0" fontId="21" fillId="0" borderId="1" xfId="6" applyFont="1" applyBorder="1" applyAlignment="1">
      <alignment vertical="center"/>
    </xf>
    <xf numFmtId="9" fontId="20" fillId="0" borderId="1" xfId="6" applyNumberFormat="1" applyFont="1" applyBorder="1" applyAlignment="1">
      <alignment vertical="center"/>
    </xf>
    <xf numFmtId="0" fontId="20" fillId="0" borderId="1" xfId="6" applyFont="1" applyBorder="1" applyAlignment="1">
      <alignment vertical="center"/>
    </xf>
    <xf numFmtId="0" fontId="49" fillId="0" borderId="1" xfId="6" applyFont="1" applyBorder="1" applyAlignment="1">
      <alignment vertical="center"/>
    </xf>
    <xf numFmtId="10" fontId="49" fillId="0" borderId="1" xfId="2" applyNumberFormat="1" applyFont="1" applyBorder="1" applyAlignment="1">
      <alignment vertical="center"/>
    </xf>
    <xf numFmtId="0" fontId="0" fillId="0" borderId="0" xfId="0" applyAlignment="1">
      <alignment vertical="center"/>
    </xf>
    <xf numFmtId="0" fontId="23" fillId="4" borderId="0" xfId="0" applyFont="1" applyFill="1" applyAlignment="1">
      <alignment vertical="center"/>
    </xf>
    <xf numFmtId="0" fontId="50" fillId="4" borderId="0" xfId="0" applyFont="1" applyFill="1" applyAlignment="1">
      <alignment horizontal="center" vertical="center"/>
    </xf>
    <xf numFmtId="0" fontId="24" fillId="5" borderId="0" xfId="0" applyFont="1" applyFill="1" applyAlignment="1">
      <alignment vertical="center"/>
    </xf>
    <xf numFmtId="14" fontId="20" fillId="0" borderId="0" xfId="0" applyNumberFormat="1" applyFont="1" applyAlignment="1">
      <alignment vertical="center"/>
    </xf>
    <xf numFmtId="170" fontId="18" fillId="5" borderId="0" xfId="0" applyNumberFormat="1" applyFont="1" applyFill="1" applyAlignment="1">
      <alignment horizontal="center" vertical="center"/>
    </xf>
    <xf numFmtId="0" fontId="26" fillId="8" borderId="0" xfId="0" applyFont="1" applyFill="1" applyAlignment="1">
      <alignment vertical="center"/>
    </xf>
    <xf numFmtId="0" fontId="26" fillId="8" borderId="0" xfId="0" applyFont="1" applyFill="1" applyAlignment="1">
      <alignment horizontal="center" vertical="center"/>
    </xf>
    <xf numFmtId="1" fontId="26" fillId="25" borderId="0" xfId="0" applyNumberFormat="1" applyFont="1" applyFill="1" applyAlignment="1">
      <alignment horizontal="center" vertical="center"/>
    </xf>
    <xf numFmtId="1" fontId="26" fillId="8" borderId="0" xfId="0" applyNumberFormat="1" applyFont="1" applyFill="1" applyAlignment="1">
      <alignment horizontal="center" vertical="center"/>
    </xf>
    <xf numFmtId="0" fontId="27" fillId="0" borderId="0" xfId="0" applyFont="1" applyAlignment="1">
      <alignment vertical="center"/>
    </xf>
    <xf numFmtId="0" fontId="2" fillId="8" borderId="17" xfId="0" applyFont="1" applyFill="1" applyBorder="1" applyAlignment="1">
      <alignment vertical="center"/>
    </xf>
    <xf numFmtId="10" fontId="2" fillId="8" borderId="19" xfId="2" applyNumberFormat="1" applyFont="1" applyFill="1" applyBorder="1" applyAlignment="1">
      <alignment horizontal="center" vertical="center"/>
    </xf>
    <xf numFmtId="0" fontId="2" fillId="8" borderId="22" xfId="0" applyFont="1" applyFill="1" applyBorder="1" applyAlignment="1">
      <alignment vertical="center"/>
    </xf>
    <xf numFmtId="10" fontId="2" fillId="8" borderId="24" xfId="0" applyNumberFormat="1" applyFont="1" applyFill="1" applyBorder="1" applyAlignment="1">
      <alignment vertical="center"/>
    </xf>
    <xf numFmtId="2" fontId="0" fillId="0" borderId="0" xfId="0" applyNumberFormat="1" applyAlignment="1">
      <alignment horizontal="center" vertical="center"/>
    </xf>
    <xf numFmtId="2" fontId="51" fillId="0" borderId="0" xfId="0" applyNumberFormat="1" applyFont="1" applyAlignment="1">
      <alignment horizontal="center" vertical="center"/>
    </xf>
    <xf numFmtId="0" fontId="2" fillId="0" borderId="35" xfId="0" applyFont="1" applyBorder="1" applyAlignment="1">
      <alignment vertical="center"/>
    </xf>
    <xf numFmtId="2" fontId="2" fillId="0" borderId="35" xfId="0" applyNumberFormat="1" applyFont="1" applyBorder="1" applyAlignment="1">
      <alignment horizontal="center" vertical="center"/>
    </xf>
    <xf numFmtId="2" fontId="52" fillId="0" borderId="0" xfId="0" applyNumberFormat="1" applyFont="1" applyAlignment="1">
      <alignment horizontal="center" vertical="center"/>
    </xf>
    <xf numFmtId="0" fontId="2" fillId="0" borderId="0" xfId="0" applyFont="1" applyAlignment="1">
      <alignment vertical="center"/>
    </xf>
    <xf numFmtId="2" fontId="2" fillId="0" borderId="0" xfId="0" applyNumberFormat="1" applyFont="1" applyAlignment="1">
      <alignment horizontal="center" vertical="center"/>
    </xf>
    <xf numFmtId="0" fontId="2" fillId="8" borderId="35" xfId="0" applyFont="1" applyFill="1" applyBorder="1" applyAlignment="1">
      <alignment vertical="center"/>
    </xf>
    <xf numFmtId="2" fontId="2" fillId="8" borderId="35" xfId="0" applyNumberFormat="1" applyFont="1" applyFill="1" applyBorder="1" applyAlignment="1">
      <alignment horizontal="center" vertical="center"/>
    </xf>
    <xf numFmtId="2" fontId="52" fillId="0" borderId="35" xfId="0" applyNumberFormat="1" applyFont="1" applyBorder="1" applyAlignment="1">
      <alignment horizontal="center" vertical="center"/>
    </xf>
    <xf numFmtId="0" fontId="15" fillId="0" borderId="0" xfId="3" applyFont="1" applyAlignment="1">
      <alignment horizontal="center" vertical="center"/>
    </xf>
    <xf numFmtId="0" fontId="14" fillId="0" borderId="0" xfId="3" applyFont="1" applyAlignment="1">
      <alignment horizontal="center" vertical="center"/>
    </xf>
    <xf numFmtId="0" fontId="15" fillId="0" borderId="45" xfId="3" applyFont="1" applyBorder="1" applyAlignment="1">
      <alignment horizontal="center" vertical="center"/>
    </xf>
    <xf numFmtId="0" fontId="15" fillId="0" borderId="45" xfId="3" applyFont="1" applyBorder="1" applyAlignment="1">
      <alignment vertical="center"/>
    </xf>
    <xf numFmtId="0" fontId="15" fillId="0" borderId="44" xfId="3" applyFont="1" applyBorder="1" applyAlignment="1">
      <alignment vertical="center"/>
    </xf>
    <xf numFmtId="2" fontId="15" fillId="0" borderId="1" xfId="3" applyNumberFormat="1" applyFont="1" applyBorder="1" applyAlignment="1">
      <alignment horizontal="right" vertical="center"/>
    </xf>
    <xf numFmtId="9" fontId="15" fillId="0" borderId="0" xfId="2" applyFont="1" applyAlignment="1">
      <alignment vertical="center"/>
    </xf>
    <xf numFmtId="166" fontId="15" fillId="0" borderId="0" xfId="1" applyNumberFormat="1" applyFont="1" applyAlignment="1">
      <alignment vertical="center"/>
    </xf>
    <xf numFmtId="3" fontId="15" fillId="0" borderId="0" xfId="3" applyNumberFormat="1" applyFont="1" applyAlignment="1">
      <alignment vertical="center"/>
    </xf>
    <xf numFmtId="10" fontId="15" fillId="0" borderId="0" xfId="2" applyNumberFormat="1" applyFont="1" applyAlignment="1">
      <alignment vertical="center"/>
    </xf>
    <xf numFmtId="0" fontId="14" fillId="0" borderId="37" xfId="3" applyFont="1" applyBorder="1" applyAlignment="1">
      <alignment vertical="center"/>
    </xf>
    <xf numFmtId="0" fontId="14" fillId="6" borderId="37" xfId="3" applyFont="1" applyFill="1" applyBorder="1" applyAlignment="1">
      <alignment vertical="center"/>
    </xf>
    <xf numFmtId="0" fontId="16" fillId="0" borderId="0" xfId="3" applyFont="1" applyAlignment="1">
      <alignment vertical="center"/>
    </xf>
    <xf numFmtId="0" fontId="28" fillId="5" borderId="0" xfId="3" applyFont="1" applyFill="1" applyAlignment="1">
      <alignment vertical="center"/>
    </xf>
    <xf numFmtId="0" fontId="14" fillId="0" borderId="1" xfId="3" applyFont="1" applyBorder="1" applyAlignment="1">
      <alignment vertical="center"/>
    </xf>
    <xf numFmtId="0" fontId="14" fillId="6" borderId="35" xfId="3" applyFont="1" applyFill="1" applyBorder="1" applyAlignment="1">
      <alignment vertical="center"/>
    </xf>
    <xf numFmtId="4" fontId="15" fillId="0" borderId="0" xfId="3" applyNumberFormat="1" applyFont="1" applyAlignment="1">
      <alignment vertical="center"/>
    </xf>
    <xf numFmtId="2" fontId="14" fillId="0" borderId="0" xfId="3" applyNumberFormat="1" applyFont="1" applyAlignment="1">
      <alignment horizontal="right" vertical="center" wrapText="1"/>
    </xf>
    <xf numFmtId="0" fontId="30" fillId="0" borderId="0" xfId="8" applyFont="1" applyAlignment="1">
      <alignment horizontal="left" vertical="center" wrapText="1"/>
    </xf>
    <xf numFmtId="164" fontId="15" fillId="0" borderId="0" xfId="1" applyFont="1" applyAlignment="1">
      <alignment vertical="center"/>
    </xf>
    <xf numFmtId="0" fontId="14" fillId="4" borderId="0" xfId="3" applyFont="1" applyFill="1" applyAlignment="1">
      <alignment vertical="center"/>
    </xf>
    <xf numFmtId="2" fontId="15" fillId="0" borderId="1" xfId="3" applyNumberFormat="1" applyFont="1" applyBorder="1" applyAlignment="1">
      <alignment horizontal="center" vertical="center"/>
    </xf>
    <xf numFmtId="0" fontId="15" fillId="0" borderId="0" xfId="3" applyFont="1" applyAlignment="1">
      <alignment horizontal="right" vertical="center" wrapText="1"/>
    </xf>
    <xf numFmtId="0" fontId="14" fillId="0" borderId="42" xfId="3" applyFont="1" applyBorder="1" applyAlignment="1">
      <alignment horizontal="right" vertical="center"/>
    </xf>
    <xf numFmtId="0" fontId="15" fillId="0" borderId="44" xfId="3" applyFont="1" applyBorder="1" applyAlignment="1">
      <alignment horizontal="right" vertical="center"/>
    </xf>
    <xf numFmtId="0" fontId="15" fillId="0" borderId="1" xfId="3" applyFont="1" applyBorder="1" applyAlignment="1">
      <alignment horizontal="right" vertical="center"/>
    </xf>
    <xf numFmtId="43" fontId="15" fillId="0" borderId="1" xfId="3" applyNumberFormat="1" applyFont="1" applyBorder="1" applyAlignment="1">
      <alignment horizontal="right" vertical="center"/>
    </xf>
    <xf numFmtId="2" fontId="14" fillId="6" borderId="1" xfId="3" applyNumberFormat="1" applyFont="1" applyFill="1" applyBorder="1" applyAlignment="1">
      <alignment horizontal="right" vertical="center"/>
    </xf>
    <xf numFmtId="0" fontId="12" fillId="5" borderId="44" xfId="3" applyFont="1" applyFill="1" applyBorder="1" applyAlignment="1">
      <alignment horizontal="right" vertical="center"/>
    </xf>
    <xf numFmtId="0" fontId="15" fillId="5" borderId="0" xfId="3" applyFont="1" applyFill="1" applyAlignment="1">
      <alignment vertical="center"/>
    </xf>
    <xf numFmtId="0" fontId="10" fillId="5" borderId="0" xfId="3" applyFont="1" applyFill="1" applyAlignment="1">
      <alignment vertical="center"/>
    </xf>
    <xf numFmtId="0" fontId="2" fillId="8" borderId="37" xfId="3" applyFont="1" applyFill="1" applyBorder="1" applyAlignment="1">
      <alignment vertical="center"/>
    </xf>
    <xf numFmtId="0" fontId="2" fillId="8" borderId="37" xfId="3" applyFont="1" applyFill="1" applyBorder="1" applyAlignment="1">
      <alignment horizontal="center" vertical="center"/>
    </xf>
    <xf numFmtId="0" fontId="2" fillId="8" borderId="1" xfId="3" applyFont="1" applyFill="1" applyBorder="1" applyAlignment="1">
      <alignment horizontal="right" vertical="center"/>
    </xf>
    <xf numFmtId="0" fontId="10" fillId="5" borderId="0" xfId="3" applyFont="1" applyFill="1"/>
    <xf numFmtId="0" fontId="12" fillId="5" borderId="0" xfId="0" applyFont="1" applyFill="1"/>
    <xf numFmtId="0" fontId="10" fillId="5" borderId="0" xfId="0" applyFont="1" applyFill="1" applyAlignment="1">
      <alignment horizontal="center"/>
    </xf>
    <xf numFmtId="0" fontId="2" fillId="8" borderId="0" xfId="0" applyFont="1" applyFill="1"/>
    <xf numFmtId="14" fontId="2" fillId="8" borderId="0" xfId="0" applyNumberFormat="1" applyFont="1" applyFill="1"/>
    <xf numFmtId="14" fontId="2" fillId="8" borderId="0" xfId="0" applyNumberFormat="1" applyFont="1" applyFill="1" applyAlignment="1">
      <alignment horizontal="center"/>
    </xf>
    <xf numFmtId="2" fontId="2" fillId="6" borderId="1" xfId="0" applyNumberFormat="1" applyFont="1" applyFill="1" applyBorder="1" applyAlignment="1">
      <alignment horizontal="center"/>
    </xf>
    <xf numFmtId="2" fontId="2" fillId="6" borderId="0" xfId="0" applyNumberFormat="1" applyFont="1" applyFill="1" applyAlignment="1">
      <alignment horizontal="center"/>
    </xf>
    <xf numFmtId="9" fontId="0" fillId="0" borderId="0" xfId="2" applyFont="1" applyAlignment="1">
      <alignment horizontal="center"/>
    </xf>
    <xf numFmtId="10" fontId="0" fillId="0" borderId="0" xfId="2" applyNumberFormat="1" applyFont="1" applyAlignment="1">
      <alignment horizontal="center"/>
    </xf>
    <xf numFmtId="167" fontId="0" fillId="0" borderId="23" xfId="7" applyNumberFormat="1" applyFont="1" applyBorder="1" applyAlignment="1">
      <alignment horizontal="center"/>
    </xf>
    <xf numFmtId="43" fontId="0" fillId="0" borderId="0" xfId="0" applyNumberFormat="1" applyAlignment="1">
      <alignment horizontal="center"/>
    </xf>
    <xf numFmtId="0" fontId="0" fillId="4" borderId="0" xfId="0" applyFill="1" applyAlignment="1">
      <alignment horizontal="center"/>
    </xf>
    <xf numFmtId="0" fontId="0" fillId="0" borderId="0" xfId="0" applyAlignment="1">
      <alignment horizontal="center" vertical="center"/>
    </xf>
    <xf numFmtId="10" fontId="0" fillId="0" borderId="0" xfId="0" applyNumberFormat="1" applyAlignment="1">
      <alignment horizontal="center" vertical="center"/>
    </xf>
    <xf numFmtId="2" fontId="2" fillId="6" borderId="0" xfId="0" applyNumberFormat="1" applyFont="1" applyFill="1" applyAlignment="1">
      <alignment horizontal="center" vertical="center"/>
    </xf>
    <xf numFmtId="2" fontId="2" fillId="0" borderId="1" xfId="0" applyNumberFormat="1" applyFont="1" applyBorder="1" applyAlignment="1">
      <alignment horizontal="center" vertical="center"/>
    </xf>
    <xf numFmtId="9" fontId="0" fillId="0" borderId="0" xfId="0" applyNumberFormat="1" applyAlignment="1">
      <alignment horizontal="center" vertical="center"/>
    </xf>
    <xf numFmtId="10" fontId="0" fillId="0" borderId="0" xfId="2" applyNumberFormat="1" applyFont="1" applyAlignment="1">
      <alignment horizontal="center" vertical="center"/>
    </xf>
    <xf numFmtId="0" fontId="2" fillId="0" borderId="0" xfId="0" applyFont="1" applyAlignment="1">
      <alignment horizontal="center" vertical="center"/>
    </xf>
    <xf numFmtId="0" fontId="10" fillId="5" borderId="7" xfId="0" applyFont="1" applyFill="1" applyBorder="1"/>
    <xf numFmtId="0" fontId="12" fillId="5" borderId="8" xfId="0" applyFont="1" applyFill="1" applyBorder="1"/>
    <xf numFmtId="0" fontId="10" fillId="5" borderId="2" xfId="0" applyFont="1" applyFill="1" applyBorder="1" applyAlignment="1">
      <alignment horizontal="center" vertical="center"/>
    </xf>
    <xf numFmtId="2" fontId="2" fillId="6" borderId="17" xfId="0" applyNumberFormat="1" applyFont="1" applyFill="1" applyBorder="1" applyAlignment="1">
      <alignment horizontal="center" vertical="center"/>
    </xf>
    <xf numFmtId="2" fontId="2" fillId="0" borderId="20" xfId="0" applyNumberFormat="1" applyFont="1" applyBorder="1" applyAlignment="1">
      <alignment horizontal="center" vertical="center"/>
    </xf>
    <xf numFmtId="2" fontId="2" fillId="0" borderId="21" xfId="0" applyNumberFormat="1" applyFont="1" applyBorder="1" applyAlignment="1">
      <alignment horizontal="center" vertical="center"/>
    </xf>
    <xf numFmtId="0" fontId="10" fillId="5" borderId="0" xfId="0" applyFont="1" applyFill="1" applyAlignment="1">
      <alignment horizontal="center" vertical="center"/>
    </xf>
    <xf numFmtId="2" fontId="2" fillId="8" borderId="0" xfId="0" applyNumberFormat="1" applyFont="1" applyFill="1" applyAlignment="1">
      <alignment horizontal="center" vertical="center"/>
    </xf>
    <xf numFmtId="2" fontId="0" fillId="6" borderId="0" xfId="0" applyNumberFormat="1" applyFill="1" applyAlignment="1">
      <alignment horizontal="center" vertical="center"/>
    </xf>
    <xf numFmtId="2" fontId="0" fillId="3" borderId="0" xfId="0" applyNumberFormat="1" applyFill="1" applyAlignment="1">
      <alignment horizontal="center" vertical="center"/>
    </xf>
    <xf numFmtId="1" fontId="0" fillId="0" borderId="0" xfId="0" applyNumberFormat="1" applyAlignment="1">
      <alignment horizontal="center" vertical="center"/>
    </xf>
    <xf numFmtId="9" fontId="0" fillId="0" borderId="0" xfId="2" applyFont="1" applyBorder="1" applyAlignment="1">
      <alignment horizontal="center" vertical="center"/>
    </xf>
    <xf numFmtId="10" fontId="0" fillId="0" borderId="0" xfId="2" applyNumberFormat="1" applyFont="1" applyBorder="1" applyAlignment="1">
      <alignment horizontal="center" vertical="center"/>
    </xf>
    <xf numFmtId="169" fontId="0" fillId="0" borderId="0" xfId="2" applyNumberFormat="1" applyFont="1" applyBorder="1" applyAlignment="1">
      <alignment horizontal="center" vertical="center"/>
    </xf>
    <xf numFmtId="164" fontId="15" fillId="0" borderId="0" xfId="4" applyFont="1" applyBorder="1" applyAlignment="1">
      <alignment vertical="center"/>
    </xf>
    <xf numFmtId="0" fontId="14" fillId="6" borderId="1" xfId="3" applyFont="1" applyFill="1" applyBorder="1" applyAlignment="1">
      <alignment vertical="center"/>
    </xf>
    <xf numFmtId="2" fontId="15" fillId="0" borderId="0" xfId="4" applyNumberFormat="1" applyFont="1" applyBorder="1" applyAlignment="1">
      <alignment vertical="center"/>
    </xf>
    <xf numFmtId="164" fontId="14" fillId="0" borderId="0" xfId="4" applyFont="1" applyBorder="1" applyAlignment="1">
      <alignment vertical="center"/>
    </xf>
    <xf numFmtId="2" fontId="15" fillId="0" borderId="1" xfId="4" applyNumberFormat="1" applyFont="1" applyBorder="1" applyAlignment="1">
      <alignment horizontal="center" vertical="center"/>
    </xf>
    <xf numFmtId="164" fontId="15" fillId="0" borderId="0" xfId="4" applyFont="1" applyBorder="1" applyAlignment="1">
      <alignment horizontal="center" vertical="center"/>
    </xf>
    <xf numFmtId="2" fontId="15" fillId="0" borderId="0" xfId="4" applyNumberFormat="1" applyFont="1" applyBorder="1" applyAlignment="1">
      <alignment horizontal="center" vertical="center"/>
    </xf>
    <xf numFmtId="0" fontId="17" fillId="0" borderId="1" xfId="3" applyFont="1" applyBorder="1" applyAlignment="1">
      <alignment horizontal="center" vertical="center"/>
    </xf>
    <xf numFmtId="0" fontId="10" fillId="5" borderId="0" xfId="3" applyFont="1" applyFill="1" applyAlignment="1">
      <alignment horizontal="center" vertical="center"/>
    </xf>
    <xf numFmtId="0" fontId="10" fillId="5" borderId="0" xfId="3" applyFont="1" applyFill="1" applyAlignment="1">
      <alignment horizontal="center" vertical="center" wrapText="1"/>
    </xf>
    <xf numFmtId="0" fontId="10" fillId="5" borderId="0" xfId="4" applyNumberFormat="1" applyFont="1" applyFill="1" applyBorder="1" applyAlignment="1">
      <alignment horizontal="center" vertical="center"/>
    </xf>
    <xf numFmtId="0" fontId="14" fillId="8" borderId="0" xfId="3" applyFont="1" applyFill="1" applyAlignment="1">
      <alignment vertical="center"/>
    </xf>
    <xf numFmtId="0" fontId="14" fillId="8" borderId="0" xfId="3" applyFont="1" applyFill="1" applyAlignment="1">
      <alignment horizontal="center" vertical="center"/>
    </xf>
    <xf numFmtId="164" fontId="14" fillId="8" borderId="0" xfId="4" applyFont="1" applyFill="1" applyBorder="1" applyAlignment="1">
      <alignment horizontal="center" vertical="center"/>
    </xf>
    <xf numFmtId="164" fontId="15" fillId="0" borderId="0" xfId="4" applyFont="1" applyBorder="1" applyAlignment="1">
      <alignment horizontal="left" vertical="center"/>
    </xf>
    <xf numFmtId="0" fontId="16" fillId="0" borderId="0" xfId="3" applyFont="1" applyAlignment="1">
      <alignment horizontal="center" vertical="center"/>
    </xf>
    <xf numFmtId="2" fontId="15" fillId="0" borderId="0" xfId="3" applyNumberFormat="1" applyFont="1" applyAlignment="1">
      <alignment horizontal="center" vertical="center"/>
    </xf>
    <xf numFmtId="168" fontId="15" fillId="0" borderId="0" xfId="3" applyNumberFormat="1" applyFont="1" applyAlignment="1">
      <alignment horizontal="center" vertical="center"/>
    </xf>
    <xf numFmtId="168" fontId="15" fillId="0" borderId="0" xfId="4" applyNumberFormat="1" applyFont="1" applyBorder="1" applyAlignment="1">
      <alignment horizontal="center" vertical="center"/>
    </xf>
    <xf numFmtId="2" fontId="15" fillId="10" borderId="0" xfId="3" applyNumberFormat="1" applyFont="1" applyFill="1" applyAlignment="1">
      <alignment vertical="center"/>
    </xf>
    <xf numFmtId="168" fontId="15" fillId="0" borderId="0" xfId="4" applyNumberFormat="1" applyFont="1" applyFill="1" applyBorder="1" applyAlignment="1">
      <alignment horizontal="center" vertical="center"/>
    </xf>
    <xf numFmtId="2" fontId="15" fillId="0" borderId="0" xfId="4" applyNumberFormat="1" applyFont="1" applyFill="1" applyBorder="1" applyAlignment="1">
      <alignment vertical="center"/>
    </xf>
    <xf numFmtId="0" fontId="14" fillId="6" borderId="0" xfId="3" applyFont="1" applyFill="1" applyAlignment="1">
      <alignment vertical="center"/>
    </xf>
    <xf numFmtId="0" fontId="14" fillId="6" borderId="0" xfId="3" applyFont="1" applyFill="1" applyAlignment="1">
      <alignment horizontal="center" vertical="center"/>
    </xf>
    <xf numFmtId="168" fontId="14" fillId="6" borderId="0" xfId="3" applyNumberFormat="1" applyFont="1" applyFill="1" applyAlignment="1">
      <alignment horizontal="center" vertical="center"/>
    </xf>
    <xf numFmtId="2" fontId="14" fillId="6" borderId="0" xfId="3" applyNumberFormat="1" applyFont="1" applyFill="1" applyAlignment="1">
      <alignment vertical="center"/>
    </xf>
    <xf numFmtId="0" fontId="15" fillId="0" borderId="0" xfId="3" applyFont="1" applyAlignment="1">
      <alignment horizontal="center" vertical="center" wrapText="1"/>
    </xf>
    <xf numFmtId="2" fontId="11" fillId="0" borderId="0" xfId="4" applyNumberFormat="1" applyFont="1" applyBorder="1" applyAlignment="1">
      <alignment horizontal="center" vertical="center"/>
    </xf>
    <xf numFmtId="2" fontId="11" fillId="0" borderId="0" xfId="4" applyNumberFormat="1" applyFont="1" applyBorder="1" applyAlignment="1">
      <alignment vertical="center"/>
    </xf>
    <xf numFmtId="0" fontId="21" fillId="0" borderId="0" xfId="0" applyFont="1" applyAlignment="1">
      <alignment horizontal="center" vertical="center"/>
    </xf>
    <xf numFmtId="2" fontId="1" fillId="0" borderId="0" xfId="4" applyNumberFormat="1" applyFont="1" applyBorder="1" applyAlignment="1">
      <alignment horizontal="center" vertical="center"/>
    </xf>
    <xf numFmtId="168" fontId="1" fillId="0" borderId="0" xfId="4" applyNumberFormat="1" applyFont="1" applyBorder="1" applyAlignment="1">
      <alignment horizontal="center" vertical="center"/>
    </xf>
    <xf numFmtId="2" fontId="1" fillId="0" borderId="0" xfId="4" applyNumberFormat="1" applyFont="1" applyBorder="1" applyAlignment="1">
      <alignment vertical="center"/>
    </xf>
    <xf numFmtId="0" fontId="17" fillId="0" borderId="0" xfId="3" applyFont="1" applyAlignment="1">
      <alignment vertical="center"/>
    </xf>
    <xf numFmtId="0" fontId="17" fillId="0" borderId="0" xfId="3" applyFont="1" applyAlignment="1">
      <alignment horizontal="center" vertical="center"/>
    </xf>
    <xf numFmtId="168" fontId="14" fillId="6" borderId="0" xfId="4" applyNumberFormat="1" applyFont="1" applyFill="1" applyBorder="1" applyAlignment="1">
      <alignment horizontal="center" vertical="center"/>
    </xf>
    <xf numFmtId="2" fontId="14" fillId="6" borderId="0" xfId="4" applyNumberFormat="1" applyFont="1" applyFill="1" applyBorder="1" applyAlignment="1">
      <alignment vertical="center"/>
    </xf>
    <xf numFmtId="168" fontId="11" fillId="0" borderId="0" xfId="3" applyNumberFormat="1" applyFont="1" applyAlignment="1">
      <alignment horizontal="center" vertical="center"/>
    </xf>
    <xf numFmtId="2" fontId="11" fillId="0" borderId="0" xfId="3" applyNumberFormat="1" applyFont="1" applyAlignment="1">
      <alignment vertical="center"/>
    </xf>
    <xf numFmtId="2" fontId="14" fillId="0" borderId="0" xfId="4" applyNumberFormat="1" applyFont="1" applyFill="1" applyBorder="1" applyAlignment="1">
      <alignment horizontal="center" vertical="center"/>
    </xf>
    <xf numFmtId="2" fontId="14" fillId="0" borderId="0" xfId="4" applyNumberFormat="1" applyFont="1" applyFill="1" applyBorder="1" applyAlignment="1">
      <alignment vertical="center"/>
    </xf>
    <xf numFmtId="2" fontId="14" fillId="6" borderId="0" xfId="3" applyNumberFormat="1" applyFont="1" applyFill="1" applyAlignment="1">
      <alignment horizontal="center" vertical="center"/>
    </xf>
    <xf numFmtId="1" fontId="15" fillId="0" borderId="0" xfId="4" applyNumberFormat="1" applyFont="1" applyBorder="1" applyAlignment="1">
      <alignment vertical="center"/>
    </xf>
    <xf numFmtId="2" fontId="15" fillId="6" borderId="0" xfId="4" applyNumberFormat="1" applyFont="1" applyFill="1" applyBorder="1" applyAlignment="1">
      <alignment vertical="center"/>
    </xf>
    <xf numFmtId="164" fontId="11" fillId="0" borderId="0" xfId="4" applyFont="1" applyBorder="1" applyAlignment="1">
      <alignment vertical="center"/>
    </xf>
    <xf numFmtId="0" fontId="2" fillId="8" borderId="1" xfId="4" applyNumberFormat="1" applyFont="1" applyFill="1" applyBorder="1" applyAlignment="1">
      <alignment horizontal="center" vertical="center"/>
    </xf>
    <xf numFmtId="0" fontId="2" fillId="8" borderId="1" xfId="3" applyFont="1" applyFill="1" applyBorder="1" applyAlignment="1">
      <alignment horizontal="center" vertical="center" wrapText="1"/>
    </xf>
    <xf numFmtId="0" fontId="10" fillId="5" borderId="42" xfId="3" applyFont="1" applyFill="1" applyBorder="1" applyAlignment="1">
      <alignment vertical="center"/>
    </xf>
    <xf numFmtId="0" fontId="10" fillId="5" borderId="42" xfId="3" applyFont="1" applyFill="1" applyBorder="1" applyAlignment="1">
      <alignment horizontal="center" vertical="center"/>
    </xf>
    <xf numFmtId="164" fontId="2" fillId="8" borderId="1" xfId="4" applyFont="1" applyFill="1" applyBorder="1" applyAlignment="1">
      <alignment horizontal="center" vertical="center"/>
    </xf>
    <xf numFmtId="164" fontId="15" fillId="0" borderId="1" xfId="4" applyFont="1" applyBorder="1" applyAlignment="1">
      <alignment horizontal="center" vertical="center"/>
    </xf>
    <xf numFmtId="2" fontId="15" fillId="0" borderId="1" xfId="4" applyNumberFormat="1" applyFont="1" applyFill="1" applyBorder="1" applyAlignment="1">
      <alignment horizontal="center" vertical="center"/>
    </xf>
    <xf numFmtId="2" fontId="14" fillId="6" borderId="1" xfId="4" applyNumberFormat="1" applyFont="1" applyFill="1" applyBorder="1" applyAlignment="1">
      <alignment horizontal="center" vertical="center"/>
    </xf>
    <xf numFmtId="0" fontId="2" fillId="0" borderId="12" xfId="0" applyFont="1" applyBorder="1" applyAlignment="1">
      <alignment horizontal="center" vertical="center"/>
    </xf>
    <xf numFmtId="0" fontId="2" fillId="0" borderId="13" xfId="0" applyFont="1" applyBorder="1" applyAlignment="1">
      <alignment horizontal="center" vertical="center"/>
    </xf>
    <xf numFmtId="0" fontId="2" fillId="0" borderId="10" xfId="0" applyFont="1" applyBorder="1" applyAlignment="1">
      <alignment horizontal="center" vertical="center"/>
    </xf>
    <xf numFmtId="1" fontId="2" fillId="0" borderId="1" xfId="0" applyNumberFormat="1" applyFont="1" applyBorder="1" applyAlignment="1">
      <alignment horizontal="center" vertical="center"/>
    </xf>
    <xf numFmtId="2" fontId="2" fillId="0" borderId="37" xfId="0" applyNumberFormat="1" applyFont="1" applyBorder="1" applyAlignment="1">
      <alignment horizontal="center" vertical="center"/>
    </xf>
    <xf numFmtId="1" fontId="2" fillId="0" borderId="35" xfId="0" applyNumberFormat="1" applyFont="1" applyBorder="1" applyAlignment="1">
      <alignment horizontal="center" vertical="center"/>
    </xf>
    <xf numFmtId="2" fontId="0" fillId="0" borderId="1" xfId="0" applyNumberFormat="1" applyBorder="1" applyAlignment="1">
      <alignment horizontal="center" vertical="center"/>
    </xf>
    <xf numFmtId="2" fontId="2" fillId="0" borderId="43" xfId="0" applyNumberFormat="1" applyFont="1" applyBorder="1" applyAlignment="1">
      <alignment horizontal="center" vertical="center"/>
    </xf>
    <xf numFmtId="2" fontId="2" fillId="0" borderId="7" xfId="0" applyNumberFormat="1" applyFont="1" applyBorder="1" applyAlignment="1">
      <alignment horizontal="center" vertical="center"/>
    </xf>
    <xf numFmtId="2" fontId="2" fillId="0" borderId="8" xfId="0" applyNumberFormat="1" applyFont="1" applyBorder="1" applyAlignment="1">
      <alignment horizontal="center" vertical="center"/>
    </xf>
    <xf numFmtId="2" fontId="2" fillId="0" borderId="9" xfId="0" applyNumberFormat="1" applyFont="1" applyBorder="1" applyAlignment="1">
      <alignment horizontal="center" vertical="center"/>
    </xf>
    <xf numFmtId="2" fontId="2" fillId="0" borderId="5" xfId="0" applyNumberFormat="1" applyFont="1" applyBorder="1" applyAlignment="1">
      <alignment horizontal="center" vertical="center"/>
    </xf>
    <xf numFmtId="2" fontId="2" fillId="0" borderId="38" xfId="0" applyNumberFormat="1" applyFont="1" applyBorder="1" applyAlignment="1">
      <alignment horizontal="center" vertical="center"/>
    </xf>
    <xf numFmtId="1" fontId="2" fillId="0" borderId="0" xfId="0" applyNumberFormat="1" applyFont="1" applyAlignment="1">
      <alignment horizontal="center" vertical="center"/>
    </xf>
    <xf numFmtId="171" fontId="0" fillId="2" borderId="0" xfId="0" applyNumberFormat="1" applyFill="1" applyAlignment="1">
      <alignment horizontal="center" vertical="center"/>
    </xf>
    <xf numFmtId="166" fontId="0" fillId="0" borderId="0" xfId="1" applyNumberFormat="1" applyFont="1" applyFill="1" applyAlignment="1">
      <alignment horizontal="center" vertical="center"/>
    </xf>
    <xf numFmtId="17" fontId="0" fillId="0" borderId="0" xfId="0" applyNumberFormat="1" applyAlignment="1">
      <alignment horizontal="center" vertical="center"/>
    </xf>
    <xf numFmtId="2" fontId="2" fillId="27" borderId="21" xfId="0" applyNumberFormat="1" applyFont="1" applyFill="1" applyBorder="1" applyAlignment="1">
      <alignment horizontal="center" vertical="center"/>
    </xf>
    <xf numFmtId="0" fontId="2" fillId="27" borderId="0" xfId="0" applyFont="1" applyFill="1"/>
    <xf numFmtId="0" fontId="10" fillId="14" borderId="0" xfId="0" applyFont="1" applyFill="1" applyAlignment="1">
      <alignment vertical="center"/>
    </xf>
    <xf numFmtId="0" fontId="10" fillId="5" borderId="1" xfId="0" applyFont="1" applyFill="1" applyBorder="1" applyAlignment="1">
      <alignment horizontal="center" vertical="center" wrapText="1"/>
    </xf>
    <xf numFmtId="0" fontId="14" fillId="0" borderId="0" xfId="0" applyFont="1"/>
    <xf numFmtId="0" fontId="10" fillId="14" borderId="0" xfId="0" applyFont="1" applyFill="1" applyAlignment="1">
      <alignment horizontal="center" vertical="center"/>
    </xf>
    <xf numFmtId="0" fontId="10" fillId="5" borderId="1" xfId="0" applyFont="1" applyFill="1" applyBorder="1" applyAlignment="1">
      <alignment horizontal="center" vertical="center"/>
    </xf>
    <xf numFmtId="14" fontId="14" fillId="0" borderId="0" xfId="3" applyNumberFormat="1" applyFont="1" applyAlignment="1">
      <alignment horizontal="center" vertical="center"/>
    </xf>
    <xf numFmtId="0" fontId="2" fillId="6" borderId="54" xfId="0" applyFont="1" applyFill="1" applyBorder="1" applyAlignment="1">
      <alignment horizontal="center" vertical="center"/>
    </xf>
    <xf numFmtId="10" fontId="2" fillId="0" borderId="0" xfId="0" applyNumberFormat="1" applyFont="1" applyAlignment="1">
      <alignment horizontal="center" vertical="center"/>
    </xf>
    <xf numFmtId="0" fontId="15" fillId="0" borderId="0" xfId="0" applyFont="1" applyAlignment="1">
      <alignment horizontal="center" vertical="center"/>
    </xf>
    <xf numFmtId="0" fontId="29" fillId="0" borderId="0" xfId="8" applyAlignment="1">
      <alignment horizontal="center" vertical="center"/>
    </xf>
    <xf numFmtId="0" fontId="2" fillId="16" borderId="2" xfId="0" applyFont="1" applyFill="1" applyBorder="1" applyAlignment="1">
      <alignment horizontal="center" vertical="center"/>
    </xf>
    <xf numFmtId="2" fontId="2" fillId="16" borderId="0" xfId="0" applyNumberFormat="1" applyFont="1" applyFill="1" applyAlignment="1">
      <alignment horizontal="center" vertical="center"/>
    </xf>
    <xf numFmtId="2" fontId="0" fillId="16" borderId="0" xfId="0" applyNumberFormat="1" applyFill="1" applyAlignment="1">
      <alignment horizontal="center" vertical="center"/>
    </xf>
    <xf numFmtId="9" fontId="2" fillId="16" borderId="0" xfId="2" applyFont="1" applyFill="1" applyAlignment="1">
      <alignment horizontal="center" vertical="center"/>
    </xf>
    <xf numFmtId="0" fontId="10" fillId="5" borderId="0" xfId="0" applyFont="1" applyFill="1" applyAlignment="1">
      <alignment vertical="center"/>
    </xf>
    <xf numFmtId="0" fontId="12" fillId="5" borderId="0" xfId="0" applyFont="1" applyFill="1" applyAlignment="1">
      <alignment vertical="center"/>
    </xf>
    <xf numFmtId="0" fontId="2" fillId="6" borderId="0" xfId="0" applyFont="1" applyFill="1" applyAlignment="1">
      <alignment vertical="center"/>
    </xf>
    <xf numFmtId="0" fontId="0" fillId="8" borderId="0" xfId="0" applyFill="1" applyAlignment="1">
      <alignment vertical="center"/>
    </xf>
    <xf numFmtId="0" fontId="0" fillId="6" borderId="0" xfId="0" applyFill="1" applyAlignment="1">
      <alignment vertical="center"/>
    </xf>
    <xf numFmtId="0" fontId="0" fillId="3" borderId="0" xfId="0" applyFill="1" applyAlignment="1">
      <alignment vertical="center"/>
    </xf>
    <xf numFmtId="0" fontId="2" fillId="13" borderId="0" xfId="0" applyFont="1" applyFill="1" applyAlignment="1">
      <alignment vertical="center"/>
    </xf>
    <xf numFmtId="10" fontId="0" fillId="0" borderId="0" xfId="0" applyNumberFormat="1" applyAlignment="1">
      <alignment vertical="center"/>
    </xf>
    <xf numFmtId="176" fontId="0" fillId="0" borderId="0" xfId="0" applyNumberFormat="1"/>
    <xf numFmtId="0" fontId="14" fillId="2" borderId="46" xfId="3" applyFont="1" applyFill="1" applyBorder="1" applyAlignment="1">
      <alignment horizontal="left" vertical="center" wrapText="1"/>
    </xf>
    <xf numFmtId="3" fontId="15" fillId="2" borderId="1" xfId="3" applyNumberFormat="1" applyFont="1" applyFill="1" applyBorder="1" applyAlignment="1">
      <alignment horizontal="center" vertical="center" wrapText="1"/>
    </xf>
    <xf numFmtId="4" fontId="15" fillId="2" borderId="49" xfId="3" applyNumberFormat="1" applyFont="1" applyFill="1" applyBorder="1" applyAlignment="1">
      <alignment horizontal="center" vertical="center" wrapText="1"/>
    </xf>
    <xf numFmtId="0" fontId="15" fillId="2" borderId="1" xfId="3" applyFont="1" applyFill="1" applyBorder="1" applyAlignment="1">
      <alignment vertical="center" wrapText="1"/>
    </xf>
    <xf numFmtId="0" fontId="15" fillId="2" borderId="47" xfId="3" applyFont="1" applyFill="1" applyBorder="1" applyAlignment="1">
      <alignment vertical="center" wrapText="1"/>
    </xf>
    <xf numFmtId="0" fontId="15" fillId="2" borderId="47" xfId="3" applyFont="1" applyFill="1" applyBorder="1" applyAlignment="1">
      <alignment horizontal="left" vertical="center"/>
    </xf>
    <xf numFmtId="3" fontId="15" fillId="2" borderId="51" xfId="3" applyNumberFormat="1" applyFont="1" applyFill="1" applyBorder="1" applyAlignment="1">
      <alignment horizontal="center" vertical="center"/>
    </xf>
    <xf numFmtId="0" fontId="15" fillId="2" borderId="37" xfId="3" applyFont="1" applyFill="1" applyBorder="1" applyAlignment="1">
      <alignment horizontal="left" vertical="center"/>
    </xf>
    <xf numFmtId="3" fontId="15" fillId="2" borderId="43" xfId="3" applyNumberFormat="1" applyFont="1" applyFill="1" applyBorder="1" applyAlignment="1">
      <alignment horizontal="center" vertical="center"/>
    </xf>
    <xf numFmtId="0" fontId="15" fillId="2" borderId="37" xfId="3" applyFont="1" applyFill="1" applyBorder="1" applyAlignment="1">
      <alignment vertical="center"/>
    </xf>
    <xf numFmtId="0" fontId="14" fillId="2" borderId="1" xfId="3" applyFont="1" applyFill="1" applyBorder="1" applyAlignment="1">
      <alignment horizontal="right" vertical="center" wrapText="1"/>
    </xf>
    <xf numFmtId="0" fontId="15" fillId="2" borderId="1" xfId="3" applyFont="1" applyFill="1" applyBorder="1" applyAlignment="1">
      <alignment horizontal="center" vertical="center" wrapText="1"/>
    </xf>
    <xf numFmtId="0" fontId="15" fillId="2" borderId="1" xfId="3" applyFont="1" applyFill="1" applyBorder="1" applyAlignment="1">
      <alignment horizontal="center" vertical="center"/>
    </xf>
    <xf numFmtId="0" fontId="15" fillId="2" borderId="1" xfId="3" applyFont="1" applyFill="1" applyBorder="1" applyAlignment="1">
      <alignment horizontal="justify" vertical="center" wrapText="1"/>
    </xf>
    <xf numFmtId="0" fontId="15" fillId="2" borderId="43" xfId="3" applyFont="1" applyFill="1" applyBorder="1" applyAlignment="1">
      <alignment horizontal="center" vertical="center" wrapText="1"/>
    </xf>
    <xf numFmtId="1" fontId="15" fillId="2" borderId="43" xfId="3" applyNumberFormat="1" applyFont="1" applyFill="1" applyBorder="1" applyAlignment="1">
      <alignment horizontal="center" vertical="center" wrapText="1"/>
    </xf>
    <xf numFmtId="1" fontId="15" fillId="2" borderId="43" xfId="3" applyNumberFormat="1" applyFont="1" applyFill="1" applyBorder="1" applyAlignment="1">
      <alignment horizontal="center" vertical="center"/>
    </xf>
    <xf numFmtId="0" fontId="15" fillId="2" borderId="3" xfId="3" applyFont="1" applyFill="1" applyBorder="1" applyAlignment="1">
      <alignment vertical="center" wrapText="1"/>
    </xf>
    <xf numFmtId="1" fontId="15" fillId="2" borderId="1" xfId="3" applyNumberFormat="1" applyFont="1" applyFill="1" applyBorder="1" applyAlignment="1">
      <alignment horizontal="center" vertical="center" wrapText="1"/>
    </xf>
    <xf numFmtId="0" fontId="15" fillId="2" borderId="1" xfId="3" applyFont="1" applyFill="1" applyBorder="1" applyAlignment="1">
      <alignment vertical="center"/>
    </xf>
    <xf numFmtId="1" fontId="15" fillId="2" borderId="1" xfId="3" applyNumberFormat="1" applyFont="1" applyFill="1" applyBorder="1" applyAlignment="1">
      <alignment horizontal="center" vertical="center"/>
    </xf>
    <xf numFmtId="0" fontId="14" fillId="0" borderId="46" xfId="3" applyFont="1" applyBorder="1" applyAlignment="1">
      <alignment horizontal="left" vertical="center" wrapText="1"/>
    </xf>
    <xf numFmtId="3" fontId="15" fillId="0" borderId="1" xfId="3" applyNumberFormat="1" applyFont="1" applyBorder="1" applyAlignment="1">
      <alignment horizontal="center" vertical="center" wrapText="1"/>
    </xf>
    <xf numFmtId="4" fontId="15" fillId="0" borderId="49" xfId="3" applyNumberFormat="1" applyFont="1" applyBorder="1" applyAlignment="1">
      <alignment horizontal="center" vertical="center" wrapText="1"/>
    </xf>
    <xf numFmtId="0" fontId="30" fillId="0" borderId="0" xfId="8" applyFont="1" applyBorder="1" applyAlignment="1">
      <alignment vertical="center"/>
    </xf>
    <xf numFmtId="167" fontId="15" fillId="0" borderId="1" xfId="7" applyNumberFormat="1" applyFont="1" applyBorder="1" applyAlignment="1">
      <alignment horizontal="right" vertical="center"/>
    </xf>
    <xf numFmtId="0" fontId="0" fillId="28" borderId="0" xfId="0" applyFill="1"/>
    <xf numFmtId="167" fontId="0" fillId="0" borderId="0" xfId="0" applyNumberFormat="1" applyAlignment="1">
      <alignment horizontal="center"/>
    </xf>
    <xf numFmtId="0" fontId="2" fillId="28" borderId="35" xfId="0" applyFont="1" applyFill="1" applyBorder="1"/>
    <xf numFmtId="0" fontId="0" fillId="28" borderId="35" xfId="0" applyFill="1" applyBorder="1"/>
    <xf numFmtId="0" fontId="0" fillId="28" borderId="35" xfId="0" applyFill="1" applyBorder="1" applyAlignment="1">
      <alignment horizontal="center"/>
    </xf>
    <xf numFmtId="0" fontId="2" fillId="28" borderId="35" xfId="0" applyFont="1" applyFill="1" applyBorder="1" applyAlignment="1">
      <alignment horizontal="center"/>
    </xf>
    <xf numFmtId="17" fontId="0" fillId="0" borderId="0" xfId="0" applyNumberFormat="1"/>
    <xf numFmtId="167" fontId="2" fillId="0" borderId="0" xfId="7" applyNumberFormat="1" applyFont="1" applyBorder="1"/>
    <xf numFmtId="167" fontId="0" fillId="0" borderId="0" xfId="7" applyNumberFormat="1" applyFont="1" applyBorder="1"/>
    <xf numFmtId="167" fontId="0" fillId="0" borderId="0" xfId="7" applyNumberFormat="1" applyFont="1" applyBorder="1" applyAlignment="1">
      <alignment horizontal="center"/>
    </xf>
    <xf numFmtId="0" fontId="20" fillId="0" borderId="45" xfId="0" applyFont="1" applyBorder="1" applyAlignment="1">
      <alignment vertical="center"/>
    </xf>
    <xf numFmtId="10" fontId="20" fillId="0" borderId="0" xfId="0" applyNumberFormat="1" applyFont="1" applyAlignment="1">
      <alignment horizontal="center" vertical="center"/>
    </xf>
    <xf numFmtId="0" fontId="20" fillId="28" borderId="0" xfId="0" applyFont="1" applyFill="1" applyAlignment="1">
      <alignment vertical="center"/>
    </xf>
    <xf numFmtId="4" fontId="20" fillId="0" borderId="0" xfId="0" applyNumberFormat="1" applyFont="1" applyAlignment="1">
      <alignment vertical="center"/>
    </xf>
    <xf numFmtId="2" fontId="20" fillId="0" borderId="0" xfId="0" applyNumberFormat="1" applyFont="1"/>
    <xf numFmtId="4" fontId="20" fillId="0" borderId="0" xfId="0" applyNumberFormat="1" applyFont="1"/>
    <xf numFmtId="2" fontId="21" fillId="0" borderId="0" xfId="0" applyNumberFormat="1" applyFont="1"/>
    <xf numFmtId="4" fontId="0" fillId="0" borderId="0" xfId="0" applyNumberFormat="1"/>
    <xf numFmtId="0" fontId="10" fillId="5" borderId="4" xfId="0" applyFont="1" applyFill="1" applyBorder="1" applyAlignment="1">
      <alignment vertical="center"/>
    </xf>
    <xf numFmtId="0" fontId="10" fillId="5" borderId="5" xfId="0" applyFont="1" applyFill="1" applyBorder="1" applyAlignment="1">
      <alignment vertical="center"/>
    </xf>
    <xf numFmtId="2" fontId="2" fillId="0" borderId="55" xfId="0" applyNumberFormat="1" applyFont="1" applyBorder="1" applyAlignment="1">
      <alignment horizontal="center" vertical="center"/>
    </xf>
    <xf numFmtId="2" fontId="0" fillId="27" borderId="56" xfId="0" applyNumberFormat="1" applyFill="1" applyBorder="1" applyAlignment="1">
      <alignment horizontal="center" vertical="center"/>
    </xf>
    <xf numFmtId="2" fontId="2" fillId="0" borderId="29" xfId="0" applyNumberFormat="1" applyFont="1" applyBorder="1" applyAlignment="1">
      <alignment horizontal="center" vertical="center"/>
    </xf>
    <xf numFmtId="1" fontId="2" fillId="0" borderId="43" xfId="0" applyNumberFormat="1" applyFont="1" applyBorder="1" applyAlignment="1">
      <alignment horizontal="center" vertical="center"/>
    </xf>
    <xf numFmtId="0" fontId="2" fillId="0" borderId="27" xfId="0" applyFont="1" applyBorder="1" applyAlignment="1">
      <alignment horizontal="center" vertical="center"/>
    </xf>
    <xf numFmtId="1" fontId="2" fillId="0" borderId="56" xfId="0" applyNumberFormat="1" applyFont="1" applyBorder="1" applyAlignment="1">
      <alignment horizontal="center" vertical="center"/>
    </xf>
    <xf numFmtId="0" fontId="0" fillId="0" borderId="56" xfId="0" applyBorder="1"/>
    <xf numFmtId="2" fontId="0" fillId="27" borderId="57" xfId="0" applyNumberFormat="1" applyFill="1" applyBorder="1" applyAlignment="1">
      <alignment horizontal="center" vertical="center"/>
    </xf>
    <xf numFmtId="0" fontId="35" fillId="0" borderId="0" xfId="11" applyFont="1"/>
    <xf numFmtId="0" fontId="13" fillId="0" borderId="0" xfId="11" applyFont="1"/>
    <xf numFmtId="0" fontId="55" fillId="0" borderId="0" xfId="11" applyFont="1" applyAlignment="1">
      <alignment horizontal="center" vertical="center"/>
    </xf>
    <xf numFmtId="0" fontId="55" fillId="0" borderId="0" xfId="11" applyFont="1" applyAlignment="1">
      <alignment vertical="center"/>
    </xf>
    <xf numFmtId="0" fontId="56" fillId="0" borderId="1" xfId="11" applyFont="1" applyBorder="1" applyAlignment="1">
      <alignment horizontal="center" vertical="center" wrapText="1"/>
    </xf>
    <xf numFmtId="0" fontId="56" fillId="0" borderId="1" xfId="11" applyFont="1" applyBorder="1" applyAlignment="1">
      <alignment vertical="center" wrapText="1"/>
    </xf>
    <xf numFmtId="0" fontId="54" fillId="0" borderId="1" xfId="11" applyBorder="1" applyAlignment="1">
      <alignment vertical="center" wrapText="1"/>
    </xf>
    <xf numFmtId="43" fontId="54" fillId="0" borderId="1" xfId="11" applyNumberFormat="1" applyBorder="1" applyAlignment="1">
      <alignment vertical="center" wrapText="1"/>
    </xf>
    <xf numFmtId="164" fontId="13" fillId="0" borderId="1" xfId="12" applyFont="1" applyBorder="1"/>
    <xf numFmtId="164" fontId="13" fillId="0" borderId="0" xfId="12" applyFont="1"/>
    <xf numFmtId="0" fontId="55" fillId="0" borderId="0" xfId="11" applyFont="1"/>
    <xf numFmtId="164" fontId="55" fillId="0" borderId="0" xfId="12" applyFont="1"/>
    <xf numFmtId="0" fontId="35" fillId="0" borderId="58" xfId="11" applyFont="1" applyBorder="1"/>
    <xf numFmtId="164" fontId="35" fillId="0" borderId="0" xfId="12" applyFont="1"/>
    <xf numFmtId="43" fontId="13" fillId="0" borderId="0" xfId="11" applyNumberFormat="1" applyFont="1"/>
    <xf numFmtId="10" fontId="0" fillId="0" borderId="0" xfId="2" applyNumberFormat="1" applyFont="1" applyFill="1" applyBorder="1" applyAlignment="1">
      <alignment horizontal="center" vertical="center"/>
    </xf>
    <xf numFmtId="168" fontId="0" fillId="0" borderId="0" xfId="4" applyNumberFormat="1" applyFont="1" applyBorder="1" applyAlignment="1">
      <alignment horizontal="center" vertical="center"/>
    </xf>
    <xf numFmtId="2" fontId="14" fillId="6" borderId="0" xfId="4" applyNumberFormat="1" applyFont="1" applyFill="1" applyBorder="1" applyAlignment="1">
      <alignment horizontal="center" vertical="center"/>
    </xf>
    <xf numFmtId="0" fontId="0" fillId="0" borderId="0" xfId="0" applyAlignment="1">
      <alignment horizontal="left" vertical="center"/>
    </xf>
    <xf numFmtId="43" fontId="14" fillId="6" borderId="1" xfId="7" applyFont="1" applyFill="1" applyBorder="1" applyAlignment="1">
      <alignment horizontal="center" vertical="center" wrapText="1"/>
    </xf>
    <xf numFmtId="0" fontId="25" fillId="26" borderId="0" xfId="0" applyFont="1" applyFill="1" applyAlignment="1">
      <alignment vertical="center"/>
    </xf>
    <xf numFmtId="2" fontId="2" fillId="8" borderId="37" xfId="0" applyNumberFormat="1" applyFont="1" applyFill="1" applyBorder="1"/>
    <xf numFmtId="2" fontId="2" fillId="8" borderId="35" xfId="0" applyNumberFormat="1" applyFont="1" applyFill="1" applyBorder="1"/>
    <xf numFmtId="10" fontId="11" fillId="0" borderId="0" xfId="2" applyNumberFormat="1" applyFont="1" applyBorder="1" applyAlignment="1">
      <alignment horizontal="center" vertical="center"/>
    </xf>
    <xf numFmtId="10" fontId="0" fillId="0" borderId="0" xfId="7" applyNumberFormat="1" applyFont="1" applyBorder="1" applyAlignment="1">
      <alignment horizontal="center"/>
    </xf>
    <xf numFmtId="164" fontId="0" fillId="0" borderId="0" xfId="1" applyFont="1" applyAlignment="1">
      <alignment horizontal="center"/>
    </xf>
    <xf numFmtId="0" fontId="13" fillId="0" borderId="0" xfId="3"/>
    <xf numFmtId="0" fontId="35" fillId="0" borderId="0" xfId="3" applyFont="1"/>
    <xf numFmtId="0" fontId="13" fillId="29" borderId="35" xfId="3" applyFill="1" applyBorder="1" applyAlignment="1">
      <alignment horizontal="left"/>
    </xf>
    <xf numFmtId="0" fontId="35" fillId="29" borderId="35" xfId="3" applyFont="1" applyFill="1" applyBorder="1" applyAlignment="1">
      <alignment horizontal="left"/>
    </xf>
    <xf numFmtId="0" fontId="35" fillId="29" borderId="35" xfId="3" applyFont="1" applyFill="1" applyBorder="1" applyAlignment="1">
      <alignment horizontal="right"/>
    </xf>
    <xf numFmtId="0" fontId="13" fillId="29" borderId="35" xfId="3" applyFill="1" applyBorder="1" applyAlignment="1">
      <alignment horizontal="right"/>
    </xf>
    <xf numFmtId="0" fontId="13" fillId="0" borderId="0" xfId="3" applyAlignment="1">
      <alignment horizontal="right"/>
    </xf>
    <xf numFmtId="0" fontId="13" fillId="0" borderId="0" xfId="3" applyAlignment="1">
      <alignment horizontal="left"/>
    </xf>
    <xf numFmtId="0" fontId="13" fillId="0" borderId="0" xfId="3" applyAlignment="1">
      <alignment horizontal="center"/>
    </xf>
    <xf numFmtId="0" fontId="35" fillId="0" borderId="0" xfId="3" applyFont="1" applyAlignment="1">
      <alignment horizontal="left"/>
    </xf>
    <xf numFmtId="0" fontId="35" fillId="0" borderId="0" xfId="3" applyFont="1" applyAlignment="1">
      <alignment horizontal="right"/>
    </xf>
    <xf numFmtId="0" fontId="35" fillId="0" borderId="0" xfId="3" applyFont="1" applyAlignment="1">
      <alignment horizontal="center"/>
    </xf>
    <xf numFmtId="2" fontId="35" fillId="0" borderId="0" xfId="3" applyNumberFormat="1" applyFont="1"/>
    <xf numFmtId="164" fontId="13" fillId="0" borderId="0" xfId="4" applyFont="1"/>
    <xf numFmtId="43" fontId="13" fillId="0" borderId="0" xfId="3" applyNumberFormat="1"/>
    <xf numFmtId="0" fontId="35" fillId="0" borderId="35" xfId="3" applyFont="1" applyBorder="1" applyAlignment="1">
      <alignment horizontal="right"/>
    </xf>
    <xf numFmtId="2" fontId="13" fillId="0" borderId="0" xfId="3" applyNumberFormat="1"/>
    <xf numFmtId="2" fontId="13" fillId="0" borderId="35" xfId="3" applyNumberFormat="1" applyBorder="1"/>
    <xf numFmtId="0" fontId="55" fillId="0" borderId="0" xfId="3" applyFont="1"/>
    <xf numFmtId="9" fontId="0" fillId="0" borderId="0" xfId="0" applyNumberFormat="1" applyAlignment="1">
      <alignment vertical="center"/>
    </xf>
    <xf numFmtId="0" fontId="0" fillId="0" borderId="1" xfId="0" applyBorder="1" applyAlignment="1">
      <alignment vertical="center"/>
    </xf>
    <xf numFmtId="9" fontId="0" fillId="0" borderId="1" xfId="0" applyNumberFormat="1" applyBorder="1" applyAlignment="1">
      <alignment vertical="center"/>
    </xf>
    <xf numFmtId="2" fontId="0" fillId="0" borderId="0" xfId="0" applyNumberFormat="1" applyAlignment="1">
      <alignment vertical="center"/>
    </xf>
    <xf numFmtId="9" fontId="0" fillId="0" borderId="0" xfId="2" applyFont="1" applyAlignment="1">
      <alignment horizontal="center" vertical="center"/>
    </xf>
    <xf numFmtId="169" fontId="0" fillId="0" borderId="0" xfId="2" applyNumberFormat="1" applyFont="1" applyFill="1" applyBorder="1" applyAlignment="1">
      <alignment horizontal="center" vertical="center"/>
    </xf>
    <xf numFmtId="2" fontId="2" fillId="8" borderId="43" xfId="0" applyNumberFormat="1" applyFont="1" applyFill="1" applyBorder="1"/>
    <xf numFmtId="0" fontId="2" fillId="30" borderId="0" xfId="0" applyFont="1" applyFill="1"/>
    <xf numFmtId="1" fontId="2" fillId="30" borderId="0" xfId="0" applyNumberFormat="1" applyFont="1" applyFill="1"/>
    <xf numFmtId="164" fontId="0" fillId="0" borderId="0" xfId="1" applyFont="1" applyAlignment="1">
      <alignment horizontal="center" vertical="center"/>
    </xf>
    <xf numFmtId="9" fontId="15" fillId="0" borderId="0" xfId="0" applyNumberFormat="1" applyFont="1"/>
    <xf numFmtId="0" fontId="57" fillId="0" borderId="0" xfId="0" applyFont="1"/>
    <xf numFmtId="0" fontId="0" fillId="0" borderId="42" xfId="0" applyBorder="1" applyAlignment="1">
      <alignment horizontal="center"/>
    </xf>
    <xf numFmtId="167" fontId="0" fillId="0" borderId="23" xfId="7" applyNumberFormat="1" applyFont="1" applyBorder="1" applyAlignment="1">
      <alignment horizontal="center" vertical="center"/>
    </xf>
    <xf numFmtId="2" fontId="15" fillId="28" borderId="0" xfId="3" applyNumberFormat="1" applyFont="1" applyFill="1" applyAlignment="1">
      <alignment vertical="center"/>
    </xf>
    <xf numFmtId="10" fontId="15" fillId="28" borderId="0" xfId="2" applyNumberFormat="1" applyFont="1" applyFill="1" applyAlignment="1">
      <alignment vertical="center"/>
    </xf>
    <xf numFmtId="2" fontId="0" fillId="0" borderId="37" xfId="0" applyNumberFormat="1" applyBorder="1" applyAlignment="1">
      <alignment horizontal="center"/>
    </xf>
    <xf numFmtId="0" fontId="16" fillId="0" borderId="1" xfId="3" applyFont="1" applyBorder="1" applyAlignment="1">
      <alignment vertical="center"/>
    </xf>
    <xf numFmtId="0" fontId="21" fillId="28" borderId="0" xfId="0" applyFont="1" applyFill="1" applyAlignment="1">
      <alignment vertical="center"/>
    </xf>
    <xf numFmtId="0" fontId="2" fillId="28" borderId="0" xfId="0" applyFont="1" applyFill="1"/>
    <xf numFmtId="0" fontId="2" fillId="28" borderId="0" xfId="0" applyFont="1" applyFill="1" applyAlignment="1">
      <alignment horizontal="center" vertical="center"/>
    </xf>
    <xf numFmtId="2" fontId="2" fillId="28" borderId="0" xfId="0" applyNumberFormat="1" applyFont="1" applyFill="1" applyAlignment="1">
      <alignment horizontal="center" vertical="center"/>
    </xf>
    <xf numFmtId="10" fontId="2" fillId="28" borderId="0" xfId="2" applyNumberFormat="1" applyFont="1" applyFill="1" applyAlignment="1">
      <alignment horizontal="center" vertical="center"/>
    </xf>
    <xf numFmtId="0" fontId="58" fillId="16" borderId="0" xfId="0" applyFont="1" applyFill="1"/>
    <xf numFmtId="0" fontId="58" fillId="0" borderId="0" xfId="0" applyFont="1"/>
    <xf numFmtId="10" fontId="2" fillId="0" borderId="1" xfId="0" applyNumberFormat="1" applyFont="1" applyBorder="1" applyAlignment="1">
      <alignment vertical="center"/>
    </xf>
    <xf numFmtId="0" fontId="0" fillId="0" borderId="1" xfId="0" applyBorder="1" applyAlignment="1">
      <alignment horizontal="center" vertical="center"/>
    </xf>
    <xf numFmtId="0" fontId="10" fillId="5" borderId="1" xfId="0" applyFont="1" applyFill="1" applyBorder="1" applyAlignment="1">
      <alignment horizontal="center"/>
    </xf>
    <xf numFmtId="2" fontId="14" fillId="0" borderId="1" xfId="0" applyNumberFormat="1" applyFont="1" applyBorder="1" applyAlignment="1">
      <alignment horizontal="center"/>
    </xf>
    <xf numFmtId="9" fontId="0" fillId="0" borderId="1" xfId="0" applyNumberFormat="1" applyBorder="1" applyAlignment="1">
      <alignment horizontal="center" vertical="center"/>
    </xf>
    <xf numFmtId="0" fontId="35" fillId="28" borderId="0" xfId="3" applyFont="1" applyFill="1"/>
    <xf numFmtId="164" fontId="15" fillId="0" borderId="0" xfId="3" applyNumberFormat="1" applyFont="1" applyAlignment="1">
      <alignment vertical="center"/>
    </xf>
    <xf numFmtId="0" fontId="20" fillId="0" borderId="34" xfId="0" applyFont="1" applyBorder="1" applyAlignment="1">
      <alignment horizontal="center" vertical="center"/>
    </xf>
    <xf numFmtId="0" fontId="20" fillId="0" borderId="34" xfId="0" applyFont="1" applyBorder="1" applyAlignment="1">
      <alignment horizontal="center" vertical="center" wrapText="1"/>
    </xf>
    <xf numFmtId="2" fontId="14" fillId="6" borderId="45" xfId="4" applyNumberFormat="1" applyFont="1" applyFill="1" applyBorder="1" applyAlignment="1">
      <alignment horizontal="center" vertical="center"/>
    </xf>
    <xf numFmtId="0" fontId="30" fillId="0" borderId="0" xfId="8" applyFont="1" applyAlignment="1">
      <alignment horizontal="right" vertical="center"/>
    </xf>
    <xf numFmtId="0" fontId="10" fillId="5" borderId="0" xfId="3" applyFont="1" applyFill="1" applyAlignment="1">
      <alignment horizontal="center" vertical="center"/>
    </xf>
    <xf numFmtId="0" fontId="30" fillId="0" borderId="0" xfId="8" applyFont="1" applyAlignment="1">
      <alignment horizontal="center" vertical="center"/>
    </xf>
    <xf numFmtId="0" fontId="53" fillId="4" borderId="0" xfId="3" applyFont="1" applyFill="1" applyAlignment="1">
      <alignment horizontal="left" vertical="center"/>
    </xf>
    <xf numFmtId="0" fontId="15" fillId="0" borderId="1" xfId="3" applyFont="1" applyBorder="1" applyAlignment="1">
      <alignment horizontal="left" vertical="center" wrapText="1"/>
    </xf>
    <xf numFmtId="0" fontId="15" fillId="0" borderId="37" xfId="3" applyFont="1" applyBorder="1" applyAlignment="1">
      <alignment horizontal="right" vertical="center" wrapText="1"/>
    </xf>
    <xf numFmtId="0" fontId="15" fillId="0" borderId="35" xfId="3" applyFont="1" applyBorder="1" applyAlignment="1">
      <alignment horizontal="right" vertical="center" wrapText="1"/>
    </xf>
    <xf numFmtId="0" fontId="15" fillId="0" borderId="43" xfId="3" applyFont="1" applyBorder="1" applyAlignment="1">
      <alignment horizontal="right" vertical="center" wrapText="1"/>
    </xf>
    <xf numFmtId="0" fontId="14" fillId="4" borderId="0" xfId="3" applyFont="1" applyFill="1" applyAlignment="1">
      <alignment horizontal="center" vertical="center"/>
    </xf>
    <xf numFmtId="0" fontId="15" fillId="0" borderId="0" xfId="3" applyFont="1" applyAlignment="1">
      <alignment horizontal="center" vertical="center" wrapText="1"/>
    </xf>
    <xf numFmtId="0" fontId="10" fillId="5" borderId="0" xfId="3" applyFont="1" applyFill="1" applyAlignment="1">
      <alignment horizontal="left" vertical="center"/>
    </xf>
    <xf numFmtId="2" fontId="15" fillId="2" borderId="37" xfId="3" applyNumberFormat="1" applyFont="1" applyFill="1" applyBorder="1" applyAlignment="1">
      <alignment horizontal="left" vertical="center" wrapText="1"/>
    </xf>
    <xf numFmtId="2" fontId="15" fillId="2" borderId="35" xfId="3" applyNumberFormat="1" applyFont="1" applyFill="1" applyBorder="1" applyAlignment="1">
      <alignment horizontal="left" vertical="center" wrapText="1"/>
    </xf>
    <xf numFmtId="2" fontId="15" fillId="2" borderId="43" xfId="3" applyNumberFormat="1" applyFont="1" applyFill="1" applyBorder="1" applyAlignment="1">
      <alignment horizontal="left" vertical="center" wrapText="1"/>
    </xf>
    <xf numFmtId="0" fontId="15" fillId="2" borderId="37" xfId="3" applyFont="1" applyFill="1" applyBorder="1" applyAlignment="1">
      <alignment horizontal="left" vertical="center" wrapText="1"/>
    </xf>
    <xf numFmtId="0" fontId="15" fillId="2" borderId="43" xfId="3" applyFont="1" applyFill="1" applyBorder="1" applyAlignment="1">
      <alignment horizontal="left" vertical="center" wrapText="1"/>
    </xf>
    <xf numFmtId="0" fontId="10" fillId="5" borderId="42" xfId="3" applyFont="1" applyFill="1" applyBorder="1" applyAlignment="1">
      <alignment horizontal="left" vertical="center" wrapText="1"/>
    </xf>
    <xf numFmtId="0" fontId="14" fillId="6" borderId="37" xfId="3" applyFont="1" applyFill="1" applyBorder="1" applyAlignment="1">
      <alignment horizontal="center" vertical="center"/>
    </xf>
    <xf numFmtId="0" fontId="14" fillId="6" borderId="35" xfId="3" applyFont="1" applyFill="1" applyBorder="1" applyAlignment="1">
      <alignment horizontal="center" vertical="center"/>
    </xf>
    <xf numFmtId="0" fontId="14" fillId="6" borderId="43" xfId="3" applyFont="1" applyFill="1" applyBorder="1" applyAlignment="1">
      <alignment horizontal="center" vertical="center"/>
    </xf>
    <xf numFmtId="0" fontId="10" fillId="5" borderId="42" xfId="3" applyFont="1" applyFill="1" applyBorder="1" applyAlignment="1">
      <alignment horizontal="left" vertical="center"/>
    </xf>
    <xf numFmtId="0" fontId="14" fillId="6" borderId="1" xfId="3" applyFont="1" applyFill="1" applyBorder="1" applyAlignment="1">
      <alignment horizontal="justify" vertical="center" wrapText="1"/>
    </xf>
    <xf numFmtId="0" fontId="14" fillId="6" borderId="1" xfId="3" applyFont="1" applyFill="1" applyBorder="1" applyAlignment="1">
      <alignment vertical="center" wrapText="1"/>
    </xf>
    <xf numFmtId="0" fontId="14" fillId="6" borderId="1" xfId="3" applyFont="1" applyFill="1" applyBorder="1" applyAlignment="1">
      <alignment horizontal="center" vertical="center" wrapText="1"/>
    </xf>
    <xf numFmtId="0" fontId="15" fillId="2" borderId="37" xfId="3" applyFont="1" applyFill="1" applyBorder="1" applyAlignment="1">
      <alignment horizontal="left" vertical="center"/>
    </xf>
    <xf numFmtId="0" fontId="15" fillId="2" borderId="35" xfId="3" applyFont="1" applyFill="1" applyBorder="1" applyAlignment="1">
      <alignment horizontal="left" vertical="center"/>
    </xf>
    <xf numFmtId="0" fontId="15" fillId="2" borderId="43" xfId="3" applyFont="1" applyFill="1" applyBorder="1" applyAlignment="1">
      <alignment horizontal="left" vertical="center"/>
    </xf>
    <xf numFmtId="167" fontId="14" fillId="6" borderId="1" xfId="7" applyNumberFormat="1" applyFont="1" applyFill="1" applyBorder="1" applyAlignment="1">
      <alignment horizontal="center" vertical="center" wrapText="1"/>
    </xf>
    <xf numFmtId="0" fontId="10" fillId="5" borderId="35" xfId="3" applyFont="1" applyFill="1" applyBorder="1" applyAlignment="1">
      <alignment horizontal="left" vertical="center"/>
    </xf>
    <xf numFmtId="0" fontId="15" fillId="0" borderId="37" xfId="3" applyFont="1" applyBorder="1" applyAlignment="1">
      <alignment horizontal="left" vertical="center" wrapText="1"/>
    </xf>
    <xf numFmtId="0" fontId="15" fillId="0" borderId="35" xfId="3" applyFont="1" applyBorder="1" applyAlignment="1">
      <alignment horizontal="left" vertical="center" wrapText="1"/>
    </xf>
    <xf numFmtId="0" fontId="15" fillId="0" borderId="43" xfId="3" applyFont="1" applyBorder="1" applyAlignment="1">
      <alignment horizontal="left" vertical="center" wrapText="1"/>
    </xf>
    <xf numFmtId="0" fontId="6" fillId="0" borderId="4" xfId="0" applyFont="1" applyBorder="1" applyAlignment="1">
      <alignment horizontal="center"/>
    </xf>
    <xf numFmtId="0" fontId="6" fillId="0" borderId="5" xfId="0" applyFont="1" applyBorder="1" applyAlignment="1">
      <alignment horizontal="center"/>
    </xf>
    <xf numFmtId="0" fontId="6" fillId="0" borderId="6" xfId="0" applyFont="1" applyBorder="1" applyAlignment="1">
      <alignment horizontal="center"/>
    </xf>
    <xf numFmtId="0" fontId="5" fillId="0" borderId="4" xfId="0" applyFont="1" applyBorder="1" applyAlignment="1">
      <alignment horizontal="center"/>
    </xf>
    <xf numFmtId="0" fontId="5" fillId="0" borderId="5" xfId="0" applyFont="1" applyBorder="1" applyAlignment="1">
      <alignment horizontal="center"/>
    </xf>
    <xf numFmtId="0" fontId="5" fillId="0" borderId="6" xfId="0" applyFont="1" applyBorder="1" applyAlignment="1">
      <alignment horizontal="center"/>
    </xf>
    <xf numFmtId="0" fontId="14" fillId="4" borderId="0" xfId="3" applyFont="1" applyFill="1" applyAlignment="1">
      <alignment horizontal="center"/>
    </xf>
    <xf numFmtId="0" fontId="14" fillId="4" borderId="42" xfId="3" applyFont="1" applyFill="1" applyBorder="1" applyAlignment="1">
      <alignment horizontal="center"/>
    </xf>
    <xf numFmtId="164" fontId="15" fillId="0" borderId="0" xfId="4" applyFont="1" applyBorder="1" applyAlignment="1">
      <alignment horizontal="center" vertical="center"/>
    </xf>
    <xf numFmtId="0" fontId="14" fillId="0" borderId="0" xfId="3" applyFont="1" applyAlignment="1">
      <alignment horizontal="left" vertical="center"/>
    </xf>
    <xf numFmtId="0" fontId="14" fillId="0" borderId="0" xfId="3" applyFont="1" applyAlignment="1">
      <alignment horizontal="center" vertical="center"/>
    </xf>
    <xf numFmtId="0" fontId="14" fillId="8" borderId="0" xfId="3" applyFont="1" applyFill="1" applyAlignment="1">
      <alignment horizontal="center" vertical="center" wrapText="1"/>
    </xf>
    <xf numFmtId="164" fontId="15" fillId="0" borderId="0" xfId="4" applyFont="1" applyAlignment="1">
      <alignment horizontal="center" vertical="center"/>
    </xf>
    <xf numFmtId="0" fontId="2" fillId="8" borderId="1" xfId="3" applyFont="1" applyFill="1" applyBorder="1" applyAlignment="1">
      <alignment horizontal="center" vertical="center" wrapText="1"/>
    </xf>
    <xf numFmtId="0" fontId="2" fillId="8" borderId="37" xfId="3" applyFont="1" applyFill="1" applyBorder="1" applyAlignment="1">
      <alignment horizontal="center" vertical="center" wrapText="1"/>
    </xf>
    <xf numFmtId="0" fontId="2" fillId="8" borderId="43" xfId="3" applyFont="1" applyFill="1" applyBorder="1" applyAlignment="1">
      <alignment horizontal="center" vertical="center" wrapText="1"/>
    </xf>
    <xf numFmtId="0" fontId="2" fillId="8" borderId="4" xfId="0" applyFont="1" applyFill="1" applyBorder="1" applyAlignment="1">
      <alignment horizontal="center" vertical="center"/>
    </xf>
    <xf numFmtId="0" fontId="2" fillId="8" borderId="5" xfId="0" applyFont="1" applyFill="1" applyBorder="1" applyAlignment="1">
      <alignment horizontal="center" vertical="center"/>
    </xf>
    <xf numFmtId="0" fontId="2" fillId="8" borderId="6" xfId="0" applyFont="1" applyFill="1" applyBorder="1" applyAlignment="1">
      <alignment horizontal="center" vertical="center"/>
    </xf>
    <xf numFmtId="0" fontId="32" fillId="5" borderId="4" xfId="0" applyFont="1" applyFill="1" applyBorder="1" applyAlignment="1">
      <alignment horizontal="center" vertical="center" wrapText="1"/>
    </xf>
    <xf numFmtId="0" fontId="32" fillId="5" borderId="5" xfId="0" applyFont="1" applyFill="1" applyBorder="1" applyAlignment="1">
      <alignment horizontal="center" vertical="center" wrapText="1"/>
    </xf>
    <xf numFmtId="0" fontId="32" fillId="5" borderId="6" xfId="0" applyFont="1" applyFill="1" applyBorder="1" applyAlignment="1">
      <alignment horizontal="center" vertical="center" wrapText="1"/>
    </xf>
    <xf numFmtId="0" fontId="10" fillId="5" borderId="45" xfId="0" applyFont="1" applyFill="1" applyBorder="1" applyAlignment="1">
      <alignment horizontal="center"/>
    </xf>
    <xf numFmtId="0" fontId="10" fillId="5" borderId="0" xfId="0" applyFont="1" applyFill="1" applyAlignment="1">
      <alignment horizontal="center"/>
    </xf>
    <xf numFmtId="0" fontId="10" fillId="5" borderId="50" xfId="0" applyFont="1" applyFill="1" applyBorder="1" applyAlignment="1">
      <alignment horizontal="center"/>
    </xf>
    <xf numFmtId="0" fontId="15" fillId="0" borderId="1" xfId="0" applyFont="1" applyBorder="1" applyAlignment="1">
      <alignment horizontal="left"/>
    </xf>
    <xf numFmtId="0" fontId="0" fillId="0" borderId="1" xfId="0" applyBorder="1" applyAlignment="1">
      <alignment horizontal="left"/>
    </xf>
    <xf numFmtId="0" fontId="25" fillId="25" borderId="0" xfId="0" applyFont="1" applyFill="1" applyAlignment="1">
      <alignment horizontal="center" vertical="center"/>
    </xf>
    <xf numFmtId="0" fontId="18" fillId="5" borderId="37" xfId="6" applyFont="1" applyFill="1" applyBorder="1" applyAlignment="1">
      <alignment horizontal="center" vertical="center"/>
    </xf>
    <xf numFmtId="0" fontId="18" fillId="5" borderId="43" xfId="6" applyFont="1" applyFill="1" applyBorder="1" applyAlignment="1">
      <alignment horizontal="center" vertical="center"/>
    </xf>
    <xf numFmtId="0" fontId="35" fillId="0" borderId="0" xfId="11" applyFont="1" applyAlignment="1">
      <alignment horizontal="center"/>
    </xf>
    <xf numFmtId="0" fontId="55" fillId="0" borderId="0" xfId="11" applyFont="1" applyAlignment="1">
      <alignment horizontal="center" vertical="center"/>
    </xf>
    <xf numFmtId="0" fontId="13" fillId="0" borderId="0" xfId="11" applyFont="1" applyAlignment="1">
      <alignment horizontal="center"/>
    </xf>
    <xf numFmtId="0" fontId="29" fillId="0" borderId="42" xfId="8" applyBorder="1" applyAlignment="1">
      <alignment horizontal="center"/>
    </xf>
    <xf numFmtId="0" fontId="13" fillId="0" borderId="42" xfId="11" applyFont="1" applyBorder="1" applyAlignment="1">
      <alignment horizontal="center"/>
    </xf>
    <xf numFmtId="0" fontId="29" fillId="0" borderId="0" xfId="8" applyAlignment="1">
      <alignment horizontal="center"/>
    </xf>
    <xf numFmtId="0" fontId="55" fillId="0" borderId="0" xfId="3" applyFont="1" applyAlignment="1">
      <alignment horizontal="center"/>
    </xf>
    <xf numFmtId="0" fontId="2" fillId="0" borderId="4" xfId="0" applyFont="1" applyBorder="1" applyAlignment="1">
      <alignment horizontal="center"/>
    </xf>
    <xf numFmtId="0" fontId="2" fillId="0" borderId="5" xfId="0" applyFont="1" applyBorder="1" applyAlignment="1">
      <alignment horizontal="center"/>
    </xf>
    <xf numFmtId="0" fontId="2" fillId="0" borderId="6" xfId="0" applyFont="1" applyBorder="1" applyAlignment="1">
      <alignment horizontal="center"/>
    </xf>
    <xf numFmtId="0" fontId="3" fillId="0" borderId="4" xfId="0" applyFont="1" applyBorder="1" applyAlignment="1">
      <alignment horizontal="center"/>
    </xf>
    <xf numFmtId="0" fontId="3" fillId="0" borderId="5" xfId="0" applyFont="1" applyBorder="1" applyAlignment="1">
      <alignment horizontal="center"/>
    </xf>
    <xf numFmtId="0" fontId="3" fillId="0" borderId="6" xfId="0" applyFont="1" applyBorder="1" applyAlignment="1">
      <alignment horizontal="center"/>
    </xf>
    <xf numFmtId="0" fontId="2" fillId="0" borderId="12" xfId="0" applyFont="1" applyBorder="1" applyAlignment="1">
      <alignment horizontal="center"/>
    </xf>
    <xf numFmtId="0" fontId="2" fillId="0" borderId="13" xfId="0" applyFont="1" applyBorder="1" applyAlignment="1">
      <alignment horizontal="center"/>
    </xf>
    <xf numFmtId="0" fontId="2" fillId="0" borderId="10" xfId="0" applyFont="1" applyBorder="1" applyAlignment="1">
      <alignment horizontal="center"/>
    </xf>
    <xf numFmtId="2" fontId="2" fillId="28" borderId="20" xfId="0" applyNumberFormat="1" applyFont="1" applyFill="1" applyBorder="1" applyAlignment="1">
      <alignment horizontal="center" vertical="center"/>
    </xf>
    <xf numFmtId="2" fontId="2" fillId="28" borderId="1" xfId="0" applyNumberFormat="1" applyFont="1" applyFill="1" applyBorder="1" applyAlignment="1">
      <alignment horizontal="center" vertical="center"/>
    </xf>
    <xf numFmtId="2" fontId="2" fillId="28" borderId="21" xfId="0" applyNumberFormat="1" applyFont="1" applyFill="1" applyBorder="1" applyAlignment="1">
      <alignment horizontal="center" vertical="center"/>
    </xf>
    <xf numFmtId="2" fontId="2" fillId="31" borderId="20" xfId="0" applyNumberFormat="1" applyFont="1" applyFill="1" applyBorder="1" applyAlignment="1">
      <alignment horizontal="center" vertical="center"/>
    </xf>
    <xf numFmtId="2" fontId="2" fillId="31" borderId="1" xfId="0" applyNumberFormat="1" applyFont="1" applyFill="1" applyBorder="1" applyAlignment="1">
      <alignment horizontal="center" vertical="center"/>
    </xf>
    <xf numFmtId="2" fontId="2" fillId="31" borderId="37" xfId="0" applyNumberFormat="1" applyFont="1" applyFill="1" applyBorder="1" applyAlignment="1">
      <alignment horizontal="center" vertical="center"/>
    </xf>
    <xf numFmtId="0" fontId="2" fillId="0" borderId="1" xfId="0" applyFont="1" applyBorder="1" applyAlignment="1">
      <alignment horizontal="center" vertical="center"/>
    </xf>
    <xf numFmtId="0" fontId="15" fillId="0" borderId="1" xfId="0" applyFont="1" applyBorder="1" applyAlignment="1">
      <alignment horizontal="center"/>
    </xf>
    <xf numFmtId="164" fontId="0" fillId="0" borderId="1" xfId="1" applyFont="1" applyBorder="1"/>
    <xf numFmtId="17" fontId="59" fillId="5" borderId="26" xfId="0" applyNumberFormat="1" applyFont="1" applyFill="1" applyBorder="1" applyAlignment="1">
      <alignment horizontal="center" vertical="center"/>
    </xf>
    <xf numFmtId="17" fontId="59" fillId="5" borderId="6" xfId="0" applyNumberFormat="1" applyFont="1" applyFill="1" applyBorder="1" applyAlignment="1">
      <alignment horizontal="center" vertical="center"/>
    </xf>
    <xf numFmtId="17" fontId="59" fillId="5" borderId="6" xfId="0" applyNumberFormat="1" applyFont="1" applyFill="1" applyBorder="1" applyAlignment="1">
      <alignment horizontal="center" vertical="center" wrapText="1"/>
    </xf>
    <xf numFmtId="0" fontId="60" fillId="5" borderId="10" xfId="0" applyFont="1" applyFill="1" applyBorder="1" applyAlignment="1">
      <alignment horizontal="center" vertical="center" wrapText="1"/>
    </xf>
    <xf numFmtId="0" fontId="60" fillId="5" borderId="34" xfId="0" applyFont="1" applyFill="1" applyBorder="1" applyAlignment="1">
      <alignment horizontal="center" vertical="center" wrapText="1"/>
    </xf>
    <xf numFmtId="0" fontId="61" fillId="0" borderId="29" xfId="0" applyFont="1" applyBorder="1" applyAlignment="1">
      <alignment horizontal="center" vertical="center" wrapText="1"/>
    </xf>
    <xf numFmtId="0" fontId="62" fillId="0" borderId="34" xfId="0" applyFont="1" applyBorder="1" applyAlignment="1">
      <alignment horizontal="center" vertical="center" wrapText="1"/>
    </xf>
    <xf numFmtId="0" fontId="63" fillId="0" borderId="34" xfId="0" applyFont="1" applyBorder="1" applyAlignment="1">
      <alignment horizontal="center" vertical="center" wrapText="1"/>
    </xf>
    <xf numFmtId="0" fontId="62" fillId="0" borderId="29" xfId="0" applyFont="1" applyBorder="1" applyAlignment="1">
      <alignment horizontal="center" vertical="center" wrapText="1"/>
    </xf>
    <xf numFmtId="0" fontId="63" fillId="0" borderId="29" xfId="0" applyFont="1" applyBorder="1" applyAlignment="1">
      <alignment horizontal="center" vertical="center" wrapText="1"/>
    </xf>
    <xf numFmtId="9" fontId="63" fillId="0" borderId="34" xfId="0" applyNumberFormat="1" applyFont="1" applyBorder="1" applyAlignment="1">
      <alignment horizontal="center" vertical="center" wrapText="1"/>
    </xf>
    <xf numFmtId="0" fontId="60" fillId="5" borderId="27" xfId="0" applyFont="1" applyFill="1" applyBorder="1" applyAlignment="1">
      <alignment horizontal="center" vertical="center" wrapText="1"/>
    </xf>
    <xf numFmtId="0" fontId="60" fillId="5" borderId="29" xfId="0" applyFont="1" applyFill="1" applyBorder="1" applyAlignment="1">
      <alignment horizontal="center" vertical="center" wrapText="1"/>
    </xf>
    <xf numFmtId="0" fontId="61" fillId="0" borderId="4" xfId="0" applyFont="1" applyBorder="1" applyAlignment="1">
      <alignment horizontal="center" vertical="center" wrapText="1"/>
    </xf>
    <xf numFmtId="0" fontId="61" fillId="0" borderId="5" xfId="0" applyFont="1" applyBorder="1" applyAlignment="1">
      <alignment horizontal="center" vertical="center" wrapText="1"/>
    </xf>
    <xf numFmtId="0" fontId="61" fillId="0" borderId="6" xfId="0" applyFont="1" applyBorder="1" applyAlignment="1">
      <alignment horizontal="center" vertical="center" wrapText="1"/>
    </xf>
    <xf numFmtId="0" fontId="13" fillId="0" borderId="1" xfId="11" applyFont="1" applyBorder="1" applyAlignment="1">
      <alignment wrapText="1"/>
    </xf>
    <xf numFmtId="2" fontId="14" fillId="6" borderId="1" xfId="3" applyNumberFormat="1" applyFont="1" applyFill="1" applyBorder="1" applyAlignment="1">
      <alignment horizontal="center" vertical="center"/>
    </xf>
    <xf numFmtId="0" fontId="59" fillId="5" borderId="27" xfId="0" applyFont="1" applyFill="1" applyBorder="1" applyAlignment="1">
      <alignment horizontal="center" vertical="center"/>
    </xf>
    <xf numFmtId="0" fontId="59" fillId="5" borderId="29" xfId="0" applyFont="1" applyFill="1" applyBorder="1" applyAlignment="1">
      <alignment horizontal="center" vertical="center"/>
    </xf>
    <xf numFmtId="0" fontId="59" fillId="5" borderId="27" xfId="0" applyFont="1" applyFill="1" applyBorder="1" applyAlignment="1">
      <alignment horizontal="center" vertical="center" wrapText="1"/>
    </xf>
    <xf numFmtId="0" fontId="59" fillId="5" borderId="29" xfId="0" applyFont="1" applyFill="1" applyBorder="1" applyAlignment="1">
      <alignment horizontal="center" vertical="center" wrapText="1"/>
    </xf>
  </cellXfs>
  <cellStyles count="19">
    <cellStyle name="Comma" xfId="1" builtinId="3"/>
    <cellStyle name="Comma 10" xfId="15" xr:uid="{A4125B25-569E-4FD1-B7D9-1A84BA3C20CE}"/>
    <cellStyle name="Comma 2" xfId="4" xr:uid="{00000000-0005-0000-0000-000001000000}"/>
    <cellStyle name="Comma 2 2" xfId="18" xr:uid="{7411CAEB-C96E-4462-BC0A-ABBCB26891D5}"/>
    <cellStyle name="Comma 3" xfId="7" xr:uid="{00000000-0005-0000-0000-000002000000}"/>
    <cellStyle name="Comma 4" xfId="12" xr:uid="{59C12313-1BDD-4695-A507-AB4E64BCD5DD}"/>
    <cellStyle name="Comma 5" xfId="13" xr:uid="{720C8C0C-C1B1-4996-8173-72151522CC86}"/>
    <cellStyle name="Comma 80" xfId="9" xr:uid="{00000000-0005-0000-0000-000003000000}"/>
    <cellStyle name="Excel Built-in Normal" xfId="10" xr:uid="{00000000-0005-0000-0000-000004000000}"/>
    <cellStyle name="Hyperlink" xfId="8" builtinId="8"/>
    <cellStyle name="Migliaia 6" xfId="14" xr:uid="{AFDA6B93-7120-42DD-AB5F-AB8DD3FA7F08}"/>
    <cellStyle name="Normal" xfId="0" builtinId="0"/>
    <cellStyle name="Normal 2" xfId="3" xr:uid="{00000000-0005-0000-0000-000007000000}"/>
    <cellStyle name="Normal 2 2" xfId="16" xr:uid="{F3E2944A-4473-4D3E-B385-AB72A6385E28}"/>
    <cellStyle name="Normal 3" xfId="6" xr:uid="{00000000-0005-0000-0000-000008000000}"/>
    <cellStyle name="Normal 4" xfId="11" xr:uid="{5B111C8B-ED09-4494-B8DC-A83DC16A67F3}"/>
    <cellStyle name="Normal 5" xfId="17" xr:uid="{D749B9CE-5CD1-4D29-AA9B-A8B9E3247F51}"/>
    <cellStyle name="Percent" xfId="2" builtinId="5"/>
    <cellStyle name="Percent 4" xfId="5" xr:uid="{00000000-0005-0000-0000-00000A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theme" Target="theme/theme1.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sharedStrings" Target="sharedStrings.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3.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_rels/chart4.xml.rels><?xml version="1.0" encoding="UTF-8" standalone="yes"?>
<Relationships xmlns="http://schemas.openxmlformats.org/package/2006/relationships"><Relationship Id="rId2" Type="http://schemas.microsoft.com/office/2011/relationships/chartColorStyle" Target="colors4.xml"/><Relationship Id="rId1" Type="http://schemas.microsoft.com/office/2011/relationships/chartStyle" Target="style4.xml"/></Relationships>
</file>

<file path=xl/charts/_rels/chart5.xml.rels><?xml version="1.0" encoding="UTF-8" standalone="yes"?>
<Relationships xmlns="http://schemas.openxmlformats.org/package/2006/relationships"><Relationship Id="rId2" Type="http://schemas.microsoft.com/office/2011/relationships/chartColorStyle" Target="colors5.xml"/><Relationship Id="rId1" Type="http://schemas.microsoft.com/office/2011/relationships/chartStyle" Target="style5.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spPr>
        <a:solidFill>
          <a:srgbClr val="002060"/>
        </a:solidFill>
        <a:ln>
          <a:noFill/>
        </a:ln>
        <a:effectLst/>
      </c:spPr>
      <c:txPr>
        <a:bodyPr rot="0" spcFirstLastPara="1" vertOverflow="ellipsis" vert="horz" wrap="square" anchor="ctr" anchorCtr="1"/>
        <a:lstStyle/>
        <a:p>
          <a:pPr>
            <a:defRPr sz="1100" b="1" i="0" u="none" strike="noStrike" kern="1200" spc="0" baseline="0">
              <a:solidFill>
                <a:schemeClr val="bg1"/>
              </a:solidFill>
              <a:latin typeface="+mn-lt"/>
              <a:ea typeface="+mn-ea"/>
              <a:cs typeface="+mn-cs"/>
            </a:defRPr>
          </a:pPr>
          <a:endParaRPr lang="en-US"/>
        </a:p>
      </c:txPr>
    </c:title>
    <c:autoTitleDeleted val="0"/>
    <c:plotArea>
      <c:layout/>
      <c:barChart>
        <c:barDir val="col"/>
        <c:grouping val="clustered"/>
        <c:varyColors val="0"/>
        <c:ser>
          <c:idx val="0"/>
          <c:order val="0"/>
          <c:tx>
            <c:strRef>
              <c:f>'P&amp;L &amp; Ratio Analysis'!$B$24</c:f>
              <c:strCache>
                <c:ptCount val="1"/>
                <c:pt idx="0">
                  <c:v>EBITDA Margin</c:v>
                </c:pt>
              </c:strCache>
            </c:strRef>
          </c:tx>
          <c:spPr>
            <a:solidFill>
              <a:schemeClr val="accent1"/>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2">
                        <a:lumMod val="75000"/>
                      </a:schemeClr>
                    </a:solidFill>
                    <a:latin typeface="+mn-lt"/>
                    <a:ea typeface="+mn-ea"/>
                    <a:cs typeface="+mn-cs"/>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trendline>
            <c:spPr>
              <a:ln w="19050" cap="rnd">
                <a:solidFill>
                  <a:schemeClr val="accent6">
                    <a:lumMod val="75000"/>
                  </a:schemeClr>
                </a:solidFill>
                <a:prstDash val="sysDash"/>
              </a:ln>
              <a:effectLst/>
            </c:spPr>
            <c:trendlineType val="linear"/>
            <c:dispRSqr val="0"/>
            <c:dispEq val="0"/>
          </c:trendline>
          <c:cat>
            <c:strRef>
              <c:f>'P&amp;L &amp; Ratio Analysis'!$F$3:$N$3</c:f>
              <c:strCache>
                <c:ptCount val="9"/>
                <c:pt idx="0">
                  <c:v>FY 2027</c:v>
                </c:pt>
                <c:pt idx="1">
                  <c:v>FY 2028</c:v>
                </c:pt>
                <c:pt idx="2">
                  <c:v>FY 2029</c:v>
                </c:pt>
                <c:pt idx="3">
                  <c:v>FY 2030</c:v>
                </c:pt>
                <c:pt idx="4">
                  <c:v>FY 2031</c:v>
                </c:pt>
                <c:pt idx="5">
                  <c:v>FY 2032</c:v>
                </c:pt>
                <c:pt idx="6">
                  <c:v>FY 2033</c:v>
                </c:pt>
                <c:pt idx="7">
                  <c:v>FY 2034</c:v>
                </c:pt>
                <c:pt idx="8">
                  <c:v>FY 2035</c:v>
                </c:pt>
              </c:strCache>
            </c:strRef>
          </c:cat>
          <c:val>
            <c:numRef>
              <c:f>'P&amp;L &amp; Ratio Analysis'!$F$24:$N$24</c:f>
              <c:numCache>
                <c:formatCode>0.00%</c:formatCode>
                <c:ptCount val="9"/>
                <c:pt idx="0">
                  <c:v>0.17482924822935408</c:v>
                </c:pt>
                <c:pt idx="1">
                  <c:v>0.19851462047767712</c:v>
                </c:pt>
                <c:pt idx="2">
                  <c:v>0.20837789174090718</c:v>
                </c:pt>
                <c:pt idx="3">
                  <c:v>0.21787869935876319</c:v>
                </c:pt>
                <c:pt idx="4">
                  <c:v>0.22703224744844344</c:v>
                </c:pt>
                <c:pt idx="5">
                  <c:v>0.23585289617181374</c:v>
                </c:pt>
                <c:pt idx="6">
                  <c:v>0.24435420871605285</c:v>
                </c:pt>
                <c:pt idx="7">
                  <c:v>0.25254899687110249</c:v>
                </c:pt>
                <c:pt idx="8">
                  <c:v>0.26041643302635448</c:v>
                </c:pt>
              </c:numCache>
            </c:numRef>
          </c:val>
          <c:extLst>
            <c:ext xmlns:c16="http://schemas.microsoft.com/office/drawing/2014/chart" uri="{C3380CC4-5D6E-409C-BE32-E72D297353CC}">
              <c16:uniqueId val="{00000000-599F-4C17-97B7-6AE86B2D3ED4}"/>
            </c:ext>
          </c:extLst>
        </c:ser>
        <c:dLbls>
          <c:dLblPos val="outEnd"/>
          <c:showLegendKey val="0"/>
          <c:showVal val="1"/>
          <c:showCatName val="0"/>
          <c:showSerName val="0"/>
          <c:showPercent val="0"/>
          <c:showBubbleSize val="0"/>
        </c:dLbls>
        <c:gapWidth val="219"/>
        <c:overlap val="-27"/>
        <c:axId val="160307176"/>
        <c:axId val="160308352"/>
      </c:barChart>
      <c:catAx>
        <c:axId val="160307176"/>
        <c:scaling>
          <c:orientation val="minMax"/>
        </c:scaling>
        <c:delete val="0"/>
        <c:axPos val="b"/>
        <c:title>
          <c:tx>
            <c:rich>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n-IN" b="1">
                    <a:solidFill>
                      <a:sysClr val="windowText" lastClr="000000"/>
                    </a:solidFill>
                  </a:rPr>
                  <a:t>Financial</a:t>
                </a:r>
                <a:r>
                  <a:rPr lang="en-IN" b="1" baseline="0">
                    <a:solidFill>
                      <a:sysClr val="windowText" lastClr="000000"/>
                    </a:solidFill>
                  </a:rPr>
                  <a:t> Year</a:t>
                </a:r>
                <a:endParaRPr lang="en-IN" b="1">
                  <a:solidFill>
                    <a:sysClr val="windowText" lastClr="000000"/>
                  </a:solidFill>
                </a:endParaRPr>
              </a:p>
            </c:rich>
          </c:tx>
          <c:layout>
            <c:manualLayout>
              <c:xMode val="edge"/>
              <c:yMode val="edge"/>
              <c:x val="0.51408030077321409"/>
              <c:y val="0.88331000291630213"/>
            </c:manualLayout>
          </c:layout>
          <c:overlay val="0"/>
          <c:spPr>
            <a:noFill/>
            <a:ln>
              <a:noFill/>
            </a:ln>
            <a:effectLst/>
          </c:spPr>
          <c:txPr>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title>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60308352"/>
        <c:crosses val="autoZero"/>
        <c:auto val="1"/>
        <c:lblAlgn val="ctr"/>
        <c:lblOffset val="100"/>
        <c:noMultiLvlLbl val="0"/>
      </c:catAx>
      <c:valAx>
        <c:axId val="160308352"/>
        <c:scaling>
          <c:orientation val="minMax"/>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n-IN" b="1">
                    <a:solidFill>
                      <a:sysClr val="windowText" lastClr="000000"/>
                    </a:solidFill>
                  </a:rPr>
                  <a:t>%</a:t>
                </a:r>
              </a:p>
            </c:rich>
          </c:tx>
          <c:overlay val="0"/>
          <c:spPr>
            <a:noFill/>
            <a:ln>
              <a:noFill/>
            </a:ln>
            <a:effectLst/>
          </c:spPr>
          <c:txPr>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title>
        <c:numFmt formatCode="0.0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60307176"/>
        <c:crosses val="autoZero"/>
        <c:crossBetween val="between"/>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spPr>
        <a:solidFill>
          <a:srgbClr val="002060"/>
        </a:solidFill>
        <a:ln>
          <a:noFill/>
        </a:ln>
        <a:effectLst/>
      </c:spPr>
      <c:txPr>
        <a:bodyPr rot="0" spcFirstLastPara="1" vertOverflow="ellipsis" vert="horz" wrap="square" anchor="ctr" anchorCtr="1"/>
        <a:lstStyle/>
        <a:p>
          <a:pPr>
            <a:defRPr sz="1100" b="1" i="0" u="none" strike="noStrike" kern="1200" spc="0" baseline="0">
              <a:solidFill>
                <a:schemeClr val="bg1"/>
              </a:solidFill>
              <a:latin typeface="+mn-lt"/>
              <a:ea typeface="+mn-ea"/>
              <a:cs typeface="+mn-cs"/>
            </a:defRPr>
          </a:pPr>
          <a:endParaRPr lang="en-US"/>
        </a:p>
      </c:txPr>
    </c:title>
    <c:autoTitleDeleted val="0"/>
    <c:plotArea>
      <c:layout/>
      <c:barChart>
        <c:barDir val="col"/>
        <c:grouping val="clustered"/>
        <c:varyColors val="0"/>
        <c:ser>
          <c:idx val="0"/>
          <c:order val="0"/>
          <c:tx>
            <c:strRef>
              <c:f>'P&amp;L &amp; Ratio Analysis'!$B$25</c:f>
              <c:strCache>
                <c:ptCount val="1"/>
                <c:pt idx="0">
                  <c:v>EBIT Margin</c:v>
                </c:pt>
              </c:strCache>
            </c:strRef>
          </c:tx>
          <c:spPr>
            <a:solidFill>
              <a:schemeClr val="accent1"/>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2">
                        <a:lumMod val="75000"/>
                      </a:schemeClr>
                    </a:solidFill>
                    <a:latin typeface="+mn-lt"/>
                    <a:ea typeface="+mn-ea"/>
                    <a:cs typeface="+mn-cs"/>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trendline>
            <c:spPr>
              <a:ln w="19050" cap="rnd">
                <a:solidFill>
                  <a:schemeClr val="accent6">
                    <a:lumMod val="75000"/>
                  </a:schemeClr>
                </a:solidFill>
                <a:prstDash val="sysDash"/>
              </a:ln>
              <a:effectLst/>
            </c:spPr>
            <c:trendlineType val="linear"/>
            <c:dispRSqr val="0"/>
            <c:dispEq val="0"/>
          </c:trendline>
          <c:cat>
            <c:strRef>
              <c:f>'P&amp;L &amp; Ratio Analysis'!$F$3:$N$3</c:f>
              <c:strCache>
                <c:ptCount val="9"/>
                <c:pt idx="0">
                  <c:v>FY 2027</c:v>
                </c:pt>
                <c:pt idx="1">
                  <c:v>FY 2028</c:v>
                </c:pt>
                <c:pt idx="2">
                  <c:v>FY 2029</c:v>
                </c:pt>
                <c:pt idx="3">
                  <c:v>FY 2030</c:v>
                </c:pt>
                <c:pt idx="4">
                  <c:v>FY 2031</c:v>
                </c:pt>
                <c:pt idx="5">
                  <c:v>FY 2032</c:v>
                </c:pt>
                <c:pt idx="6">
                  <c:v>FY 2033</c:v>
                </c:pt>
                <c:pt idx="7">
                  <c:v>FY 2034</c:v>
                </c:pt>
                <c:pt idx="8">
                  <c:v>FY 2035</c:v>
                </c:pt>
              </c:strCache>
            </c:strRef>
          </c:cat>
          <c:val>
            <c:numRef>
              <c:f>'P&amp;L &amp; Ratio Analysis'!$F$25:$N$25</c:f>
              <c:numCache>
                <c:formatCode>0.00%</c:formatCode>
                <c:ptCount val="9"/>
                <c:pt idx="0">
                  <c:v>0.13310622030929228</c:v>
                </c:pt>
                <c:pt idx="1">
                  <c:v>0.15906304032683602</c:v>
                </c:pt>
                <c:pt idx="2">
                  <c:v>0.17157388785059499</c:v>
                </c:pt>
                <c:pt idx="3">
                  <c:v>0.18356461620312639</c:v>
                </c:pt>
                <c:pt idx="4">
                  <c:v>0.19505840693514623</c:v>
                </c:pt>
                <c:pt idx="5">
                  <c:v>0.20607726466977574</c:v>
                </c:pt>
                <c:pt idx="6">
                  <c:v>0.21664207762605309</c:v>
                </c:pt>
                <c:pt idx="7">
                  <c:v>0.22677267582576169</c:v>
                </c:pt>
                <c:pt idx="8">
                  <c:v>0.23974817093815715</c:v>
                </c:pt>
              </c:numCache>
            </c:numRef>
          </c:val>
          <c:extLst>
            <c:ext xmlns:c16="http://schemas.microsoft.com/office/drawing/2014/chart" uri="{C3380CC4-5D6E-409C-BE32-E72D297353CC}">
              <c16:uniqueId val="{00000001-E80B-43CC-BBD7-6674FEC90086}"/>
            </c:ext>
          </c:extLst>
        </c:ser>
        <c:dLbls>
          <c:dLblPos val="outEnd"/>
          <c:showLegendKey val="0"/>
          <c:showVal val="1"/>
          <c:showCatName val="0"/>
          <c:showSerName val="0"/>
          <c:showPercent val="0"/>
          <c:showBubbleSize val="0"/>
        </c:dLbls>
        <c:gapWidth val="219"/>
        <c:overlap val="-27"/>
        <c:axId val="160308744"/>
        <c:axId val="160311880"/>
      </c:barChart>
      <c:catAx>
        <c:axId val="160308744"/>
        <c:scaling>
          <c:orientation val="minMax"/>
        </c:scaling>
        <c:delete val="0"/>
        <c:axPos val="b"/>
        <c:title>
          <c:tx>
            <c:rich>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n-IN" b="1">
                    <a:solidFill>
                      <a:sysClr val="windowText" lastClr="000000"/>
                    </a:solidFill>
                  </a:rPr>
                  <a:t>Financial</a:t>
                </a:r>
                <a:r>
                  <a:rPr lang="en-IN" b="1" baseline="0">
                    <a:solidFill>
                      <a:sysClr val="windowText" lastClr="000000"/>
                    </a:solidFill>
                  </a:rPr>
                  <a:t> Year</a:t>
                </a:r>
                <a:endParaRPr lang="en-IN" b="1">
                  <a:solidFill>
                    <a:sysClr val="windowText" lastClr="000000"/>
                  </a:solidFill>
                </a:endParaRPr>
              </a:p>
            </c:rich>
          </c:tx>
          <c:layout>
            <c:manualLayout>
              <c:xMode val="edge"/>
              <c:yMode val="edge"/>
              <c:x val="0.51408030077321409"/>
              <c:y val="0.88331000291630213"/>
            </c:manualLayout>
          </c:layout>
          <c:overlay val="0"/>
          <c:spPr>
            <a:noFill/>
            <a:ln>
              <a:noFill/>
            </a:ln>
            <a:effectLst/>
          </c:spPr>
          <c:txPr>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title>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60311880"/>
        <c:crosses val="autoZero"/>
        <c:auto val="1"/>
        <c:lblAlgn val="ctr"/>
        <c:lblOffset val="100"/>
        <c:noMultiLvlLbl val="0"/>
      </c:catAx>
      <c:valAx>
        <c:axId val="160311880"/>
        <c:scaling>
          <c:orientation val="minMax"/>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n-IN" b="0">
                    <a:solidFill>
                      <a:sysClr val="windowText" lastClr="000000"/>
                    </a:solidFill>
                  </a:rPr>
                  <a:t>%</a:t>
                </a:r>
              </a:p>
            </c:rich>
          </c:tx>
          <c:overlay val="0"/>
          <c:spPr>
            <a:noFill/>
            <a:ln>
              <a:noFill/>
            </a:ln>
            <a:effectLst/>
          </c:spPr>
          <c:txPr>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title>
        <c:numFmt formatCode="0.0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60308744"/>
        <c:crosses val="autoZero"/>
        <c:crossBetween val="between"/>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spPr>
        <a:solidFill>
          <a:srgbClr val="002060"/>
        </a:solidFill>
        <a:ln>
          <a:noFill/>
        </a:ln>
        <a:effectLst/>
      </c:spPr>
      <c:txPr>
        <a:bodyPr rot="0" spcFirstLastPara="1" vertOverflow="ellipsis" vert="horz" wrap="square" anchor="ctr" anchorCtr="1"/>
        <a:lstStyle/>
        <a:p>
          <a:pPr>
            <a:defRPr sz="1100" b="1" i="0" u="none" strike="noStrike" kern="1200" spc="0" baseline="0">
              <a:solidFill>
                <a:schemeClr val="bg1"/>
              </a:solidFill>
              <a:latin typeface="+mn-lt"/>
              <a:ea typeface="+mn-ea"/>
              <a:cs typeface="+mn-cs"/>
            </a:defRPr>
          </a:pPr>
          <a:endParaRPr lang="en-US"/>
        </a:p>
      </c:txPr>
    </c:title>
    <c:autoTitleDeleted val="0"/>
    <c:plotArea>
      <c:layout/>
      <c:barChart>
        <c:barDir val="col"/>
        <c:grouping val="clustered"/>
        <c:varyColors val="0"/>
        <c:ser>
          <c:idx val="0"/>
          <c:order val="0"/>
          <c:tx>
            <c:strRef>
              <c:f>'P&amp;L &amp; Ratio Analysis'!$B$26</c:f>
              <c:strCache>
                <c:ptCount val="1"/>
                <c:pt idx="0">
                  <c:v>Net Profit Margin</c:v>
                </c:pt>
              </c:strCache>
            </c:strRef>
          </c:tx>
          <c:spPr>
            <a:solidFill>
              <a:schemeClr val="accent1"/>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2">
                        <a:lumMod val="75000"/>
                      </a:schemeClr>
                    </a:solidFill>
                    <a:latin typeface="+mn-lt"/>
                    <a:ea typeface="+mn-ea"/>
                    <a:cs typeface="+mn-cs"/>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trendline>
            <c:spPr>
              <a:ln w="19050" cap="rnd">
                <a:solidFill>
                  <a:schemeClr val="accent6">
                    <a:lumMod val="75000"/>
                  </a:schemeClr>
                </a:solidFill>
                <a:prstDash val="sysDash"/>
              </a:ln>
              <a:effectLst/>
            </c:spPr>
            <c:trendlineType val="linear"/>
            <c:dispRSqr val="0"/>
            <c:dispEq val="0"/>
          </c:trendline>
          <c:cat>
            <c:strRef>
              <c:f>'P&amp;L &amp; Ratio Analysis'!$F$3:$N$3</c:f>
              <c:strCache>
                <c:ptCount val="9"/>
                <c:pt idx="0">
                  <c:v>FY 2027</c:v>
                </c:pt>
                <c:pt idx="1">
                  <c:v>FY 2028</c:v>
                </c:pt>
                <c:pt idx="2">
                  <c:v>FY 2029</c:v>
                </c:pt>
                <c:pt idx="3">
                  <c:v>FY 2030</c:v>
                </c:pt>
                <c:pt idx="4">
                  <c:v>FY 2031</c:v>
                </c:pt>
                <c:pt idx="5">
                  <c:v>FY 2032</c:v>
                </c:pt>
                <c:pt idx="6">
                  <c:v>FY 2033</c:v>
                </c:pt>
                <c:pt idx="7">
                  <c:v>FY 2034</c:v>
                </c:pt>
                <c:pt idx="8">
                  <c:v>FY 2035</c:v>
                </c:pt>
              </c:strCache>
            </c:strRef>
          </c:cat>
          <c:val>
            <c:numRef>
              <c:f>'P&amp;L &amp; Ratio Analysis'!$F$26:$N$26</c:f>
              <c:numCache>
                <c:formatCode>0.00%</c:formatCode>
                <c:ptCount val="9"/>
                <c:pt idx="0">
                  <c:v>1.1459149509679089E-2</c:v>
                </c:pt>
                <c:pt idx="1">
                  <c:v>5.1859271951947679E-2</c:v>
                </c:pt>
                <c:pt idx="2">
                  <c:v>7.4288985333597568E-2</c:v>
                </c:pt>
                <c:pt idx="3">
                  <c:v>8.7080296257882883E-2</c:v>
                </c:pt>
                <c:pt idx="4">
                  <c:v>0.10458949136978468</c:v>
                </c:pt>
                <c:pt idx="5">
                  <c:v>0.13291458423870645</c:v>
                </c:pt>
                <c:pt idx="6">
                  <c:v>0.15454115805806717</c:v>
                </c:pt>
                <c:pt idx="7">
                  <c:v>0.17003824543745669</c:v>
                </c:pt>
                <c:pt idx="8">
                  <c:v>0.17503761660859243</c:v>
                </c:pt>
              </c:numCache>
            </c:numRef>
          </c:val>
          <c:extLst>
            <c:ext xmlns:c16="http://schemas.microsoft.com/office/drawing/2014/chart" uri="{C3380CC4-5D6E-409C-BE32-E72D297353CC}">
              <c16:uniqueId val="{00000001-6752-42E6-9736-954EA1D0FAD1}"/>
            </c:ext>
          </c:extLst>
        </c:ser>
        <c:dLbls>
          <c:dLblPos val="outEnd"/>
          <c:showLegendKey val="0"/>
          <c:showVal val="1"/>
          <c:showCatName val="0"/>
          <c:showSerName val="0"/>
          <c:showPercent val="0"/>
          <c:showBubbleSize val="0"/>
        </c:dLbls>
        <c:gapWidth val="219"/>
        <c:overlap val="-27"/>
        <c:axId val="470196328"/>
        <c:axId val="470201424"/>
      </c:barChart>
      <c:catAx>
        <c:axId val="470196328"/>
        <c:scaling>
          <c:orientation val="minMax"/>
        </c:scaling>
        <c:delete val="0"/>
        <c:axPos val="b"/>
        <c:title>
          <c:tx>
            <c:rich>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n-IN" b="1">
                    <a:solidFill>
                      <a:sysClr val="windowText" lastClr="000000"/>
                    </a:solidFill>
                  </a:rPr>
                  <a:t>Financial</a:t>
                </a:r>
                <a:r>
                  <a:rPr lang="en-IN" b="1" baseline="0">
                    <a:solidFill>
                      <a:sysClr val="windowText" lastClr="000000"/>
                    </a:solidFill>
                  </a:rPr>
                  <a:t> Year</a:t>
                </a:r>
                <a:endParaRPr lang="en-IN" b="1">
                  <a:solidFill>
                    <a:sysClr val="windowText" lastClr="000000"/>
                  </a:solidFill>
                </a:endParaRPr>
              </a:p>
            </c:rich>
          </c:tx>
          <c:layout>
            <c:manualLayout>
              <c:xMode val="edge"/>
              <c:yMode val="edge"/>
              <c:x val="0.51408030077321409"/>
              <c:y val="0.88331000291630213"/>
            </c:manualLayout>
          </c:layout>
          <c:overlay val="0"/>
          <c:spPr>
            <a:noFill/>
            <a:ln>
              <a:noFill/>
            </a:ln>
            <a:effectLst/>
          </c:spPr>
          <c:txPr>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title>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470201424"/>
        <c:crosses val="autoZero"/>
        <c:auto val="1"/>
        <c:lblAlgn val="ctr"/>
        <c:lblOffset val="100"/>
        <c:noMultiLvlLbl val="0"/>
      </c:catAx>
      <c:valAx>
        <c:axId val="470201424"/>
        <c:scaling>
          <c:orientation val="minMax"/>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n-IN" b="0">
                    <a:solidFill>
                      <a:sysClr val="windowText" lastClr="000000"/>
                    </a:solidFill>
                  </a:rPr>
                  <a:t>%</a:t>
                </a:r>
              </a:p>
            </c:rich>
          </c:tx>
          <c:overlay val="0"/>
          <c:spPr>
            <a:noFill/>
            <a:ln>
              <a:noFill/>
            </a:ln>
            <a:effectLst/>
          </c:spPr>
          <c:txPr>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title>
        <c:numFmt formatCode="0.0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470196328"/>
        <c:crosses val="autoZero"/>
        <c:crossBetween val="between"/>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layout>
        <c:manualLayout>
          <c:xMode val="edge"/>
          <c:yMode val="edge"/>
          <c:x val="0.46703837323712694"/>
          <c:y val="4.4444444444444446E-2"/>
        </c:manualLayout>
      </c:layout>
      <c:overlay val="0"/>
      <c:spPr>
        <a:solidFill>
          <a:srgbClr val="002060"/>
        </a:solidFill>
        <a:ln>
          <a:noFill/>
        </a:ln>
        <a:effectLst/>
      </c:spPr>
      <c:txPr>
        <a:bodyPr rot="0" spcFirstLastPara="1" vertOverflow="ellipsis" vert="horz" wrap="square" anchor="ctr" anchorCtr="1"/>
        <a:lstStyle/>
        <a:p>
          <a:pPr>
            <a:defRPr sz="1100" b="1" i="0" u="none" strike="noStrike" kern="1200" spc="0" baseline="0">
              <a:solidFill>
                <a:schemeClr val="bg1"/>
              </a:solidFill>
              <a:latin typeface="+mn-lt"/>
              <a:ea typeface="+mn-ea"/>
              <a:cs typeface="+mn-cs"/>
            </a:defRPr>
          </a:pPr>
          <a:endParaRPr lang="en-US"/>
        </a:p>
      </c:txPr>
    </c:title>
    <c:autoTitleDeleted val="0"/>
    <c:plotArea>
      <c:layout>
        <c:manualLayout>
          <c:layoutTarget val="inner"/>
          <c:xMode val="edge"/>
          <c:yMode val="edge"/>
          <c:x val="0.12632273048518985"/>
          <c:y val="0.14857777777777778"/>
          <c:w val="0.86224079320357172"/>
          <c:h val="0.65407419072615924"/>
        </c:manualLayout>
      </c:layout>
      <c:barChart>
        <c:barDir val="col"/>
        <c:grouping val="clustered"/>
        <c:varyColors val="0"/>
        <c:ser>
          <c:idx val="0"/>
          <c:order val="0"/>
          <c:tx>
            <c:strRef>
              <c:f>DSCR!$B$14</c:f>
              <c:strCache>
                <c:ptCount val="1"/>
                <c:pt idx="0">
                  <c:v>DSCR</c:v>
                </c:pt>
              </c:strCache>
            </c:strRef>
          </c:tx>
          <c:spPr>
            <a:solidFill>
              <a:schemeClr val="accent1"/>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rgbClr val="0070C0"/>
                    </a:solidFill>
                    <a:latin typeface="+mn-lt"/>
                    <a:ea typeface="+mn-ea"/>
                    <a:cs typeface="+mn-cs"/>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trendline>
            <c:spPr>
              <a:ln w="19050" cap="rnd">
                <a:solidFill>
                  <a:schemeClr val="accent6">
                    <a:lumMod val="75000"/>
                  </a:schemeClr>
                </a:solidFill>
                <a:prstDash val="sysDash"/>
              </a:ln>
              <a:effectLst/>
            </c:spPr>
            <c:trendlineType val="linear"/>
            <c:dispRSqr val="0"/>
            <c:dispEq val="0"/>
          </c:trendline>
          <c:cat>
            <c:strRef>
              <c:f>DSCR!$C$4:$K$4</c:f>
              <c:strCache>
                <c:ptCount val="9"/>
                <c:pt idx="0">
                  <c:v>FY 2027</c:v>
                </c:pt>
                <c:pt idx="1">
                  <c:v>FY 2028</c:v>
                </c:pt>
                <c:pt idx="2">
                  <c:v>FY 2029</c:v>
                </c:pt>
                <c:pt idx="3">
                  <c:v>FY 2030</c:v>
                </c:pt>
                <c:pt idx="4">
                  <c:v>FY 2031</c:v>
                </c:pt>
                <c:pt idx="5">
                  <c:v>FY 2032</c:v>
                </c:pt>
                <c:pt idx="6">
                  <c:v>FY 2033</c:v>
                </c:pt>
                <c:pt idx="7">
                  <c:v>FY 2034</c:v>
                </c:pt>
                <c:pt idx="8">
                  <c:v>FY 2035</c:v>
                </c:pt>
              </c:strCache>
            </c:strRef>
          </c:cat>
          <c:val>
            <c:numRef>
              <c:f>DSCR!$C$14:$K$14</c:f>
              <c:numCache>
                <c:formatCode>0.00</c:formatCode>
                <c:ptCount val="9"/>
                <c:pt idx="0">
                  <c:v>1.6434785837139327</c:v>
                </c:pt>
                <c:pt idx="1">
                  <c:v>1.5405318415598561</c:v>
                </c:pt>
                <c:pt idx="2">
                  <c:v>1.3241410714396216</c:v>
                </c:pt>
                <c:pt idx="3">
                  <c:v>1.3474639722347237</c:v>
                </c:pt>
                <c:pt idx="4">
                  <c:v>1.2683209542001419</c:v>
                </c:pt>
                <c:pt idx="5">
                  <c:v>1.1800672555701237</c:v>
                </c:pt>
                <c:pt idx="6">
                  <c:v>1.3961720064735625</c:v>
                </c:pt>
                <c:pt idx="7">
                  <c:v>1.4282748352557413</c:v>
                </c:pt>
                <c:pt idx="8">
                  <c:v>2.9594121774795106</c:v>
                </c:pt>
              </c:numCache>
            </c:numRef>
          </c:val>
          <c:extLst>
            <c:ext xmlns:c16="http://schemas.microsoft.com/office/drawing/2014/chart" uri="{C3380CC4-5D6E-409C-BE32-E72D297353CC}">
              <c16:uniqueId val="{00000001-D3CB-4C4E-9826-EE6AA26E293E}"/>
            </c:ext>
          </c:extLst>
        </c:ser>
        <c:dLbls>
          <c:dLblPos val="outEnd"/>
          <c:showLegendKey val="0"/>
          <c:showVal val="1"/>
          <c:showCatName val="0"/>
          <c:showSerName val="0"/>
          <c:showPercent val="0"/>
          <c:showBubbleSize val="0"/>
        </c:dLbls>
        <c:gapWidth val="219"/>
        <c:overlap val="-27"/>
        <c:axId val="470200640"/>
        <c:axId val="470202208"/>
      </c:barChart>
      <c:catAx>
        <c:axId val="470200640"/>
        <c:scaling>
          <c:orientation val="minMax"/>
        </c:scaling>
        <c:delete val="0"/>
        <c:axPos val="b"/>
        <c:title>
          <c:tx>
            <c:rich>
              <a:bodyPr rot="0" spcFirstLastPara="1" vertOverflow="ellipsis" vert="horz" wrap="square" anchor="ctr" anchorCtr="1"/>
              <a:lstStyle/>
              <a:p>
                <a:pPr>
                  <a:defRPr sz="1000" b="0" i="0" u="none" strike="noStrike" kern="1200" baseline="0">
                    <a:solidFill>
                      <a:schemeClr val="bg1">
                        <a:lumMod val="50000"/>
                      </a:schemeClr>
                    </a:solidFill>
                    <a:latin typeface="+mn-lt"/>
                    <a:ea typeface="+mn-ea"/>
                    <a:cs typeface="+mn-cs"/>
                  </a:defRPr>
                </a:pPr>
                <a:r>
                  <a:rPr lang="en-IN" b="1">
                    <a:solidFill>
                      <a:sysClr val="windowText" lastClr="000000"/>
                    </a:solidFill>
                  </a:rPr>
                  <a:t>Financial Year</a:t>
                </a:r>
              </a:p>
            </c:rich>
          </c:tx>
          <c:overlay val="0"/>
          <c:spPr>
            <a:noFill/>
            <a:ln>
              <a:noFill/>
            </a:ln>
            <a:effectLst/>
          </c:spPr>
          <c:txPr>
            <a:bodyPr rot="0" spcFirstLastPara="1" vertOverflow="ellipsis" vert="horz" wrap="square" anchor="ctr" anchorCtr="1"/>
            <a:lstStyle/>
            <a:p>
              <a:pPr>
                <a:defRPr sz="1000" b="0" i="0" u="none" strike="noStrike" kern="1200" baseline="0">
                  <a:solidFill>
                    <a:schemeClr val="bg1">
                      <a:lumMod val="50000"/>
                    </a:schemeClr>
                  </a:solidFill>
                  <a:latin typeface="+mn-lt"/>
                  <a:ea typeface="+mn-ea"/>
                  <a:cs typeface="+mn-cs"/>
                </a:defRPr>
              </a:pPr>
              <a:endParaRPr lang="en-US"/>
            </a:p>
          </c:txPr>
        </c:title>
        <c:numFmt formatCode="m/d/yyyy" sourceLinked="0"/>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470202208"/>
        <c:crosses val="autoZero"/>
        <c:auto val="0"/>
        <c:lblAlgn val="ctr"/>
        <c:lblOffset val="100"/>
        <c:noMultiLvlLbl val="0"/>
      </c:catAx>
      <c:valAx>
        <c:axId val="470202208"/>
        <c:scaling>
          <c:orientation val="minMax"/>
        </c:scaling>
        <c:delete val="0"/>
        <c:axPos val="l"/>
        <c:title>
          <c:tx>
            <c:rich>
              <a:bodyPr rot="-5400000" spcFirstLastPara="1" vertOverflow="ellipsis" vert="horz" wrap="square" anchor="ctr" anchorCtr="1"/>
              <a:lstStyle/>
              <a:p>
                <a:pPr>
                  <a:defRPr sz="1000" b="0" i="0" u="none" strike="noStrike" kern="1200" baseline="0">
                    <a:solidFill>
                      <a:schemeClr val="bg1">
                        <a:lumMod val="50000"/>
                      </a:schemeClr>
                    </a:solidFill>
                    <a:latin typeface="+mn-lt"/>
                    <a:ea typeface="+mn-ea"/>
                    <a:cs typeface="+mn-cs"/>
                  </a:defRPr>
                </a:pPr>
                <a:r>
                  <a:rPr lang="en-IN" b="1">
                    <a:solidFill>
                      <a:sysClr val="windowText" lastClr="000000"/>
                    </a:solidFill>
                  </a:rPr>
                  <a:t>DSCR Ratio</a:t>
                </a:r>
              </a:p>
            </c:rich>
          </c:tx>
          <c:layout>
            <c:manualLayout>
              <c:xMode val="edge"/>
              <c:yMode val="edge"/>
              <c:x val="3.4070723199577942E-2"/>
              <c:y val="0.35989256342957132"/>
            </c:manualLayout>
          </c:layout>
          <c:overlay val="0"/>
          <c:spPr>
            <a:noFill/>
            <a:ln>
              <a:noFill/>
            </a:ln>
            <a:effectLst/>
          </c:spPr>
          <c:txPr>
            <a:bodyPr rot="-5400000" spcFirstLastPara="1" vertOverflow="ellipsis" vert="horz" wrap="square" anchor="ctr" anchorCtr="1"/>
            <a:lstStyle/>
            <a:p>
              <a:pPr>
                <a:defRPr sz="1000" b="0" i="0" u="none" strike="noStrike" kern="1200" baseline="0">
                  <a:solidFill>
                    <a:schemeClr val="bg1">
                      <a:lumMod val="50000"/>
                    </a:schemeClr>
                  </a:solidFill>
                  <a:latin typeface="+mn-lt"/>
                  <a:ea typeface="+mn-ea"/>
                  <a:cs typeface="+mn-cs"/>
                </a:defRPr>
              </a:pPr>
              <a:endParaRPr lang="en-US"/>
            </a:p>
          </c:txPr>
        </c:title>
        <c:numFmt formatCode="0.0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470200640"/>
        <c:crosses val="autoZero"/>
        <c:crossBetween val="between"/>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layout>
        <c:manualLayout>
          <c:xMode val="edge"/>
          <c:yMode val="edge"/>
          <c:x val="0.46703837323712694"/>
          <c:y val="4.4444444444444446E-2"/>
        </c:manualLayout>
      </c:layout>
      <c:overlay val="0"/>
      <c:spPr>
        <a:solidFill>
          <a:srgbClr val="002060"/>
        </a:solidFill>
        <a:ln>
          <a:noFill/>
        </a:ln>
        <a:effectLst/>
      </c:spPr>
      <c:txPr>
        <a:bodyPr rot="0" spcFirstLastPara="1" vertOverflow="ellipsis" vert="horz" wrap="square" anchor="ctr" anchorCtr="1"/>
        <a:lstStyle/>
        <a:p>
          <a:pPr>
            <a:defRPr sz="1100" b="1" i="0" u="none" strike="noStrike" kern="1200" spc="0" baseline="0">
              <a:solidFill>
                <a:schemeClr val="bg1"/>
              </a:solidFill>
              <a:latin typeface="+mn-lt"/>
              <a:ea typeface="+mn-ea"/>
              <a:cs typeface="+mn-cs"/>
            </a:defRPr>
          </a:pPr>
          <a:endParaRPr lang="en-US"/>
        </a:p>
      </c:txPr>
    </c:title>
    <c:autoTitleDeleted val="0"/>
    <c:plotArea>
      <c:layout>
        <c:manualLayout>
          <c:layoutTarget val="inner"/>
          <c:xMode val="edge"/>
          <c:yMode val="edge"/>
          <c:x val="0.12632273048518985"/>
          <c:y val="0.14857777777777778"/>
          <c:w val="0.86224079320357172"/>
          <c:h val="0.65407419072615924"/>
        </c:manualLayout>
      </c:layout>
      <c:barChart>
        <c:barDir val="col"/>
        <c:grouping val="clustered"/>
        <c:varyColors val="0"/>
        <c:ser>
          <c:idx val="0"/>
          <c:order val="0"/>
          <c:tx>
            <c:strRef>
              <c:f>DSCR!$B$15</c:f>
              <c:strCache>
                <c:ptCount val="1"/>
                <c:pt idx="0">
                  <c:v>ICR</c:v>
                </c:pt>
              </c:strCache>
            </c:strRef>
          </c:tx>
          <c:spPr>
            <a:solidFill>
              <a:schemeClr val="accent1"/>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rgbClr val="0070C0"/>
                    </a:solidFill>
                    <a:latin typeface="+mn-lt"/>
                    <a:ea typeface="+mn-ea"/>
                    <a:cs typeface="+mn-cs"/>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trendline>
            <c:spPr>
              <a:ln w="19050" cap="rnd">
                <a:solidFill>
                  <a:schemeClr val="accent6">
                    <a:lumMod val="75000"/>
                  </a:schemeClr>
                </a:solidFill>
                <a:prstDash val="sysDash"/>
              </a:ln>
              <a:effectLst/>
            </c:spPr>
            <c:trendlineType val="linear"/>
            <c:dispRSqr val="0"/>
            <c:dispEq val="0"/>
          </c:trendline>
          <c:cat>
            <c:strRef>
              <c:f>DSCR!$C$4:$K$4</c:f>
              <c:strCache>
                <c:ptCount val="9"/>
                <c:pt idx="0">
                  <c:v>FY 2027</c:v>
                </c:pt>
                <c:pt idx="1">
                  <c:v>FY 2028</c:v>
                </c:pt>
                <c:pt idx="2">
                  <c:v>FY 2029</c:v>
                </c:pt>
                <c:pt idx="3">
                  <c:v>FY 2030</c:v>
                </c:pt>
                <c:pt idx="4">
                  <c:v>FY 2031</c:v>
                </c:pt>
                <c:pt idx="5">
                  <c:v>FY 2032</c:v>
                </c:pt>
                <c:pt idx="6">
                  <c:v>FY 2033</c:v>
                </c:pt>
                <c:pt idx="7">
                  <c:v>FY 2034</c:v>
                </c:pt>
                <c:pt idx="8">
                  <c:v>FY 2035</c:v>
                </c:pt>
              </c:strCache>
            </c:strRef>
          </c:cat>
          <c:val>
            <c:numRef>
              <c:f>DSCR!$C$15:$K$15</c:f>
              <c:numCache>
                <c:formatCode>0.00</c:formatCode>
                <c:ptCount val="9"/>
                <c:pt idx="0">
                  <c:v>1.6434785837139327</c:v>
                </c:pt>
                <c:pt idx="1">
                  <c:v>1.9854507849706444</c:v>
                </c:pt>
                <c:pt idx="2">
                  <c:v>2.3330104592031429</c:v>
                </c:pt>
                <c:pt idx="3">
                  <c:v>2.696802025098425</c:v>
                </c:pt>
                <c:pt idx="4">
                  <c:v>3.2789986228527712</c:v>
                </c:pt>
                <c:pt idx="5">
                  <c:v>4.4963637381015786</c:v>
                </c:pt>
                <c:pt idx="6">
                  <c:v>6.8534033622582617</c:v>
                </c:pt>
                <c:pt idx="7">
                  <c:v>12.672003857736829</c:v>
                </c:pt>
                <c:pt idx="8">
                  <c:v>44.40192602287847</c:v>
                </c:pt>
              </c:numCache>
            </c:numRef>
          </c:val>
          <c:extLst>
            <c:ext xmlns:c16="http://schemas.microsoft.com/office/drawing/2014/chart" uri="{C3380CC4-5D6E-409C-BE32-E72D297353CC}">
              <c16:uniqueId val="{00000001-07BF-48AD-9AE8-DED0E0635D43}"/>
            </c:ext>
          </c:extLst>
        </c:ser>
        <c:dLbls>
          <c:dLblPos val="outEnd"/>
          <c:showLegendKey val="0"/>
          <c:showVal val="1"/>
          <c:showCatName val="0"/>
          <c:showSerName val="0"/>
          <c:showPercent val="0"/>
          <c:showBubbleSize val="0"/>
        </c:dLbls>
        <c:gapWidth val="219"/>
        <c:overlap val="-27"/>
        <c:axId val="470200640"/>
        <c:axId val="470202208"/>
      </c:barChart>
      <c:catAx>
        <c:axId val="470200640"/>
        <c:scaling>
          <c:orientation val="minMax"/>
        </c:scaling>
        <c:delete val="0"/>
        <c:axPos val="b"/>
        <c:title>
          <c:tx>
            <c:rich>
              <a:bodyPr rot="0" spcFirstLastPara="1" vertOverflow="ellipsis" vert="horz" wrap="square" anchor="ctr" anchorCtr="1"/>
              <a:lstStyle/>
              <a:p>
                <a:pPr>
                  <a:defRPr sz="1000" b="0" i="0" u="none" strike="noStrike" kern="1200" baseline="0">
                    <a:solidFill>
                      <a:schemeClr val="bg1">
                        <a:lumMod val="50000"/>
                      </a:schemeClr>
                    </a:solidFill>
                    <a:latin typeface="+mn-lt"/>
                    <a:ea typeface="+mn-ea"/>
                    <a:cs typeface="+mn-cs"/>
                  </a:defRPr>
                </a:pPr>
                <a:r>
                  <a:rPr lang="en-IN" b="1">
                    <a:solidFill>
                      <a:sysClr val="windowText" lastClr="000000"/>
                    </a:solidFill>
                  </a:rPr>
                  <a:t>Financial Year</a:t>
                </a:r>
              </a:p>
            </c:rich>
          </c:tx>
          <c:overlay val="0"/>
          <c:spPr>
            <a:noFill/>
            <a:ln>
              <a:noFill/>
            </a:ln>
            <a:effectLst/>
          </c:spPr>
          <c:txPr>
            <a:bodyPr rot="0" spcFirstLastPara="1" vertOverflow="ellipsis" vert="horz" wrap="square" anchor="ctr" anchorCtr="1"/>
            <a:lstStyle/>
            <a:p>
              <a:pPr>
                <a:defRPr sz="1000" b="0" i="0" u="none" strike="noStrike" kern="1200" baseline="0">
                  <a:solidFill>
                    <a:schemeClr val="bg1">
                      <a:lumMod val="50000"/>
                    </a:schemeClr>
                  </a:solidFill>
                  <a:latin typeface="+mn-lt"/>
                  <a:ea typeface="+mn-ea"/>
                  <a:cs typeface="+mn-cs"/>
                </a:defRPr>
              </a:pPr>
              <a:endParaRPr lang="en-US"/>
            </a:p>
          </c:txPr>
        </c:title>
        <c:numFmt formatCode="m/d/yyyy" sourceLinked="0"/>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470202208"/>
        <c:crosses val="autoZero"/>
        <c:auto val="0"/>
        <c:lblAlgn val="ctr"/>
        <c:lblOffset val="100"/>
        <c:noMultiLvlLbl val="0"/>
      </c:catAx>
      <c:valAx>
        <c:axId val="470202208"/>
        <c:scaling>
          <c:orientation val="minMax"/>
        </c:scaling>
        <c:delete val="0"/>
        <c:axPos val="l"/>
        <c:title>
          <c:tx>
            <c:rich>
              <a:bodyPr rot="-5400000" spcFirstLastPara="1" vertOverflow="ellipsis" vert="horz" wrap="square" anchor="ctr" anchorCtr="1"/>
              <a:lstStyle/>
              <a:p>
                <a:pPr>
                  <a:defRPr sz="1000" b="0" i="0" u="none" strike="noStrike" kern="1200" baseline="0">
                    <a:solidFill>
                      <a:schemeClr val="bg1">
                        <a:lumMod val="50000"/>
                      </a:schemeClr>
                    </a:solidFill>
                    <a:latin typeface="+mn-lt"/>
                    <a:ea typeface="+mn-ea"/>
                    <a:cs typeface="+mn-cs"/>
                  </a:defRPr>
                </a:pPr>
                <a:r>
                  <a:rPr lang="en-IN" b="1">
                    <a:solidFill>
                      <a:sysClr val="windowText" lastClr="000000"/>
                    </a:solidFill>
                  </a:rPr>
                  <a:t>ICR Ratio</a:t>
                </a:r>
              </a:p>
            </c:rich>
          </c:tx>
          <c:layout>
            <c:manualLayout>
              <c:xMode val="edge"/>
              <c:yMode val="edge"/>
              <c:x val="3.4070723199577942E-2"/>
              <c:y val="0.35989256342957132"/>
            </c:manualLayout>
          </c:layout>
          <c:overlay val="0"/>
          <c:spPr>
            <a:noFill/>
            <a:ln>
              <a:noFill/>
            </a:ln>
            <a:effectLst/>
          </c:spPr>
          <c:txPr>
            <a:bodyPr rot="-5400000" spcFirstLastPara="1" vertOverflow="ellipsis" vert="horz" wrap="square" anchor="ctr" anchorCtr="1"/>
            <a:lstStyle/>
            <a:p>
              <a:pPr>
                <a:defRPr sz="1000" b="0" i="0" u="none" strike="noStrike" kern="1200" baseline="0">
                  <a:solidFill>
                    <a:schemeClr val="bg1">
                      <a:lumMod val="50000"/>
                    </a:schemeClr>
                  </a:solidFill>
                  <a:latin typeface="+mn-lt"/>
                  <a:ea typeface="+mn-ea"/>
                  <a:cs typeface="+mn-cs"/>
                </a:defRPr>
              </a:pPr>
              <a:endParaRPr lang="en-US"/>
            </a:p>
          </c:txPr>
        </c:title>
        <c:numFmt formatCode="0.0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470200640"/>
        <c:crosses val="autoZero"/>
        <c:crossBetween val="between"/>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5.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3" Type="http://schemas.openxmlformats.org/officeDocument/2006/relationships/chart" Target="../charts/chart3.xml"/><Relationship Id="rId2" Type="http://schemas.openxmlformats.org/officeDocument/2006/relationships/chart" Target="../charts/chart2.xml"/><Relationship Id="rId1" Type="http://schemas.openxmlformats.org/officeDocument/2006/relationships/chart" Target="../charts/chart1.xml"/></Relationships>
</file>

<file path=xl/drawings/_rels/drawing2.xml.rels><?xml version="1.0" encoding="UTF-8" standalone="yes"?>
<Relationships xmlns="http://schemas.openxmlformats.org/package/2006/relationships"><Relationship Id="rId2" Type="http://schemas.openxmlformats.org/officeDocument/2006/relationships/chart" Target="../charts/chart5.xml"/><Relationship Id="rId1" Type="http://schemas.openxmlformats.org/officeDocument/2006/relationships/chart" Target="../charts/chart4.xml"/></Relationships>
</file>

<file path=xl/drawings/drawing1.xml><?xml version="1.0" encoding="utf-8"?>
<xdr:wsDr xmlns:xdr="http://schemas.openxmlformats.org/drawingml/2006/spreadsheetDrawing" xmlns:a="http://schemas.openxmlformats.org/drawingml/2006/main">
  <xdr:twoCellAnchor>
    <xdr:from>
      <xdr:col>13</xdr:col>
      <xdr:colOff>320039</xdr:colOff>
      <xdr:row>33</xdr:row>
      <xdr:rowOff>118109</xdr:rowOff>
    </xdr:from>
    <xdr:to>
      <xdr:col>23</xdr:col>
      <xdr:colOff>552449</xdr:colOff>
      <xdr:row>48</xdr:row>
      <xdr:rowOff>180974</xdr:rowOff>
    </xdr:to>
    <xdr:graphicFrame macro="">
      <xdr:nvGraphicFramePr>
        <xdr:cNvPr id="3" name="Chart 2">
          <a:extLst>
            <a:ext uri="{FF2B5EF4-FFF2-40B4-BE49-F238E27FC236}">
              <a16:creationId xmlns:a16="http://schemas.microsoft.com/office/drawing/2014/main" id="{747897EE-9A8A-314E-976B-CADCB0BCBDDF}"/>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4</xdr:col>
      <xdr:colOff>323852</xdr:colOff>
      <xdr:row>33</xdr:row>
      <xdr:rowOff>57150</xdr:rowOff>
    </xdr:from>
    <xdr:to>
      <xdr:col>13</xdr:col>
      <xdr:colOff>95250</xdr:colOff>
      <xdr:row>48</xdr:row>
      <xdr:rowOff>180975</xdr:rowOff>
    </xdr:to>
    <xdr:graphicFrame macro="">
      <xdr:nvGraphicFramePr>
        <xdr:cNvPr id="4" name="Chart 3">
          <a:extLst>
            <a:ext uri="{FF2B5EF4-FFF2-40B4-BE49-F238E27FC236}">
              <a16:creationId xmlns:a16="http://schemas.microsoft.com/office/drawing/2014/main" id="{FD4C3A52-BEE3-464C-BEC3-BF9424A4F3B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4</xdr:col>
      <xdr:colOff>443864</xdr:colOff>
      <xdr:row>49</xdr:row>
      <xdr:rowOff>182879</xdr:rowOff>
    </xdr:from>
    <xdr:to>
      <xdr:col>13</xdr:col>
      <xdr:colOff>76199</xdr:colOff>
      <xdr:row>66</xdr:row>
      <xdr:rowOff>161924</xdr:rowOff>
    </xdr:to>
    <xdr:graphicFrame macro="">
      <xdr:nvGraphicFramePr>
        <xdr:cNvPr id="5" name="Chart 4">
          <a:extLst>
            <a:ext uri="{FF2B5EF4-FFF2-40B4-BE49-F238E27FC236}">
              <a16:creationId xmlns:a16="http://schemas.microsoft.com/office/drawing/2014/main" id="{DDDCDF3F-48C4-477B-BD9F-9FCCC375780A}"/>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wsDr>
</file>

<file path=xl/drawings/drawing2.xml><?xml version="1.0" encoding="utf-8"?>
<xdr:wsDr xmlns:xdr="http://schemas.openxmlformats.org/drawingml/2006/spreadsheetDrawing" xmlns:a="http://schemas.openxmlformats.org/drawingml/2006/main">
  <xdr:twoCellAnchor>
    <xdr:from>
      <xdr:col>1</xdr:col>
      <xdr:colOff>0</xdr:colOff>
      <xdr:row>20</xdr:row>
      <xdr:rowOff>0</xdr:rowOff>
    </xdr:from>
    <xdr:to>
      <xdr:col>7</xdr:col>
      <xdr:colOff>428624</xdr:colOff>
      <xdr:row>35</xdr:row>
      <xdr:rowOff>0</xdr:rowOff>
    </xdr:to>
    <xdr:graphicFrame macro="">
      <xdr:nvGraphicFramePr>
        <xdr:cNvPr id="2" name="Chart 1">
          <a:extLst>
            <a:ext uri="{FF2B5EF4-FFF2-40B4-BE49-F238E27FC236}">
              <a16:creationId xmlns:a16="http://schemas.microsoft.com/office/drawing/2014/main" id="{91DA9740-AB3C-41F3-82E3-5AB1CA395D2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0</xdr:colOff>
      <xdr:row>20</xdr:row>
      <xdr:rowOff>0</xdr:rowOff>
    </xdr:from>
    <xdr:to>
      <xdr:col>19</xdr:col>
      <xdr:colOff>419099</xdr:colOff>
      <xdr:row>35</xdr:row>
      <xdr:rowOff>0</xdr:rowOff>
    </xdr:to>
    <xdr:graphicFrame macro="">
      <xdr:nvGraphicFramePr>
        <xdr:cNvPr id="3" name="Chart 2">
          <a:extLst>
            <a:ext uri="{FF2B5EF4-FFF2-40B4-BE49-F238E27FC236}">
              <a16:creationId xmlns:a16="http://schemas.microsoft.com/office/drawing/2014/main" id="{3A4091D8-9BBD-4337-B1A4-47027FE62EBA}"/>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8" Type="http://schemas.openxmlformats.org/officeDocument/2006/relationships/printerSettings" Target="../printerSettings/printerSettings6.bin"/><Relationship Id="rId3" Type="http://schemas.openxmlformats.org/officeDocument/2006/relationships/hyperlink" Target="https://www.marketresearchfuture.com/reports/india-hospitality-market-21425" TargetMode="External"/><Relationship Id="rId7" Type="http://schemas.openxmlformats.org/officeDocument/2006/relationships/hyperlink" Target="https://www.google.com/travel/search?q=comfort%20inn%20bhatinda&amp;g2lb=4893075%2C4965990%2C4969803%2C72277293%2C72302247%2C72317059%2C72406588%2C72414906%2C72421566%2C72471280%2C72472051%2C72481459%2C72485658%2C72499705%2C72614662%2C72616120%2C72619927%2C72647020%2C72648289%2C72658035%2C72686036%2C72760082%2C72808078%2C72825295%2C72836240&amp;hl=en-IN&amp;gl=in&amp;ssta=1&amp;ts=CAEaRwopEicyJTB4MzkxNzJkNWYyY2VjMWNkZDoweDNjZmEyNjIwYmEyMzViNmMSGhIUCgcI6A8QDBgHEgcI6A8QDBgIGAEyAggC&amp;qs=CAEyE0Nnb0k3TGFOMFl2RWlmMDhFQUU4AkIJCWxbI7ogJvo8QgkJbFsjuiAm-jw&amp;ap=ugEGcHJpY2Vz&amp;ictx=1&amp;ved=0CAAQ5JsGahcKEwjIuO7z85KKAxUAAAAAHQAAAAAQEA" TargetMode="External"/><Relationship Id="rId2" Type="http://schemas.openxmlformats.org/officeDocument/2006/relationships/hyperlink" Target="https://www.ibef.org/research/case-study/growth-of-hotel-industry-in-india" TargetMode="External"/><Relationship Id="rId1" Type="http://schemas.openxmlformats.org/officeDocument/2006/relationships/hyperlink" Target="https://signetroyale.bookingjini.com/property" TargetMode="External"/><Relationship Id="rId6" Type="http://schemas.openxmlformats.org/officeDocument/2006/relationships/hyperlink" Target="https://www.google.com/travel/search?q=stella%20hotel%20bathinda&amp;g2lb=4893075%2C4965990%2C4969803%2C72277293%2C72302247%2C72317059%2C72406588%2C72414906%2C72421566%2C72471280%2C72472051%2C72481459%2C72485658%2C72499705%2C72614662%2C72616120%2C72619927%2C72647020%2C72648289%2C72658035%2C72686036%2C72760082%2C72808078%2C72825295%2C72836240&amp;hl=en-IN&amp;gl=in&amp;ssta=1&amp;ts=CAEqBwoFOgNJTlI&amp;qs=CAAgASgAMidDaGtJX3ZycjQ5T1VqdVRJQVJvTUwyY3ZNVEoyZEhGak5IazFFQUU&amp;ap=MAC6AQZwcmljZXM&amp;ictx=1&amp;ved=0CAAQ5JsGahcKEwjIuO7z85KKAxUAAAAAHQAAAAAQcw" TargetMode="External"/><Relationship Id="rId5" Type="http://schemas.openxmlformats.org/officeDocument/2006/relationships/hyperlink" Target="https://www.google.com/maps/place/Hotel+Sapphire/@30.225977,74.951275,17z/data=!4m10!3m9!1s0x391732b7dcdb859b:0x3242a77feeb822af!5m3!1s2024-12-07!4m1!1i2!8m2!3d30.225977!4d74.951275!16s%2Fg%2F11b6zw7ybb?authuser=0&amp;hl=en&amp;entry=ttu&amp;g_ep=EgoyMDI0MTIwMy4wIKXMDSoASAFQAw%3D%3D" TargetMode="External"/><Relationship Id="rId4" Type="http://schemas.openxmlformats.org/officeDocument/2006/relationships/hyperlink" Target="https://www.statista.com/outlook/mmo/travel-tourism/hotels/india" TargetMode="External"/></Relationships>
</file>

<file path=xl/worksheets/_rels/sheet7.xml.rels><?xml version="1.0" encoding="UTF-8" standalone="yes"?>
<Relationships xmlns="http://schemas.openxmlformats.org/package/2006/relationships"><Relationship Id="rId2" Type="http://schemas.openxmlformats.org/officeDocument/2006/relationships/comments" Target="../comments1.xml"/><Relationship Id="rId1" Type="http://schemas.openxmlformats.org/officeDocument/2006/relationships/vmlDrawing" Target="../drawings/vmlDrawing1.vml"/></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8.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13.bin"/></Relationships>
</file>

<file path=xl/worksheets/_rels/sheet17.xml.rels><?xml version="1.0" encoding="UTF-8" standalone="yes"?>
<Relationships xmlns="http://schemas.openxmlformats.org/package/2006/relationships"><Relationship Id="rId1" Type="http://schemas.openxmlformats.org/officeDocument/2006/relationships/hyperlink" Target="https://kunaldesai.blog/nifty-returns/" TargetMode="External"/></Relationships>
</file>

<file path=xl/worksheets/_rels/sheet21.xml.rels><?xml version="1.0" encoding="UTF-8" standalone="yes"?>
<Relationships xmlns="http://schemas.openxmlformats.org/package/2006/relationships"><Relationship Id="rId3" Type="http://schemas.openxmlformats.org/officeDocument/2006/relationships/printerSettings" Target="../printerSettings/printerSettings14.bin"/><Relationship Id="rId2" Type="http://schemas.openxmlformats.org/officeDocument/2006/relationships/hyperlink" Target="https://in.jooble.org/salary/hospitality-industry" TargetMode="External"/><Relationship Id="rId1" Type="http://schemas.openxmlformats.org/officeDocument/2006/relationships/hyperlink" Target="https://www.payscale.com/research/IN/Industry=Hotel/Salary" TargetMode="External"/></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B1:AE53"/>
  <sheetViews>
    <sheetView showGridLines="0" view="pageBreakPreview" topLeftCell="A11" zoomScale="92" zoomScaleNormal="100" zoomScaleSheetLayoutView="92" workbookViewId="0">
      <selection activeCell="Z39" sqref="Z39"/>
    </sheetView>
  </sheetViews>
  <sheetFormatPr defaultColWidth="9.140625" defaultRowHeight="15" x14ac:dyDescent="0.25"/>
  <cols>
    <col min="1" max="1" width="4.5703125" style="224" customWidth="1"/>
    <col min="2" max="2" width="7" style="224" customWidth="1"/>
    <col min="3" max="3" width="44.28515625" style="224" customWidth="1"/>
    <col min="4" max="4" width="20.5703125" style="338" customWidth="1"/>
    <col min="5" max="5" width="7.140625" style="224" customWidth="1"/>
    <col min="6" max="6" width="14" style="224" hidden="1" customWidth="1"/>
    <col min="7" max="9" width="0" style="224" hidden="1" customWidth="1"/>
    <col min="10" max="10" width="15.85546875" style="224" hidden="1" customWidth="1"/>
    <col min="11" max="11" width="14.85546875" style="224" hidden="1" customWidth="1"/>
    <col min="12" max="12" width="12" style="224" hidden="1" customWidth="1"/>
    <col min="13" max="23" width="0" style="224" hidden="1" customWidth="1"/>
    <col min="24" max="27" width="9.140625" style="224"/>
    <col min="28" max="28" width="10" style="224" bestFit="1" customWidth="1"/>
    <col min="29" max="16384" width="9.140625" style="224"/>
  </cols>
  <sheetData>
    <row r="1" spans="2:28" ht="16.5" customHeight="1" x14ac:dyDescent="0.25"/>
    <row r="2" spans="2:28" ht="17.25" customHeight="1" x14ac:dyDescent="0.25">
      <c r="B2" s="701" t="str">
        <f>'Tax Calculations'!B2</f>
        <v>Financial Model of Proposed 50 rooms Luxury Hotel set up M/S Excalibur Hotels &amp; Banquets Private Limit</v>
      </c>
      <c r="C2" s="701"/>
      <c r="D2" s="701"/>
    </row>
    <row r="3" spans="2:28" ht="12.75" customHeight="1" x14ac:dyDescent="0.25"/>
    <row r="4" spans="2:28" x14ac:dyDescent="0.25">
      <c r="B4" s="699" t="s">
        <v>772</v>
      </c>
      <c r="C4" s="699"/>
      <c r="D4" s="699"/>
      <c r="E4" s="311"/>
      <c r="F4" s="311"/>
    </row>
    <row r="5" spans="2:28" ht="12.75" customHeight="1" x14ac:dyDescent="0.25">
      <c r="B5" s="402"/>
      <c r="C5" s="402"/>
      <c r="D5" s="340"/>
      <c r="E5" s="311"/>
      <c r="F5" s="311"/>
      <c r="H5" s="224" t="s">
        <v>607</v>
      </c>
    </row>
    <row r="6" spans="2:28" x14ac:dyDescent="0.25">
      <c r="B6" s="431" t="s">
        <v>434</v>
      </c>
      <c r="C6" s="431"/>
      <c r="D6" s="431"/>
    </row>
    <row r="7" spans="2:28" x14ac:dyDescent="0.25">
      <c r="B7" s="311"/>
      <c r="C7" s="311"/>
      <c r="D7" s="424" t="s">
        <v>769</v>
      </c>
    </row>
    <row r="8" spans="2:28" x14ac:dyDescent="0.25">
      <c r="B8" s="433"/>
      <c r="C8" s="432" t="s">
        <v>250</v>
      </c>
      <c r="D8" s="434" t="s">
        <v>435</v>
      </c>
      <c r="F8" s="224">
        <v>10000</v>
      </c>
      <c r="K8" s="224">
        <v>12146.35</v>
      </c>
    </row>
    <row r="9" spans="2:28" x14ac:dyDescent="0.25">
      <c r="B9" s="403"/>
      <c r="C9" s="404"/>
      <c r="D9" s="425"/>
      <c r="K9" s="224">
        <v>9033.5400000000009</v>
      </c>
    </row>
    <row r="10" spans="2:28" x14ac:dyDescent="0.25">
      <c r="B10" s="236">
        <v>1</v>
      </c>
      <c r="C10" s="317" t="s">
        <v>436</v>
      </c>
      <c r="D10" s="406">
        <v>0</v>
      </c>
      <c r="K10" s="224">
        <f>SUM(K8:K9)</f>
        <v>21179.89</v>
      </c>
    </row>
    <row r="11" spans="2:28" x14ac:dyDescent="0.25">
      <c r="B11" s="236"/>
      <c r="C11" s="317"/>
      <c r="D11" s="426"/>
      <c r="I11" s="224" t="s">
        <v>608</v>
      </c>
    </row>
    <row r="12" spans="2:28" x14ac:dyDescent="0.25">
      <c r="B12" s="236">
        <v>2</v>
      </c>
      <c r="C12" s="317" t="s">
        <v>780</v>
      </c>
      <c r="D12" s="427">
        <f>'Cost Break Up'!F19</f>
        <v>2250</v>
      </c>
      <c r="F12" s="407">
        <f>D12/D27</f>
        <v>0.70759352682958787</v>
      </c>
      <c r="H12" s="225"/>
      <c r="I12" s="225"/>
    </row>
    <row r="13" spans="2:28" x14ac:dyDescent="0.25">
      <c r="B13" s="236"/>
      <c r="C13" s="317" t="s">
        <v>220</v>
      </c>
      <c r="D13" s="406"/>
      <c r="I13" s="225"/>
    </row>
    <row r="14" spans="2:28" x14ac:dyDescent="0.25">
      <c r="B14" s="236">
        <v>3</v>
      </c>
      <c r="C14" s="317" t="s">
        <v>437</v>
      </c>
      <c r="D14" s="427">
        <f>'Cost Break Up'!F51</f>
        <v>350</v>
      </c>
      <c r="H14" s="225"/>
      <c r="I14" s="225"/>
      <c r="K14" s="408">
        <f>6.97*10^7</f>
        <v>69700000</v>
      </c>
      <c r="L14" s="225">
        <v>115</v>
      </c>
    </row>
    <row r="15" spans="2:28" x14ac:dyDescent="0.25">
      <c r="B15" s="236"/>
      <c r="C15" s="317"/>
      <c r="D15" s="426"/>
      <c r="I15" s="225"/>
      <c r="J15" s="224" t="s">
        <v>609</v>
      </c>
      <c r="L15" s="341">
        <f>K14/L14</f>
        <v>606086.95652173914</v>
      </c>
    </row>
    <row r="16" spans="2:28" x14ac:dyDescent="0.25">
      <c r="B16" s="236">
        <v>4</v>
      </c>
      <c r="C16" s="317" t="s">
        <v>438</v>
      </c>
      <c r="D16" s="427">
        <f>'Cost Break Up'!F70</f>
        <v>150</v>
      </c>
      <c r="H16" s="225"/>
      <c r="I16" s="225"/>
      <c r="AB16" s="224">
        <v>3780</v>
      </c>
    </row>
    <row r="17" spans="2:28" x14ac:dyDescent="0.25">
      <c r="B17" s="236"/>
      <c r="C17" s="317"/>
      <c r="D17" s="406"/>
      <c r="AB17" s="224">
        <v>110000</v>
      </c>
    </row>
    <row r="18" spans="2:28" x14ac:dyDescent="0.25">
      <c r="B18" s="236">
        <v>5</v>
      </c>
      <c r="C18" s="317" t="s">
        <v>601</v>
      </c>
      <c r="D18" s="427">
        <f>+'Cost Break Up'!F75</f>
        <v>234.79166666666669</v>
      </c>
      <c r="G18" s="225"/>
      <c r="H18" s="225"/>
      <c r="J18" s="224" t="s">
        <v>610</v>
      </c>
      <c r="AB18" s="224">
        <f>+AB16*AB17</f>
        <v>415800000</v>
      </c>
    </row>
    <row r="19" spans="2:28" x14ac:dyDescent="0.25">
      <c r="B19" s="403"/>
      <c r="C19" s="404"/>
      <c r="D19" s="406" t="s">
        <v>220</v>
      </c>
      <c r="AB19" s="224">
        <f>+AB18/10^7</f>
        <v>41.58</v>
      </c>
    </row>
    <row r="20" spans="2:28" x14ac:dyDescent="0.25">
      <c r="B20" s="236">
        <v>6</v>
      </c>
      <c r="C20" s="317" t="s">
        <v>439</v>
      </c>
      <c r="D20" s="406">
        <f>'Cost Break Up'!F85</f>
        <v>0</v>
      </c>
    </row>
    <row r="21" spans="2:28" x14ac:dyDescent="0.25">
      <c r="B21" s="403"/>
      <c r="C21" s="404"/>
      <c r="D21" s="406"/>
      <c r="J21" s="409">
        <v>23762276</v>
      </c>
    </row>
    <row r="22" spans="2:28" x14ac:dyDescent="0.25">
      <c r="B22" s="236">
        <v>7</v>
      </c>
      <c r="C22" s="317" t="s">
        <v>600</v>
      </c>
      <c r="D22" s="406">
        <f>'Cost Break Up'!F21</f>
        <v>0</v>
      </c>
    </row>
    <row r="23" spans="2:28" x14ac:dyDescent="0.25">
      <c r="B23" s="403"/>
      <c r="C23" s="404"/>
      <c r="D23" s="406"/>
    </row>
    <row r="24" spans="2:28" x14ac:dyDescent="0.25">
      <c r="B24" s="236">
        <v>8</v>
      </c>
      <c r="C24" s="143" t="s">
        <v>729</v>
      </c>
      <c r="D24" s="406">
        <f>+'Cost Break Up'!F74+'Cost Break Up'!F76</f>
        <v>75</v>
      </c>
      <c r="E24" s="224">
        <f>+D24/5</f>
        <v>15</v>
      </c>
    </row>
    <row r="25" spans="2:28" x14ac:dyDescent="0.25">
      <c r="B25" s="403"/>
      <c r="C25" s="404"/>
      <c r="D25" s="406"/>
      <c r="X25" s="677">
        <f>3250-D27</f>
        <v>70.208333333333485</v>
      </c>
    </row>
    <row r="26" spans="2:28" x14ac:dyDescent="0.25">
      <c r="B26" s="236">
        <v>9</v>
      </c>
      <c r="C26" s="317" t="s">
        <v>871</v>
      </c>
      <c r="D26" s="406">
        <f>+'Cost Break Up'!F80</f>
        <v>120</v>
      </c>
      <c r="F26" s="410"/>
      <c r="X26" s="678">
        <f>+X25/X27</f>
        <v>2.5530303030303087E-2</v>
      </c>
    </row>
    <row r="27" spans="2:28" x14ac:dyDescent="0.25">
      <c r="B27" s="411"/>
      <c r="C27" s="412" t="s">
        <v>440</v>
      </c>
      <c r="D27" s="428">
        <f>(SUM(D10:D26))</f>
        <v>3179.7916666666665</v>
      </c>
      <c r="E27" s="225"/>
      <c r="F27" s="225">
        <f>D27/90</f>
        <v>35.331018518518519</v>
      </c>
      <c r="X27" s="341">
        <f>+SUM(D12:D16)</f>
        <v>2750</v>
      </c>
      <c r="Y27" s="224">
        <f>D27/50</f>
        <v>63.595833333333331</v>
      </c>
      <c r="AA27" s="225">
        <f>+D27-D26</f>
        <v>3059.7916666666665</v>
      </c>
    </row>
    <row r="28" spans="2:28" x14ac:dyDescent="0.25">
      <c r="B28" s="405"/>
      <c r="C28" s="413"/>
      <c r="D28" s="425"/>
      <c r="F28" s="225"/>
    </row>
    <row r="29" spans="2:28" x14ac:dyDescent="0.25">
      <c r="B29" s="414" t="s">
        <v>441</v>
      </c>
      <c r="C29" s="430"/>
      <c r="D29" s="429"/>
      <c r="X29" s="224">
        <v>3059.79</v>
      </c>
    </row>
    <row r="30" spans="2:28" x14ac:dyDescent="0.25">
      <c r="B30" s="405"/>
      <c r="D30" s="425"/>
      <c r="X30" s="225">
        <f>+D27-X29</f>
        <v>120.00166666666655</v>
      </c>
    </row>
    <row r="31" spans="2:28" x14ac:dyDescent="0.25">
      <c r="B31" s="236">
        <v>1</v>
      </c>
      <c r="C31" s="317" t="s">
        <v>216</v>
      </c>
      <c r="D31" s="426">
        <v>2000</v>
      </c>
      <c r="E31" s="226"/>
    </row>
    <row r="32" spans="2:28" x14ac:dyDescent="0.25">
      <c r="B32" s="236"/>
      <c r="C32" s="317"/>
      <c r="D32" s="426"/>
      <c r="E32" s="226"/>
      <c r="AB32" s="224">
        <v>3179.79</v>
      </c>
    </row>
    <row r="33" spans="2:31" x14ac:dyDescent="0.25">
      <c r="B33" s="236">
        <v>2</v>
      </c>
      <c r="C33" s="317" t="s">
        <v>781</v>
      </c>
      <c r="D33" s="406">
        <v>90</v>
      </c>
      <c r="E33" s="226"/>
      <c r="AB33" s="224">
        <f>+'Loan Repay Sch'!K33</f>
        <v>23.47999999999999</v>
      </c>
    </row>
    <row r="34" spans="2:31" x14ac:dyDescent="0.25">
      <c r="B34" s="236"/>
      <c r="C34" s="317"/>
      <c r="D34" s="426"/>
      <c r="E34" s="226"/>
      <c r="AB34" s="224">
        <f>+AB32-AB33</f>
        <v>3156.31</v>
      </c>
    </row>
    <row r="35" spans="2:31" x14ac:dyDescent="0.25">
      <c r="B35" s="236">
        <v>3</v>
      </c>
      <c r="C35" s="317" t="s">
        <v>210</v>
      </c>
      <c r="D35" s="406">
        <f>+D36-D31-D33</f>
        <v>1089.7916666666665</v>
      </c>
      <c r="E35" s="226"/>
      <c r="Y35" s="224">
        <f>+D35/2</f>
        <v>544.89583333333326</v>
      </c>
    </row>
    <row r="36" spans="2:31" x14ac:dyDescent="0.25">
      <c r="B36" s="415"/>
      <c r="C36" s="416" t="s">
        <v>440</v>
      </c>
      <c r="D36" s="428">
        <f>+D27</f>
        <v>3179.7916666666665</v>
      </c>
      <c r="E36" s="226"/>
      <c r="J36" s="417"/>
    </row>
    <row r="37" spans="2:31" x14ac:dyDescent="0.25">
      <c r="B37" s="311"/>
      <c r="C37" s="311"/>
      <c r="D37" s="312"/>
      <c r="J37" s="417"/>
      <c r="Y37" s="225">
        <f>+D35+D33+D31</f>
        <v>3179.7916666666665</v>
      </c>
    </row>
    <row r="38" spans="2:31" x14ac:dyDescent="0.25">
      <c r="B38" s="698"/>
      <c r="C38" s="698"/>
      <c r="D38" s="698"/>
      <c r="E38" s="698"/>
      <c r="F38" s="225"/>
      <c r="J38" s="417"/>
      <c r="Y38" s="225">
        <f>+D36-D33-D31</f>
        <v>1089.7916666666665</v>
      </c>
    </row>
    <row r="39" spans="2:31" ht="30" customHeight="1" x14ac:dyDescent="0.25">
      <c r="C39" s="321" t="s">
        <v>442</v>
      </c>
      <c r="D39" s="418">
        <f>SUM(D31/(D33+D35))</f>
        <v>1.6952145505915595</v>
      </c>
      <c r="AE39" s="224">
        <v>2090</v>
      </c>
    </row>
    <row r="40" spans="2:31" x14ac:dyDescent="0.25">
      <c r="C40" s="419"/>
      <c r="D40" s="423"/>
      <c r="AE40" s="224">
        <v>544.89</v>
      </c>
    </row>
    <row r="41" spans="2:31" x14ac:dyDescent="0.25">
      <c r="D41" s="700"/>
      <c r="E41" s="700"/>
      <c r="AE41" s="224">
        <v>544.89599999999996</v>
      </c>
    </row>
    <row r="42" spans="2:31" x14ac:dyDescent="0.25">
      <c r="C42" s="698"/>
      <c r="D42" s="698"/>
      <c r="E42" s="698"/>
      <c r="AE42" s="224">
        <f>SUM(AE39:AE41)</f>
        <v>3179.7860000000001</v>
      </c>
    </row>
    <row r="43" spans="2:31" ht="30" customHeight="1" x14ac:dyDescent="0.25">
      <c r="Z43" s="224">
        <v>2090</v>
      </c>
    </row>
    <row r="44" spans="2:31" x14ac:dyDescent="0.25">
      <c r="Z44" s="224">
        <v>3179</v>
      </c>
    </row>
    <row r="45" spans="2:31" x14ac:dyDescent="0.25">
      <c r="Z45" s="224">
        <f>+Z44-Z43</f>
        <v>1089</v>
      </c>
    </row>
    <row r="52" spans="10:12" x14ac:dyDescent="0.25">
      <c r="J52" s="420"/>
    </row>
    <row r="53" spans="10:12" x14ac:dyDescent="0.25">
      <c r="J53" s="341"/>
      <c r="K53" s="341"/>
      <c r="L53" s="341"/>
    </row>
  </sheetData>
  <mergeCells count="5">
    <mergeCell ref="C42:E42"/>
    <mergeCell ref="B4:D4"/>
    <mergeCell ref="B38:E38"/>
    <mergeCell ref="D41:E41"/>
    <mergeCell ref="B2:D2"/>
  </mergeCells>
  <pageMargins left="0.7" right="0.7" top="0.75" bottom="0.75" header="0.3" footer="0.3"/>
  <pageSetup orientation="portrait"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L25"/>
  <sheetViews>
    <sheetView workbookViewId="0">
      <selection activeCell="A11" sqref="A11"/>
    </sheetView>
  </sheetViews>
  <sheetFormatPr defaultRowHeight="15" x14ac:dyDescent="0.25"/>
  <cols>
    <col min="1" max="1" width="39" bestFit="1" customWidth="1"/>
    <col min="3" max="3" width="12.5703125" bestFit="1" customWidth="1"/>
    <col min="4" max="4" width="11.5703125" bestFit="1" customWidth="1"/>
    <col min="5" max="5" width="9.85546875" bestFit="1" customWidth="1"/>
    <col min="6" max="6" width="9.5703125" bestFit="1" customWidth="1"/>
    <col min="7" max="7" width="27.28515625" bestFit="1" customWidth="1"/>
  </cols>
  <sheetData>
    <row r="1" spans="1:12" x14ac:dyDescent="0.25">
      <c r="D1" s="1" t="s">
        <v>266</v>
      </c>
    </row>
    <row r="2" spans="1:12" x14ac:dyDescent="0.25">
      <c r="A2" s="169" t="s">
        <v>267</v>
      </c>
      <c r="B2" s="170"/>
      <c r="C2" s="170">
        <v>90</v>
      </c>
      <c r="D2" s="170"/>
      <c r="E2" s="170"/>
      <c r="F2" s="171"/>
    </row>
    <row r="3" spans="1:12" x14ac:dyDescent="0.25">
      <c r="A3" s="172" t="s">
        <v>268</v>
      </c>
      <c r="C3">
        <v>135480</v>
      </c>
      <c r="D3" t="s">
        <v>269</v>
      </c>
      <c r="F3" s="173"/>
    </row>
    <row r="4" spans="1:12" x14ac:dyDescent="0.25">
      <c r="A4" s="174" t="s">
        <v>270</v>
      </c>
      <c r="B4" s="175"/>
      <c r="C4" s="175">
        <v>10838</v>
      </c>
      <c r="D4" s="175" t="s">
        <v>269</v>
      </c>
      <c r="E4" s="175"/>
      <c r="F4" s="176"/>
    </row>
    <row r="5" spans="1:12" x14ac:dyDescent="0.25">
      <c r="A5" s="177" t="s">
        <v>271</v>
      </c>
      <c r="B5" s="178"/>
      <c r="C5" s="145" t="s">
        <v>593</v>
      </c>
      <c r="D5" s="178" t="s">
        <v>272</v>
      </c>
      <c r="E5" s="178" t="s">
        <v>273</v>
      </c>
      <c r="F5" s="179" t="s">
        <v>274</v>
      </c>
      <c r="G5" s="142">
        <v>10000</v>
      </c>
    </row>
    <row r="6" spans="1:12" x14ac:dyDescent="0.25">
      <c r="A6" s="172" t="s">
        <v>275</v>
      </c>
      <c r="C6" s="142">
        <v>29.6936</v>
      </c>
      <c r="D6" s="17">
        <f>C6/C19</f>
        <v>0.21788670384502495</v>
      </c>
      <c r="E6" s="249">
        <f>C6/$C$3*1000</f>
        <v>0.21917330971361088</v>
      </c>
      <c r="F6" s="249">
        <f>C6/$C$2</f>
        <v>0.32992888888888888</v>
      </c>
    </row>
    <row r="7" spans="1:12" x14ac:dyDescent="0.25">
      <c r="A7" s="174" t="s">
        <v>276</v>
      </c>
      <c r="B7" s="175"/>
      <c r="C7" s="142">
        <v>0.35149999999999998</v>
      </c>
      <c r="D7" s="180">
        <f>C7/C19</f>
        <v>2.5792486058115642E-3</v>
      </c>
      <c r="E7" s="249">
        <f>C7/C3*1000</f>
        <v>2.5944788898730441E-3</v>
      </c>
      <c r="F7" s="249">
        <f t="shared" ref="F7:F19" si="0">C7/$C$2</f>
        <v>3.9055555555555553E-3</v>
      </c>
    </row>
    <row r="8" spans="1:12" x14ac:dyDescent="0.25">
      <c r="A8" s="172" t="s">
        <v>277</v>
      </c>
      <c r="C8" s="1">
        <f>SUM(C6:C7)</f>
        <v>30.045100000000001</v>
      </c>
      <c r="D8" s="17">
        <f>C8/C19</f>
        <v>0.22046595245083653</v>
      </c>
      <c r="E8" s="249">
        <f t="shared" ref="E8:E10" si="1">C8/$C$3*1000</f>
        <v>0.22176778860348392</v>
      </c>
      <c r="F8" s="249">
        <f t="shared" si="0"/>
        <v>0.33383444444444443</v>
      </c>
    </row>
    <row r="9" spans="1:12" x14ac:dyDescent="0.25">
      <c r="A9" s="172" t="s">
        <v>278</v>
      </c>
      <c r="C9" s="142">
        <v>42</v>
      </c>
      <c r="D9" s="17">
        <f>C9/C19</f>
        <v>0.30818902260052833</v>
      </c>
      <c r="E9" s="249">
        <f t="shared" si="1"/>
        <v>0.3100088573959256</v>
      </c>
      <c r="F9" s="249">
        <f t="shared" si="0"/>
        <v>0.46666666666666667</v>
      </c>
    </row>
    <row r="10" spans="1:12" x14ac:dyDescent="0.25">
      <c r="A10" s="174" t="s">
        <v>279</v>
      </c>
      <c r="B10" s="175"/>
      <c r="C10" s="142">
        <v>35.306100000000001</v>
      </c>
      <c r="D10" s="182">
        <f>C10/C19</f>
        <v>0.25907029644848839</v>
      </c>
      <c r="E10" s="249">
        <f t="shared" si="1"/>
        <v>0.26060008857395922</v>
      </c>
      <c r="F10" s="249">
        <f t="shared" si="0"/>
        <v>0.39229000000000003</v>
      </c>
    </row>
    <row r="11" spans="1:12" x14ac:dyDescent="0.25">
      <c r="A11" s="172" t="s">
        <v>280</v>
      </c>
      <c r="C11">
        <f>SUM(C9:C10)</f>
        <v>77.306100000000001</v>
      </c>
      <c r="D11" s="17">
        <f>C11/C19</f>
        <v>0.56725931904901672</v>
      </c>
      <c r="E11" s="249">
        <f>C11/$C$3*1000</f>
        <v>0.57060894596988487</v>
      </c>
      <c r="F11" s="249">
        <f t="shared" si="0"/>
        <v>0.8589566666666667</v>
      </c>
    </row>
    <row r="12" spans="1:12" x14ac:dyDescent="0.25">
      <c r="A12" s="183" t="s">
        <v>281</v>
      </c>
      <c r="B12" s="184"/>
      <c r="C12" s="184">
        <f>C8+C11</f>
        <v>107.35120000000001</v>
      </c>
      <c r="D12" s="185">
        <f>C12/C19</f>
        <v>0.78772527149985327</v>
      </c>
      <c r="E12" s="249">
        <f>C12/$C$3*1000</f>
        <v>0.79237673457336888</v>
      </c>
      <c r="F12" s="249">
        <f t="shared" si="0"/>
        <v>1.1927911111111111</v>
      </c>
    </row>
    <row r="13" spans="1:12" x14ac:dyDescent="0.25">
      <c r="A13" s="172" t="s">
        <v>282</v>
      </c>
      <c r="C13" s="142">
        <v>10.95</v>
      </c>
      <c r="D13" s="17">
        <f>C13/C19</f>
        <v>8.0349280892280592E-2</v>
      </c>
      <c r="E13" s="249">
        <f t="shared" ref="E13:E19" si="2">C13/$C$3*1000</f>
        <v>8.0823737821080599E-2</v>
      </c>
      <c r="F13" s="249">
        <f t="shared" si="0"/>
        <v>0.12166666666666666</v>
      </c>
      <c r="L13" s="280"/>
    </row>
    <row r="14" spans="1:12" x14ac:dyDescent="0.25">
      <c r="A14" s="172" t="s">
        <v>283</v>
      </c>
      <c r="C14" s="142">
        <v>2.5</v>
      </c>
      <c r="D14" s="17">
        <f>C14/C19</f>
        <v>1.8344584678602876E-2</v>
      </c>
      <c r="E14" s="249">
        <f t="shared" si="2"/>
        <v>1.8452908178328904E-2</v>
      </c>
      <c r="F14" s="249">
        <f t="shared" si="0"/>
        <v>2.7777777777777776E-2</v>
      </c>
    </row>
    <row r="15" spans="1:12" x14ac:dyDescent="0.25">
      <c r="A15" s="172" t="s">
        <v>201</v>
      </c>
      <c r="C15" s="142">
        <v>5.3849999999999998</v>
      </c>
      <c r="D15" s="17">
        <f>C15/C19</f>
        <v>3.9514235397710595E-2</v>
      </c>
      <c r="E15" s="249">
        <f t="shared" si="2"/>
        <v>3.9747564216120454E-2</v>
      </c>
      <c r="F15" s="249">
        <f t="shared" si="0"/>
        <v>5.9833333333333329E-2</v>
      </c>
    </row>
    <row r="16" spans="1:12" x14ac:dyDescent="0.25">
      <c r="A16" s="172" t="s">
        <v>284</v>
      </c>
      <c r="C16" s="142">
        <v>2.75</v>
      </c>
      <c r="D16" s="17">
        <f>C16/C19</f>
        <v>2.0179043146463165E-2</v>
      </c>
      <c r="E16" s="249">
        <f t="shared" si="2"/>
        <v>2.0298198996161795E-2</v>
      </c>
      <c r="F16" s="249">
        <f t="shared" si="0"/>
        <v>3.0555555555555555E-2</v>
      </c>
    </row>
    <row r="17" spans="1:7" x14ac:dyDescent="0.25">
      <c r="A17" s="172" t="s">
        <v>285</v>
      </c>
      <c r="C17" s="142">
        <v>8.0437999999999992</v>
      </c>
      <c r="D17" s="17">
        <f>C17/C19</f>
        <v>5.9024068095098317E-2</v>
      </c>
      <c r="E17" s="249">
        <f t="shared" si="2"/>
        <v>5.9372601121936812E-2</v>
      </c>
      <c r="F17" s="249">
        <f t="shared" si="0"/>
        <v>8.9375555555555541E-2</v>
      </c>
    </row>
    <row r="18" spans="1:7" x14ac:dyDescent="0.25">
      <c r="A18" s="186" t="s">
        <v>286</v>
      </c>
      <c r="B18" s="187"/>
      <c r="C18" s="187">
        <f>SUM(C13:C17)-0.7</f>
        <v>28.928799999999999</v>
      </c>
      <c r="D18" s="188">
        <v>0.21</v>
      </c>
      <c r="E18" s="249">
        <f t="shared" si="2"/>
        <v>0.21352819604369649</v>
      </c>
      <c r="F18" s="249">
        <f t="shared" si="0"/>
        <v>0.32143111111111111</v>
      </c>
    </row>
    <row r="19" spans="1:7" x14ac:dyDescent="0.25">
      <c r="A19" s="189" t="s">
        <v>30</v>
      </c>
      <c r="B19" s="190"/>
      <c r="C19" s="190">
        <f>C12+C18</f>
        <v>136.28</v>
      </c>
      <c r="D19" s="191">
        <v>1</v>
      </c>
      <c r="E19" s="281">
        <f t="shared" si="2"/>
        <v>1.0059049306170653</v>
      </c>
      <c r="F19" s="281">
        <f t="shared" si="0"/>
        <v>1.5142222222222221</v>
      </c>
    </row>
    <row r="21" spans="1:7" x14ac:dyDescent="0.25">
      <c r="D21" s="37">
        <f>C19-136.28</f>
        <v>0</v>
      </c>
    </row>
    <row r="22" spans="1:7" x14ac:dyDescent="0.25">
      <c r="A22" s="172" t="s">
        <v>201</v>
      </c>
      <c r="C22" s="2">
        <f>'Loan Repay Sch'!G20+'Loan Repay Sch'!K20+'Loan Repay Sch'!O8+'Loan Repay Sch'!O9+'Loan Repay Sch'!O10</f>
        <v>184.79166666666669</v>
      </c>
    </row>
    <row r="23" spans="1:7" x14ac:dyDescent="0.25">
      <c r="G23" s="37"/>
    </row>
    <row r="24" spans="1:7" x14ac:dyDescent="0.25">
      <c r="C24">
        <f>C16+C14+C13</f>
        <v>16.2</v>
      </c>
    </row>
    <row r="25" spans="1:7" x14ac:dyDescent="0.25">
      <c r="G25" s="37"/>
    </row>
  </sheetData>
  <pageMargins left="0.70866141732283472" right="0.70866141732283472" top="0.74803149606299213" bottom="0.74803149606299213" header="0.31496062992125984" footer="0.31496062992125984"/>
  <pageSetup paperSize="9"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dimension ref="B1:L89"/>
  <sheetViews>
    <sheetView showGridLines="0" view="pageBreakPreview" zoomScaleNormal="100" zoomScaleSheetLayoutView="100" workbookViewId="0">
      <selection activeCell="I53" sqref="I53"/>
    </sheetView>
  </sheetViews>
  <sheetFormatPr defaultColWidth="9.140625" defaultRowHeight="15" x14ac:dyDescent="0.25"/>
  <cols>
    <col min="1" max="2" width="6.7109375" style="224" customWidth="1"/>
    <col min="3" max="3" width="44.5703125" style="224" customWidth="1"/>
    <col min="4" max="4" width="16.5703125" style="224" customWidth="1"/>
    <col min="5" max="5" width="20" style="224" customWidth="1"/>
    <col min="6" max="6" width="21.85546875" style="224" customWidth="1"/>
    <col min="7" max="7" width="9.42578125" style="224" bestFit="1" customWidth="1"/>
    <col min="8" max="8" width="14.85546875" style="224" bestFit="1" customWidth="1"/>
    <col min="9" max="9" width="15.85546875" style="224" bestFit="1" customWidth="1"/>
    <col min="10" max="10" width="12" style="224" bestFit="1" customWidth="1"/>
    <col min="11" max="11" width="14.85546875" style="224" bestFit="1" customWidth="1"/>
    <col min="12" max="16384" width="9.140625" style="224"/>
  </cols>
  <sheetData>
    <row r="1" spans="2:10" ht="16.5" customHeight="1" x14ac:dyDescent="0.25"/>
    <row r="2" spans="2:10" x14ac:dyDescent="0.25">
      <c r="B2" s="706" t="s">
        <v>770</v>
      </c>
      <c r="C2" s="706"/>
      <c r="D2" s="706"/>
      <c r="E2" s="706"/>
      <c r="F2" s="706"/>
    </row>
    <row r="3" spans="2:10" ht="15" customHeight="1" x14ac:dyDescent="0.25">
      <c r="B3" s="707"/>
      <c r="C3" s="707"/>
      <c r="D3" s="707"/>
      <c r="E3" s="707"/>
      <c r="F3" s="707"/>
    </row>
    <row r="4" spans="2:10" x14ac:dyDescent="0.25">
      <c r="B4" s="708" t="s">
        <v>220</v>
      </c>
      <c r="C4" s="708"/>
      <c r="D4" s="708"/>
      <c r="E4" s="306"/>
      <c r="F4" s="307"/>
    </row>
    <row r="5" spans="2:10" ht="18.75" customHeight="1" x14ac:dyDescent="0.25">
      <c r="B5" s="230">
        <v>1</v>
      </c>
      <c r="C5" s="308" t="s">
        <v>443</v>
      </c>
      <c r="D5" s="702" t="s">
        <v>773</v>
      </c>
      <c r="E5" s="702"/>
      <c r="F5" s="702"/>
    </row>
    <row r="6" spans="2:10" ht="20.25" customHeight="1" x14ac:dyDescent="0.25">
      <c r="B6" s="231">
        <v>2</v>
      </c>
      <c r="C6" s="309" t="s">
        <v>444</v>
      </c>
      <c r="D6" s="709" t="s">
        <v>918</v>
      </c>
      <c r="E6" s="710"/>
      <c r="F6" s="711"/>
      <c r="H6" s="225"/>
      <c r="I6" s="225"/>
    </row>
    <row r="7" spans="2:10" ht="15.75" customHeight="1" x14ac:dyDescent="0.25">
      <c r="B7" s="230">
        <v>3</v>
      </c>
      <c r="C7" s="308" t="s">
        <v>445</v>
      </c>
      <c r="D7" s="703" t="s">
        <v>446</v>
      </c>
      <c r="E7" s="704"/>
      <c r="F7" s="705"/>
    </row>
    <row r="8" spans="2:10" ht="30.75" customHeight="1" x14ac:dyDescent="0.25">
      <c r="B8" s="230">
        <v>4</v>
      </c>
      <c r="C8" s="308" t="s">
        <v>447</v>
      </c>
      <c r="D8" s="712">
        <f>300000000/10^5</f>
        <v>3000</v>
      </c>
      <c r="E8" s="713"/>
      <c r="F8" s="574" t="s">
        <v>778</v>
      </c>
      <c r="I8" s="420"/>
      <c r="J8" s="310"/>
    </row>
    <row r="9" spans="2:10" ht="15" customHeight="1" x14ac:dyDescent="0.25">
      <c r="C9" s="311"/>
      <c r="D9" s="312"/>
      <c r="E9" s="312"/>
      <c r="F9" s="311" t="s">
        <v>774</v>
      </c>
    </row>
    <row r="10" spans="2:10" ht="15" customHeight="1" x14ac:dyDescent="0.25">
      <c r="B10" s="714" t="s">
        <v>448</v>
      </c>
      <c r="C10" s="714"/>
      <c r="D10" s="714"/>
      <c r="E10" s="307"/>
      <c r="F10" s="307"/>
    </row>
    <row r="11" spans="2:10" ht="15" customHeight="1" x14ac:dyDescent="0.25">
      <c r="B11" s="313" t="s">
        <v>449</v>
      </c>
      <c r="C11" s="313" t="s">
        <v>450</v>
      </c>
      <c r="D11" s="314" t="s">
        <v>451</v>
      </c>
      <c r="E11" s="314" t="s">
        <v>452</v>
      </c>
      <c r="F11" s="314" t="s">
        <v>453</v>
      </c>
    </row>
    <row r="12" spans="2:10" ht="45" x14ac:dyDescent="0.25">
      <c r="B12" s="230">
        <v>1</v>
      </c>
      <c r="C12" s="564" t="s">
        <v>454</v>
      </c>
      <c r="D12" s="565"/>
      <c r="E12" s="566"/>
      <c r="F12" s="225">
        <v>2000</v>
      </c>
    </row>
    <row r="13" spans="2:10" x14ac:dyDescent="0.25">
      <c r="B13" s="315"/>
      <c r="C13" s="585" t="s">
        <v>775</v>
      </c>
      <c r="D13" s="586"/>
      <c r="E13" s="587"/>
      <c r="F13" s="225">
        <v>250</v>
      </c>
    </row>
    <row r="14" spans="2:10" x14ac:dyDescent="0.25">
      <c r="B14" s="315">
        <v>2</v>
      </c>
      <c r="C14" s="567" t="s">
        <v>455</v>
      </c>
      <c r="D14" s="565"/>
      <c r="E14" s="565"/>
      <c r="F14" s="225"/>
      <c r="H14" s="226"/>
      <c r="J14" s="226"/>
    </row>
    <row r="15" spans="2:10" x14ac:dyDescent="0.25">
      <c r="B15" s="230">
        <v>3</v>
      </c>
      <c r="C15" s="568" t="s">
        <v>456</v>
      </c>
      <c r="D15" s="565"/>
      <c r="E15" s="565"/>
      <c r="F15" s="225"/>
    </row>
    <row r="16" spans="2:10" ht="15.75" customHeight="1" x14ac:dyDescent="0.25">
      <c r="B16" s="315">
        <v>4</v>
      </c>
      <c r="C16" s="569" t="s">
        <v>457</v>
      </c>
      <c r="D16" s="565"/>
      <c r="E16" s="570"/>
      <c r="F16" s="225"/>
    </row>
    <row r="17" spans="2:8" x14ac:dyDescent="0.25">
      <c r="B17" s="230">
        <v>5</v>
      </c>
      <c r="C17" s="571" t="s">
        <v>458</v>
      </c>
      <c r="D17" s="565"/>
      <c r="E17" s="572"/>
      <c r="F17" s="225"/>
      <c r="G17" s="226"/>
    </row>
    <row r="18" spans="2:8" x14ac:dyDescent="0.25">
      <c r="B18" s="315">
        <v>6</v>
      </c>
      <c r="C18" s="573" t="s">
        <v>459</v>
      </c>
      <c r="D18" s="565"/>
      <c r="E18" s="572"/>
      <c r="F18" s="225"/>
    </row>
    <row r="19" spans="2:8" x14ac:dyDescent="0.25">
      <c r="B19" s="315"/>
      <c r="C19" s="715" t="s">
        <v>460</v>
      </c>
      <c r="D19" s="716"/>
      <c r="E19" s="717"/>
      <c r="F19" s="318">
        <f>SUM(F12:F18)</f>
        <v>2250</v>
      </c>
      <c r="H19" s="225"/>
    </row>
    <row r="20" spans="2:8" x14ac:dyDescent="0.25">
      <c r="B20" s="315"/>
      <c r="C20" s="317"/>
      <c r="D20" s="317"/>
      <c r="E20" s="317"/>
      <c r="F20" s="225"/>
    </row>
    <row r="21" spans="2:8" x14ac:dyDescent="0.25">
      <c r="B21" s="315">
        <v>7</v>
      </c>
      <c r="C21" s="573" t="s">
        <v>461</v>
      </c>
      <c r="D21" s="565"/>
      <c r="E21" s="572"/>
      <c r="F21" s="225"/>
    </row>
    <row r="22" spans="2:8" x14ac:dyDescent="0.25">
      <c r="B22" s="315">
        <v>8</v>
      </c>
      <c r="C22" s="573" t="s">
        <v>462</v>
      </c>
      <c r="D22" s="573"/>
      <c r="E22" s="573"/>
      <c r="F22" s="225"/>
    </row>
    <row r="23" spans="2:8" x14ac:dyDescent="0.25">
      <c r="B23" s="316"/>
      <c r="C23" s="319" t="s">
        <v>30</v>
      </c>
      <c r="D23" s="313"/>
      <c r="E23" s="313"/>
      <c r="F23" s="318">
        <f>SUM(F19:F22)</f>
        <v>2250</v>
      </c>
      <c r="H23" s="225"/>
    </row>
    <row r="24" spans="2:8" x14ac:dyDescent="0.25">
      <c r="B24" s="320"/>
      <c r="C24" s="321"/>
      <c r="D24" s="322"/>
      <c r="E24" s="322"/>
      <c r="F24" s="323"/>
    </row>
    <row r="25" spans="2:8" x14ac:dyDescent="0.25">
      <c r="B25" s="718" t="s">
        <v>463</v>
      </c>
      <c r="C25" s="718"/>
      <c r="D25" s="718"/>
      <c r="E25" s="307"/>
      <c r="F25" s="324"/>
    </row>
    <row r="26" spans="2:8" x14ac:dyDescent="0.25">
      <c r="B26" s="719" t="s">
        <v>464</v>
      </c>
      <c r="C26" s="720" t="s">
        <v>250</v>
      </c>
      <c r="D26" s="721"/>
      <c r="E26" s="721" t="s">
        <v>465</v>
      </c>
      <c r="F26" s="725" t="s">
        <v>466</v>
      </c>
    </row>
    <row r="27" spans="2:8" ht="5.25" customHeight="1" x14ac:dyDescent="0.25">
      <c r="B27" s="719"/>
      <c r="C27" s="720"/>
      <c r="D27" s="721"/>
      <c r="E27" s="721"/>
      <c r="F27" s="725"/>
    </row>
    <row r="28" spans="2:8" ht="15" hidden="1" customHeight="1" x14ac:dyDescent="0.25">
      <c r="B28" s="719"/>
      <c r="C28" s="720"/>
      <c r="D28" s="313"/>
      <c r="E28" s="721"/>
      <c r="F28" s="725"/>
    </row>
    <row r="29" spans="2:8" x14ac:dyDescent="0.25">
      <c r="B29" s="230">
        <v>1</v>
      </c>
      <c r="C29" s="567" t="s">
        <v>968</v>
      </c>
      <c r="D29" s="579"/>
      <c r="E29" s="580">
        <f>H29/10^5</f>
        <v>185.60794000000001</v>
      </c>
      <c r="F29" s="225">
        <v>350</v>
      </c>
      <c r="H29" s="420">
        <v>18560794</v>
      </c>
    </row>
    <row r="30" spans="2:8" hidden="1" x14ac:dyDescent="0.25">
      <c r="B30" s="230">
        <v>2</v>
      </c>
      <c r="C30" s="581" t="s">
        <v>467</v>
      </c>
      <c r="D30" s="582"/>
      <c r="E30" s="582"/>
      <c r="F30" s="225"/>
    </row>
    <row r="31" spans="2:8" hidden="1" x14ac:dyDescent="0.25">
      <c r="B31" s="230">
        <v>3</v>
      </c>
      <c r="C31" s="567" t="s">
        <v>468</v>
      </c>
      <c r="D31" s="582"/>
      <c r="E31" s="582"/>
      <c r="F31" s="225"/>
    </row>
    <row r="32" spans="2:8" hidden="1" x14ac:dyDescent="0.25">
      <c r="B32" s="230">
        <v>4</v>
      </c>
      <c r="C32" s="567" t="s">
        <v>469</v>
      </c>
      <c r="D32" s="582"/>
      <c r="E32" s="582"/>
      <c r="F32" s="225"/>
    </row>
    <row r="33" spans="2:12" hidden="1" x14ac:dyDescent="0.25">
      <c r="B33" s="230">
        <v>5</v>
      </c>
      <c r="C33" s="567" t="s">
        <v>470</v>
      </c>
      <c r="D33" s="582"/>
      <c r="E33" s="582"/>
      <c r="F33" s="225"/>
    </row>
    <row r="34" spans="2:12" hidden="1" x14ac:dyDescent="0.25">
      <c r="B34" s="230">
        <v>6</v>
      </c>
      <c r="C34" s="567" t="s">
        <v>471</v>
      </c>
      <c r="D34" s="582"/>
      <c r="E34" s="582"/>
      <c r="F34" s="225"/>
    </row>
    <row r="35" spans="2:12" hidden="1" x14ac:dyDescent="0.25">
      <c r="B35" s="230">
        <v>7</v>
      </c>
      <c r="C35" s="567" t="s">
        <v>472</v>
      </c>
      <c r="D35" s="582"/>
      <c r="E35" s="582"/>
      <c r="F35" s="225"/>
      <c r="H35" s="224" t="s">
        <v>959</v>
      </c>
      <c r="I35" s="420">
        <v>3379400</v>
      </c>
      <c r="J35" s="224">
        <f>+I35*18%</f>
        <v>608292</v>
      </c>
      <c r="K35" s="694">
        <f>+I35+J35</f>
        <v>3987692</v>
      </c>
    </row>
    <row r="36" spans="2:12" hidden="1" x14ac:dyDescent="0.25">
      <c r="B36" s="230">
        <v>8</v>
      </c>
      <c r="C36" s="567" t="s">
        <v>473</v>
      </c>
      <c r="D36" s="582"/>
      <c r="E36" s="582"/>
      <c r="F36" s="225"/>
      <c r="H36" s="224" t="s">
        <v>960</v>
      </c>
      <c r="I36" s="420">
        <v>10594370</v>
      </c>
      <c r="J36" s="224">
        <f>+I36*28%</f>
        <v>2966423.6</v>
      </c>
      <c r="K36" s="694">
        <f>+I36+J36</f>
        <v>13560793.6</v>
      </c>
    </row>
    <row r="37" spans="2:12" hidden="1" x14ac:dyDescent="0.25">
      <c r="B37" s="236">
        <v>9</v>
      </c>
      <c r="C37" s="583" t="s">
        <v>474</v>
      </c>
      <c r="D37" s="584"/>
      <c r="E37" s="584"/>
      <c r="F37" s="225"/>
      <c r="H37" s="224" t="s">
        <v>961</v>
      </c>
      <c r="I37" s="420">
        <v>1982058</v>
      </c>
      <c r="J37" s="224">
        <v>356770</v>
      </c>
      <c r="K37" s="694">
        <f>+I37+J37</f>
        <v>2338828</v>
      </c>
    </row>
    <row r="38" spans="2:12" ht="15" hidden="1" customHeight="1" x14ac:dyDescent="0.25">
      <c r="B38" s="230">
        <v>11</v>
      </c>
      <c r="C38" s="567" t="s">
        <v>475</v>
      </c>
      <c r="D38" s="582"/>
      <c r="E38" s="582"/>
      <c r="F38" s="225"/>
      <c r="H38" s="224" t="s">
        <v>962</v>
      </c>
      <c r="I38" s="420">
        <f>4708200+1375000</f>
        <v>6083200</v>
      </c>
      <c r="J38" s="224">
        <f>+I38*18%</f>
        <v>1094976</v>
      </c>
      <c r="K38" s="694">
        <f t="shared" ref="K38:K39" si="0">+I38+J38</f>
        <v>7178176</v>
      </c>
    </row>
    <row r="39" spans="2:12" hidden="1" x14ac:dyDescent="0.25">
      <c r="B39" s="230">
        <v>12</v>
      </c>
      <c r="C39" s="567" t="s">
        <v>476</v>
      </c>
      <c r="D39" s="579"/>
      <c r="E39" s="582"/>
      <c r="F39" s="225"/>
      <c r="H39" s="224" t="s">
        <v>484</v>
      </c>
      <c r="I39" s="420">
        <v>6800000</v>
      </c>
      <c r="J39" s="224">
        <v>1224000</v>
      </c>
      <c r="K39" s="694">
        <f t="shared" si="0"/>
        <v>8024000</v>
      </c>
      <c r="L39" s="224">
        <f>+I39*18/100</f>
        <v>1224000</v>
      </c>
    </row>
    <row r="40" spans="2:12" hidden="1" x14ac:dyDescent="0.25">
      <c r="B40" s="230">
        <v>13</v>
      </c>
      <c r="C40" s="583" t="s">
        <v>477</v>
      </c>
      <c r="D40" s="584"/>
      <c r="E40" s="582"/>
      <c r="F40" s="225"/>
      <c r="I40" s="341">
        <f>SUM(I35:I39)</f>
        <v>28839028</v>
      </c>
      <c r="K40" s="694">
        <f>SUM(K35:K39)</f>
        <v>35089489.600000001</v>
      </c>
    </row>
    <row r="41" spans="2:12" ht="16.5" hidden="1" customHeight="1" x14ac:dyDescent="0.25">
      <c r="B41" s="230">
        <v>14</v>
      </c>
      <c r="C41" s="583" t="s">
        <v>478</v>
      </c>
      <c r="D41" s="584"/>
      <c r="E41" s="582"/>
      <c r="F41" s="225"/>
    </row>
    <row r="42" spans="2:12" ht="15" hidden="1" customHeight="1" x14ac:dyDescent="0.25">
      <c r="B42" s="230">
        <v>15</v>
      </c>
      <c r="C42" s="567" t="s">
        <v>479</v>
      </c>
      <c r="D42" s="582"/>
      <c r="E42" s="582"/>
      <c r="F42" s="227"/>
      <c r="I42" s="224">
        <v>3500000</v>
      </c>
    </row>
    <row r="43" spans="2:12" hidden="1" x14ac:dyDescent="0.25">
      <c r="B43" s="230">
        <v>16</v>
      </c>
      <c r="C43" s="567" t="s">
        <v>480</v>
      </c>
      <c r="D43" s="579"/>
      <c r="E43" s="582"/>
      <c r="F43" s="225"/>
    </row>
    <row r="44" spans="2:12" x14ac:dyDescent="0.25">
      <c r="B44" s="230">
        <v>17</v>
      </c>
      <c r="C44" s="567" t="s">
        <v>970</v>
      </c>
      <c r="D44" s="579"/>
      <c r="E44" s="582">
        <f>+H44/10^5</f>
        <v>23.388280000000002</v>
      </c>
      <c r="F44" s="225"/>
      <c r="H44" s="224">
        <v>2338828</v>
      </c>
    </row>
    <row r="45" spans="2:12" ht="30" x14ac:dyDescent="0.25">
      <c r="B45" s="230">
        <v>18</v>
      </c>
      <c r="C45" s="567" t="s">
        <v>971</v>
      </c>
      <c r="D45" s="582"/>
      <c r="E45" s="582">
        <f>+H45/10^5</f>
        <v>13.57</v>
      </c>
      <c r="F45" s="225"/>
      <c r="H45" s="224">
        <v>1357000</v>
      </c>
    </row>
    <row r="46" spans="2:12" ht="30" hidden="1" x14ac:dyDescent="0.25">
      <c r="B46" s="230">
        <v>19</v>
      </c>
      <c r="C46" s="567" t="s">
        <v>481</v>
      </c>
      <c r="D46" s="582"/>
      <c r="E46" s="582"/>
      <c r="F46" s="225"/>
    </row>
    <row r="47" spans="2:12" x14ac:dyDescent="0.25">
      <c r="B47" s="230">
        <v>20</v>
      </c>
      <c r="C47" s="567" t="s">
        <v>482</v>
      </c>
      <c r="D47" s="582"/>
      <c r="E47" s="582">
        <f>3987692/10^5</f>
        <v>39.876919999999998</v>
      </c>
      <c r="F47" s="225"/>
      <c r="H47" s="420" t="s">
        <v>969</v>
      </c>
    </row>
    <row r="48" spans="2:12" hidden="1" x14ac:dyDescent="0.25">
      <c r="B48" s="230">
        <v>21</v>
      </c>
      <c r="C48" s="567" t="s">
        <v>483</v>
      </c>
      <c r="D48" s="582"/>
      <c r="E48" s="582"/>
      <c r="F48" s="225"/>
    </row>
    <row r="49" spans="2:8" x14ac:dyDescent="0.25">
      <c r="B49" s="230">
        <v>22</v>
      </c>
      <c r="C49" s="567" t="s">
        <v>972</v>
      </c>
      <c r="D49" s="582"/>
      <c r="E49" s="582">
        <f>+H49/10^5</f>
        <v>68</v>
      </c>
      <c r="F49" s="225"/>
      <c r="H49" s="224">
        <v>6800000</v>
      </c>
    </row>
    <row r="50" spans="2:8" x14ac:dyDescent="0.25">
      <c r="B50" s="230">
        <v>23</v>
      </c>
      <c r="C50" s="567" t="s">
        <v>485</v>
      </c>
      <c r="D50" s="582"/>
      <c r="E50" s="582">
        <f>+H50/10^5</f>
        <v>19.55686</v>
      </c>
      <c r="F50" s="225"/>
      <c r="H50" s="224">
        <v>1955686</v>
      </c>
    </row>
    <row r="51" spans="2:8" x14ac:dyDescent="0.25">
      <c r="B51" s="143"/>
      <c r="C51" s="325" t="s">
        <v>30</v>
      </c>
      <c r="D51" s="228"/>
      <c r="E51" s="229"/>
      <c r="F51" s="282">
        <f>SUM(F29:F50)</f>
        <v>350</v>
      </c>
    </row>
    <row r="52" spans="2:8" x14ac:dyDescent="0.25">
      <c r="B52" s="326"/>
      <c r="C52" s="327"/>
      <c r="D52" s="328"/>
      <c r="E52" s="329"/>
      <c r="F52" s="330"/>
    </row>
    <row r="53" spans="2:8" x14ac:dyDescent="0.25">
      <c r="B53" s="726" t="s">
        <v>486</v>
      </c>
      <c r="C53" s="726"/>
      <c r="D53" s="726"/>
      <c r="E53" s="726"/>
      <c r="F53" s="726"/>
    </row>
    <row r="54" spans="2:8" x14ac:dyDescent="0.25">
      <c r="B54" s="316" t="s">
        <v>487</v>
      </c>
      <c r="C54" s="331" t="s">
        <v>488</v>
      </c>
      <c r="D54" s="331" t="s">
        <v>489</v>
      </c>
      <c r="E54" s="230" t="s">
        <v>465</v>
      </c>
      <c r="F54" s="230" t="s">
        <v>453</v>
      </c>
    </row>
    <row r="55" spans="2:8" ht="15" customHeight="1" x14ac:dyDescent="0.25">
      <c r="B55" s="236">
        <v>1</v>
      </c>
      <c r="C55" s="567" t="s">
        <v>490</v>
      </c>
      <c r="D55" s="575"/>
      <c r="E55" s="576"/>
      <c r="F55" s="485">
        <v>150</v>
      </c>
    </row>
    <row r="56" spans="2:8" x14ac:dyDescent="0.25">
      <c r="B56" s="236">
        <v>2</v>
      </c>
      <c r="C56" s="567" t="s">
        <v>491</v>
      </c>
      <c r="D56" s="575"/>
      <c r="E56" s="575"/>
      <c r="F56" s="225"/>
    </row>
    <row r="57" spans="2:8" x14ac:dyDescent="0.25">
      <c r="B57" s="236">
        <v>3</v>
      </c>
      <c r="C57" s="567" t="s">
        <v>492</v>
      </c>
      <c r="D57" s="575"/>
      <c r="E57" s="575"/>
      <c r="F57" s="225"/>
    </row>
    <row r="58" spans="2:8" x14ac:dyDescent="0.25">
      <c r="B58" s="236">
        <v>4</v>
      </c>
      <c r="C58" s="567" t="s">
        <v>316</v>
      </c>
      <c r="D58" s="575"/>
      <c r="E58" s="575"/>
      <c r="F58" s="225"/>
    </row>
    <row r="59" spans="2:8" x14ac:dyDescent="0.25">
      <c r="B59" s="236">
        <v>8</v>
      </c>
      <c r="C59" s="577" t="s">
        <v>493</v>
      </c>
      <c r="D59" s="578"/>
      <c r="E59" s="575"/>
      <c r="F59" s="225"/>
    </row>
    <row r="60" spans="2:8" x14ac:dyDescent="0.25">
      <c r="B60" s="236">
        <v>9</v>
      </c>
      <c r="C60" s="577" t="s">
        <v>494</v>
      </c>
      <c r="D60" s="578"/>
      <c r="E60" s="575"/>
      <c r="F60" s="225"/>
    </row>
    <row r="61" spans="2:8" x14ac:dyDescent="0.25">
      <c r="B61" s="236">
        <v>10</v>
      </c>
      <c r="C61" s="577" t="s">
        <v>495</v>
      </c>
      <c r="D61" s="578"/>
      <c r="E61" s="575"/>
      <c r="F61" s="225"/>
    </row>
    <row r="62" spans="2:8" x14ac:dyDescent="0.25">
      <c r="B62" s="236">
        <v>11</v>
      </c>
      <c r="C62" s="577" t="s">
        <v>496</v>
      </c>
      <c r="D62" s="578"/>
      <c r="E62" s="575"/>
      <c r="F62" s="225"/>
    </row>
    <row r="63" spans="2:8" x14ac:dyDescent="0.25">
      <c r="B63" s="236">
        <v>12</v>
      </c>
      <c r="C63" s="577" t="s">
        <v>497</v>
      </c>
      <c r="D63" s="578"/>
      <c r="E63" s="575"/>
      <c r="F63" s="225"/>
    </row>
    <row r="64" spans="2:8" x14ac:dyDescent="0.25">
      <c r="B64" s="236">
        <v>13</v>
      </c>
      <c r="C64" s="577" t="s">
        <v>498</v>
      </c>
      <c r="D64" s="578"/>
      <c r="E64" s="575"/>
      <c r="F64" s="225"/>
    </row>
    <row r="65" spans="2:7" x14ac:dyDescent="0.25">
      <c r="B65" s="236">
        <v>14</v>
      </c>
      <c r="C65" s="577" t="s">
        <v>499</v>
      </c>
      <c r="D65" s="578"/>
      <c r="E65" s="575"/>
      <c r="F65" s="225"/>
    </row>
    <row r="66" spans="2:7" x14ac:dyDescent="0.25">
      <c r="B66" s="236">
        <v>15</v>
      </c>
      <c r="C66" s="577" t="s">
        <v>500</v>
      </c>
      <c r="D66" s="578"/>
      <c r="E66" s="575"/>
      <c r="F66" s="225"/>
    </row>
    <row r="67" spans="2:7" x14ac:dyDescent="0.25">
      <c r="B67" s="236">
        <v>16</v>
      </c>
      <c r="C67" s="567" t="s">
        <v>501</v>
      </c>
      <c r="D67" s="575"/>
      <c r="E67" s="575"/>
      <c r="F67" s="225"/>
    </row>
    <row r="68" spans="2:7" x14ac:dyDescent="0.25">
      <c r="B68" s="236">
        <v>17</v>
      </c>
      <c r="C68" s="567" t="s">
        <v>502</v>
      </c>
      <c r="D68" s="575"/>
      <c r="E68" s="575"/>
      <c r="F68" s="225"/>
    </row>
    <row r="69" spans="2:7" x14ac:dyDescent="0.25">
      <c r="B69" s="236">
        <v>18</v>
      </c>
      <c r="C69" s="332" t="s">
        <v>503</v>
      </c>
      <c r="D69" s="231"/>
      <c r="E69" s="231"/>
      <c r="F69" s="225"/>
    </row>
    <row r="70" spans="2:7" x14ac:dyDescent="0.25">
      <c r="B70" s="143"/>
      <c r="C70" s="232" t="s">
        <v>213</v>
      </c>
      <c r="D70" s="232"/>
      <c r="E70" s="232"/>
      <c r="F70" s="637">
        <f>SUM(F55:F69)</f>
        <v>150</v>
      </c>
      <c r="G70" s="225"/>
    </row>
    <row r="71" spans="2:7" x14ac:dyDescent="0.25">
      <c r="B71" s="333"/>
      <c r="C71" s="233"/>
      <c r="D71" s="233"/>
      <c r="E71" s="233"/>
      <c r="F71" s="234"/>
    </row>
    <row r="72" spans="2:7" x14ac:dyDescent="0.25">
      <c r="B72" s="718"/>
      <c r="C72" s="718"/>
      <c r="D72" s="718"/>
      <c r="E72" s="718"/>
      <c r="F72" s="718"/>
    </row>
    <row r="73" spans="2:7" ht="21.75" customHeight="1" x14ac:dyDescent="0.25">
      <c r="B73" s="230" t="s">
        <v>487</v>
      </c>
      <c r="C73" s="727" t="s">
        <v>250</v>
      </c>
      <c r="D73" s="728"/>
      <c r="E73" s="729"/>
      <c r="F73" s="235" t="s">
        <v>504</v>
      </c>
    </row>
    <row r="74" spans="2:7" ht="15.75" hidden="1" customHeight="1" x14ac:dyDescent="0.25">
      <c r="B74" s="236"/>
      <c r="C74" s="722"/>
      <c r="D74" s="723"/>
      <c r="E74" s="724"/>
      <c r="F74" s="144"/>
    </row>
    <row r="75" spans="2:7" ht="18" customHeight="1" x14ac:dyDescent="0.25">
      <c r="B75" s="236">
        <v>1</v>
      </c>
      <c r="C75" s="722" t="s">
        <v>505</v>
      </c>
      <c r="D75" s="723"/>
      <c r="E75" s="724"/>
      <c r="F75" s="144">
        <f>+'Loan Repay Sch'!E35</f>
        <v>234.79166666666669</v>
      </c>
      <c r="G75" s="225">
        <f>'Loan Repay Sch'!G20+'Loan Repay Sch'!K20+'Loan Repay Sch'!O8+'Loan Repay Sch'!O9+'Loan Repay Sch'!O10</f>
        <v>184.79166666666669</v>
      </c>
    </row>
    <row r="76" spans="2:7" ht="15.75" customHeight="1" x14ac:dyDescent="0.25">
      <c r="B76" s="236">
        <v>2</v>
      </c>
      <c r="C76" s="722" t="s">
        <v>506</v>
      </c>
      <c r="D76" s="723"/>
      <c r="E76" s="724"/>
      <c r="F76" s="144">
        <v>75</v>
      </c>
    </row>
    <row r="77" spans="2:7" x14ac:dyDescent="0.25">
      <c r="B77" s="334"/>
      <c r="C77" s="715" t="s">
        <v>435</v>
      </c>
      <c r="D77" s="716"/>
      <c r="E77" s="717"/>
      <c r="F77" s="335">
        <f>SUM(F74:F76)</f>
        <v>309.79166666666669</v>
      </c>
    </row>
    <row r="78" spans="2:7" x14ac:dyDescent="0.25">
      <c r="C78" s="336"/>
      <c r="D78" s="336"/>
      <c r="E78" s="336"/>
      <c r="F78" s="337"/>
      <c r="G78" s="338"/>
    </row>
    <row r="79" spans="2:7" x14ac:dyDescent="0.25">
      <c r="B79" s="143" t="s">
        <v>779</v>
      </c>
      <c r="C79" s="702" t="s">
        <v>776</v>
      </c>
      <c r="D79" s="702"/>
      <c r="E79" s="702"/>
      <c r="F79" s="235" t="s">
        <v>504</v>
      </c>
      <c r="G79" s="338"/>
    </row>
    <row r="80" spans="2:7" x14ac:dyDescent="0.25">
      <c r="B80" s="143">
        <v>1</v>
      </c>
      <c r="C80" s="702" t="s">
        <v>777</v>
      </c>
      <c r="D80" s="702"/>
      <c r="E80" s="702"/>
      <c r="F80" s="589">
        <v>120</v>
      </c>
      <c r="G80" s="338"/>
    </row>
    <row r="81" spans="3:9" x14ac:dyDescent="0.25">
      <c r="C81" s="588"/>
      <c r="D81" s="588"/>
      <c r="E81" s="588"/>
      <c r="F81" s="337"/>
      <c r="G81" s="338"/>
    </row>
    <row r="82" spans="3:9" x14ac:dyDescent="0.25">
      <c r="C82" s="588"/>
      <c r="D82" s="588"/>
      <c r="E82" s="588"/>
      <c r="F82" s="337"/>
      <c r="G82" s="338"/>
    </row>
    <row r="84" spans="3:9" x14ac:dyDescent="0.25">
      <c r="D84" s="311"/>
      <c r="E84" s="311" t="s">
        <v>30</v>
      </c>
      <c r="F84" s="339">
        <f>F77+F70+F51+F23+F80</f>
        <v>3179.791666666667</v>
      </c>
    </row>
    <row r="85" spans="3:9" x14ac:dyDescent="0.25">
      <c r="D85" s="311"/>
      <c r="E85" s="340" t="s">
        <v>599</v>
      </c>
      <c r="F85" s="225">
        <v>0</v>
      </c>
    </row>
    <row r="86" spans="3:9" x14ac:dyDescent="0.25">
      <c r="D86" s="311"/>
      <c r="E86" s="311"/>
      <c r="F86" s="339">
        <f>SUM(F84:F85)</f>
        <v>3179.791666666667</v>
      </c>
      <c r="G86" s="224" t="s">
        <v>778</v>
      </c>
      <c r="H86" s="237"/>
      <c r="I86" s="237"/>
    </row>
    <row r="87" spans="3:9" x14ac:dyDescent="0.25">
      <c r="H87" s="237"/>
      <c r="I87" s="237"/>
    </row>
    <row r="89" spans="3:9" x14ac:dyDescent="0.25">
      <c r="F89" s="341">
        <f>F86-Cost!D27</f>
        <v>0</v>
      </c>
    </row>
  </sheetData>
  <mergeCells count="24">
    <mergeCell ref="C75:E75"/>
    <mergeCell ref="C76:E76"/>
    <mergeCell ref="C77:E77"/>
    <mergeCell ref="F26:F28"/>
    <mergeCell ref="B53:F53"/>
    <mergeCell ref="B72:F72"/>
    <mergeCell ref="C73:E73"/>
    <mergeCell ref="C74:E74"/>
    <mergeCell ref="C79:E79"/>
    <mergeCell ref="C80:E80"/>
    <mergeCell ref="D7:F7"/>
    <mergeCell ref="B2:F2"/>
    <mergeCell ref="B3:F3"/>
    <mergeCell ref="B4:D4"/>
    <mergeCell ref="D5:F5"/>
    <mergeCell ref="D6:F6"/>
    <mergeCell ref="D8:E8"/>
    <mergeCell ref="B10:D10"/>
    <mergeCell ref="C19:E19"/>
    <mergeCell ref="B25:D25"/>
    <mergeCell ref="B26:B28"/>
    <mergeCell ref="C26:C28"/>
    <mergeCell ref="D26:D27"/>
    <mergeCell ref="E26:E28"/>
  </mergeCells>
  <pageMargins left="0.27559055118110237" right="0" top="0.51181102362204722" bottom="0" header="0.31496062992125984" footer="0.23622047244094491"/>
  <pageSetup paperSize="9" scale="90" fitToWidth="2" fitToHeight="2" orientation="portrait" r:id="rId1"/>
  <rowBreaks count="1" manualBreakCount="1">
    <brk id="51" min="1" max="5"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dimension ref="A1:AA53"/>
  <sheetViews>
    <sheetView workbookViewId="0">
      <selection sqref="A1:S1"/>
    </sheetView>
  </sheetViews>
  <sheetFormatPr defaultRowHeight="15" x14ac:dyDescent="0.25"/>
  <cols>
    <col min="6" max="6" width="14.28515625" bestFit="1" customWidth="1"/>
    <col min="11" max="11" width="13.42578125" bestFit="1" customWidth="1"/>
    <col min="12" max="12" width="25" bestFit="1" customWidth="1"/>
    <col min="13" max="22" width="12.140625" bestFit="1" customWidth="1"/>
    <col min="23" max="23" width="11.5703125" bestFit="1" customWidth="1"/>
    <col min="24" max="24" width="11.42578125" customWidth="1"/>
    <col min="25" max="27" width="10.5703125" bestFit="1" customWidth="1"/>
  </cols>
  <sheetData>
    <row r="1" spans="1:27" ht="15.75" thickBot="1" x14ac:dyDescent="0.3">
      <c r="A1" s="736" t="s">
        <v>433</v>
      </c>
      <c r="B1" s="736"/>
      <c r="C1" s="736"/>
      <c r="D1" s="736"/>
      <c r="E1" s="736"/>
      <c r="F1" s="736"/>
      <c r="G1" s="736"/>
      <c r="H1" s="736"/>
      <c r="I1" s="736"/>
      <c r="J1" s="736"/>
      <c r="K1" s="736"/>
      <c r="L1" s="736"/>
      <c r="M1" s="736"/>
      <c r="N1" s="736"/>
      <c r="O1" s="736"/>
      <c r="P1" s="736"/>
      <c r="Q1" s="736"/>
      <c r="R1" s="736"/>
      <c r="S1" s="736"/>
    </row>
    <row r="2" spans="1:27" ht="24" thickBot="1" x14ac:dyDescent="0.4">
      <c r="B2" s="730" t="s">
        <v>202</v>
      </c>
      <c r="C2" s="731"/>
      <c r="D2" s="731"/>
      <c r="E2" s="731"/>
      <c r="F2" s="731"/>
      <c r="G2" s="731"/>
      <c r="H2" s="731"/>
      <c r="I2" s="731"/>
      <c r="J2" s="732"/>
      <c r="L2" s="61" t="s">
        <v>111</v>
      </c>
      <c r="Q2" s="71"/>
      <c r="R2" s="71"/>
      <c r="S2" s="71"/>
      <c r="T2" s="71"/>
    </row>
    <row r="3" spans="1:27" ht="19.5" customHeight="1" thickBot="1" x14ac:dyDescent="0.4">
      <c r="B3" s="733" t="s">
        <v>112</v>
      </c>
      <c r="C3" s="734"/>
      <c r="D3" s="734"/>
      <c r="E3" s="734"/>
      <c r="F3" s="734"/>
      <c r="G3" s="734"/>
      <c r="H3" s="734"/>
      <c r="I3" s="734"/>
      <c r="J3" s="735"/>
      <c r="M3" s="38" t="s">
        <v>54</v>
      </c>
      <c r="N3" s="39"/>
      <c r="O3" s="38" t="s">
        <v>55</v>
      </c>
      <c r="Q3" s="71"/>
    </row>
    <row r="4" spans="1:27" ht="15.75" thickBot="1" x14ac:dyDescent="0.3">
      <c r="B4" s="13"/>
      <c r="C4" s="14"/>
      <c r="D4" s="62"/>
      <c r="E4" s="14"/>
      <c r="F4" s="62" t="s">
        <v>204</v>
      </c>
      <c r="G4" s="14"/>
      <c r="H4" s="14"/>
      <c r="I4" s="14"/>
      <c r="J4" s="14"/>
      <c r="K4" s="11"/>
      <c r="L4" s="78"/>
      <c r="M4" s="80"/>
      <c r="N4" s="80"/>
      <c r="O4" s="80"/>
      <c r="P4" s="80"/>
      <c r="Q4" s="80"/>
      <c r="R4" s="80"/>
      <c r="S4" s="80"/>
      <c r="T4" s="80"/>
      <c r="U4" s="80"/>
      <c r="V4" s="80"/>
      <c r="W4" s="80"/>
      <c r="X4" s="80"/>
      <c r="Y4" s="80"/>
      <c r="Z4" s="80"/>
      <c r="AA4" s="80"/>
    </row>
    <row r="5" spans="1:27" ht="15.75" thickBot="1" x14ac:dyDescent="0.3">
      <c r="B5" s="15" t="s">
        <v>0</v>
      </c>
      <c r="D5" s="16">
        <v>90</v>
      </c>
      <c r="G5" s="8" t="s">
        <v>14</v>
      </c>
      <c r="H5" s="9" t="s">
        <v>15</v>
      </c>
      <c r="I5" s="9" t="s">
        <v>16</v>
      </c>
      <c r="J5" s="9" t="s">
        <v>17</v>
      </c>
      <c r="K5" s="82" t="s">
        <v>30</v>
      </c>
      <c r="L5" s="79"/>
      <c r="M5" s="73"/>
      <c r="N5" s="73"/>
      <c r="O5" s="73"/>
      <c r="P5" s="73"/>
      <c r="Q5" s="73"/>
      <c r="R5" s="73"/>
      <c r="S5" s="73"/>
      <c r="T5" s="73"/>
      <c r="U5" s="73"/>
      <c r="V5" s="73"/>
      <c r="W5" s="73"/>
      <c r="X5" s="73"/>
      <c r="Y5" s="73"/>
      <c r="Z5" s="73"/>
      <c r="AA5" s="73"/>
    </row>
    <row r="6" spans="1:27" x14ac:dyDescent="0.25">
      <c r="B6" s="15" t="s">
        <v>1</v>
      </c>
      <c r="D6">
        <v>135000</v>
      </c>
      <c r="E6" t="s">
        <v>2</v>
      </c>
      <c r="G6" s="28">
        <v>2023</v>
      </c>
      <c r="H6" s="28">
        <v>2024</v>
      </c>
      <c r="I6" s="28">
        <v>2025</v>
      </c>
      <c r="J6" s="28">
        <v>2026</v>
      </c>
      <c r="K6" s="12"/>
      <c r="L6" s="15"/>
      <c r="M6" s="93" t="s">
        <v>87</v>
      </c>
      <c r="N6" s="93" t="s">
        <v>89</v>
      </c>
      <c r="O6" s="93" t="s">
        <v>90</v>
      </c>
      <c r="P6" s="93" t="s">
        <v>91</v>
      </c>
      <c r="Q6" s="93" t="s">
        <v>88</v>
      </c>
      <c r="R6" s="93" t="s">
        <v>92</v>
      </c>
      <c r="S6" s="93" t="s">
        <v>93</v>
      </c>
      <c r="T6" s="93" t="s">
        <v>94</v>
      </c>
      <c r="U6" s="93" t="s">
        <v>100</v>
      </c>
      <c r="V6" s="93" t="s">
        <v>101</v>
      </c>
      <c r="W6" s="51" t="s">
        <v>102</v>
      </c>
      <c r="X6" s="51" t="s">
        <v>103</v>
      </c>
      <c r="Y6" s="51" t="s">
        <v>104</v>
      </c>
      <c r="Z6" s="51" t="s">
        <v>105</v>
      </c>
      <c r="AA6" s="51" t="s">
        <v>116</v>
      </c>
    </row>
    <row r="7" spans="1:27" ht="15.75" thickBot="1" x14ac:dyDescent="0.3">
      <c r="B7" s="15"/>
      <c r="D7" s="28" t="s">
        <v>55</v>
      </c>
      <c r="F7" s="4" t="s">
        <v>26</v>
      </c>
      <c r="G7" s="4"/>
      <c r="H7" s="4">
        <v>58000</v>
      </c>
      <c r="I7" s="4">
        <v>58000</v>
      </c>
      <c r="J7" s="4"/>
      <c r="K7" s="12"/>
      <c r="L7" s="15"/>
      <c r="M7" s="94">
        <v>2027</v>
      </c>
      <c r="N7" s="94">
        <v>2028</v>
      </c>
      <c r="O7" s="94">
        <v>2029</v>
      </c>
      <c r="P7" s="94">
        <v>2030</v>
      </c>
      <c r="Q7" s="94">
        <v>2031</v>
      </c>
      <c r="R7" s="94">
        <v>2032</v>
      </c>
      <c r="S7" s="94">
        <v>2033</v>
      </c>
      <c r="T7" s="94">
        <v>2034</v>
      </c>
      <c r="U7" s="94">
        <v>2035</v>
      </c>
      <c r="V7" s="94">
        <v>2036</v>
      </c>
      <c r="W7" s="69">
        <v>2037</v>
      </c>
      <c r="X7" s="69">
        <v>2038</v>
      </c>
      <c r="Y7" s="69">
        <v>2039</v>
      </c>
      <c r="Z7" s="69">
        <v>2040</v>
      </c>
      <c r="AA7" s="69">
        <v>2041</v>
      </c>
    </row>
    <row r="8" spans="1:27" x14ac:dyDescent="0.25">
      <c r="B8" s="15" t="s">
        <v>3</v>
      </c>
      <c r="D8">
        <v>252532</v>
      </c>
      <c r="F8" s="4" t="s">
        <v>27</v>
      </c>
      <c r="G8" s="4"/>
      <c r="H8" s="4">
        <v>58000</v>
      </c>
      <c r="I8" s="4">
        <v>58000</v>
      </c>
      <c r="J8" s="4"/>
      <c r="K8" s="12"/>
      <c r="L8" s="40" t="s">
        <v>33</v>
      </c>
      <c r="M8" s="95">
        <f>'P&amp;L Assumptions'!F18</f>
        <v>982.35</v>
      </c>
      <c r="N8" s="95">
        <f>'P&amp;L Assumptions'!G18</f>
        <v>2077.8187499999999</v>
      </c>
      <c r="O8" s="95">
        <f>'P&amp;L Assumptions'!H18</f>
        <v>2227.2911718750001</v>
      </c>
      <c r="P8" s="95">
        <f>'P&amp;L Assumptions'!I18</f>
        <v>2388.9093169921875</v>
      </c>
      <c r="Q8" s="95">
        <f>'P&amp;L Assumptions'!J18</f>
        <v>2563.7593619838872</v>
      </c>
      <c r="R8" s="95">
        <f>'P&amp;L Assumptions'!K18</f>
        <v>2753.0308785872357</v>
      </c>
      <c r="S8" s="95">
        <f>'P&amp;L Assumptions'!L18</f>
        <v>2958.0270347424271</v>
      </c>
      <c r="T8" s="95">
        <f>'P&amp;L Assumptions'!M18</f>
        <v>3180.1758214585261</v>
      </c>
      <c r="U8" s="95">
        <f>'P&amp;L Assumptions'!N18</f>
        <v>3421.0424095957751</v>
      </c>
      <c r="V8" s="95">
        <f>'P&amp;L Assumptions'!O18</f>
        <v>0</v>
      </c>
      <c r="W8" s="65">
        <f>V8</f>
        <v>0</v>
      </c>
      <c r="X8" s="65">
        <f>W8</f>
        <v>0</v>
      </c>
      <c r="Y8" s="65">
        <f t="shared" ref="Y8:AA8" si="0">X8</f>
        <v>0</v>
      </c>
      <c r="Z8" s="65">
        <f t="shared" si="0"/>
        <v>0</v>
      </c>
      <c r="AA8" s="65">
        <f t="shared" si="0"/>
        <v>0</v>
      </c>
    </row>
    <row r="9" spans="1:27" x14ac:dyDescent="0.25">
      <c r="B9" s="15" t="s">
        <v>4</v>
      </c>
      <c r="D9">
        <v>3515</v>
      </c>
      <c r="F9" s="4" t="s">
        <v>28</v>
      </c>
      <c r="G9" s="4">
        <v>28000</v>
      </c>
      <c r="H9" s="4">
        <v>58000</v>
      </c>
      <c r="I9" s="4">
        <v>58000</v>
      </c>
      <c r="J9" s="4"/>
      <c r="K9" s="12"/>
      <c r="L9" s="40" t="s">
        <v>34</v>
      </c>
      <c r="M9" s="96">
        <f>'P&amp;L Assumptions'!F25</f>
        <v>455.46750000000003</v>
      </c>
      <c r="N9" s="96">
        <f>'P&amp;L Assumptions'!G25</f>
        <v>960.20268749999991</v>
      </c>
      <c r="O9" s="96">
        <f>'P&amp;L Assumptions'!H25</f>
        <v>1028.3598379687501</v>
      </c>
      <c r="P9" s="96">
        <f>'P&amp;L Assumptions'!I25</f>
        <v>1101.9899151105469</v>
      </c>
      <c r="Q9" s="96">
        <f>'P&amp;L Assumptions'!J25</f>
        <v>1181.5782348468781</v>
      </c>
      <c r="R9" s="96">
        <f>'P&amp;L Assumptions'!K25</f>
        <v>1267.6560750280582</v>
      </c>
      <c r="S9" s="96">
        <f>'P&amp;L Assumptions'!L25</f>
        <v>1360.8051973832778</v>
      </c>
      <c r="T9" s="96">
        <f>'P&amp;L Assumptions'!M25</f>
        <v>1461.6628235131498</v>
      </c>
      <c r="U9" s="96">
        <f>'P&amp;L Assumptions'!N25</f>
        <v>1570.9271109912379</v>
      </c>
      <c r="V9" s="96">
        <f>'P&amp;L Assumptions'!O25</f>
        <v>0</v>
      </c>
      <c r="W9" s="65">
        <f t="shared" ref="W9:X10" si="1">V9</f>
        <v>0</v>
      </c>
      <c r="X9" s="65">
        <f t="shared" si="1"/>
        <v>0</v>
      </c>
      <c r="Y9" s="65">
        <f t="shared" ref="Y9:AA9" si="2">X9</f>
        <v>0</v>
      </c>
      <c r="Z9" s="65">
        <f t="shared" si="2"/>
        <v>0</v>
      </c>
      <c r="AA9" s="65">
        <f t="shared" si="2"/>
        <v>0</v>
      </c>
    </row>
    <row r="10" spans="1:27" ht="15.75" thickBot="1" x14ac:dyDescent="0.3">
      <c r="B10" s="15" t="s">
        <v>191</v>
      </c>
      <c r="D10">
        <v>448500</v>
      </c>
      <c r="F10" s="4" t="s">
        <v>29</v>
      </c>
      <c r="G10" s="5">
        <v>58000</v>
      </c>
      <c r="H10" s="4">
        <v>58000</v>
      </c>
      <c r="I10" s="4">
        <v>58000</v>
      </c>
      <c r="J10" s="5"/>
      <c r="K10" s="12"/>
      <c r="L10" s="40" t="s">
        <v>35</v>
      </c>
      <c r="M10" s="97">
        <f>'P&amp;L Assumptions'!F33</f>
        <v>322.70093750000001</v>
      </c>
      <c r="N10" s="97">
        <f>'P&amp;L Assumptions'!G33</f>
        <v>670.52034375000005</v>
      </c>
      <c r="O10" s="97">
        <f>'P&amp;L Assumptions'!H33</f>
        <v>701.01450937499999</v>
      </c>
      <c r="P10" s="97">
        <f>'P&amp;L Assumptions'!I33</f>
        <v>733.44809349609386</v>
      </c>
      <c r="Q10" s="97">
        <f>'P&amp;L Assumptions'!J33</f>
        <v>767.96595608510756</v>
      </c>
      <c r="R10" s="97">
        <f>'P&amp;L Assumptions'!K33</f>
        <v>804.72510873977831</v>
      </c>
      <c r="S10" s="97">
        <f>'P&amp;L Assumptions'!L33</f>
        <v>843.8958253993502</v>
      </c>
      <c r="T10" s="97">
        <f>'P&amp;L Assumptions'!M33</f>
        <v>885.66286016721551</v>
      </c>
      <c r="U10" s="97">
        <f>'P&amp;L Assumptions'!N33</f>
        <v>930.22678288200859</v>
      </c>
      <c r="V10" s="97">
        <f>'P&amp;L Assumptions'!O33</f>
        <v>0</v>
      </c>
      <c r="W10" s="65">
        <f t="shared" si="1"/>
        <v>0</v>
      </c>
      <c r="X10" s="65">
        <f t="shared" si="1"/>
        <v>0</v>
      </c>
      <c r="Y10" s="65">
        <f t="shared" ref="Y10:AA10" si="3">X10</f>
        <v>0</v>
      </c>
      <c r="Z10" s="65">
        <f t="shared" si="3"/>
        <v>0</v>
      </c>
      <c r="AA10" s="65">
        <f t="shared" si="3"/>
        <v>0</v>
      </c>
    </row>
    <row r="11" spans="1:27" ht="16.5" thickBot="1" x14ac:dyDescent="0.3">
      <c r="B11" s="15" t="s">
        <v>5</v>
      </c>
      <c r="D11">
        <v>324692</v>
      </c>
      <c r="F11" s="46" t="s">
        <v>108</v>
      </c>
      <c r="G11" s="8">
        <f>SUM(G7:G10)</f>
        <v>86000</v>
      </c>
      <c r="H11" s="9">
        <f>SUM(H7:H10)</f>
        <v>232000</v>
      </c>
      <c r="I11" s="9">
        <f>SUM(I7:I10)</f>
        <v>232000</v>
      </c>
      <c r="J11" s="10">
        <f>SUM(J7:J10)</f>
        <v>0</v>
      </c>
      <c r="K11" s="86">
        <f>SUM(G11:J11)</f>
        <v>550000</v>
      </c>
      <c r="L11" s="41" t="s">
        <v>36</v>
      </c>
      <c r="M11" s="98">
        <f>M8-M9-M10</f>
        <v>204.18156249999993</v>
      </c>
      <c r="N11" s="98">
        <f t="shared" ref="N11:X11" si="4">N8-N9-N10</f>
        <v>447.09571874999995</v>
      </c>
      <c r="O11" s="98">
        <f t="shared" si="4"/>
        <v>497.91682453125009</v>
      </c>
      <c r="P11" s="98">
        <f t="shared" si="4"/>
        <v>553.47130838554676</v>
      </c>
      <c r="Q11" s="98">
        <f t="shared" si="4"/>
        <v>614.21517105190151</v>
      </c>
      <c r="R11" s="98">
        <f t="shared" si="4"/>
        <v>680.6496948193992</v>
      </c>
      <c r="S11" s="98">
        <f t="shared" si="4"/>
        <v>753.32601195979908</v>
      </c>
      <c r="T11" s="98">
        <f t="shared" si="4"/>
        <v>832.85013777816084</v>
      </c>
      <c r="U11" s="98">
        <f t="shared" si="4"/>
        <v>919.88851572252861</v>
      </c>
      <c r="V11" s="99">
        <f t="shared" si="4"/>
        <v>0</v>
      </c>
      <c r="W11" s="64">
        <f t="shared" si="4"/>
        <v>0</v>
      </c>
      <c r="X11" s="64">
        <f t="shared" si="4"/>
        <v>0</v>
      </c>
      <c r="Y11" s="64">
        <f t="shared" ref="Y11:AA11" si="5">Y8-Y9-Y10</f>
        <v>0</v>
      </c>
      <c r="Z11" s="64">
        <f t="shared" si="5"/>
        <v>0</v>
      </c>
      <c r="AA11" s="64">
        <f t="shared" si="5"/>
        <v>0</v>
      </c>
    </row>
    <row r="12" spans="1:27" ht="16.5" thickBot="1" x14ac:dyDescent="0.3">
      <c r="B12" s="15"/>
      <c r="F12" s="31" t="s">
        <v>110</v>
      </c>
      <c r="G12" s="58">
        <f>G11/G19</f>
        <v>1</v>
      </c>
      <c r="H12" s="59">
        <f t="shared" ref="H12:J12" si="6">H11/H19</f>
        <v>0.60732984293193715</v>
      </c>
      <c r="I12" s="59">
        <f t="shared" si="6"/>
        <v>0.33526011560693642</v>
      </c>
      <c r="J12" s="60">
        <f t="shared" si="6"/>
        <v>0</v>
      </c>
      <c r="K12" s="87"/>
      <c r="L12" s="40" t="s">
        <v>37</v>
      </c>
      <c r="M12" s="95">
        <f>'P&amp;L Assumptions'!F36</f>
        <v>15</v>
      </c>
      <c r="N12" s="95">
        <f>'P&amp;L Assumptions'!G36</f>
        <v>15</v>
      </c>
      <c r="O12" s="95">
        <f>'P&amp;L Assumptions'!H36</f>
        <v>15</v>
      </c>
      <c r="P12" s="95">
        <f>'P&amp;L Assumptions'!I36</f>
        <v>15</v>
      </c>
      <c r="Q12" s="95">
        <f>'P&amp;L Assumptions'!J36</f>
        <v>15</v>
      </c>
      <c r="R12" s="95">
        <f>'P&amp;L Assumptions'!K36</f>
        <v>0</v>
      </c>
      <c r="S12" s="95">
        <f>'P&amp;L Assumptions'!L36</f>
        <v>0</v>
      </c>
      <c r="T12" s="95">
        <f>'P&amp;L Assumptions'!M36</f>
        <v>0</v>
      </c>
      <c r="U12" s="95">
        <f>'P&amp;L Assumptions'!N36</f>
        <v>0</v>
      </c>
      <c r="V12" s="95">
        <f>'P&amp;L Assumptions'!O36</f>
        <v>0</v>
      </c>
      <c r="W12" s="65">
        <f>W51</f>
        <v>0</v>
      </c>
      <c r="X12" s="65">
        <f>X51</f>
        <v>0</v>
      </c>
      <c r="Y12" s="65">
        <f t="shared" ref="Y12:AA12" si="7">Y51</f>
        <v>0</v>
      </c>
      <c r="Z12" s="65">
        <f t="shared" si="7"/>
        <v>0</v>
      </c>
      <c r="AA12" s="65">
        <f t="shared" si="7"/>
        <v>0</v>
      </c>
    </row>
    <row r="13" spans="1:27" ht="15.75" x14ac:dyDescent="0.25">
      <c r="B13" s="15"/>
      <c r="C13" t="s">
        <v>6</v>
      </c>
      <c r="D13" s="1">
        <f>SUM(D8:D11)</f>
        <v>1029239</v>
      </c>
      <c r="F13" s="4" t="s">
        <v>26</v>
      </c>
      <c r="G13" s="6"/>
      <c r="H13" s="4"/>
      <c r="I13" s="4">
        <v>90000</v>
      </c>
      <c r="J13" s="4">
        <v>190000</v>
      </c>
      <c r="K13" s="87"/>
      <c r="L13" s="40" t="s">
        <v>38</v>
      </c>
      <c r="M13" s="100">
        <f>M11-M12</f>
        <v>189.18156249999993</v>
      </c>
      <c r="N13" s="100">
        <f t="shared" ref="N13:X13" si="8">N11-N12</f>
        <v>432.09571874999995</v>
      </c>
      <c r="O13" s="100">
        <f t="shared" si="8"/>
        <v>482.91682453125009</v>
      </c>
      <c r="P13" s="100">
        <f t="shared" si="8"/>
        <v>538.47130838554676</v>
      </c>
      <c r="Q13" s="100">
        <f t="shared" si="8"/>
        <v>599.21517105190151</v>
      </c>
      <c r="R13" s="100">
        <f t="shared" si="8"/>
        <v>680.6496948193992</v>
      </c>
      <c r="S13" s="100">
        <f t="shared" si="8"/>
        <v>753.32601195979908</v>
      </c>
      <c r="T13" s="100">
        <f t="shared" si="8"/>
        <v>832.85013777816084</v>
      </c>
      <c r="U13" s="100">
        <f t="shared" si="8"/>
        <v>919.88851572252861</v>
      </c>
      <c r="V13" s="101">
        <f t="shared" si="8"/>
        <v>0</v>
      </c>
      <c r="W13" s="66">
        <f t="shared" si="8"/>
        <v>0</v>
      </c>
      <c r="X13" s="66">
        <f t="shared" si="8"/>
        <v>0</v>
      </c>
      <c r="Y13" s="66">
        <f t="shared" ref="Y13:AA13" si="9">Y11-Y12</f>
        <v>0</v>
      </c>
      <c r="Z13" s="66">
        <f t="shared" si="9"/>
        <v>0</v>
      </c>
      <c r="AA13" s="66">
        <f t="shared" si="9"/>
        <v>0</v>
      </c>
    </row>
    <row r="14" spans="1:27" ht="16.5" thickBot="1" x14ac:dyDescent="0.3">
      <c r="B14" s="15" t="s">
        <v>7</v>
      </c>
      <c r="D14">
        <v>93258</v>
      </c>
      <c r="F14" s="4" t="s">
        <v>27</v>
      </c>
      <c r="G14" s="4"/>
      <c r="H14" s="4"/>
      <c r="I14" s="4">
        <v>90000</v>
      </c>
      <c r="J14" s="4"/>
      <c r="K14" s="87"/>
      <c r="L14" s="40" t="s">
        <v>39</v>
      </c>
      <c r="M14" s="97">
        <f>'P&amp;L Assumptions'!F42</f>
        <v>32.438050501893933</v>
      </c>
      <c r="N14" s="97">
        <f>'P&amp;L Assumptions'!G42</f>
        <v>34.618318172348481</v>
      </c>
      <c r="O14" s="97">
        <f>'P&amp;L Assumptions'!H42</f>
        <v>33.798585842803021</v>
      </c>
      <c r="P14" s="97">
        <f>'P&amp;L Assumptions'!I42</f>
        <v>32.978853513257569</v>
      </c>
      <c r="Q14" s="97">
        <f>'P&amp;L Assumptions'!J42</f>
        <v>32.159121183712116</v>
      </c>
      <c r="R14" s="97">
        <f>'P&amp;L Assumptions'!K42</f>
        <v>31.339388854166661</v>
      </c>
      <c r="S14" s="97">
        <f>'P&amp;L Assumptions'!L42</f>
        <v>30.519656524621205</v>
      </c>
      <c r="T14" s="97">
        <f>'P&amp;L Assumptions'!M42</f>
        <v>29.699924195075752</v>
      </c>
      <c r="U14" s="97">
        <f>'P&amp;L Assumptions'!N42</f>
        <v>28.992854183712115</v>
      </c>
      <c r="V14" s="97">
        <f>'P&amp;L Assumptions'!O42</f>
        <v>0</v>
      </c>
      <c r="W14" s="36">
        <f>V14</f>
        <v>0</v>
      </c>
      <c r="X14" s="36">
        <f>W14</f>
        <v>0</v>
      </c>
      <c r="Y14" s="36">
        <f t="shared" ref="Y14:AA14" si="10">X14</f>
        <v>0</v>
      </c>
      <c r="Z14" s="36">
        <f t="shared" si="10"/>
        <v>0</v>
      </c>
      <c r="AA14" s="36">
        <f t="shared" si="10"/>
        <v>0</v>
      </c>
    </row>
    <row r="15" spans="1:27" ht="16.5" thickBot="1" x14ac:dyDescent="0.3">
      <c r="B15" s="15" t="s">
        <v>203</v>
      </c>
      <c r="D15">
        <v>35000</v>
      </c>
      <c r="F15" s="4" t="s">
        <v>28</v>
      </c>
      <c r="G15" s="4"/>
      <c r="H15" s="4">
        <v>75000</v>
      </c>
      <c r="I15" s="4">
        <v>130000</v>
      </c>
      <c r="J15" s="4"/>
      <c r="K15" s="87"/>
      <c r="L15" s="41" t="s">
        <v>41</v>
      </c>
      <c r="M15" s="98">
        <f>M13-M14</f>
        <v>156.74351199810599</v>
      </c>
      <c r="N15" s="98">
        <f t="shared" ref="N15:X15" si="11">N13-N14</f>
        <v>397.47740057765145</v>
      </c>
      <c r="O15" s="98">
        <f t="shared" si="11"/>
        <v>449.11823868844704</v>
      </c>
      <c r="P15" s="98">
        <f t="shared" si="11"/>
        <v>505.49245487228922</v>
      </c>
      <c r="Q15" s="98">
        <f t="shared" si="11"/>
        <v>567.05604986818935</v>
      </c>
      <c r="R15" s="98">
        <f t="shared" si="11"/>
        <v>649.31030596523249</v>
      </c>
      <c r="S15" s="98">
        <f t="shared" si="11"/>
        <v>722.80635543517792</v>
      </c>
      <c r="T15" s="98">
        <f t="shared" si="11"/>
        <v>803.15021358308513</v>
      </c>
      <c r="U15" s="98">
        <f t="shared" si="11"/>
        <v>890.89566153881651</v>
      </c>
      <c r="V15" s="99">
        <f t="shared" si="11"/>
        <v>0</v>
      </c>
      <c r="W15" s="64">
        <f t="shared" si="11"/>
        <v>0</v>
      </c>
      <c r="X15" s="64">
        <f t="shared" si="11"/>
        <v>0</v>
      </c>
      <c r="Y15" s="64">
        <f t="shared" ref="Y15:AA15" si="12">Y13-Y14</f>
        <v>0</v>
      </c>
      <c r="Z15" s="64">
        <f t="shared" si="12"/>
        <v>0</v>
      </c>
      <c r="AA15" s="64">
        <f t="shared" si="12"/>
        <v>0</v>
      </c>
    </row>
    <row r="16" spans="1:27" ht="16.5" thickBot="1" x14ac:dyDescent="0.3">
      <c r="B16" s="15" t="s">
        <v>8</v>
      </c>
      <c r="D16" s="2">
        <v>53850</v>
      </c>
      <c r="F16" s="4" t="s">
        <v>29</v>
      </c>
      <c r="G16" s="5"/>
      <c r="H16" s="4">
        <v>75000</v>
      </c>
      <c r="I16" s="4">
        <v>150000</v>
      </c>
      <c r="J16" s="4"/>
      <c r="K16" s="87"/>
      <c r="L16" s="40" t="s">
        <v>42</v>
      </c>
      <c r="M16" s="95">
        <f>'P&amp;L Assumptions'!F32</f>
        <v>115.68</v>
      </c>
      <c r="N16" s="95">
        <f>'P&amp;L Assumptions'!G32</f>
        <v>242.92800000000003</v>
      </c>
      <c r="O16" s="95">
        <f>'P&amp;L Assumptions'!H32</f>
        <v>255.07440000000003</v>
      </c>
      <c r="P16" s="95">
        <f>'P&amp;L Assumptions'!I32</f>
        <v>267.82812000000001</v>
      </c>
      <c r="Q16" s="95">
        <f>'P&amp;L Assumptions'!J32</f>
        <v>281.21952600000003</v>
      </c>
      <c r="R16" s="95">
        <f>'P&amp;L Assumptions'!K32</f>
        <v>295.28050230000002</v>
      </c>
      <c r="S16" s="95">
        <f>'P&amp;L Assumptions'!L32</f>
        <v>310.04452741500006</v>
      </c>
      <c r="T16" s="95">
        <f>'P&amp;L Assumptions'!M32</f>
        <v>325.54675378575007</v>
      </c>
      <c r="U16" s="95">
        <f>'P&amp;L Assumptions'!N32</f>
        <v>341.82409147503756</v>
      </c>
      <c r="V16" s="95">
        <f>'P&amp;L Assumptions'!O32</f>
        <v>0</v>
      </c>
      <c r="W16" s="65">
        <f t="shared" ref="W16:X16" si="13">W8*0.06</f>
        <v>0</v>
      </c>
      <c r="X16" s="65">
        <f t="shared" si="13"/>
        <v>0</v>
      </c>
      <c r="Y16" s="65">
        <f t="shared" ref="Y16:AA16" si="14">Y8*0.06</f>
        <v>0</v>
      </c>
      <c r="Z16" s="65">
        <f t="shared" si="14"/>
        <v>0</v>
      </c>
      <c r="AA16" s="65">
        <f t="shared" si="14"/>
        <v>0</v>
      </c>
    </row>
    <row r="17" spans="2:27" ht="16.5" thickBot="1" x14ac:dyDescent="0.3">
      <c r="B17" s="15" t="s">
        <v>190</v>
      </c>
      <c r="D17">
        <v>75000</v>
      </c>
      <c r="F17" s="46" t="s">
        <v>109</v>
      </c>
      <c r="G17" s="8">
        <f>SUM(G13:G16)</f>
        <v>0</v>
      </c>
      <c r="H17" s="9">
        <f>SUM(H13:H16)</f>
        <v>150000</v>
      </c>
      <c r="I17" s="9">
        <f>SUM(I13:I16)</f>
        <v>460000</v>
      </c>
      <c r="J17" s="10">
        <f>SUM(J13:J16)</f>
        <v>190000</v>
      </c>
      <c r="K17" s="86">
        <f>SUM(G17:J17)</f>
        <v>800000</v>
      </c>
      <c r="L17" s="40" t="s">
        <v>40</v>
      </c>
      <c r="M17" s="97">
        <f>'P&amp;L &amp; Ratio Analysis'!F11</f>
        <v>40.986616477272733</v>
      </c>
      <c r="N17" s="97">
        <f>'P&amp;L &amp; Ratio Analysis'!G11</f>
        <v>81.973232954545466</v>
      </c>
      <c r="O17" s="97">
        <f>'P&amp;L &amp; Ratio Analysis'!H11</f>
        <v>81.973232954545466</v>
      </c>
      <c r="P17" s="97">
        <f>'P&amp;L &amp; Ratio Analysis'!I11</f>
        <v>81.973232954545466</v>
      </c>
      <c r="Q17" s="97">
        <f>'P&amp;L &amp; Ratio Analysis'!J11</f>
        <v>81.973232954545466</v>
      </c>
      <c r="R17" s="97">
        <f>'P&amp;L &amp; Ratio Analysis'!K11</f>
        <v>81.973232954545466</v>
      </c>
      <c r="S17" s="97">
        <f>'P&amp;L &amp; Ratio Analysis'!L11</f>
        <v>81.973232954545466</v>
      </c>
      <c r="T17" s="97">
        <f>'P&amp;L &amp; Ratio Analysis'!M11</f>
        <v>81.973232954545466</v>
      </c>
      <c r="U17" s="97">
        <f>'P&amp;L &amp; Ratio Analysis'!N11</f>
        <v>70.707001136363601</v>
      </c>
      <c r="V17" s="97">
        <f>'P&amp;L &amp; Ratio Analysis'!O11</f>
        <v>685.5062482954545</v>
      </c>
      <c r="W17" s="36">
        <f>V17</f>
        <v>685.5062482954545</v>
      </c>
      <c r="X17" s="36">
        <f>W17</f>
        <v>685.5062482954545</v>
      </c>
      <c r="Y17" s="36">
        <f t="shared" ref="Y17:AA17" si="15">X17</f>
        <v>685.5062482954545</v>
      </c>
      <c r="Z17" s="36">
        <f t="shared" si="15"/>
        <v>685.5062482954545</v>
      </c>
      <c r="AA17" s="36">
        <f t="shared" si="15"/>
        <v>685.5062482954545</v>
      </c>
    </row>
    <row r="18" spans="2:27" ht="16.5" thickBot="1" x14ac:dyDescent="0.3">
      <c r="B18" s="15" t="s">
        <v>9</v>
      </c>
      <c r="D18">
        <v>63653</v>
      </c>
      <c r="F18" s="81" t="s">
        <v>110</v>
      </c>
      <c r="G18" s="58">
        <f>G17/G19</f>
        <v>0</v>
      </c>
      <c r="H18" s="59">
        <f t="shared" ref="H18:J18" si="16">H17/H19</f>
        <v>0.39267015706806285</v>
      </c>
      <c r="I18" s="59">
        <f t="shared" si="16"/>
        <v>0.66473988439306353</v>
      </c>
      <c r="J18" s="60">
        <f t="shared" si="16"/>
        <v>1</v>
      </c>
      <c r="K18" s="87"/>
      <c r="L18" s="41" t="s">
        <v>43</v>
      </c>
      <c r="M18" s="98">
        <f>M15-M16-M17</f>
        <v>7.6895520833247133E-2</v>
      </c>
      <c r="N18" s="98">
        <f t="shared" ref="N18:X18" si="17">N15-N16-N17</f>
        <v>72.57616762310596</v>
      </c>
      <c r="O18" s="98">
        <f t="shared" si="17"/>
        <v>112.07060573390154</v>
      </c>
      <c r="P18" s="98">
        <f t="shared" si="17"/>
        <v>155.69110191774374</v>
      </c>
      <c r="Q18" s="98">
        <f t="shared" si="17"/>
        <v>203.86329091364385</v>
      </c>
      <c r="R18" s="98">
        <f t="shared" si="17"/>
        <v>272.05657071068697</v>
      </c>
      <c r="S18" s="98">
        <f t="shared" si="17"/>
        <v>330.78859506563242</v>
      </c>
      <c r="T18" s="98">
        <f t="shared" si="17"/>
        <v>395.63022684278963</v>
      </c>
      <c r="U18" s="98">
        <f t="shared" si="17"/>
        <v>478.36456892741535</v>
      </c>
      <c r="V18" s="98">
        <f t="shared" si="17"/>
        <v>-685.5062482954545</v>
      </c>
      <c r="W18" s="63">
        <f t="shared" si="17"/>
        <v>-685.5062482954545</v>
      </c>
      <c r="X18" s="63">
        <f t="shared" si="17"/>
        <v>-685.5062482954545</v>
      </c>
      <c r="Y18" s="63">
        <f t="shared" ref="Y18:AA18" si="18">Y15-Y16-Y17</f>
        <v>-685.5062482954545</v>
      </c>
      <c r="Z18" s="63">
        <f t="shared" si="18"/>
        <v>-685.5062482954545</v>
      </c>
      <c r="AA18" s="63">
        <f t="shared" si="18"/>
        <v>-685.5062482954545</v>
      </c>
    </row>
    <row r="19" spans="2:27" ht="15.75" x14ac:dyDescent="0.25">
      <c r="B19" s="15"/>
      <c r="F19" s="1" t="s">
        <v>32</v>
      </c>
      <c r="G19" s="57">
        <f>G11+G17</f>
        <v>86000</v>
      </c>
      <c r="H19" s="57">
        <f>H11+H17</f>
        <v>382000</v>
      </c>
      <c r="I19" s="57">
        <f>I11+I17</f>
        <v>692000</v>
      </c>
      <c r="J19" s="57">
        <f>J11+J17</f>
        <v>190000</v>
      </c>
      <c r="K19" s="87"/>
      <c r="L19" s="40" t="s">
        <v>44</v>
      </c>
      <c r="M19" s="95">
        <f>'Loan Repay Sch'!O20</f>
        <v>197.49999999999997</v>
      </c>
      <c r="N19" s="95">
        <f>'Loan Repay Sch'!S20</f>
        <v>198.75000000000003</v>
      </c>
      <c r="O19" s="95">
        <f>'Loan Repay Sch'!W20</f>
        <v>187.87499999999997</v>
      </c>
      <c r="P19" s="95">
        <f>'Loan Repay Sch'!AA20</f>
        <v>170.74999999999997</v>
      </c>
      <c r="Q19" s="95">
        <f>'Loan Repay Sch'!AE20</f>
        <v>151.20875000000001</v>
      </c>
      <c r="R19" s="95">
        <f>'Loan Repay Sch'!AI20</f>
        <v>119.10200000000003</v>
      </c>
      <c r="S19" s="95">
        <f>'Loan Repay Sch'!AM20</f>
        <v>83.102000000000032</v>
      </c>
      <c r="T19" s="95">
        <f>'Loan Repay Sch'!AQ20</f>
        <v>44.352000000000032</v>
      </c>
      <c r="U19" s="95">
        <f>'Loan Repay Sch'!AU20</f>
        <v>6.4260000000000215</v>
      </c>
      <c r="V19" s="95">
        <f>'Loan Repay Sch'!AX20</f>
        <v>0</v>
      </c>
      <c r="W19" s="65">
        <f>'Loan Repay Sch'!BA20</f>
        <v>0</v>
      </c>
      <c r="X19" s="65">
        <f>'Loan Repay Sch'!BD20</f>
        <v>0</v>
      </c>
      <c r="Y19" s="65">
        <f>'Loan Repay Sch'!BG20</f>
        <v>0</v>
      </c>
      <c r="Z19" s="65">
        <f>'P&amp;L &amp; Ratio Analysis'!S13</f>
        <v>0</v>
      </c>
      <c r="AA19" s="65">
        <f>'P&amp;L &amp; Ratio Analysis'!T13</f>
        <v>0</v>
      </c>
    </row>
    <row r="20" spans="2:27" ht="15.75" x14ac:dyDescent="0.25">
      <c r="B20" s="15"/>
      <c r="C20" t="s">
        <v>10</v>
      </c>
      <c r="D20" s="70">
        <f>SUM(D14:D18)</f>
        <v>320761</v>
      </c>
      <c r="F20" s="1" t="s">
        <v>107</v>
      </c>
      <c r="G20" s="7">
        <f>G19</f>
        <v>86000</v>
      </c>
      <c r="H20" s="7">
        <f>G20+H19</f>
        <v>468000</v>
      </c>
      <c r="I20" s="7">
        <f>H20+I19</f>
        <v>1160000</v>
      </c>
      <c r="J20" s="7">
        <f>I20+J19</f>
        <v>1350000</v>
      </c>
      <c r="K20" s="87"/>
      <c r="L20" s="40" t="s">
        <v>45</v>
      </c>
      <c r="M20" s="96">
        <f>(M9+M10+M12+M14)/12*0.09</f>
        <v>6.192048660014204</v>
      </c>
      <c r="N20" s="96">
        <f t="shared" ref="N20:AA20" si="19">(N9+N10+N12+N14)/12*0.09</f>
        <v>12.602560120667613</v>
      </c>
      <c r="O20" s="96">
        <f t="shared" si="19"/>
        <v>13.336296998899147</v>
      </c>
      <c r="P20" s="96">
        <f t="shared" si="19"/>
        <v>14.125626465899238</v>
      </c>
      <c r="Q20" s="96">
        <f t="shared" si="19"/>
        <v>14.975274840867733</v>
      </c>
      <c r="R20" s="96">
        <f t="shared" si="19"/>
        <v>15.777904294665026</v>
      </c>
      <c r="S20" s="96">
        <f t="shared" si="19"/>
        <v>16.764155094804369</v>
      </c>
      <c r="T20" s="96">
        <f t="shared" si="19"/>
        <v>17.827692059065807</v>
      </c>
      <c r="U20" s="96">
        <f t="shared" si="19"/>
        <v>18.976100610427189</v>
      </c>
      <c r="V20" s="96">
        <f t="shared" si="19"/>
        <v>0</v>
      </c>
      <c r="W20" s="24">
        <f t="shared" si="19"/>
        <v>0</v>
      </c>
      <c r="X20" s="24">
        <f t="shared" si="19"/>
        <v>0</v>
      </c>
      <c r="Y20" s="24">
        <f t="shared" si="19"/>
        <v>0</v>
      </c>
      <c r="Z20" s="24">
        <f t="shared" si="19"/>
        <v>0</v>
      </c>
      <c r="AA20" s="24">
        <f t="shared" si="19"/>
        <v>0</v>
      </c>
    </row>
    <row r="21" spans="2:27" ht="16.5" thickBot="1" x14ac:dyDescent="0.3">
      <c r="B21" s="15" t="s">
        <v>11</v>
      </c>
      <c r="D21" s="1">
        <f>D13+D20</f>
        <v>1350000</v>
      </c>
      <c r="G21" s="16"/>
      <c r="H21" s="16"/>
      <c r="I21" s="16"/>
      <c r="J21" s="16"/>
      <c r="K21" s="87"/>
      <c r="L21" s="40" t="s">
        <v>46</v>
      </c>
      <c r="M21" s="97">
        <f>M19+M20</f>
        <v>203.69204866001417</v>
      </c>
      <c r="N21" s="97">
        <f t="shared" ref="N21:X21" si="20">N19+N20</f>
        <v>211.35256012066765</v>
      </c>
      <c r="O21" s="97">
        <f t="shared" si="20"/>
        <v>201.21129699889912</v>
      </c>
      <c r="P21" s="97">
        <f t="shared" si="20"/>
        <v>184.87562646589922</v>
      </c>
      <c r="Q21" s="97">
        <f t="shared" si="20"/>
        <v>166.18402484086775</v>
      </c>
      <c r="R21" s="97">
        <f t="shared" si="20"/>
        <v>134.87990429466507</v>
      </c>
      <c r="S21" s="97">
        <f t="shared" si="20"/>
        <v>99.866155094804398</v>
      </c>
      <c r="T21" s="97">
        <f t="shared" si="20"/>
        <v>62.179692059065843</v>
      </c>
      <c r="U21" s="97">
        <f t="shared" si="20"/>
        <v>25.402100610427212</v>
      </c>
      <c r="V21" s="102">
        <f t="shared" si="20"/>
        <v>0</v>
      </c>
      <c r="W21" s="42">
        <f t="shared" si="20"/>
        <v>0</v>
      </c>
      <c r="X21" s="42">
        <f t="shared" si="20"/>
        <v>0</v>
      </c>
      <c r="Y21" s="42">
        <f t="shared" ref="Y21:AA21" si="21">Y19+Y20</f>
        <v>0</v>
      </c>
      <c r="Z21" s="42">
        <f t="shared" si="21"/>
        <v>0</v>
      </c>
      <c r="AA21" s="42">
        <f t="shared" si="21"/>
        <v>0</v>
      </c>
    </row>
    <row r="22" spans="2:27" ht="16.5" thickBot="1" x14ac:dyDescent="0.3">
      <c r="B22" s="15" t="s">
        <v>12</v>
      </c>
      <c r="D22">
        <v>4834</v>
      </c>
      <c r="G22" s="16"/>
      <c r="H22" s="16"/>
      <c r="I22" s="16"/>
      <c r="J22" s="16"/>
      <c r="K22" s="87"/>
      <c r="L22" s="41" t="s">
        <v>47</v>
      </c>
      <c r="M22" s="98">
        <f>M18-M21</f>
        <v>-203.6151531391809</v>
      </c>
      <c r="N22" s="98">
        <f t="shared" ref="N22:X22" si="22">N18-N21</f>
        <v>-138.77639249756169</v>
      </c>
      <c r="O22" s="98">
        <f t="shared" si="22"/>
        <v>-89.140691264997571</v>
      </c>
      <c r="P22" s="98">
        <f t="shared" si="22"/>
        <v>-29.18452454815548</v>
      </c>
      <c r="Q22" s="98">
        <f t="shared" si="22"/>
        <v>37.679266072776102</v>
      </c>
      <c r="R22" s="98">
        <f t="shared" si="22"/>
        <v>137.1766664160219</v>
      </c>
      <c r="S22" s="98">
        <f t="shared" si="22"/>
        <v>230.92243997082801</v>
      </c>
      <c r="T22" s="98">
        <f t="shared" si="22"/>
        <v>333.45053478372381</v>
      </c>
      <c r="U22" s="98">
        <f t="shared" si="22"/>
        <v>452.96246831698812</v>
      </c>
      <c r="V22" s="98">
        <f t="shared" si="22"/>
        <v>-685.5062482954545</v>
      </c>
      <c r="W22" s="63">
        <f t="shared" si="22"/>
        <v>-685.5062482954545</v>
      </c>
      <c r="X22" s="63">
        <f t="shared" si="22"/>
        <v>-685.5062482954545</v>
      </c>
      <c r="Y22" s="63">
        <f t="shared" ref="Y22:AA22" si="23">Y18-Y21</f>
        <v>-685.5062482954545</v>
      </c>
      <c r="Z22" s="63">
        <f t="shared" si="23"/>
        <v>-685.5062482954545</v>
      </c>
      <c r="AA22" s="63">
        <f t="shared" si="23"/>
        <v>-685.5062482954545</v>
      </c>
    </row>
    <row r="23" spans="2:27" ht="15.75" x14ac:dyDescent="0.25">
      <c r="B23" s="15"/>
      <c r="G23" s="16"/>
      <c r="H23" s="16"/>
      <c r="I23" s="16"/>
      <c r="J23" s="16"/>
      <c r="K23" s="87"/>
      <c r="L23" s="40" t="s">
        <v>186</v>
      </c>
      <c r="M23" s="103">
        <v>0</v>
      </c>
      <c r="N23" s="103">
        <f>(N22+M22)*0.3</f>
        <v>-102.71746369102277</v>
      </c>
      <c r="O23" s="103">
        <f>O22*0.3</f>
        <v>-26.74220737949927</v>
      </c>
      <c r="P23" s="103">
        <f t="shared" ref="P23:V23" si="24">P22*0.3</f>
        <v>-8.7553573644466436</v>
      </c>
      <c r="Q23" s="103">
        <f t="shared" si="24"/>
        <v>11.30377982183283</v>
      </c>
      <c r="R23" s="103">
        <f t="shared" si="24"/>
        <v>41.152999924806572</v>
      </c>
      <c r="S23" s="103">
        <f t="shared" si="24"/>
        <v>69.276731991248397</v>
      </c>
      <c r="T23" s="103">
        <f t="shared" si="24"/>
        <v>100.03516043511713</v>
      </c>
      <c r="U23" s="103">
        <f t="shared" si="24"/>
        <v>135.88874049509644</v>
      </c>
      <c r="V23" s="103">
        <f t="shared" si="24"/>
        <v>-205.65187448863634</v>
      </c>
      <c r="W23" s="85">
        <f t="shared" ref="W23" si="25">W22*0.3</f>
        <v>-205.65187448863634</v>
      </c>
      <c r="X23" s="85">
        <f t="shared" ref="X23" si="26">X22*0.3</f>
        <v>-205.65187448863634</v>
      </c>
      <c r="Y23" s="85">
        <f t="shared" ref="Y23" si="27">Y22*0.3</f>
        <v>-205.65187448863634</v>
      </c>
      <c r="Z23" s="85">
        <f t="shared" ref="Z23" si="28">Z22*0.3</f>
        <v>-205.65187448863634</v>
      </c>
      <c r="AA23" s="85">
        <f t="shared" ref="AA23" si="29">AA22*0.3</f>
        <v>-205.65187448863634</v>
      </c>
    </row>
    <row r="24" spans="2:27" ht="15.75" x14ac:dyDescent="0.25">
      <c r="B24" s="15"/>
      <c r="G24" s="28">
        <v>2023</v>
      </c>
      <c r="H24" s="28">
        <v>2024</v>
      </c>
      <c r="I24" s="28">
        <v>2025</v>
      </c>
      <c r="J24" s="28">
        <v>2026</v>
      </c>
      <c r="K24" s="87"/>
      <c r="L24" s="40" t="s">
        <v>187</v>
      </c>
      <c r="M24" s="103">
        <f>M22-M23</f>
        <v>-203.6151531391809</v>
      </c>
      <c r="N24" s="103">
        <f t="shared" ref="N24:V24" si="30">N22-N23</f>
        <v>-36.058928806538916</v>
      </c>
      <c r="O24" s="103">
        <f t="shared" si="30"/>
        <v>-62.398483885498301</v>
      </c>
      <c r="P24" s="103">
        <f t="shared" si="30"/>
        <v>-20.429167183708834</v>
      </c>
      <c r="Q24" s="103">
        <f t="shared" si="30"/>
        <v>26.375486250943272</v>
      </c>
      <c r="R24" s="103">
        <f t="shared" si="30"/>
        <v>96.023666491215323</v>
      </c>
      <c r="S24" s="103">
        <f t="shared" si="30"/>
        <v>161.64570797957961</v>
      </c>
      <c r="T24" s="103">
        <f t="shared" si="30"/>
        <v>233.41537434860669</v>
      </c>
      <c r="U24" s="103">
        <f t="shared" si="30"/>
        <v>317.07372782189168</v>
      </c>
      <c r="V24" s="103">
        <f t="shared" si="30"/>
        <v>-479.85437380681816</v>
      </c>
      <c r="W24" s="85">
        <f t="shared" ref="W24" si="31">W22-W23</f>
        <v>-479.85437380681816</v>
      </c>
      <c r="X24" s="85">
        <f t="shared" ref="X24" si="32">X22-X23</f>
        <v>-479.85437380681816</v>
      </c>
      <c r="Y24" s="85">
        <f t="shared" ref="Y24" si="33">Y22-Y23</f>
        <v>-479.85437380681816</v>
      </c>
      <c r="Z24" s="85">
        <f t="shared" ref="Z24" si="34">Z22-Z23</f>
        <v>-479.85437380681816</v>
      </c>
      <c r="AA24" s="85">
        <f t="shared" ref="AA24" si="35">AA22-AA23</f>
        <v>-479.85437380681816</v>
      </c>
    </row>
    <row r="25" spans="2:27" ht="15.75" x14ac:dyDescent="0.25">
      <c r="B25" s="15" t="s">
        <v>13</v>
      </c>
      <c r="D25" s="70">
        <f>SUM(D21:D22)</f>
        <v>1354834</v>
      </c>
      <c r="F25" t="s">
        <v>26</v>
      </c>
      <c r="G25" s="4"/>
      <c r="H25" s="4"/>
      <c r="I25" s="4">
        <v>90000</v>
      </c>
      <c r="J25" s="4">
        <v>190000</v>
      </c>
      <c r="K25" s="87"/>
      <c r="L25" s="40" t="s">
        <v>113</v>
      </c>
      <c r="M25" s="95">
        <f>M16</f>
        <v>115.68</v>
      </c>
      <c r="N25" s="95">
        <f t="shared" ref="N25:X25" si="36">N16</f>
        <v>242.92800000000003</v>
      </c>
      <c r="O25" s="95">
        <f t="shared" si="36"/>
        <v>255.07440000000003</v>
      </c>
      <c r="P25" s="95">
        <f t="shared" si="36"/>
        <v>267.82812000000001</v>
      </c>
      <c r="Q25" s="95">
        <f t="shared" si="36"/>
        <v>281.21952600000003</v>
      </c>
      <c r="R25" s="95">
        <f t="shared" si="36"/>
        <v>295.28050230000002</v>
      </c>
      <c r="S25" s="95">
        <f t="shared" si="36"/>
        <v>310.04452741500006</v>
      </c>
      <c r="T25" s="95">
        <f t="shared" si="36"/>
        <v>325.54675378575007</v>
      </c>
      <c r="U25" s="95">
        <f t="shared" si="36"/>
        <v>341.82409147503756</v>
      </c>
      <c r="V25" s="95">
        <f t="shared" si="36"/>
        <v>0</v>
      </c>
      <c r="W25" s="65">
        <f t="shared" si="36"/>
        <v>0</v>
      </c>
      <c r="X25" s="65">
        <f t="shared" si="36"/>
        <v>0</v>
      </c>
      <c r="Y25" s="65">
        <f t="shared" ref="Y25:AA25" si="37">Y16</f>
        <v>0</v>
      </c>
      <c r="Z25" s="65">
        <f t="shared" si="37"/>
        <v>0</v>
      </c>
      <c r="AA25" s="65">
        <f t="shared" si="37"/>
        <v>0</v>
      </c>
    </row>
    <row r="26" spans="2:27" ht="16.5" thickBot="1" x14ac:dyDescent="0.3">
      <c r="B26" s="15"/>
      <c r="F26" t="s">
        <v>27</v>
      </c>
      <c r="G26" s="4"/>
      <c r="H26" s="4"/>
      <c r="I26" s="4">
        <v>90000</v>
      </c>
      <c r="J26" s="4"/>
      <c r="K26" s="87"/>
      <c r="L26" s="40" t="s">
        <v>48</v>
      </c>
      <c r="M26" s="97">
        <f>M17</f>
        <v>40.986616477272733</v>
      </c>
      <c r="N26" s="97">
        <f t="shared" ref="N26:X26" si="38">N17</f>
        <v>81.973232954545466</v>
      </c>
      <c r="O26" s="97">
        <f t="shared" si="38"/>
        <v>81.973232954545466</v>
      </c>
      <c r="P26" s="97">
        <f t="shared" si="38"/>
        <v>81.973232954545466</v>
      </c>
      <c r="Q26" s="97">
        <f t="shared" si="38"/>
        <v>81.973232954545466</v>
      </c>
      <c r="R26" s="97">
        <f t="shared" si="38"/>
        <v>81.973232954545466</v>
      </c>
      <c r="S26" s="97">
        <f t="shared" si="38"/>
        <v>81.973232954545466</v>
      </c>
      <c r="T26" s="97">
        <f t="shared" si="38"/>
        <v>81.973232954545466</v>
      </c>
      <c r="U26" s="97">
        <f t="shared" si="38"/>
        <v>70.707001136363601</v>
      </c>
      <c r="V26" s="97">
        <f t="shared" si="38"/>
        <v>685.5062482954545</v>
      </c>
      <c r="W26" s="36">
        <f t="shared" si="38"/>
        <v>685.5062482954545</v>
      </c>
      <c r="X26" s="36">
        <f t="shared" si="38"/>
        <v>685.5062482954545</v>
      </c>
      <c r="Y26" s="36">
        <f t="shared" ref="Y26:AA26" si="39">Y17</f>
        <v>685.5062482954545</v>
      </c>
      <c r="Z26" s="36">
        <f t="shared" si="39"/>
        <v>685.5062482954545</v>
      </c>
      <c r="AA26" s="36">
        <f t="shared" si="39"/>
        <v>685.5062482954545</v>
      </c>
    </row>
    <row r="27" spans="2:27" ht="16.5" thickBot="1" x14ac:dyDescent="0.3">
      <c r="B27" s="15" t="s">
        <v>24</v>
      </c>
      <c r="C27" s="17">
        <v>0.6</v>
      </c>
      <c r="F27" t="s">
        <v>28</v>
      </c>
      <c r="G27" s="4"/>
      <c r="H27" s="4">
        <v>75000</v>
      </c>
      <c r="I27" s="4">
        <v>130000</v>
      </c>
      <c r="J27" s="4"/>
      <c r="K27" s="87"/>
      <c r="L27" s="41" t="s">
        <v>49</v>
      </c>
      <c r="M27" s="98">
        <f>M24+M17+M16</f>
        <v>-46.948536661908179</v>
      </c>
      <c r="N27" s="98">
        <f t="shared" ref="N27:X27" si="40">N24+N17+N16</f>
        <v>288.84230414800658</v>
      </c>
      <c r="O27" s="98">
        <f t="shared" si="40"/>
        <v>274.64914906904721</v>
      </c>
      <c r="P27" s="98">
        <f t="shared" si="40"/>
        <v>329.37218577083667</v>
      </c>
      <c r="Q27" s="98">
        <f t="shared" si="40"/>
        <v>389.56824520548878</v>
      </c>
      <c r="R27" s="98">
        <f t="shared" si="40"/>
        <v>473.27740174576081</v>
      </c>
      <c r="S27" s="98">
        <f t="shared" si="40"/>
        <v>553.6634683491252</v>
      </c>
      <c r="T27" s="98">
        <f t="shared" si="40"/>
        <v>640.93536108890225</v>
      </c>
      <c r="U27" s="98">
        <f t="shared" si="40"/>
        <v>729.60482043329284</v>
      </c>
      <c r="V27" s="98">
        <f t="shared" si="40"/>
        <v>205.65187448863634</v>
      </c>
      <c r="W27" s="63">
        <f t="shared" si="40"/>
        <v>205.65187448863634</v>
      </c>
      <c r="X27" s="63">
        <f t="shared" si="40"/>
        <v>205.65187448863634</v>
      </c>
      <c r="Y27" s="63">
        <f t="shared" ref="Y27:AA27" si="41">Y24+Y17+Y16</f>
        <v>205.65187448863634</v>
      </c>
      <c r="Z27" s="63">
        <f t="shared" si="41"/>
        <v>205.65187448863634</v>
      </c>
      <c r="AA27" s="63">
        <f t="shared" si="41"/>
        <v>205.65187448863634</v>
      </c>
    </row>
    <row r="28" spans="2:27" ht="16.5" thickBot="1" x14ac:dyDescent="0.3">
      <c r="B28" s="15" t="s">
        <v>25</v>
      </c>
      <c r="C28" s="17">
        <v>0.4</v>
      </c>
      <c r="F28" t="s">
        <v>29</v>
      </c>
      <c r="G28" s="4"/>
      <c r="H28" s="4">
        <v>75000</v>
      </c>
      <c r="I28" s="4">
        <v>150000</v>
      </c>
      <c r="J28" s="4"/>
      <c r="K28" s="87"/>
      <c r="L28" s="40"/>
      <c r="M28" s="104"/>
      <c r="N28" s="105"/>
      <c r="O28" s="105"/>
      <c r="P28" s="105"/>
      <c r="Q28" s="105"/>
      <c r="R28" s="105"/>
      <c r="S28" s="105"/>
      <c r="T28" s="105"/>
      <c r="U28" s="105"/>
      <c r="V28" s="106">
        <f>SUM(N28:T28)</f>
        <v>0</v>
      </c>
    </row>
    <row r="29" spans="2:27" x14ac:dyDescent="0.25">
      <c r="B29" s="15"/>
      <c r="K29" s="12"/>
      <c r="L29" s="43" t="s">
        <v>50</v>
      </c>
      <c r="M29" s="107">
        <f>M15/M8</f>
        <v>0.15955974143442356</v>
      </c>
      <c r="N29" s="108">
        <f t="shared" ref="N29:X29" si="42">N15/N8</f>
        <v>0.19129551149620316</v>
      </c>
      <c r="O29" s="108">
        <f t="shared" si="42"/>
        <v>0.20164325363457797</v>
      </c>
      <c r="P29" s="108">
        <f t="shared" si="42"/>
        <v>0.21159968328506559</v>
      </c>
      <c r="Q29" s="108">
        <f t="shared" si="42"/>
        <v>0.22118146432798994</v>
      </c>
      <c r="R29" s="108">
        <f t="shared" si="42"/>
        <v>0.23585289617181374</v>
      </c>
      <c r="S29" s="108">
        <f t="shared" si="42"/>
        <v>0.24435420871605285</v>
      </c>
      <c r="T29" s="108">
        <f t="shared" si="42"/>
        <v>0.25254899687110249</v>
      </c>
      <c r="U29" s="108">
        <f t="shared" si="42"/>
        <v>0.26041643302635448</v>
      </c>
      <c r="V29" s="109" t="e">
        <f t="shared" si="42"/>
        <v>#DIV/0!</v>
      </c>
      <c r="W29" s="20" t="e">
        <f t="shared" si="42"/>
        <v>#DIV/0!</v>
      </c>
      <c r="X29" s="20" t="e">
        <f t="shared" si="42"/>
        <v>#DIV/0!</v>
      </c>
      <c r="Y29" s="20" t="e">
        <f t="shared" ref="Y29:AA29" si="43">Y15/Y8</f>
        <v>#DIV/0!</v>
      </c>
      <c r="Z29" s="20" t="e">
        <f t="shared" si="43"/>
        <v>#DIV/0!</v>
      </c>
      <c r="AA29" s="20" t="e">
        <f t="shared" si="43"/>
        <v>#DIV/0!</v>
      </c>
    </row>
    <row r="30" spans="2:27" x14ac:dyDescent="0.25">
      <c r="B30" s="15" t="s">
        <v>24</v>
      </c>
      <c r="C30" s="2">
        <v>800000</v>
      </c>
      <c r="K30" s="12"/>
      <c r="L30" s="44" t="s">
        <v>51</v>
      </c>
      <c r="M30" s="110">
        <f>M12/M8</f>
        <v>1.5269506794930523E-2</v>
      </c>
      <c r="N30" s="111">
        <f t="shared" ref="N30:X30" si="44">N12/N8</f>
        <v>7.2191089814739621E-3</v>
      </c>
      <c r="O30" s="111">
        <f t="shared" si="44"/>
        <v>6.7346381063292018E-3</v>
      </c>
      <c r="P30" s="111">
        <f t="shared" si="44"/>
        <v>6.2790160736976419E-3</v>
      </c>
      <c r="Q30" s="111">
        <f t="shared" si="44"/>
        <v>5.8507831204535152E-3</v>
      </c>
      <c r="R30" s="111">
        <f t="shared" si="44"/>
        <v>0</v>
      </c>
      <c r="S30" s="111">
        <f t="shared" si="44"/>
        <v>0</v>
      </c>
      <c r="T30" s="111">
        <f t="shared" si="44"/>
        <v>0</v>
      </c>
      <c r="U30" s="111">
        <f t="shared" si="44"/>
        <v>0</v>
      </c>
      <c r="V30" s="112" t="e">
        <f t="shared" si="44"/>
        <v>#DIV/0!</v>
      </c>
      <c r="W30" s="21" t="e">
        <f t="shared" si="44"/>
        <v>#DIV/0!</v>
      </c>
      <c r="X30" s="21" t="e">
        <f t="shared" si="44"/>
        <v>#DIV/0!</v>
      </c>
      <c r="Y30" s="21" t="e">
        <f t="shared" ref="Y30:AA30" si="45">Y12/Y8</f>
        <v>#DIV/0!</v>
      </c>
      <c r="Z30" s="21" t="e">
        <f t="shared" si="45"/>
        <v>#DIV/0!</v>
      </c>
      <c r="AA30" s="21" t="e">
        <f t="shared" si="45"/>
        <v>#DIV/0!</v>
      </c>
    </row>
    <row r="31" spans="2:27" x14ac:dyDescent="0.25">
      <c r="B31" s="15" t="s">
        <v>25</v>
      </c>
      <c r="C31" s="2">
        <v>550000</v>
      </c>
      <c r="F31" s="52"/>
      <c r="K31" s="12"/>
      <c r="L31" s="44" t="s">
        <v>52</v>
      </c>
      <c r="M31" s="110">
        <f>M21/M8</f>
        <v>0.20735180807249368</v>
      </c>
      <c r="N31" s="111">
        <f t="shared" ref="N31:X31" si="46">N21/N8</f>
        <v>0.10171847766830849</v>
      </c>
      <c r="O31" s="111">
        <f t="shared" si="46"/>
        <v>9.03390178795139E-2</v>
      </c>
      <c r="P31" s="111">
        <f t="shared" si="46"/>
        <v>7.7389135347620153E-2</v>
      </c>
      <c r="Q31" s="111">
        <f t="shared" si="46"/>
        <v>6.4820445828531775E-2</v>
      </c>
      <c r="R31" s="111">
        <f t="shared" si="46"/>
        <v>4.8993240629353556E-2</v>
      </c>
      <c r="S31" s="111">
        <f t="shared" si="46"/>
        <v>3.3761069091615095E-2</v>
      </c>
      <c r="T31" s="111">
        <f t="shared" si="46"/>
        <v>1.9552281241654222E-2</v>
      </c>
      <c r="U31" s="111">
        <f t="shared" si="46"/>
        <v>7.4252515955885749E-3</v>
      </c>
      <c r="V31" s="112" t="e">
        <f t="shared" si="46"/>
        <v>#DIV/0!</v>
      </c>
      <c r="W31" s="21" t="e">
        <f t="shared" si="46"/>
        <v>#DIV/0!</v>
      </c>
      <c r="X31" s="21" t="e">
        <f t="shared" si="46"/>
        <v>#DIV/0!</v>
      </c>
      <c r="Y31" s="21" t="e">
        <f t="shared" ref="Y31:AA31" si="47">Y21/Y8</f>
        <v>#DIV/0!</v>
      </c>
      <c r="Z31" s="21" t="e">
        <f t="shared" si="47"/>
        <v>#DIV/0!</v>
      </c>
      <c r="AA31" s="21" t="e">
        <f t="shared" si="47"/>
        <v>#DIV/0!</v>
      </c>
    </row>
    <row r="32" spans="2:27" ht="15.75" thickBot="1" x14ac:dyDescent="0.3">
      <c r="B32" s="18"/>
      <c r="C32" s="19"/>
      <c r="D32" s="19"/>
      <c r="E32" s="19"/>
      <c r="F32" s="19"/>
      <c r="G32" s="19"/>
      <c r="H32" s="19"/>
      <c r="I32" s="19"/>
      <c r="J32" s="19"/>
      <c r="K32" s="88"/>
      <c r="L32" s="45" t="s">
        <v>53</v>
      </c>
      <c r="M32" s="113">
        <f>M22/M8</f>
        <v>-0.20727353096063614</v>
      </c>
      <c r="N32" s="114">
        <f t="shared" ref="N32:X32" si="48">N22/N8</f>
        <v>-6.6789460099713552E-2</v>
      </c>
      <c r="O32" s="114">
        <f t="shared" si="48"/>
        <v>-4.0022019747851953E-2</v>
      </c>
      <c r="P32" s="114">
        <f t="shared" si="48"/>
        <v>-1.2216673249406111E-2</v>
      </c>
      <c r="Q32" s="114">
        <f t="shared" si="48"/>
        <v>1.4696880928645014E-2</v>
      </c>
      <c r="R32" s="114">
        <f t="shared" si="48"/>
        <v>4.9827507378492036E-2</v>
      </c>
      <c r="S32" s="114">
        <f t="shared" si="48"/>
        <v>7.8066372368681136E-2</v>
      </c>
      <c r="T32" s="114">
        <f t="shared" si="48"/>
        <v>0.104852861446759</v>
      </c>
      <c r="U32" s="114">
        <f t="shared" si="48"/>
        <v>0.13240480943658031</v>
      </c>
      <c r="V32" s="115" t="e">
        <f t="shared" si="48"/>
        <v>#DIV/0!</v>
      </c>
      <c r="W32" s="22" t="e">
        <f t="shared" si="48"/>
        <v>#DIV/0!</v>
      </c>
      <c r="X32" s="22" t="e">
        <f t="shared" si="48"/>
        <v>#DIV/0!</v>
      </c>
      <c r="Y32" s="22" t="e">
        <f t="shared" ref="Y32:AA32" si="49">Y22/Y8</f>
        <v>#DIV/0!</v>
      </c>
      <c r="Z32" s="22" t="e">
        <f t="shared" si="49"/>
        <v>#DIV/0!</v>
      </c>
      <c r="AA32" s="22" t="e">
        <f t="shared" si="49"/>
        <v>#DIV/0!</v>
      </c>
    </row>
    <row r="33" spans="6:27" ht="15.75" thickBot="1" x14ac:dyDescent="0.3">
      <c r="G33" s="1" t="s">
        <v>106</v>
      </c>
      <c r="L33" s="15"/>
      <c r="M33" s="104"/>
      <c r="N33" s="104"/>
      <c r="O33" s="104"/>
      <c r="P33" s="104"/>
      <c r="Q33" s="104"/>
      <c r="R33" s="104"/>
      <c r="S33" s="104"/>
      <c r="T33" s="104"/>
      <c r="U33" s="104"/>
      <c r="V33" s="106"/>
    </row>
    <row r="34" spans="6:27" ht="16.5" thickBot="1" x14ac:dyDescent="0.3">
      <c r="G34" s="16">
        <v>2023</v>
      </c>
      <c r="H34" s="16">
        <v>2024</v>
      </c>
      <c r="I34" s="16">
        <v>2025</v>
      </c>
      <c r="J34" s="16">
        <v>2026</v>
      </c>
      <c r="L34" s="40" t="s">
        <v>115</v>
      </c>
      <c r="M34" s="116"/>
      <c r="N34" s="116">
        <v>48000</v>
      </c>
      <c r="O34" s="116">
        <v>50000</v>
      </c>
      <c r="P34" s="116">
        <v>62000</v>
      </c>
      <c r="Q34" s="116">
        <v>64000</v>
      </c>
      <c r="R34" s="116">
        <v>64000</v>
      </c>
      <c r="S34" s="116">
        <v>64000</v>
      </c>
      <c r="T34" s="116">
        <v>64000</v>
      </c>
      <c r="U34" s="116">
        <v>64000</v>
      </c>
      <c r="V34" s="116">
        <v>64000</v>
      </c>
      <c r="W34" s="116">
        <v>64000</v>
      </c>
      <c r="X34" s="116">
        <v>64000</v>
      </c>
      <c r="Y34" s="116">
        <v>64000</v>
      </c>
      <c r="Z34" s="116">
        <v>64000</v>
      </c>
      <c r="AA34" s="116"/>
    </row>
    <row r="35" spans="6:27" ht="15.75" thickBot="1" x14ac:dyDescent="0.3">
      <c r="F35" t="s">
        <v>26</v>
      </c>
      <c r="G35" s="53"/>
      <c r="H35" s="54"/>
      <c r="I35" s="137">
        <v>4725</v>
      </c>
      <c r="J35" s="138">
        <v>16538</v>
      </c>
      <c r="L35" s="15"/>
      <c r="M35" s="104"/>
      <c r="N35" s="104"/>
      <c r="O35" s="104"/>
      <c r="P35" s="104"/>
      <c r="Q35" s="104"/>
      <c r="R35" s="104"/>
      <c r="S35" s="104"/>
      <c r="T35" s="104"/>
      <c r="U35" s="104"/>
      <c r="V35" s="106"/>
    </row>
    <row r="36" spans="6:27" ht="15.75" thickBot="1" x14ac:dyDescent="0.3">
      <c r="F36" t="s">
        <v>27</v>
      </c>
      <c r="G36" s="48"/>
      <c r="I36" s="68">
        <v>6750</v>
      </c>
      <c r="J36" s="55"/>
      <c r="L36" s="46" t="s">
        <v>121</v>
      </c>
      <c r="M36" s="117">
        <f>M27-M34</f>
        <v>-46.948536661908179</v>
      </c>
      <c r="N36" s="118">
        <f t="shared" ref="N36:X36" si="50">N27-N34</f>
        <v>-47711.157695851995</v>
      </c>
      <c r="O36" s="118">
        <f t="shared" si="50"/>
        <v>-49725.350850930954</v>
      </c>
      <c r="P36" s="118">
        <f t="shared" si="50"/>
        <v>-61670.627814229163</v>
      </c>
      <c r="Q36" s="118">
        <f t="shared" si="50"/>
        <v>-63610.43175479451</v>
      </c>
      <c r="R36" s="118">
        <f t="shared" si="50"/>
        <v>-63526.722598254237</v>
      </c>
      <c r="S36" s="118">
        <f t="shared" si="50"/>
        <v>-63446.336531650872</v>
      </c>
      <c r="T36" s="118">
        <f t="shared" si="50"/>
        <v>-63359.064638911099</v>
      </c>
      <c r="U36" s="118">
        <f t="shared" si="50"/>
        <v>-63270.395179566709</v>
      </c>
      <c r="V36" s="118">
        <f t="shared" si="50"/>
        <v>-63794.348125511366</v>
      </c>
      <c r="W36" s="74">
        <f t="shared" si="50"/>
        <v>-63794.348125511366</v>
      </c>
      <c r="X36" s="75">
        <f t="shared" si="50"/>
        <v>-63794.348125511366</v>
      </c>
      <c r="Y36" s="75">
        <f t="shared" ref="Y36:AA36" si="51">Y27-Y34</f>
        <v>-63794.348125511366</v>
      </c>
      <c r="Z36" s="75">
        <f t="shared" si="51"/>
        <v>-63794.348125511366</v>
      </c>
      <c r="AA36" s="75">
        <f t="shared" si="51"/>
        <v>205.65187448863634</v>
      </c>
    </row>
    <row r="37" spans="6:27" ht="15.75" thickBot="1" x14ac:dyDescent="0.3">
      <c r="F37" t="s">
        <v>28</v>
      </c>
      <c r="G37" s="48"/>
      <c r="H37" s="137">
        <v>1125</v>
      </c>
      <c r="I37" s="68">
        <v>9300</v>
      </c>
      <c r="J37" s="55"/>
      <c r="L37" s="15" t="s">
        <v>122</v>
      </c>
      <c r="M37" s="119">
        <f>M36</f>
        <v>-46.948536661908179</v>
      </c>
      <c r="N37" s="120">
        <f>M37+N36</f>
        <v>-47758.106232513899</v>
      </c>
      <c r="O37" s="120">
        <f t="shared" ref="O37:X37" si="52">N37+O36</f>
        <v>-97483.457083444853</v>
      </c>
      <c r="P37" s="120">
        <f t="shared" si="52"/>
        <v>-159154.08489767401</v>
      </c>
      <c r="Q37" s="120">
        <f t="shared" si="52"/>
        <v>-222764.51665246853</v>
      </c>
      <c r="R37" s="120">
        <f t="shared" si="52"/>
        <v>-286291.23925072275</v>
      </c>
      <c r="S37" s="120">
        <f t="shared" si="52"/>
        <v>-349737.57578237361</v>
      </c>
      <c r="T37" s="120">
        <f t="shared" si="52"/>
        <v>-413096.64042128471</v>
      </c>
      <c r="U37" s="120">
        <f t="shared" si="52"/>
        <v>-476367.03560085141</v>
      </c>
      <c r="V37" s="120">
        <f t="shared" si="52"/>
        <v>-540161.38372636272</v>
      </c>
      <c r="W37" s="76">
        <f t="shared" si="52"/>
        <v>-603955.73185187404</v>
      </c>
      <c r="X37" s="77">
        <f t="shared" si="52"/>
        <v>-667750.07997738535</v>
      </c>
      <c r="Y37" s="77">
        <f t="shared" ref="Y37" si="53">X37+Y36</f>
        <v>-731544.42810289667</v>
      </c>
      <c r="Z37" s="77">
        <f t="shared" ref="Z37" si="54">Y37+Z36</f>
        <v>-795338.77622840798</v>
      </c>
      <c r="AA37" s="77">
        <f t="shared" ref="AA37" si="55">Z37+AA36</f>
        <v>-795133.12435391929</v>
      </c>
    </row>
    <row r="38" spans="6:27" ht="15.75" thickBot="1" x14ac:dyDescent="0.3">
      <c r="F38" t="s">
        <v>29</v>
      </c>
      <c r="G38" s="139"/>
      <c r="H38" s="141">
        <v>2813</v>
      </c>
      <c r="I38" s="140">
        <v>12600</v>
      </c>
      <c r="J38" s="56"/>
      <c r="M38" s="104"/>
      <c r="N38" s="104"/>
      <c r="O38" s="104"/>
      <c r="P38" s="104"/>
      <c r="Q38" s="104"/>
      <c r="R38" s="104"/>
      <c r="S38" s="104"/>
      <c r="T38" s="104"/>
      <c r="U38" s="104"/>
      <c r="V38" s="104"/>
    </row>
    <row r="39" spans="6:27" x14ac:dyDescent="0.25">
      <c r="H39" s="37"/>
      <c r="J39" s="1"/>
      <c r="L39" s="1" t="s">
        <v>96</v>
      </c>
      <c r="M39" s="121">
        <f>M19</f>
        <v>197.49999999999997</v>
      </c>
      <c r="N39" s="121">
        <f t="shared" ref="N39:V39" si="56">N19</f>
        <v>198.75000000000003</v>
      </c>
      <c r="O39" s="121">
        <f t="shared" si="56"/>
        <v>187.87499999999997</v>
      </c>
      <c r="P39" s="121">
        <f t="shared" si="56"/>
        <v>170.74999999999997</v>
      </c>
      <c r="Q39" s="121">
        <f t="shared" si="56"/>
        <v>151.20875000000001</v>
      </c>
      <c r="R39" s="121">
        <f t="shared" si="56"/>
        <v>119.10200000000003</v>
      </c>
      <c r="S39" s="121">
        <f t="shared" si="56"/>
        <v>83.102000000000032</v>
      </c>
      <c r="T39" s="121">
        <f t="shared" si="56"/>
        <v>44.352000000000032</v>
      </c>
      <c r="U39" s="121">
        <f t="shared" si="56"/>
        <v>6.4260000000000215</v>
      </c>
      <c r="V39" s="121">
        <f t="shared" si="56"/>
        <v>0</v>
      </c>
      <c r="W39" s="47">
        <f>W19</f>
        <v>0</v>
      </c>
      <c r="X39" s="47">
        <f t="shared" ref="X39:AA39" si="57">X19</f>
        <v>0</v>
      </c>
      <c r="Y39" s="47">
        <f t="shared" si="57"/>
        <v>0</v>
      </c>
      <c r="Z39" s="47">
        <f t="shared" si="57"/>
        <v>0</v>
      </c>
      <c r="AA39" s="47">
        <f t="shared" si="57"/>
        <v>0</v>
      </c>
    </row>
    <row r="40" spans="6:27" x14ac:dyDescent="0.25">
      <c r="L40" s="1" t="s">
        <v>97</v>
      </c>
      <c r="M40" s="122">
        <f>M34</f>
        <v>0</v>
      </c>
      <c r="N40" s="122">
        <f t="shared" ref="N40:X40" si="58">N34</f>
        <v>48000</v>
      </c>
      <c r="O40" s="122">
        <f t="shared" si="58"/>
        <v>50000</v>
      </c>
      <c r="P40" s="122">
        <f t="shared" si="58"/>
        <v>62000</v>
      </c>
      <c r="Q40" s="122">
        <f t="shared" si="58"/>
        <v>64000</v>
      </c>
      <c r="R40" s="122">
        <f t="shared" si="58"/>
        <v>64000</v>
      </c>
      <c r="S40" s="122">
        <f t="shared" si="58"/>
        <v>64000</v>
      </c>
      <c r="T40" s="122">
        <f t="shared" si="58"/>
        <v>64000</v>
      </c>
      <c r="U40" s="122">
        <f t="shared" si="58"/>
        <v>64000</v>
      </c>
      <c r="V40" s="122">
        <f t="shared" si="58"/>
        <v>64000</v>
      </c>
      <c r="W40" s="67">
        <f t="shared" si="58"/>
        <v>64000</v>
      </c>
      <c r="X40" s="67">
        <f t="shared" si="58"/>
        <v>64000</v>
      </c>
      <c r="Y40" s="67">
        <f t="shared" ref="Y40:AA40" si="59">Y34</f>
        <v>64000</v>
      </c>
      <c r="Z40" s="67">
        <f t="shared" si="59"/>
        <v>64000</v>
      </c>
      <c r="AA40" s="67">
        <f t="shared" si="59"/>
        <v>0</v>
      </c>
    </row>
    <row r="41" spans="6:27" ht="15.75" thickBot="1" x14ac:dyDescent="0.3">
      <c r="L41" s="1" t="s">
        <v>99</v>
      </c>
      <c r="M41" s="123">
        <f>SUM(M39:M40)</f>
        <v>197.49999999999997</v>
      </c>
      <c r="N41" s="124">
        <f t="shared" ref="N41:X41" si="60">SUM(N39:N40)</f>
        <v>48198.75</v>
      </c>
      <c r="O41" s="124">
        <f t="shared" si="60"/>
        <v>50187.875</v>
      </c>
      <c r="P41" s="124">
        <f t="shared" si="60"/>
        <v>62170.75</v>
      </c>
      <c r="Q41" s="124">
        <f t="shared" si="60"/>
        <v>64151.208749999998</v>
      </c>
      <c r="R41" s="124">
        <f t="shared" si="60"/>
        <v>64119.101999999999</v>
      </c>
      <c r="S41" s="124">
        <f t="shared" si="60"/>
        <v>64083.101999999999</v>
      </c>
      <c r="T41" s="124">
        <f t="shared" si="60"/>
        <v>64044.351999999999</v>
      </c>
      <c r="U41" s="124">
        <f t="shared" si="60"/>
        <v>64006.425999999999</v>
      </c>
      <c r="V41" s="124">
        <f t="shared" si="60"/>
        <v>64000</v>
      </c>
      <c r="W41" s="49">
        <f t="shared" si="60"/>
        <v>64000</v>
      </c>
      <c r="X41" s="49">
        <f t="shared" si="60"/>
        <v>64000</v>
      </c>
      <c r="Y41" s="49">
        <f t="shared" ref="Y41:AA41" si="61">SUM(Y39:Y40)</f>
        <v>64000</v>
      </c>
      <c r="Z41" s="49">
        <f t="shared" si="61"/>
        <v>64000</v>
      </c>
      <c r="AA41" s="49">
        <f t="shared" si="61"/>
        <v>0</v>
      </c>
    </row>
    <row r="42" spans="6:27" ht="15.75" thickBot="1" x14ac:dyDescent="0.3">
      <c r="L42" s="1" t="s">
        <v>95</v>
      </c>
      <c r="M42" s="104"/>
      <c r="N42" s="104"/>
      <c r="O42" s="104"/>
      <c r="P42" s="104"/>
      <c r="Q42" s="104"/>
      <c r="R42" s="104"/>
      <c r="S42" s="104"/>
      <c r="T42" s="104"/>
      <c r="U42" s="104"/>
      <c r="V42" s="104"/>
    </row>
    <row r="43" spans="6:27" ht="15.75" thickBot="1" x14ac:dyDescent="0.3">
      <c r="L43" s="1" t="s">
        <v>98</v>
      </c>
      <c r="M43" s="125">
        <f>M15/M41</f>
        <v>0.79363803543344813</v>
      </c>
      <c r="N43" s="126">
        <f t="shared" ref="N43:X43" si="62">N15/N41</f>
        <v>8.2466329640841617E-3</v>
      </c>
      <c r="O43" s="126">
        <f t="shared" si="62"/>
        <v>8.9487398836561021E-3</v>
      </c>
      <c r="P43" s="126">
        <f t="shared" si="62"/>
        <v>8.1307118680776606E-3</v>
      </c>
      <c r="Q43" s="126">
        <f t="shared" si="62"/>
        <v>8.839366567168376E-3</v>
      </c>
      <c r="R43" s="126">
        <f t="shared" si="62"/>
        <v>1.0126628192098393E-2</v>
      </c>
      <c r="S43" s="126">
        <f t="shared" si="62"/>
        <v>1.1279203610261843E-2</v>
      </c>
      <c r="T43" s="126">
        <f t="shared" si="62"/>
        <v>1.2540531498906963E-2</v>
      </c>
      <c r="U43" s="126">
        <f t="shared" si="62"/>
        <v>1.3918847172295115E-2</v>
      </c>
      <c r="V43" s="126">
        <f t="shared" si="62"/>
        <v>0</v>
      </c>
      <c r="W43" s="50">
        <f t="shared" si="62"/>
        <v>0</v>
      </c>
      <c r="X43" s="50">
        <f t="shared" si="62"/>
        <v>0</v>
      </c>
      <c r="Y43" s="50">
        <f t="shared" ref="Y43:AA43" si="63">Y15/Y41</f>
        <v>0</v>
      </c>
      <c r="Z43" s="50">
        <f t="shared" si="63"/>
        <v>0</v>
      </c>
      <c r="AA43" s="50" t="e">
        <f t="shared" si="63"/>
        <v>#DIV/0!</v>
      </c>
    </row>
    <row r="44" spans="6:27" ht="15.75" thickBot="1" x14ac:dyDescent="0.3">
      <c r="L44" s="1"/>
      <c r="M44" s="104"/>
      <c r="N44" s="104"/>
      <c r="O44" s="104"/>
      <c r="P44" s="104"/>
      <c r="Q44" s="104"/>
      <c r="R44" s="104"/>
      <c r="S44" s="104"/>
      <c r="T44" s="104"/>
      <c r="U44" s="104"/>
      <c r="V44" s="104"/>
    </row>
    <row r="45" spans="6:27" ht="15.75" thickBot="1" x14ac:dyDescent="0.3">
      <c r="L45" s="1" t="s">
        <v>195</v>
      </c>
      <c r="M45" s="127">
        <v>2.09</v>
      </c>
      <c r="N45" s="104"/>
      <c r="O45" s="104"/>
      <c r="P45" s="104"/>
      <c r="Q45" s="104"/>
      <c r="R45" s="104"/>
      <c r="S45" s="104"/>
      <c r="T45" s="104"/>
      <c r="U45" s="104"/>
      <c r="V45" s="104"/>
    </row>
    <row r="46" spans="6:27" ht="15.75" thickBot="1" x14ac:dyDescent="0.3">
      <c r="L46" s="1" t="s">
        <v>196</v>
      </c>
      <c r="M46" s="127">
        <v>2.58</v>
      </c>
    </row>
    <row r="47" spans="6:27" x14ac:dyDescent="0.25">
      <c r="L47" s="1" t="s">
        <v>37</v>
      </c>
      <c r="M47" s="72">
        <f>M8*2%</f>
        <v>19.647000000000002</v>
      </c>
      <c r="N47" s="72">
        <f t="shared" ref="N47:Q47" si="64">N8*2%</f>
        <v>41.556374999999996</v>
      </c>
      <c r="O47" s="72">
        <f t="shared" si="64"/>
        <v>44.545823437500005</v>
      </c>
      <c r="P47" s="72">
        <f t="shared" si="64"/>
        <v>47.778186339843749</v>
      </c>
      <c r="Q47" s="72">
        <f t="shared" si="64"/>
        <v>51.275187239677742</v>
      </c>
      <c r="R47" s="72">
        <f>R8*2.5%</f>
        <v>68.825771964680897</v>
      </c>
      <c r="S47" s="72">
        <f t="shared" ref="S47:V47" si="65">S8*2.5%</f>
        <v>73.95067586856068</v>
      </c>
      <c r="T47" s="72">
        <f t="shared" si="65"/>
        <v>79.504395536463164</v>
      </c>
      <c r="U47" s="72">
        <f t="shared" si="65"/>
        <v>85.526060239894377</v>
      </c>
      <c r="V47" s="72">
        <f t="shared" si="65"/>
        <v>0</v>
      </c>
      <c r="W47" s="72">
        <f t="shared" ref="W47:X47" si="66">W8*2.5%</f>
        <v>0</v>
      </c>
      <c r="X47" s="72">
        <f t="shared" si="66"/>
        <v>0</v>
      </c>
      <c r="Y47" s="72">
        <f t="shared" ref="Y47:AA47" si="67">Y8*2.5%</f>
        <v>0</v>
      </c>
      <c r="Z47" s="72">
        <f t="shared" si="67"/>
        <v>0</v>
      </c>
      <c r="AA47" s="72">
        <f t="shared" si="67"/>
        <v>0</v>
      </c>
    </row>
    <row r="48" spans="6:27" x14ac:dyDescent="0.25">
      <c r="L48" s="1" t="s">
        <v>117</v>
      </c>
      <c r="M48" s="72">
        <f>M11*6%</f>
        <v>12.250893749999996</v>
      </c>
      <c r="N48" s="72">
        <f t="shared" ref="N48:V48" si="68">N11*6%</f>
        <v>26.825743124999995</v>
      </c>
      <c r="O48" s="72">
        <f t="shared" si="68"/>
        <v>29.875009471875003</v>
      </c>
      <c r="P48" s="72">
        <f t="shared" si="68"/>
        <v>33.208278503132803</v>
      </c>
      <c r="Q48" s="72">
        <f t="shared" si="68"/>
        <v>36.85291026311409</v>
      </c>
      <c r="R48" s="72">
        <f t="shared" si="68"/>
        <v>40.838981689163951</v>
      </c>
      <c r="S48" s="72">
        <f t="shared" si="68"/>
        <v>45.199560717587943</v>
      </c>
      <c r="T48" s="72">
        <f t="shared" si="68"/>
        <v>49.971008266689651</v>
      </c>
      <c r="U48" s="72">
        <f t="shared" si="68"/>
        <v>55.193310943351712</v>
      </c>
      <c r="V48" s="72">
        <f t="shared" si="68"/>
        <v>0</v>
      </c>
      <c r="W48" s="72">
        <f t="shared" ref="W48:X48" si="69">W11*6%</f>
        <v>0</v>
      </c>
      <c r="X48" s="72">
        <f t="shared" si="69"/>
        <v>0</v>
      </c>
      <c r="Y48" s="72">
        <f t="shared" ref="Y48:AA48" si="70">Y11*6%</f>
        <v>0</v>
      </c>
      <c r="Z48" s="72">
        <f t="shared" si="70"/>
        <v>0</v>
      </c>
      <c r="AA48" s="72">
        <f t="shared" si="70"/>
        <v>0</v>
      </c>
    </row>
    <row r="49" spans="12:27" x14ac:dyDescent="0.25">
      <c r="L49" s="1" t="s">
        <v>118</v>
      </c>
      <c r="M49" s="72">
        <f>M8*1%</f>
        <v>9.823500000000001</v>
      </c>
      <c r="N49" s="72">
        <f>N8*1.25%</f>
        <v>25.972734375000002</v>
      </c>
      <c r="O49" s="72">
        <f t="shared" ref="O49:V49" si="71">O8*1.25%</f>
        <v>27.841139648437505</v>
      </c>
      <c r="P49" s="72">
        <f t="shared" si="71"/>
        <v>29.861366462402344</v>
      </c>
      <c r="Q49" s="72">
        <f t="shared" si="71"/>
        <v>32.046992024798591</v>
      </c>
      <c r="R49" s="72">
        <f t="shared" si="71"/>
        <v>34.412885982340448</v>
      </c>
      <c r="S49" s="72">
        <f t="shared" si="71"/>
        <v>36.97533793428034</v>
      </c>
      <c r="T49" s="72">
        <f t="shared" si="71"/>
        <v>39.752197768231582</v>
      </c>
      <c r="U49" s="72">
        <f t="shared" si="71"/>
        <v>42.763030119947189</v>
      </c>
      <c r="V49" s="72">
        <f t="shared" si="71"/>
        <v>0</v>
      </c>
      <c r="W49" s="72">
        <f t="shared" ref="W49:X49" si="72">W8*1.25%</f>
        <v>0</v>
      </c>
      <c r="X49" s="72">
        <f t="shared" si="72"/>
        <v>0</v>
      </c>
      <c r="Y49" s="72">
        <f t="shared" ref="Y49:AA49" si="73">Y8*1.25%</f>
        <v>0</v>
      </c>
      <c r="Z49" s="72">
        <f t="shared" si="73"/>
        <v>0</v>
      </c>
      <c r="AA49" s="72">
        <f t="shared" si="73"/>
        <v>0</v>
      </c>
    </row>
    <row r="50" spans="12:27" x14ac:dyDescent="0.25">
      <c r="L50" s="1" t="s">
        <v>119</v>
      </c>
      <c r="M50" s="72">
        <f>M49</f>
        <v>9.823500000000001</v>
      </c>
      <c r="N50" s="72">
        <f t="shared" ref="N50:V50" si="74">N49</f>
        <v>25.972734375000002</v>
      </c>
      <c r="O50" s="72">
        <f t="shared" si="74"/>
        <v>27.841139648437505</v>
      </c>
      <c r="P50" s="72">
        <f t="shared" si="74"/>
        <v>29.861366462402344</v>
      </c>
      <c r="Q50" s="72">
        <f t="shared" si="74"/>
        <v>32.046992024798591</v>
      </c>
      <c r="R50" s="72">
        <f t="shared" si="74"/>
        <v>34.412885982340448</v>
      </c>
      <c r="S50" s="72">
        <f t="shared" si="74"/>
        <v>36.97533793428034</v>
      </c>
      <c r="T50" s="72">
        <f t="shared" si="74"/>
        <v>39.752197768231582</v>
      </c>
      <c r="U50" s="72">
        <f t="shared" si="74"/>
        <v>42.763030119947189</v>
      </c>
      <c r="V50" s="72">
        <f t="shared" si="74"/>
        <v>0</v>
      </c>
      <c r="W50" s="72">
        <f t="shared" ref="W50" si="75">W49</f>
        <v>0</v>
      </c>
      <c r="X50" s="72">
        <f t="shared" ref="X50:AA50" si="76">X49</f>
        <v>0</v>
      </c>
      <c r="Y50" s="72">
        <f t="shared" si="76"/>
        <v>0</v>
      </c>
      <c r="Z50" s="72">
        <f t="shared" si="76"/>
        <v>0</v>
      </c>
      <c r="AA50" s="72">
        <f t="shared" si="76"/>
        <v>0</v>
      </c>
    </row>
    <row r="51" spans="12:27" x14ac:dyDescent="0.25">
      <c r="M51" s="73">
        <f>SUM(M47:M50)</f>
        <v>51.54489375</v>
      </c>
      <c r="N51" s="73">
        <f t="shared" ref="N51:V51" si="77">SUM(N47:N50)</f>
        <v>120.32758687499999</v>
      </c>
      <c r="O51" s="73">
        <f t="shared" si="77"/>
        <v>130.10311220625002</v>
      </c>
      <c r="P51" s="73">
        <f t="shared" si="77"/>
        <v>140.70919776778123</v>
      </c>
      <c r="Q51" s="73">
        <f t="shared" si="77"/>
        <v>152.222081552389</v>
      </c>
      <c r="R51" s="73">
        <f t="shared" si="77"/>
        <v>178.49052561852574</v>
      </c>
      <c r="S51" s="73">
        <f t="shared" si="77"/>
        <v>193.10091245470929</v>
      </c>
      <c r="T51" s="73">
        <f t="shared" si="77"/>
        <v>208.97979933961597</v>
      </c>
      <c r="U51" s="73">
        <f t="shared" si="77"/>
        <v>226.24543142314047</v>
      </c>
      <c r="V51" s="73">
        <f t="shared" si="77"/>
        <v>0</v>
      </c>
      <c r="W51" s="73">
        <f t="shared" ref="W51" si="78">SUM(W47:W50)</f>
        <v>0</v>
      </c>
      <c r="X51" s="73">
        <f t="shared" ref="X51:AA51" si="79">SUM(X47:X50)</f>
        <v>0</v>
      </c>
      <c r="Y51" s="73">
        <f t="shared" si="79"/>
        <v>0</v>
      </c>
      <c r="Z51" s="73">
        <f t="shared" si="79"/>
        <v>0</v>
      </c>
      <c r="AA51" s="73">
        <f t="shared" si="79"/>
        <v>0</v>
      </c>
    </row>
    <row r="53" spans="12:27" x14ac:dyDescent="0.25">
      <c r="L53" s="1" t="s">
        <v>120</v>
      </c>
      <c r="M53" s="73">
        <f>M8*1%</f>
        <v>9.823500000000001</v>
      </c>
      <c r="N53" s="73">
        <f>N8*1%</f>
        <v>20.778187499999998</v>
      </c>
      <c r="O53" s="73">
        <f>O8*2%</f>
        <v>44.545823437500005</v>
      </c>
      <c r="P53" s="73">
        <f>P8*2%</f>
        <v>47.778186339843749</v>
      </c>
      <c r="Q53" s="73">
        <f>Q8*2%</f>
        <v>51.275187239677742</v>
      </c>
      <c r="R53" s="73">
        <f>R8*3%</f>
        <v>82.590926357617064</v>
      </c>
      <c r="S53" s="73">
        <f>S8*3%</f>
        <v>88.74081104227281</v>
      </c>
      <c r="T53" s="73">
        <f>T8*3%</f>
        <v>95.405274643755774</v>
      </c>
      <c r="U53" s="73">
        <f>U8*3%</f>
        <v>102.63127228787324</v>
      </c>
      <c r="V53" s="73">
        <f>V8*3%</f>
        <v>0</v>
      </c>
      <c r="W53" s="73">
        <f t="shared" ref="W53:X53" si="80">W8*3%</f>
        <v>0</v>
      </c>
      <c r="X53" s="73">
        <f t="shared" si="80"/>
        <v>0</v>
      </c>
      <c r="Y53" s="73">
        <f t="shared" ref="Y53:AA53" si="81">Y8*3%</f>
        <v>0</v>
      </c>
      <c r="Z53" s="73">
        <f t="shared" si="81"/>
        <v>0</v>
      </c>
      <c r="AA53" s="73">
        <f t="shared" si="81"/>
        <v>0</v>
      </c>
    </row>
  </sheetData>
  <mergeCells count="3">
    <mergeCell ref="B2:J2"/>
    <mergeCell ref="B3:J3"/>
    <mergeCell ref="A1:S1"/>
  </mergeCells>
  <phoneticPr fontId="9" type="noConversion"/>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pageSetUpPr fitToPage="1"/>
  </sheetPr>
  <dimension ref="A1:T91"/>
  <sheetViews>
    <sheetView topLeftCell="A58" workbookViewId="0">
      <selection activeCell="C65" sqref="C65:K65"/>
    </sheetView>
  </sheetViews>
  <sheetFormatPr defaultRowHeight="15" x14ac:dyDescent="0.25"/>
  <cols>
    <col min="1" max="1" width="51.140625" bestFit="1" customWidth="1"/>
    <col min="2" max="2" width="14.140625" customWidth="1"/>
    <col min="3" max="3" width="15.28515625" bestFit="1" customWidth="1"/>
    <col min="4" max="4" width="14.85546875" customWidth="1"/>
    <col min="5" max="5" width="14" customWidth="1"/>
    <col min="6" max="6" width="15.28515625" bestFit="1" customWidth="1"/>
    <col min="7" max="7" width="14" customWidth="1"/>
    <col min="8" max="8" width="18.140625" bestFit="1" customWidth="1"/>
    <col min="9" max="10" width="15.28515625" bestFit="1" customWidth="1"/>
    <col min="11" max="11" width="16.140625" customWidth="1"/>
    <col min="12" max="16" width="12.5703125" bestFit="1" customWidth="1"/>
  </cols>
  <sheetData>
    <row r="1" spans="1:11" x14ac:dyDescent="0.25">
      <c r="A1" s="737" t="s">
        <v>433</v>
      </c>
      <c r="B1" s="737"/>
      <c r="C1" s="737"/>
      <c r="D1" s="737"/>
      <c r="E1" s="737"/>
      <c r="F1" s="737"/>
      <c r="G1" s="737"/>
      <c r="H1" s="737"/>
      <c r="I1" s="737"/>
      <c r="J1" s="737"/>
    </row>
    <row r="2" spans="1:11" x14ac:dyDescent="0.25">
      <c r="A2" s="196"/>
      <c r="B2" s="196"/>
      <c r="C2" s="197" t="s">
        <v>312</v>
      </c>
      <c r="D2" s="196"/>
      <c r="E2" s="196"/>
      <c r="F2" s="196"/>
      <c r="G2" s="197" t="s">
        <v>313</v>
      </c>
      <c r="H2" s="196"/>
      <c r="I2" s="196"/>
      <c r="J2" s="196"/>
    </row>
    <row r="3" spans="1:11" x14ac:dyDescent="0.25">
      <c r="A3" s="196"/>
      <c r="B3" s="197" t="s">
        <v>213</v>
      </c>
      <c r="C3" s="197" t="s">
        <v>314</v>
      </c>
      <c r="D3" s="197" t="s">
        <v>315</v>
      </c>
      <c r="E3" s="197" t="s">
        <v>316</v>
      </c>
      <c r="F3" s="197" t="s">
        <v>317</v>
      </c>
      <c r="G3" s="197" t="s">
        <v>510</v>
      </c>
      <c r="H3" s="197" t="s">
        <v>319</v>
      </c>
      <c r="I3" s="197" t="s">
        <v>320</v>
      </c>
      <c r="J3" s="197" t="s">
        <v>321</v>
      </c>
    </row>
    <row r="4" spans="1:11" x14ac:dyDescent="0.25">
      <c r="A4" s="1" t="s">
        <v>322</v>
      </c>
      <c r="B4" t="s">
        <v>508</v>
      </c>
      <c r="C4">
        <v>75</v>
      </c>
      <c r="D4">
        <v>40</v>
      </c>
      <c r="E4">
        <v>40</v>
      </c>
      <c r="F4">
        <v>20</v>
      </c>
      <c r="G4">
        <v>300</v>
      </c>
      <c r="H4">
        <v>65</v>
      </c>
      <c r="I4">
        <v>34</v>
      </c>
      <c r="J4">
        <v>15</v>
      </c>
    </row>
    <row r="6" spans="1:11" x14ac:dyDescent="0.25">
      <c r="A6" s="1" t="s">
        <v>323</v>
      </c>
      <c r="C6">
        <v>365</v>
      </c>
      <c r="D6">
        <v>365</v>
      </c>
      <c r="E6">
        <v>365</v>
      </c>
      <c r="F6">
        <v>365</v>
      </c>
      <c r="G6">
        <v>365</v>
      </c>
      <c r="H6">
        <v>365</v>
      </c>
      <c r="I6">
        <v>365</v>
      </c>
      <c r="J6">
        <v>365</v>
      </c>
    </row>
    <row r="7" spans="1:11" x14ac:dyDescent="0.25">
      <c r="A7" s="1" t="s">
        <v>324</v>
      </c>
    </row>
    <row r="8" spans="1:11" x14ac:dyDescent="0.25">
      <c r="A8" t="s">
        <v>325</v>
      </c>
      <c r="C8" s="198">
        <v>0.9</v>
      </c>
      <c r="D8" s="198">
        <v>0</v>
      </c>
      <c r="E8" s="198">
        <v>0</v>
      </c>
      <c r="F8" s="198">
        <v>0</v>
      </c>
      <c r="G8" s="198">
        <v>0.1</v>
      </c>
      <c r="H8" s="198">
        <v>0.05</v>
      </c>
      <c r="I8" s="198">
        <v>0.1</v>
      </c>
      <c r="J8" s="198">
        <v>0.05</v>
      </c>
    </row>
    <row r="9" spans="1:11" x14ac:dyDescent="0.25">
      <c r="A9" t="s">
        <v>326</v>
      </c>
      <c r="C9" s="198">
        <v>0.3</v>
      </c>
      <c r="D9" s="198">
        <v>0</v>
      </c>
      <c r="E9" s="198">
        <v>0.1</v>
      </c>
      <c r="F9" s="198">
        <v>0.2</v>
      </c>
      <c r="G9" s="198">
        <v>0.1</v>
      </c>
      <c r="H9" s="198">
        <v>0.15</v>
      </c>
      <c r="I9" s="198">
        <v>0.1</v>
      </c>
      <c r="J9" s="198">
        <v>0.05</v>
      </c>
    </row>
    <row r="10" spans="1:11" x14ac:dyDescent="0.25">
      <c r="A10" t="s">
        <v>323</v>
      </c>
      <c r="C10" s="198">
        <v>0.6</v>
      </c>
      <c r="D10" s="198">
        <v>0.4</v>
      </c>
      <c r="E10" s="198">
        <v>0.2</v>
      </c>
      <c r="F10" s="198">
        <v>0.3</v>
      </c>
      <c r="G10" s="198">
        <v>0.2</v>
      </c>
      <c r="H10" s="198">
        <v>0.05</v>
      </c>
      <c r="I10" s="198">
        <v>0</v>
      </c>
      <c r="J10" s="198">
        <v>0</v>
      </c>
    </row>
    <row r="11" spans="1:11" x14ac:dyDescent="0.25">
      <c r="A11" s="1" t="s">
        <v>327</v>
      </c>
    </row>
    <row r="12" spans="1:11" x14ac:dyDescent="0.25">
      <c r="A12" t="s">
        <v>325</v>
      </c>
      <c r="C12" s="2">
        <f>C4*C6*C8</f>
        <v>24637.5</v>
      </c>
      <c r="D12" s="2">
        <f>D4*D6*D8</f>
        <v>0</v>
      </c>
      <c r="E12" s="2">
        <f t="shared" ref="E12:G12" si="0">E4*E6*E8</f>
        <v>0</v>
      </c>
      <c r="F12" s="2">
        <f t="shared" si="0"/>
        <v>0</v>
      </c>
      <c r="G12" s="2">
        <f t="shared" si="0"/>
        <v>10950</v>
      </c>
      <c r="H12" s="2">
        <f>H4*H6*H8</f>
        <v>1186.25</v>
      </c>
      <c r="I12" s="2">
        <f>I4*I6*I8</f>
        <v>1241</v>
      </c>
      <c r="J12" s="2">
        <f t="shared" ref="J12" si="1">J4*J6*J8</f>
        <v>273.75</v>
      </c>
      <c r="K12" s="2"/>
    </row>
    <row r="13" spans="1:11" x14ac:dyDescent="0.25">
      <c r="A13" t="s">
        <v>326</v>
      </c>
      <c r="C13" s="2">
        <f>C4*C6*C9</f>
        <v>8212.5</v>
      </c>
      <c r="D13" s="2">
        <f>D4*D6*D9</f>
        <v>0</v>
      </c>
      <c r="E13" s="2">
        <f t="shared" ref="E13:G13" si="2">E4*E6*E9</f>
        <v>1460</v>
      </c>
      <c r="F13" s="2">
        <f t="shared" si="2"/>
        <v>1460</v>
      </c>
      <c r="G13" s="2">
        <f t="shared" si="2"/>
        <v>10950</v>
      </c>
      <c r="H13" s="2">
        <f>H4*H6*H9</f>
        <v>3558.75</v>
      </c>
      <c r="I13" s="2">
        <f>I4*I6*I9</f>
        <v>1241</v>
      </c>
      <c r="J13" s="2">
        <f t="shared" ref="J13" si="3">J4*J6*J9</f>
        <v>273.75</v>
      </c>
      <c r="K13" s="2"/>
    </row>
    <row r="14" spans="1:11" x14ac:dyDescent="0.25">
      <c r="A14" t="s">
        <v>323</v>
      </c>
      <c r="C14">
        <f>C4*C6*C10</f>
        <v>16425</v>
      </c>
      <c r="D14">
        <f>D4*D6*D10</f>
        <v>5840</v>
      </c>
      <c r="E14">
        <f t="shared" ref="E14:G14" si="4">E4*E6*E10</f>
        <v>2920</v>
      </c>
      <c r="F14">
        <f t="shared" si="4"/>
        <v>2190</v>
      </c>
      <c r="G14">
        <f t="shared" si="4"/>
        <v>21900</v>
      </c>
      <c r="H14" s="2">
        <f>H4*H6*H10</f>
        <v>1186.25</v>
      </c>
      <c r="I14">
        <f>I4*I6*I10</f>
        <v>0</v>
      </c>
      <c r="J14">
        <f t="shared" ref="J14" si="5">J4*J6*J10</f>
        <v>0</v>
      </c>
    </row>
    <row r="15" spans="1:11" x14ac:dyDescent="0.25">
      <c r="A15" s="1" t="s">
        <v>328</v>
      </c>
    </row>
    <row r="16" spans="1:11" x14ac:dyDescent="0.25">
      <c r="A16" t="s">
        <v>325</v>
      </c>
      <c r="B16" t="s">
        <v>509</v>
      </c>
      <c r="C16">
        <v>500</v>
      </c>
      <c r="D16">
        <v>0</v>
      </c>
      <c r="E16">
        <v>0</v>
      </c>
      <c r="F16">
        <v>0</v>
      </c>
      <c r="G16">
        <v>500</v>
      </c>
      <c r="H16">
        <v>500</v>
      </c>
      <c r="I16">
        <v>500</v>
      </c>
      <c r="J16">
        <v>500</v>
      </c>
    </row>
    <row r="17" spans="1:20" x14ac:dyDescent="0.25">
      <c r="A17" t="s">
        <v>326</v>
      </c>
      <c r="C17">
        <v>2000</v>
      </c>
      <c r="D17">
        <v>0</v>
      </c>
      <c r="E17">
        <v>1000</v>
      </c>
      <c r="F17">
        <v>1000</v>
      </c>
      <c r="G17">
        <v>1400</v>
      </c>
      <c r="H17">
        <v>1500</v>
      </c>
      <c r="I17">
        <v>1500</v>
      </c>
      <c r="J17">
        <v>1500</v>
      </c>
    </row>
    <row r="18" spans="1:20" x14ac:dyDescent="0.25">
      <c r="A18" t="s">
        <v>323</v>
      </c>
      <c r="C18">
        <v>2500</v>
      </c>
      <c r="D18">
        <v>3000</v>
      </c>
      <c r="E18">
        <v>2000</v>
      </c>
      <c r="F18">
        <v>1500</v>
      </c>
      <c r="G18">
        <v>1500</v>
      </c>
      <c r="H18">
        <v>1800</v>
      </c>
      <c r="I18">
        <v>2000</v>
      </c>
      <c r="J18">
        <v>2000</v>
      </c>
    </row>
    <row r="20" spans="1:20" ht="15.75" thickBot="1" x14ac:dyDescent="0.3">
      <c r="A20" s="197" t="s">
        <v>329</v>
      </c>
      <c r="B20" s="199">
        <f>SUM(C20:J20)</f>
        <v>164122250</v>
      </c>
      <c r="C20" s="200">
        <f>(C12*C16)+(C13*C17)+(C14*C18)</f>
        <v>69806250</v>
      </c>
      <c r="D20" s="200">
        <f t="shared" ref="D20:J20" si="6">(D12*D16)+(D13*D17)+(D14*D18)</f>
        <v>17520000</v>
      </c>
      <c r="E20" s="200">
        <f t="shared" si="6"/>
        <v>7300000</v>
      </c>
      <c r="F20" s="200">
        <f t="shared" si="6"/>
        <v>4745000</v>
      </c>
      <c r="G20" s="200">
        <f t="shared" si="6"/>
        <v>53655000</v>
      </c>
      <c r="H20" s="200">
        <f t="shared" si="6"/>
        <v>8066500</v>
      </c>
      <c r="I20" s="200">
        <f t="shared" si="6"/>
        <v>2482000</v>
      </c>
      <c r="J20" s="200">
        <f t="shared" si="6"/>
        <v>547500</v>
      </c>
    </row>
    <row r="22" spans="1:20" x14ac:dyDescent="0.25">
      <c r="A22" t="s">
        <v>330</v>
      </c>
    </row>
    <row r="23" spans="1:20" x14ac:dyDescent="0.25">
      <c r="A23" t="s">
        <v>331</v>
      </c>
    </row>
    <row r="24" spans="1:20" x14ac:dyDescent="0.25">
      <c r="A24" t="s">
        <v>332</v>
      </c>
      <c r="D24">
        <v>115906</v>
      </c>
    </row>
    <row r="25" spans="1:20" x14ac:dyDescent="0.25">
      <c r="A25" t="s">
        <v>333</v>
      </c>
      <c r="D25" s="198">
        <v>0.1646</v>
      </c>
    </row>
    <row r="26" spans="1:20" x14ac:dyDescent="0.25">
      <c r="A26" t="s">
        <v>334</v>
      </c>
      <c r="D26">
        <v>1393</v>
      </c>
      <c r="E26" s="71"/>
    </row>
    <row r="27" spans="1:20" x14ac:dyDescent="0.25">
      <c r="A27" t="s">
        <v>335</v>
      </c>
      <c r="D27" s="72">
        <f>B20</f>
        <v>164122250</v>
      </c>
    </row>
    <row r="29" spans="1:20" x14ac:dyDescent="0.25">
      <c r="A29" s="196"/>
      <c r="B29" s="90" t="s">
        <v>14</v>
      </c>
      <c r="C29" s="90" t="s">
        <v>56</v>
      </c>
      <c r="D29" s="90" t="s">
        <v>16</v>
      </c>
      <c r="E29" s="90" t="s">
        <v>17</v>
      </c>
      <c r="F29" s="90" t="s">
        <v>18</v>
      </c>
      <c r="G29" s="90" t="s">
        <v>19</v>
      </c>
      <c r="H29" s="90" t="s">
        <v>20</v>
      </c>
      <c r="I29" s="90" t="s">
        <v>21</v>
      </c>
      <c r="J29" s="90" t="s">
        <v>22</v>
      </c>
      <c r="K29" s="90" t="s">
        <v>23</v>
      </c>
      <c r="L29" s="90" t="s">
        <v>57</v>
      </c>
      <c r="M29" s="90" t="s">
        <v>58</v>
      </c>
      <c r="N29" s="90" t="s">
        <v>59</v>
      </c>
      <c r="O29" s="90" t="s">
        <v>60</v>
      </c>
      <c r="P29" s="90" t="s">
        <v>197</v>
      </c>
      <c r="Q29" s="28"/>
      <c r="R29" s="28"/>
      <c r="S29" s="28"/>
      <c r="T29" s="28"/>
    </row>
    <row r="30" spans="1:20" x14ac:dyDescent="0.25">
      <c r="B30" s="90" t="s">
        <v>336</v>
      </c>
      <c r="C30" s="90" t="s">
        <v>337</v>
      </c>
      <c r="D30" s="90" t="s">
        <v>338</v>
      </c>
      <c r="E30" s="90" t="s">
        <v>339</v>
      </c>
      <c r="F30" s="90" t="s">
        <v>340</v>
      </c>
      <c r="G30" s="90" t="s">
        <v>341</v>
      </c>
      <c r="H30" s="90" t="s">
        <v>342</v>
      </c>
      <c r="I30" s="90" t="s">
        <v>343</v>
      </c>
      <c r="J30" s="90" t="s">
        <v>344</v>
      </c>
      <c r="K30" s="90" t="s">
        <v>345</v>
      </c>
      <c r="L30" s="90" t="s">
        <v>346</v>
      </c>
      <c r="M30" s="90" t="s">
        <v>347</v>
      </c>
      <c r="N30" s="90" t="s">
        <v>348</v>
      </c>
      <c r="O30" s="90" t="s">
        <v>349</v>
      </c>
      <c r="P30" s="90" t="s">
        <v>350</v>
      </c>
      <c r="Q30" s="28"/>
      <c r="R30" s="28"/>
      <c r="S30" s="28"/>
      <c r="T30" s="28"/>
    </row>
    <row r="32" spans="1:20" x14ac:dyDescent="0.25">
      <c r="A32" t="s">
        <v>314</v>
      </c>
      <c r="B32" s="72">
        <f>C20</f>
        <v>69806250</v>
      </c>
      <c r="C32" s="72">
        <f>B32/49*50*1.05</f>
        <v>74792410.714285716</v>
      </c>
      <c r="D32" s="72">
        <f>C32/50*51.5*1.05</f>
        <v>80887992.1875</v>
      </c>
      <c r="E32" s="72">
        <f>D32/51.5*55.9*1.05</f>
        <v>92188751.484375</v>
      </c>
      <c r="F32" s="72">
        <f>E32*1.05</f>
        <v>96798189.05859375</v>
      </c>
      <c r="G32" s="72">
        <f>F32/55.9*57.9*1.05</f>
        <v>105274524.21855469</v>
      </c>
      <c r="H32" s="72">
        <f>G32*1.05</f>
        <v>110538250.42948243</v>
      </c>
      <c r="I32" s="72">
        <f>H32/57.9*59*1.05</f>
        <v>118270200.58905762</v>
      </c>
      <c r="J32" s="72">
        <f>I32/59*60*1.05</f>
        <v>126288519.27306153</v>
      </c>
      <c r="K32" s="72">
        <f>J32*1.05</f>
        <v>132602945.23671462</v>
      </c>
      <c r="L32" s="72">
        <f t="shared" ref="L32:P32" si="7">K32*1.05</f>
        <v>139233092.49855036</v>
      </c>
      <c r="M32" s="72">
        <f t="shared" si="7"/>
        <v>146194747.12347788</v>
      </c>
      <c r="N32" s="72">
        <f t="shared" si="7"/>
        <v>153504484.47965178</v>
      </c>
      <c r="O32" s="72">
        <f t="shared" si="7"/>
        <v>161179708.70363438</v>
      </c>
      <c r="P32" s="72">
        <f t="shared" si="7"/>
        <v>169238694.13881612</v>
      </c>
    </row>
    <row r="33" spans="1:16" x14ac:dyDescent="0.25">
      <c r="A33" t="s">
        <v>315</v>
      </c>
      <c r="B33" s="72">
        <f>D20</f>
        <v>17520000</v>
      </c>
      <c r="C33" s="72">
        <f t="shared" ref="C33:C39" si="8">B33/49*50*1.05</f>
        <v>18771428.571428571</v>
      </c>
      <c r="D33" s="72">
        <f t="shared" ref="D33:D39" si="9">C33/50*51.5*1.05</f>
        <v>20301300</v>
      </c>
      <c r="E33" s="72">
        <f t="shared" ref="E33:E39" si="10">D33/51.5*55.9*1.05</f>
        <v>23137569</v>
      </c>
      <c r="F33" s="72">
        <f t="shared" ref="F33:F39" si="11">E33*1.05</f>
        <v>24294447.449999999</v>
      </c>
      <c r="G33" s="72">
        <f t="shared" ref="G33:G39" si="12">F33/55.9*57.9*1.05</f>
        <v>26421841.372499999</v>
      </c>
      <c r="H33" s="72">
        <f t="shared" ref="H33:H39" si="13">G33*1.05</f>
        <v>27742933.441124998</v>
      </c>
      <c r="I33" s="72">
        <f t="shared" ref="I33:I39" si="14">H33/57.9*59*1.05</f>
        <v>29683501.324312497</v>
      </c>
      <c r="J33" s="72">
        <f t="shared" ref="J33:J39" si="15">I33/59*60*1.05</f>
        <v>31695942.092062499</v>
      </c>
      <c r="K33" s="72">
        <f t="shared" ref="K33:P39" si="16">J33*1.05</f>
        <v>33280739.196665626</v>
      </c>
      <c r="L33" s="72">
        <f t="shared" si="16"/>
        <v>34944776.156498909</v>
      </c>
      <c r="M33" s="72">
        <f t="shared" si="16"/>
        <v>36692014.964323856</v>
      </c>
      <c r="N33" s="72">
        <f t="shared" si="16"/>
        <v>38526615.712540053</v>
      </c>
      <c r="O33" s="72">
        <f t="shared" si="16"/>
        <v>40452946.49816706</v>
      </c>
      <c r="P33" s="72">
        <f t="shared" si="16"/>
        <v>42475593.823075414</v>
      </c>
    </row>
    <row r="34" spans="1:16" x14ac:dyDescent="0.25">
      <c r="A34" t="s">
        <v>316</v>
      </c>
      <c r="B34" s="72">
        <f>E20</f>
        <v>7300000</v>
      </c>
      <c r="C34" s="72">
        <f t="shared" si="8"/>
        <v>7821428.5714285728</v>
      </c>
      <c r="D34" s="72">
        <f t="shared" si="9"/>
        <v>8458875.0000000019</v>
      </c>
      <c r="E34" s="72">
        <f t="shared" si="10"/>
        <v>9640653.7500000019</v>
      </c>
      <c r="F34" s="72">
        <f t="shared" si="11"/>
        <v>10122686.437500002</v>
      </c>
      <c r="G34" s="72">
        <f t="shared" si="12"/>
        <v>11009100.571875002</v>
      </c>
      <c r="H34" s="72">
        <f t="shared" si="13"/>
        <v>11559555.600468753</v>
      </c>
      <c r="I34" s="72">
        <f t="shared" si="14"/>
        <v>12368125.551796878</v>
      </c>
      <c r="J34" s="72">
        <f t="shared" si="15"/>
        <v>13206642.538359379</v>
      </c>
      <c r="K34" s="72">
        <f t="shared" si="16"/>
        <v>13866974.665277349</v>
      </c>
      <c r="L34" s="72">
        <f t="shared" si="16"/>
        <v>14560323.398541218</v>
      </c>
      <c r="M34" s="72">
        <f t="shared" si="16"/>
        <v>15288339.568468278</v>
      </c>
      <c r="N34" s="72">
        <f t="shared" si="16"/>
        <v>16052756.546891693</v>
      </c>
      <c r="O34" s="72">
        <f t="shared" si="16"/>
        <v>16855394.374236278</v>
      </c>
      <c r="P34" s="72">
        <f t="shared" si="16"/>
        <v>17698164.092948094</v>
      </c>
    </row>
    <row r="35" spans="1:16" x14ac:dyDescent="0.25">
      <c r="A35" t="s">
        <v>317</v>
      </c>
      <c r="B35" s="72">
        <f>F20</f>
        <v>4745000</v>
      </c>
      <c r="C35" s="72">
        <f t="shared" si="8"/>
        <v>5083928.5714285718</v>
      </c>
      <c r="D35" s="72">
        <f t="shared" si="9"/>
        <v>5498268.7500000009</v>
      </c>
      <c r="E35" s="72">
        <f t="shared" si="10"/>
        <v>6266424.9375000009</v>
      </c>
      <c r="F35" s="72">
        <f t="shared" si="11"/>
        <v>6579746.1843750011</v>
      </c>
      <c r="G35" s="72">
        <f t="shared" si="12"/>
        <v>7155915.3717187513</v>
      </c>
      <c r="H35" s="72">
        <f t="shared" si="13"/>
        <v>7513711.1403046893</v>
      </c>
      <c r="I35" s="72">
        <f t="shared" si="14"/>
        <v>8039281.6086679706</v>
      </c>
      <c r="J35" s="72">
        <f t="shared" si="15"/>
        <v>8584317.6499335971</v>
      </c>
      <c r="K35" s="72">
        <f t="shared" si="16"/>
        <v>9013533.5324302781</v>
      </c>
      <c r="L35" s="72">
        <f t="shared" si="16"/>
        <v>9464210.2090517916</v>
      </c>
      <c r="M35" s="72">
        <f t="shared" si="16"/>
        <v>9937420.7195043825</v>
      </c>
      <c r="N35" s="72">
        <f t="shared" si="16"/>
        <v>10434291.755479602</v>
      </c>
      <c r="O35" s="72">
        <f t="shared" si="16"/>
        <v>10956006.343253583</v>
      </c>
      <c r="P35" s="72">
        <f t="shared" si="16"/>
        <v>11503806.660416262</v>
      </c>
    </row>
    <row r="36" spans="1:16" x14ac:dyDescent="0.25">
      <c r="A36" t="s">
        <v>318</v>
      </c>
      <c r="B36" s="72">
        <f>G20</f>
        <v>53655000</v>
      </c>
      <c r="C36" s="72">
        <f t="shared" si="8"/>
        <v>57487500</v>
      </c>
      <c r="D36" s="72">
        <f t="shared" si="9"/>
        <v>62172731.25</v>
      </c>
      <c r="E36" s="72">
        <f t="shared" si="10"/>
        <v>70858805.0625</v>
      </c>
      <c r="F36" s="72">
        <f t="shared" si="11"/>
        <v>74401745.315624997</v>
      </c>
      <c r="G36" s="72">
        <f t="shared" si="12"/>
        <v>80916889.203281254</v>
      </c>
      <c r="H36" s="72">
        <f t="shared" si="13"/>
        <v>84962733.663445324</v>
      </c>
      <c r="I36" s="72">
        <f t="shared" si="14"/>
        <v>90905722.805707052</v>
      </c>
      <c r="J36" s="72">
        <f t="shared" si="15"/>
        <v>97068822.656941429</v>
      </c>
      <c r="K36" s="72">
        <f t="shared" si="16"/>
        <v>101922263.7897885</v>
      </c>
      <c r="L36" s="72">
        <f t="shared" si="16"/>
        <v>107018376.97927792</v>
      </c>
      <c r="M36" s="72">
        <f t="shared" si="16"/>
        <v>112369295.82824183</v>
      </c>
      <c r="N36" s="72">
        <f t="shared" si="16"/>
        <v>117987760.61965393</v>
      </c>
      <c r="O36" s="72">
        <f t="shared" si="16"/>
        <v>123887148.65063663</v>
      </c>
      <c r="P36" s="72">
        <f t="shared" si="16"/>
        <v>130081506.08316846</v>
      </c>
    </row>
    <row r="37" spans="1:16" x14ac:dyDescent="0.25">
      <c r="A37" t="s">
        <v>319</v>
      </c>
      <c r="B37" s="72">
        <f>H20</f>
        <v>8066500</v>
      </c>
      <c r="C37" s="72">
        <f t="shared" si="8"/>
        <v>8642678.5714285728</v>
      </c>
      <c r="D37" s="72">
        <f t="shared" si="9"/>
        <v>9347056.8750000019</v>
      </c>
      <c r="E37" s="72">
        <f t="shared" si="10"/>
        <v>10652922.393750003</v>
      </c>
      <c r="F37" s="72">
        <f t="shared" si="11"/>
        <v>11185568.513437504</v>
      </c>
      <c r="G37" s="72">
        <f t="shared" si="12"/>
        <v>12165056.131921878</v>
      </c>
      <c r="H37" s="72">
        <f t="shared" si="13"/>
        <v>12773308.938517973</v>
      </c>
      <c r="I37" s="72">
        <f t="shared" si="14"/>
        <v>13666778.734735552</v>
      </c>
      <c r="J37" s="72">
        <f t="shared" si="15"/>
        <v>14593340.004887115</v>
      </c>
      <c r="K37" s="72">
        <f t="shared" si="16"/>
        <v>15323007.005131472</v>
      </c>
      <c r="L37" s="72">
        <f t="shared" si="16"/>
        <v>16089157.355388045</v>
      </c>
      <c r="M37" s="72">
        <f t="shared" si="16"/>
        <v>16893615.223157447</v>
      </c>
      <c r="N37" s="72">
        <f t="shared" si="16"/>
        <v>17738295.984315321</v>
      </c>
      <c r="O37" s="72">
        <f t="shared" si="16"/>
        <v>18625210.783531088</v>
      </c>
      <c r="P37" s="72">
        <f t="shared" si="16"/>
        <v>19556471.322707642</v>
      </c>
    </row>
    <row r="38" spans="1:16" x14ac:dyDescent="0.25">
      <c r="A38" t="s">
        <v>320</v>
      </c>
      <c r="B38" s="72">
        <f>I20</f>
        <v>2482000</v>
      </c>
      <c r="C38" s="72">
        <f t="shared" si="8"/>
        <v>2659285.7142857141</v>
      </c>
      <c r="D38" s="72">
        <f t="shared" si="9"/>
        <v>2876017.5</v>
      </c>
      <c r="E38" s="72">
        <f t="shared" si="10"/>
        <v>3277822.2749999999</v>
      </c>
      <c r="F38" s="72">
        <f t="shared" si="11"/>
        <v>3441713.3887499999</v>
      </c>
      <c r="G38" s="72">
        <f t="shared" si="12"/>
        <v>3743094.1944375001</v>
      </c>
      <c r="H38" s="72">
        <f t="shared" si="13"/>
        <v>3930248.9041593755</v>
      </c>
      <c r="I38" s="72">
        <f t="shared" si="14"/>
        <v>4205162.6876109382</v>
      </c>
      <c r="J38" s="72">
        <f t="shared" si="15"/>
        <v>4490258.4630421884</v>
      </c>
      <c r="K38" s="72">
        <f t="shared" si="16"/>
        <v>4714771.386194298</v>
      </c>
      <c r="L38" s="72">
        <f t="shared" si="16"/>
        <v>4950509.9555040132</v>
      </c>
      <c r="M38" s="72">
        <f t="shared" si="16"/>
        <v>5198035.453279214</v>
      </c>
      <c r="N38" s="72">
        <f t="shared" si="16"/>
        <v>5457937.2259431751</v>
      </c>
      <c r="O38" s="72">
        <f t="shared" si="16"/>
        <v>5730834.0872403346</v>
      </c>
      <c r="P38" s="72">
        <f t="shared" si="16"/>
        <v>6017375.7916023517</v>
      </c>
    </row>
    <row r="39" spans="1:16" x14ac:dyDescent="0.25">
      <c r="A39" s="175" t="s">
        <v>321</v>
      </c>
      <c r="B39" s="201">
        <f>J20</f>
        <v>547500</v>
      </c>
      <c r="C39" s="72">
        <f t="shared" si="8"/>
        <v>586607.14285714284</v>
      </c>
      <c r="D39" s="72">
        <f t="shared" si="9"/>
        <v>634415.625</v>
      </c>
      <c r="E39" s="72">
        <f t="shared" si="10"/>
        <v>723049.03125</v>
      </c>
      <c r="F39" s="72">
        <f t="shared" si="11"/>
        <v>759201.48281249998</v>
      </c>
      <c r="G39" s="72">
        <f t="shared" si="12"/>
        <v>825682.54289062496</v>
      </c>
      <c r="H39" s="72">
        <f t="shared" si="13"/>
        <v>866966.67003515619</v>
      </c>
      <c r="I39" s="72">
        <f t="shared" si="14"/>
        <v>927609.41638476553</v>
      </c>
      <c r="J39" s="72">
        <f t="shared" si="15"/>
        <v>990498.19037695311</v>
      </c>
      <c r="K39" s="72">
        <f t="shared" si="16"/>
        <v>1040023.0998958008</v>
      </c>
      <c r="L39" s="72">
        <f t="shared" si="16"/>
        <v>1092024.2548905909</v>
      </c>
      <c r="M39" s="72">
        <f t="shared" si="16"/>
        <v>1146625.4676351205</v>
      </c>
      <c r="N39" s="72">
        <f t="shared" si="16"/>
        <v>1203956.7410168767</v>
      </c>
      <c r="O39" s="72">
        <f t="shared" si="16"/>
        <v>1264154.5780677206</v>
      </c>
      <c r="P39" s="72">
        <f t="shared" si="16"/>
        <v>1327362.3069711067</v>
      </c>
    </row>
    <row r="40" spans="1:16" x14ac:dyDescent="0.25">
      <c r="A40" s="197" t="s">
        <v>351</v>
      </c>
      <c r="B40" s="202">
        <f>SUM(B32:B39)</f>
        <v>164122250</v>
      </c>
      <c r="C40" s="202">
        <f t="shared" ref="C40:P40" si="17">SUM(C32:C39)</f>
        <v>175845267.85714281</v>
      </c>
      <c r="D40" s="202">
        <f t="shared" si="17"/>
        <v>190176657.1875</v>
      </c>
      <c r="E40" s="202">
        <f t="shared" si="17"/>
        <v>216745997.93437502</v>
      </c>
      <c r="F40" s="202">
        <f t="shared" si="17"/>
        <v>227583297.83109373</v>
      </c>
      <c r="G40" s="202">
        <f t="shared" si="17"/>
        <v>247512103.60717973</v>
      </c>
      <c r="H40" s="202">
        <f t="shared" si="17"/>
        <v>259887708.78753868</v>
      </c>
      <c r="I40" s="202">
        <f t="shared" si="17"/>
        <v>278066382.71827328</v>
      </c>
      <c r="J40" s="202">
        <f t="shared" si="17"/>
        <v>296918340.86866468</v>
      </c>
      <c r="K40" s="202">
        <f t="shared" si="17"/>
        <v>311764257.91209793</v>
      </c>
      <c r="L40" s="202">
        <f t="shared" si="17"/>
        <v>327352470.80770278</v>
      </c>
      <c r="M40" s="202">
        <f t="shared" si="17"/>
        <v>343720094.34808797</v>
      </c>
      <c r="N40" s="202">
        <f t="shared" si="17"/>
        <v>360906099.06549239</v>
      </c>
      <c r="O40" s="202">
        <f t="shared" si="17"/>
        <v>378951404.01876706</v>
      </c>
      <c r="P40" s="202">
        <f t="shared" si="17"/>
        <v>397898974.21970552</v>
      </c>
    </row>
    <row r="42" spans="1:16" x14ac:dyDescent="0.25">
      <c r="A42" s="196"/>
      <c r="B42" s="197" t="s">
        <v>14</v>
      </c>
      <c r="C42" s="197" t="s">
        <v>56</v>
      </c>
      <c r="D42" s="197" t="s">
        <v>16</v>
      </c>
      <c r="E42" s="197" t="s">
        <v>17</v>
      </c>
      <c r="F42" s="197" t="s">
        <v>18</v>
      </c>
      <c r="G42" s="197" t="s">
        <v>19</v>
      </c>
      <c r="H42" s="197" t="s">
        <v>20</v>
      </c>
      <c r="I42" s="197" t="s">
        <v>21</v>
      </c>
      <c r="J42" s="197" t="s">
        <v>22</v>
      </c>
      <c r="K42" s="197" t="s">
        <v>23</v>
      </c>
      <c r="L42" s="197" t="s">
        <v>57</v>
      </c>
      <c r="M42" s="197" t="s">
        <v>58</v>
      </c>
      <c r="N42" s="197" t="s">
        <v>59</v>
      </c>
      <c r="O42" s="197" t="s">
        <v>60</v>
      </c>
      <c r="P42" s="197" t="s">
        <v>197</v>
      </c>
    </row>
    <row r="43" spans="1:16" x14ac:dyDescent="0.25">
      <c r="B43" s="197" t="s">
        <v>336</v>
      </c>
      <c r="C43" s="197" t="s">
        <v>337</v>
      </c>
      <c r="D43" s="197" t="s">
        <v>338</v>
      </c>
      <c r="E43" s="197" t="s">
        <v>339</v>
      </c>
      <c r="F43" s="197" t="s">
        <v>340</v>
      </c>
      <c r="G43" s="197" t="s">
        <v>341</v>
      </c>
      <c r="H43" s="197" t="s">
        <v>342</v>
      </c>
      <c r="I43" s="197" t="s">
        <v>343</v>
      </c>
      <c r="J43" s="197" t="s">
        <v>344</v>
      </c>
      <c r="K43" s="197" t="s">
        <v>345</v>
      </c>
      <c r="L43" s="197" t="s">
        <v>346</v>
      </c>
      <c r="M43" s="197" t="s">
        <v>347</v>
      </c>
      <c r="N43" s="197" t="s">
        <v>348</v>
      </c>
      <c r="O43" s="197" t="s">
        <v>349</v>
      </c>
      <c r="P43" s="197" t="s">
        <v>350</v>
      </c>
    </row>
    <row r="44" spans="1:16" x14ac:dyDescent="0.25">
      <c r="A44" t="s">
        <v>352</v>
      </c>
      <c r="B44">
        <v>90</v>
      </c>
      <c r="C44">
        <v>90</v>
      </c>
      <c r="D44">
        <v>90</v>
      </c>
      <c r="E44">
        <v>90</v>
      </c>
      <c r="F44">
        <v>90</v>
      </c>
      <c r="G44">
        <v>90</v>
      </c>
      <c r="H44">
        <v>90</v>
      </c>
      <c r="I44">
        <v>90</v>
      </c>
      <c r="J44">
        <v>90</v>
      </c>
      <c r="K44">
        <v>90</v>
      </c>
      <c r="L44">
        <v>90</v>
      </c>
      <c r="M44">
        <v>90</v>
      </c>
      <c r="N44">
        <v>90</v>
      </c>
      <c r="O44">
        <v>90</v>
      </c>
      <c r="P44">
        <v>90</v>
      </c>
    </row>
    <row r="45" spans="1:16" x14ac:dyDescent="0.25">
      <c r="A45" t="s">
        <v>353</v>
      </c>
      <c r="B45" s="203">
        <v>0.49</v>
      </c>
      <c r="C45" s="203">
        <v>0.5</v>
      </c>
      <c r="D45" s="203">
        <v>0.51500000000000001</v>
      </c>
      <c r="E45" s="203">
        <v>0.55900000000000005</v>
      </c>
      <c r="F45" s="203">
        <v>0.55900000000000005</v>
      </c>
      <c r="G45" s="203">
        <v>0.57899999999999996</v>
      </c>
      <c r="H45" s="203">
        <v>0.57899999999999996</v>
      </c>
      <c r="I45" s="203">
        <v>0.59</v>
      </c>
      <c r="J45" s="203">
        <v>0.6</v>
      </c>
      <c r="K45" s="203">
        <v>0.6</v>
      </c>
      <c r="L45" s="203">
        <v>0.6</v>
      </c>
      <c r="M45" s="203">
        <v>0.6</v>
      </c>
      <c r="N45" s="203">
        <v>0.6</v>
      </c>
      <c r="O45" s="203">
        <v>0.6</v>
      </c>
      <c r="P45" s="203">
        <v>0.6</v>
      </c>
    </row>
    <row r="46" spans="1:16" x14ac:dyDescent="0.25">
      <c r="A46" t="s">
        <v>354</v>
      </c>
      <c r="B46" s="204">
        <v>16096.5</v>
      </c>
      <c r="C46" s="204">
        <v>16425</v>
      </c>
      <c r="D46" s="204">
        <v>16917.75</v>
      </c>
      <c r="E46" s="204">
        <v>18363.150000000001</v>
      </c>
      <c r="F46" s="204">
        <v>18363.150000000001</v>
      </c>
      <c r="G46" s="204">
        <v>19020.149999999998</v>
      </c>
      <c r="H46" s="204">
        <v>19020.149999999998</v>
      </c>
      <c r="I46" s="204">
        <v>19381.5</v>
      </c>
      <c r="J46" s="204">
        <v>19710</v>
      </c>
      <c r="K46" s="204">
        <v>19710</v>
      </c>
      <c r="L46" s="204">
        <v>19711</v>
      </c>
      <c r="M46" s="204">
        <v>19712</v>
      </c>
      <c r="N46" s="204">
        <v>19713</v>
      </c>
      <c r="O46" s="204">
        <v>19714</v>
      </c>
      <c r="P46" s="204">
        <v>19715</v>
      </c>
    </row>
    <row r="47" spans="1:16" x14ac:dyDescent="0.25">
      <c r="A47" t="s">
        <v>355</v>
      </c>
      <c r="B47" t="s">
        <v>356</v>
      </c>
      <c r="C47" t="s">
        <v>356</v>
      </c>
      <c r="D47" t="s">
        <v>356</v>
      </c>
      <c r="E47" t="s">
        <v>356</v>
      </c>
      <c r="F47" t="s">
        <v>356</v>
      </c>
      <c r="G47" t="s">
        <v>356</v>
      </c>
      <c r="H47" t="s">
        <v>356</v>
      </c>
      <c r="I47" t="s">
        <v>356</v>
      </c>
      <c r="J47" t="s">
        <v>356</v>
      </c>
      <c r="K47" t="s">
        <v>356</v>
      </c>
      <c r="L47" t="s">
        <v>356</v>
      </c>
      <c r="M47" t="s">
        <v>356</v>
      </c>
      <c r="N47" t="s">
        <v>356</v>
      </c>
      <c r="O47" t="s">
        <v>356</v>
      </c>
      <c r="P47" t="s">
        <v>356</v>
      </c>
    </row>
    <row r="48" spans="1:16" x14ac:dyDescent="0.25">
      <c r="A48" t="s">
        <v>357</v>
      </c>
      <c r="B48" t="s">
        <v>358</v>
      </c>
      <c r="C48" t="s">
        <v>358</v>
      </c>
      <c r="D48" t="s">
        <v>358</v>
      </c>
      <c r="E48" t="s">
        <v>358</v>
      </c>
      <c r="F48" t="s">
        <v>358</v>
      </c>
      <c r="G48" t="s">
        <v>358</v>
      </c>
      <c r="H48" t="s">
        <v>358</v>
      </c>
      <c r="I48" t="s">
        <v>358</v>
      </c>
      <c r="J48" t="s">
        <v>358</v>
      </c>
      <c r="K48" t="s">
        <v>358</v>
      </c>
      <c r="L48" t="s">
        <v>358</v>
      </c>
      <c r="M48" t="s">
        <v>358</v>
      </c>
      <c r="N48" t="s">
        <v>358</v>
      </c>
      <c r="O48" t="s">
        <v>358</v>
      </c>
      <c r="P48" t="s">
        <v>358</v>
      </c>
    </row>
    <row r="49" spans="1:16" x14ac:dyDescent="0.25">
      <c r="A49" t="s">
        <v>359</v>
      </c>
      <c r="B49" s="2">
        <f>B46*1.5</f>
        <v>24144.75</v>
      </c>
      <c r="C49" s="2">
        <f t="shared" ref="C49:P49" si="18">C46*1.5</f>
        <v>24637.5</v>
      </c>
      <c r="D49" s="2">
        <f t="shared" si="18"/>
        <v>25376.625</v>
      </c>
      <c r="E49" s="2">
        <f t="shared" si="18"/>
        <v>27544.725000000002</v>
      </c>
      <c r="F49" s="2">
        <f t="shared" si="18"/>
        <v>27544.725000000002</v>
      </c>
      <c r="G49" s="2">
        <f t="shared" si="18"/>
        <v>28530.224999999999</v>
      </c>
      <c r="H49" s="2">
        <f t="shared" si="18"/>
        <v>28530.224999999999</v>
      </c>
      <c r="I49" s="2">
        <f t="shared" si="18"/>
        <v>29072.25</v>
      </c>
      <c r="J49" s="2">
        <f t="shared" si="18"/>
        <v>29565</v>
      </c>
      <c r="K49" s="2">
        <f t="shared" si="18"/>
        <v>29565</v>
      </c>
      <c r="L49" s="2">
        <f t="shared" si="18"/>
        <v>29566.5</v>
      </c>
      <c r="M49" s="2">
        <f t="shared" si="18"/>
        <v>29568</v>
      </c>
      <c r="N49" s="2">
        <f t="shared" si="18"/>
        <v>29569.5</v>
      </c>
      <c r="O49" s="2">
        <f t="shared" si="18"/>
        <v>29571</v>
      </c>
      <c r="P49" s="2">
        <f t="shared" si="18"/>
        <v>29572.5</v>
      </c>
    </row>
    <row r="50" spans="1:16" x14ac:dyDescent="0.25">
      <c r="A50" t="s">
        <v>360</v>
      </c>
      <c r="B50" s="17">
        <v>0.05</v>
      </c>
      <c r="C50" s="17">
        <v>0.05</v>
      </c>
      <c r="D50" s="17">
        <v>7.0000000000000007E-2</v>
      </c>
      <c r="E50" s="17">
        <v>0.1</v>
      </c>
      <c r="F50" s="17">
        <v>0.1</v>
      </c>
      <c r="G50" s="17">
        <v>0.1</v>
      </c>
      <c r="H50" s="17">
        <v>0.1</v>
      </c>
      <c r="I50" s="17">
        <v>0.1</v>
      </c>
      <c r="J50" s="17">
        <v>0.1</v>
      </c>
      <c r="K50" s="17">
        <v>0.1</v>
      </c>
      <c r="L50" s="17">
        <v>0.1</v>
      </c>
      <c r="M50" s="17">
        <v>0.1</v>
      </c>
      <c r="N50" s="17">
        <v>0.1</v>
      </c>
      <c r="O50" s="17">
        <v>0.1</v>
      </c>
      <c r="P50" s="17">
        <v>0.1</v>
      </c>
    </row>
    <row r="51" spans="1:16" x14ac:dyDescent="0.25">
      <c r="A51" t="s">
        <v>361</v>
      </c>
      <c r="B51" s="2">
        <f>B49*B50</f>
        <v>1207.2375</v>
      </c>
      <c r="C51" s="2">
        <f t="shared" ref="C51:P51" si="19">C49*C50</f>
        <v>1231.875</v>
      </c>
      <c r="D51" s="2">
        <f t="shared" si="19"/>
        <v>1776.3637500000002</v>
      </c>
      <c r="E51" s="2">
        <f t="shared" si="19"/>
        <v>2754.4725000000003</v>
      </c>
      <c r="F51" s="2">
        <f t="shared" si="19"/>
        <v>2754.4725000000003</v>
      </c>
      <c r="G51" s="2">
        <f t="shared" si="19"/>
        <v>2853.0225</v>
      </c>
      <c r="H51" s="2">
        <f t="shared" si="19"/>
        <v>2853.0225</v>
      </c>
      <c r="I51" s="2">
        <f t="shared" si="19"/>
        <v>2907.2250000000004</v>
      </c>
      <c r="J51" s="2">
        <f t="shared" si="19"/>
        <v>2956.5</v>
      </c>
      <c r="K51" s="2">
        <f t="shared" si="19"/>
        <v>2956.5</v>
      </c>
      <c r="L51" s="2">
        <f t="shared" si="19"/>
        <v>2956.65</v>
      </c>
      <c r="M51" s="2">
        <f t="shared" si="19"/>
        <v>2956.8</v>
      </c>
      <c r="N51" s="2">
        <f t="shared" si="19"/>
        <v>2956.9500000000003</v>
      </c>
      <c r="O51" s="2">
        <f t="shared" si="19"/>
        <v>2957.1000000000004</v>
      </c>
      <c r="P51" s="2">
        <f t="shared" si="19"/>
        <v>2957.25</v>
      </c>
    </row>
    <row r="52" spans="1:16" x14ac:dyDescent="0.25">
      <c r="A52" t="s">
        <v>362</v>
      </c>
      <c r="B52">
        <v>4000</v>
      </c>
      <c r="C52">
        <v>4200</v>
      </c>
      <c r="D52">
        <v>4410</v>
      </c>
      <c r="E52">
        <v>4631</v>
      </c>
      <c r="F52">
        <v>4862</v>
      </c>
      <c r="G52">
        <v>5105</v>
      </c>
      <c r="H52">
        <v>5360</v>
      </c>
      <c r="I52">
        <v>5628</v>
      </c>
      <c r="J52">
        <v>5910</v>
      </c>
      <c r="K52">
        <v>6205</v>
      </c>
      <c r="L52">
        <v>6205</v>
      </c>
      <c r="M52">
        <v>6205</v>
      </c>
      <c r="N52">
        <v>6205</v>
      </c>
      <c r="O52">
        <v>6205</v>
      </c>
      <c r="P52">
        <v>6205</v>
      </c>
    </row>
    <row r="53" spans="1:16" x14ac:dyDescent="0.25">
      <c r="A53" t="s">
        <v>362</v>
      </c>
      <c r="B53">
        <v>4000</v>
      </c>
      <c r="C53">
        <v>4200</v>
      </c>
      <c r="D53">
        <v>4410</v>
      </c>
      <c r="E53">
        <v>4631</v>
      </c>
      <c r="F53">
        <v>4862</v>
      </c>
      <c r="G53">
        <v>5105</v>
      </c>
      <c r="H53">
        <v>5360</v>
      </c>
      <c r="I53">
        <v>5628</v>
      </c>
      <c r="J53">
        <v>5910</v>
      </c>
      <c r="K53">
        <v>6205</v>
      </c>
      <c r="L53">
        <v>6205</v>
      </c>
      <c r="M53">
        <v>6205</v>
      </c>
      <c r="N53">
        <v>6205</v>
      </c>
      <c r="O53">
        <v>6205</v>
      </c>
      <c r="P53">
        <v>6205</v>
      </c>
    </row>
    <row r="56" spans="1:16" x14ac:dyDescent="0.25">
      <c r="A56" t="s">
        <v>363</v>
      </c>
      <c r="B56" s="199">
        <f>B52*B51</f>
        <v>4828950</v>
      </c>
      <c r="C56" s="199">
        <f t="shared" ref="C56:P56" si="20">C52*C51</f>
        <v>5173875</v>
      </c>
      <c r="D56" s="199">
        <f t="shared" si="20"/>
        <v>7833764.1375000011</v>
      </c>
      <c r="E56" s="199">
        <f t="shared" si="20"/>
        <v>12755962.147500001</v>
      </c>
      <c r="F56" s="199">
        <f t="shared" si="20"/>
        <v>13392245.295000002</v>
      </c>
      <c r="G56" s="199">
        <f t="shared" si="20"/>
        <v>14564679.862500001</v>
      </c>
      <c r="H56" s="199">
        <f t="shared" si="20"/>
        <v>15292200.6</v>
      </c>
      <c r="I56" s="199">
        <f t="shared" si="20"/>
        <v>16361862.300000003</v>
      </c>
      <c r="J56" s="199">
        <f t="shared" si="20"/>
        <v>17472915</v>
      </c>
      <c r="K56" s="199">
        <f t="shared" si="20"/>
        <v>18345082.5</v>
      </c>
      <c r="L56" s="199">
        <f t="shared" si="20"/>
        <v>18346013.25</v>
      </c>
      <c r="M56" s="199">
        <f t="shared" si="20"/>
        <v>18346944</v>
      </c>
      <c r="N56" s="199">
        <f t="shared" si="20"/>
        <v>18347874.75</v>
      </c>
      <c r="O56" s="199">
        <f t="shared" si="20"/>
        <v>18348805.500000004</v>
      </c>
      <c r="P56" s="199">
        <f t="shared" si="20"/>
        <v>18349736.25</v>
      </c>
    </row>
    <row r="58" spans="1:16" x14ac:dyDescent="0.25">
      <c r="B58" s="197" t="s">
        <v>14</v>
      </c>
      <c r="C58" s="197" t="s">
        <v>56</v>
      </c>
      <c r="D58" s="197" t="s">
        <v>16</v>
      </c>
      <c r="E58" s="197" t="s">
        <v>17</v>
      </c>
      <c r="F58" s="197" t="s">
        <v>18</v>
      </c>
      <c r="G58" s="197" t="s">
        <v>19</v>
      </c>
      <c r="H58" s="197" t="s">
        <v>20</v>
      </c>
      <c r="I58" s="197" t="s">
        <v>21</v>
      </c>
      <c r="J58" s="197" t="s">
        <v>22</v>
      </c>
      <c r="K58" s="197" t="s">
        <v>23</v>
      </c>
      <c r="L58" s="197" t="s">
        <v>57</v>
      </c>
      <c r="M58" s="197" t="s">
        <v>58</v>
      </c>
      <c r="N58" s="197" t="s">
        <v>59</v>
      </c>
      <c r="O58" s="197" t="s">
        <v>60</v>
      </c>
      <c r="P58" s="197" t="s">
        <v>197</v>
      </c>
    </row>
    <row r="59" spans="1:16" x14ac:dyDescent="0.25">
      <c r="B59" s="197" t="s">
        <v>336</v>
      </c>
      <c r="C59" s="197" t="s">
        <v>337</v>
      </c>
      <c r="D59" s="197" t="s">
        <v>338</v>
      </c>
      <c r="E59" s="197" t="s">
        <v>339</v>
      </c>
      <c r="F59" s="197" t="s">
        <v>340</v>
      </c>
      <c r="G59" s="197" t="s">
        <v>341</v>
      </c>
      <c r="H59" s="197" t="s">
        <v>342</v>
      </c>
      <c r="I59" s="197" t="s">
        <v>343</v>
      </c>
      <c r="J59" s="197" t="s">
        <v>344</v>
      </c>
      <c r="K59" s="197" t="s">
        <v>345</v>
      </c>
      <c r="L59" s="197" t="s">
        <v>346</v>
      </c>
      <c r="M59" s="197" t="s">
        <v>347</v>
      </c>
      <c r="N59" s="197" t="s">
        <v>348</v>
      </c>
      <c r="O59" s="197" t="s">
        <v>349</v>
      </c>
      <c r="P59" s="197" t="s">
        <v>350</v>
      </c>
    </row>
    <row r="60" spans="1:16" x14ac:dyDescent="0.25">
      <c r="A60" s="1" t="s">
        <v>364</v>
      </c>
      <c r="B60">
        <f>B61*365</f>
        <v>91250</v>
      </c>
    </row>
    <row r="61" spans="1:16" x14ac:dyDescent="0.25">
      <c r="A61" t="s">
        <v>365</v>
      </c>
      <c r="B61">
        <v>250</v>
      </c>
      <c r="C61">
        <v>300</v>
      </c>
      <c r="D61">
        <v>350</v>
      </c>
      <c r="E61">
        <v>400</v>
      </c>
      <c r="F61">
        <v>420</v>
      </c>
      <c r="G61">
        <v>441</v>
      </c>
      <c r="H61">
        <v>463</v>
      </c>
      <c r="I61">
        <v>486</v>
      </c>
      <c r="J61">
        <v>511</v>
      </c>
      <c r="K61">
        <v>536</v>
      </c>
      <c r="L61">
        <v>536</v>
      </c>
      <c r="M61">
        <v>536</v>
      </c>
      <c r="N61">
        <v>536</v>
      </c>
      <c r="O61">
        <v>536</v>
      </c>
      <c r="P61">
        <v>536</v>
      </c>
    </row>
    <row r="62" spans="1:16" x14ac:dyDescent="0.25">
      <c r="A62" s="175" t="s">
        <v>136</v>
      </c>
      <c r="B62" s="204">
        <v>16096.5</v>
      </c>
      <c r="C62" s="204">
        <v>16425</v>
      </c>
      <c r="D62" s="204">
        <v>16917.75</v>
      </c>
      <c r="E62" s="204">
        <v>18363.150000000001</v>
      </c>
      <c r="F62" s="204">
        <v>18363.150000000001</v>
      </c>
      <c r="G62" s="204">
        <v>19020.149999999998</v>
      </c>
      <c r="H62" s="204">
        <v>19020.149999999998</v>
      </c>
      <c r="I62" s="204">
        <v>19381.5</v>
      </c>
      <c r="J62" s="204">
        <v>19710</v>
      </c>
      <c r="K62" s="204">
        <v>19710</v>
      </c>
      <c r="L62" s="204">
        <v>19711</v>
      </c>
      <c r="M62" s="204">
        <v>19712</v>
      </c>
      <c r="N62" s="204">
        <v>19713</v>
      </c>
      <c r="O62" s="204">
        <v>19714</v>
      </c>
      <c r="P62" s="204">
        <v>19715</v>
      </c>
    </row>
    <row r="63" spans="1:16" x14ac:dyDescent="0.25">
      <c r="A63" s="196" t="s">
        <v>366</v>
      </c>
      <c r="B63" s="202">
        <f>B62*B61</f>
        <v>4024125</v>
      </c>
      <c r="C63" s="202">
        <f t="shared" ref="C63:P63" si="21">C62*C61</f>
        <v>4927500</v>
      </c>
      <c r="D63" s="202">
        <f t="shared" si="21"/>
        <v>5921212.5</v>
      </c>
      <c r="E63" s="202">
        <f t="shared" si="21"/>
        <v>7345260.0000000009</v>
      </c>
      <c r="F63" s="202">
        <f t="shared" si="21"/>
        <v>7712523.0000000009</v>
      </c>
      <c r="G63" s="202">
        <f t="shared" si="21"/>
        <v>8387886.1499999994</v>
      </c>
      <c r="H63" s="202">
        <f t="shared" si="21"/>
        <v>8806329.4499999993</v>
      </c>
      <c r="I63" s="202">
        <f t="shared" si="21"/>
        <v>9419409</v>
      </c>
      <c r="J63" s="202">
        <f t="shared" si="21"/>
        <v>10071810</v>
      </c>
      <c r="K63" s="202">
        <f t="shared" si="21"/>
        <v>10564560</v>
      </c>
      <c r="L63" s="202">
        <f t="shared" si="21"/>
        <v>10565096</v>
      </c>
      <c r="M63" s="202">
        <f t="shared" si="21"/>
        <v>10565632</v>
      </c>
      <c r="N63" s="202">
        <f t="shared" si="21"/>
        <v>10566168</v>
      </c>
      <c r="O63" s="202">
        <f t="shared" si="21"/>
        <v>10566704</v>
      </c>
      <c r="P63" s="202">
        <f t="shared" si="21"/>
        <v>10567240</v>
      </c>
    </row>
    <row r="65" spans="1:16" x14ac:dyDescent="0.25">
      <c r="A65" s="1" t="s">
        <v>367</v>
      </c>
    </row>
    <row r="66" spans="1:16" x14ac:dyDescent="0.25">
      <c r="A66" t="s">
        <v>368</v>
      </c>
      <c r="B66">
        <v>430</v>
      </c>
      <c r="C66">
        <v>430</v>
      </c>
      <c r="D66">
        <v>430</v>
      </c>
      <c r="E66">
        <v>430</v>
      </c>
      <c r="F66">
        <v>430</v>
      </c>
      <c r="G66">
        <v>430</v>
      </c>
      <c r="H66">
        <v>430</v>
      </c>
      <c r="I66">
        <v>430</v>
      </c>
      <c r="J66">
        <v>430</v>
      </c>
      <c r="K66">
        <v>430</v>
      </c>
      <c r="L66">
        <v>430</v>
      </c>
      <c r="M66">
        <v>430</v>
      </c>
      <c r="N66">
        <v>430</v>
      </c>
      <c r="O66">
        <v>430</v>
      </c>
      <c r="P66">
        <v>430</v>
      </c>
    </row>
    <row r="67" spans="1:16" x14ac:dyDescent="0.25">
      <c r="A67" t="s">
        <v>369</v>
      </c>
      <c r="B67">
        <v>360</v>
      </c>
      <c r="C67">
        <v>360</v>
      </c>
      <c r="D67">
        <v>414</v>
      </c>
      <c r="E67">
        <v>414</v>
      </c>
      <c r="F67">
        <v>435</v>
      </c>
      <c r="G67">
        <v>456</v>
      </c>
      <c r="H67">
        <v>479</v>
      </c>
      <c r="I67">
        <v>503</v>
      </c>
      <c r="J67">
        <v>528</v>
      </c>
      <c r="K67">
        <v>555</v>
      </c>
      <c r="L67">
        <v>555</v>
      </c>
      <c r="M67">
        <v>555</v>
      </c>
      <c r="N67">
        <v>555</v>
      </c>
      <c r="O67">
        <v>555</v>
      </c>
      <c r="P67">
        <v>555</v>
      </c>
    </row>
    <row r="68" spans="1:16" x14ac:dyDescent="0.25">
      <c r="A68" s="197" t="s">
        <v>370</v>
      </c>
      <c r="B68" s="197">
        <f>B66*B67*12</f>
        <v>1857600</v>
      </c>
      <c r="C68" s="197">
        <f t="shared" ref="C68:D68" si="22">C66*C67*12</f>
        <v>1857600</v>
      </c>
      <c r="D68" s="197">
        <f t="shared" si="22"/>
        <v>2136240</v>
      </c>
      <c r="E68" s="197">
        <f>E66*E67*12</f>
        <v>2136240</v>
      </c>
      <c r="F68" s="197">
        <f t="shared" ref="F68:P68" si="23">F66*F67*12</f>
        <v>2244600</v>
      </c>
      <c r="G68" s="197">
        <f t="shared" si="23"/>
        <v>2352960</v>
      </c>
      <c r="H68" s="197">
        <f t="shared" si="23"/>
        <v>2471640</v>
      </c>
      <c r="I68" s="197">
        <f t="shared" si="23"/>
        <v>2595480</v>
      </c>
      <c r="J68" s="197">
        <f t="shared" si="23"/>
        <v>2724480</v>
      </c>
      <c r="K68" s="197">
        <f t="shared" si="23"/>
        <v>2863800</v>
      </c>
      <c r="L68" s="197">
        <f t="shared" si="23"/>
        <v>2863800</v>
      </c>
      <c r="M68" s="197">
        <f t="shared" si="23"/>
        <v>2863800</v>
      </c>
      <c r="N68" s="197">
        <f t="shared" si="23"/>
        <v>2863800</v>
      </c>
      <c r="O68" s="197">
        <f t="shared" si="23"/>
        <v>2863800</v>
      </c>
      <c r="P68" s="197">
        <f t="shared" si="23"/>
        <v>2863800</v>
      </c>
    </row>
    <row r="70" spans="1:16" x14ac:dyDescent="0.25">
      <c r="B70" s="90" t="s">
        <v>14</v>
      </c>
      <c r="C70" s="90" t="s">
        <v>56</v>
      </c>
      <c r="D70" s="90" t="s">
        <v>16</v>
      </c>
      <c r="E70" s="90" t="s">
        <v>17</v>
      </c>
      <c r="F70" s="90" t="s">
        <v>18</v>
      </c>
      <c r="G70" s="90" t="s">
        <v>19</v>
      </c>
      <c r="H70" s="90" t="s">
        <v>20</v>
      </c>
      <c r="I70" s="90" t="s">
        <v>21</v>
      </c>
      <c r="J70" s="90" t="s">
        <v>22</v>
      </c>
      <c r="K70" s="90" t="s">
        <v>23</v>
      </c>
      <c r="L70" s="90" t="s">
        <v>57</v>
      </c>
      <c r="M70" s="90" t="s">
        <v>58</v>
      </c>
      <c r="N70" s="90" t="s">
        <v>59</v>
      </c>
      <c r="O70" s="90" t="s">
        <v>60</v>
      </c>
      <c r="P70" s="90" t="s">
        <v>197</v>
      </c>
    </row>
    <row r="71" spans="1:16" x14ac:dyDescent="0.25">
      <c r="A71" s="1" t="s">
        <v>371</v>
      </c>
      <c r="B71" s="90" t="s">
        <v>336</v>
      </c>
      <c r="C71" s="90" t="s">
        <v>337</v>
      </c>
      <c r="D71" s="90" t="s">
        <v>338</v>
      </c>
      <c r="E71" s="90" t="s">
        <v>339</v>
      </c>
      <c r="F71" s="90" t="s">
        <v>340</v>
      </c>
      <c r="G71" s="90" t="s">
        <v>341</v>
      </c>
      <c r="H71" s="90" t="s">
        <v>342</v>
      </c>
      <c r="I71" s="90" t="s">
        <v>343</v>
      </c>
      <c r="J71" s="90" t="s">
        <v>344</v>
      </c>
      <c r="K71" s="90" t="s">
        <v>345</v>
      </c>
      <c r="L71" s="90" t="s">
        <v>346</v>
      </c>
      <c r="M71" s="90" t="s">
        <v>347</v>
      </c>
      <c r="N71" s="90" t="s">
        <v>348</v>
      </c>
      <c r="O71" s="90" t="s">
        <v>349</v>
      </c>
      <c r="P71" s="90" t="s">
        <v>350</v>
      </c>
    </row>
    <row r="72" spans="1:16" x14ac:dyDescent="0.25">
      <c r="A72" s="1" t="s">
        <v>146</v>
      </c>
    </row>
    <row r="73" spans="1:16" x14ac:dyDescent="0.25">
      <c r="A73" s="1" t="s">
        <v>140</v>
      </c>
      <c r="B73" s="198">
        <v>0.15</v>
      </c>
      <c r="C73" s="198">
        <v>0.15</v>
      </c>
      <c r="D73" s="198">
        <v>0.15</v>
      </c>
      <c r="E73" s="198">
        <v>0.15</v>
      </c>
      <c r="F73" s="198">
        <v>0.15</v>
      </c>
      <c r="G73" s="198">
        <v>0.15</v>
      </c>
      <c r="H73" s="198">
        <v>0.15</v>
      </c>
      <c r="I73" s="198">
        <v>0.15</v>
      </c>
      <c r="J73" s="198">
        <v>0.15</v>
      </c>
      <c r="K73" s="198">
        <v>0.15</v>
      </c>
      <c r="L73" s="198">
        <v>0.15</v>
      </c>
      <c r="M73" s="198">
        <v>0.15</v>
      </c>
      <c r="N73" s="198">
        <v>0.15</v>
      </c>
      <c r="O73" s="198">
        <v>0.15</v>
      </c>
      <c r="P73" s="198">
        <v>0.15</v>
      </c>
    </row>
    <row r="74" spans="1:16" x14ac:dyDescent="0.25">
      <c r="A74" s="1" t="s">
        <v>141</v>
      </c>
      <c r="B74" s="198">
        <v>0.5</v>
      </c>
      <c r="C74" s="198">
        <v>0.5</v>
      </c>
      <c r="D74" s="198">
        <v>0.5</v>
      </c>
      <c r="E74" s="198">
        <v>0.5</v>
      </c>
      <c r="F74" s="198">
        <v>0.5</v>
      </c>
      <c r="G74" s="198">
        <v>0.5</v>
      </c>
      <c r="H74" s="198">
        <v>0.5</v>
      </c>
      <c r="I74" s="198">
        <v>0.5</v>
      </c>
      <c r="J74" s="198">
        <v>0.5</v>
      </c>
      <c r="K74" s="198">
        <v>0.5</v>
      </c>
      <c r="L74" s="198">
        <v>0.5</v>
      </c>
      <c r="M74" s="198">
        <v>0.5</v>
      </c>
      <c r="N74" s="198">
        <v>0.5</v>
      </c>
      <c r="O74" s="198">
        <v>0.5</v>
      </c>
      <c r="P74" s="198">
        <v>0.5</v>
      </c>
    </row>
    <row r="75" spans="1:16" x14ac:dyDescent="0.25">
      <c r="A75" s="1" t="s">
        <v>372</v>
      </c>
      <c r="B75" s="198">
        <v>0.5</v>
      </c>
      <c r="C75" s="198">
        <v>0.5</v>
      </c>
      <c r="D75" s="198">
        <v>0.5</v>
      </c>
      <c r="E75" s="198">
        <v>0.5</v>
      </c>
      <c r="F75" s="198">
        <v>0.5</v>
      </c>
      <c r="G75" s="198">
        <v>0.5</v>
      </c>
      <c r="H75" s="198">
        <v>0.5</v>
      </c>
      <c r="I75" s="198">
        <v>0.5</v>
      </c>
      <c r="J75" s="198">
        <v>0.5</v>
      </c>
      <c r="K75" s="198">
        <v>0.5</v>
      </c>
      <c r="L75" s="198">
        <v>0.5</v>
      </c>
      <c r="M75" s="198">
        <v>0.5</v>
      </c>
      <c r="N75" s="198">
        <v>0.5</v>
      </c>
      <c r="O75" s="198">
        <v>0.5</v>
      </c>
      <c r="P75" s="198">
        <v>0.5</v>
      </c>
    </row>
    <row r="76" spans="1:16" x14ac:dyDescent="0.25">
      <c r="A76" s="1" t="s">
        <v>143</v>
      </c>
      <c r="B76" s="198">
        <v>0.35</v>
      </c>
      <c r="C76" s="198">
        <v>0.35</v>
      </c>
      <c r="D76" s="198">
        <v>0.32</v>
      </c>
      <c r="E76" s="198">
        <v>0.3</v>
      </c>
      <c r="F76" s="198">
        <v>0.3</v>
      </c>
      <c r="G76" s="198">
        <v>0.3</v>
      </c>
      <c r="H76" s="198">
        <v>0.3</v>
      </c>
      <c r="I76" s="198">
        <v>0.3</v>
      </c>
      <c r="J76" s="198">
        <v>0.3</v>
      </c>
      <c r="K76" s="198">
        <v>0.3</v>
      </c>
      <c r="L76" s="198">
        <v>0.3</v>
      </c>
      <c r="M76" s="198">
        <v>0.3</v>
      </c>
      <c r="N76" s="198">
        <v>0.3</v>
      </c>
      <c r="O76" s="198">
        <v>0.3</v>
      </c>
      <c r="P76" s="198">
        <v>0.3</v>
      </c>
    </row>
    <row r="77" spans="1:16" x14ac:dyDescent="0.25">
      <c r="A77" s="1" t="s">
        <v>373</v>
      </c>
      <c r="B77" s="198">
        <v>0.2</v>
      </c>
      <c r="C77" s="198">
        <v>0.2</v>
      </c>
      <c r="D77" s="198">
        <v>0.2</v>
      </c>
      <c r="E77" s="198">
        <v>0.2</v>
      </c>
      <c r="F77" s="198">
        <v>0.2</v>
      </c>
      <c r="G77" s="198">
        <v>0.2</v>
      </c>
      <c r="H77" s="198">
        <v>0.2</v>
      </c>
      <c r="I77" s="198">
        <v>0.2</v>
      </c>
      <c r="J77" s="198">
        <v>0.2</v>
      </c>
      <c r="K77" s="198">
        <v>0.2</v>
      </c>
      <c r="L77" s="198">
        <v>0.2</v>
      </c>
      <c r="M77" s="198">
        <v>0.2</v>
      </c>
      <c r="N77" s="198">
        <v>0.2</v>
      </c>
      <c r="O77" s="198">
        <v>0.2</v>
      </c>
      <c r="P77" s="198">
        <v>0.2</v>
      </c>
    </row>
    <row r="78" spans="1:16" x14ac:dyDescent="0.25">
      <c r="A78" s="1" t="s">
        <v>149</v>
      </c>
    </row>
    <row r="79" spans="1:16" x14ac:dyDescent="0.25">
      <c r="A79" s="1" t="s">
        <v>150</v>
      </c>
      <c r="B79" s="198">
        <v>0.14000000000000001</v>
      </c>
      <c r="C79" s="198">
        <v>0.14000000000000001</v>
      </c>
      <c r="D79" s="198">
        <v>0.14000000000000001</v>
      </c>
      <c r="E79" s="198">
        <v>0.14000000000000001</v>
      </c>
      <c r="F79" s="198">
        <v>0.14000000000000001</v>
      </c>
      <c r="G79" s="198">
        <v>0.14000000000000001</v>
      </c>
      <c r="H79" s="198">
        <v>0.14000000000000001</v>
      </c>
      <c r="I79" s="198">
        <v>0.14000000000000001</v>
      </c>
      <c r="J79" s="198">
        <v>0.14000000000000001</v>
      </c>
      <c r="K79" s="198">
        <v>0.14000000000000001</v>
      </c>
      <c r="L79" s="198">
        <v>0.14000000000000001</v>
      </c>
      <c r="M79" s="198">
        <v>0.14000000000000001</v>
      </c>
      <c r="N79" s="198">
        <v>0.14000000000000001</v>
      </c>
      <c r="O79" s="198">
        <v>0.14000000000000001</v>
      </c>
      <c r="P79" s="198">
        <v>0.14000000000000001</v>
      </c>
    </row>
    <row r="80" spans="1:16" x14ac:dyDescent="0.25">
      <c r="A80" s="1" t="s">
        <v>151</v>
      </c>
      <c r="B80" s="198">
        <v>0.03</v>
      </c>
      <c r="C80" s="198">
        <v>0.03</v>
      </c>
      <c r="D80" s="198">
        <v>0.03</v>
      </c>
      <c r="E80" s="198">
        <v>0.02</v>
      </c>
      <c r="F80" s="198">
        <v>0.02</v>
      </c>
      <c r="G80" s="198">
        <v>0.02</v>
      </c>
      <c r="H80" s="198">
        <v>0.02</v>
      </c>
      <c r="I80" s="198">
        <v>0.02</v>
      </c>
      <c r="J80" s="198">
        <v>0.02</v>
      </c>
      <c r="K80" s="198">
        <v>0.02</v>
      </c>
      <c r="L80" s="198">
        <v>0.02</v>
      </c>
      <c r="M80" s="198">
        <v>0.02</v>
      </c>
      <c r="N80" s="198">
        <v>0.02</v>
      </c>
      <c r="O80" s="198">
        <v>0.02</v>
      </c>
      <c r="P80" s="198">
        <v>0.02</v>
      </c>
    </row>
    <row r="81" spans="1:16" x14ac:dyDescent="0.25">
      <c r="A81" s="1" t="s">
        <v>374</v>
      </c>
      <c r="B81" s="198">
        <v>0.09</v>
      </c>
      <c r="C81" s="198">
        <v>0.09</v>
      </c>
      <c r="D81" s="198">
        <v>0.1</v>
      </c>
      <c r="E81" s="198">
        <v>0.11</v>
      </c>
      <c r="F81" s="198">
        <v>0.11</v>
      </c>
      <c r="G81" s="198">
        <v>0.11</v>
      </c>
      <c r="H81" s="198">
        <v>0.11</v>
      </c>
      <c r="I81" s="198">
        <v>0.11</v>
      </c>
      <c r="J81" s="198">
        <v>0.11</v>
      </c>
      <c r="K81" s="198">
        <v>0.11</v>
      </c>
      <c r="L81" s="198">
        <v>0.11</v>
      </c>
      <c r="M81" s="198">
        <v>0.11</v>
      </c>
      <c r="N81" s="198">
        <v>0.11</v>
      </c>
      <c r="O81" s="198">
        <v>0.11</v>
      </c>
      <c r="P81" s="198">
        <v>0.11</v>
      </c>
    </row>
    <row r="82" spans="1:16" x14ac:dyDescent="0.25">
      <c r="A82" s="1" t="s">
        <v>153</v>
      </c>
      <c r="B82" s="198">
        <v>0.12</v>
      </c>
      <c r="C82" s="198">
        <v>0.11</v>
      </c>
      <c r="D82" s="198">
        <v>0.1</v>
      </c>
      <c r="E82" s="198">
        <v>0.1</v>
      </c>
      <c r="F82" s="198">
        <v>0.1</v>
      </c>
      <c r="G82" s="198">
        <v>0.1</v>
      </c>
      <c r="H82" s="198">
        <v>0.1</v>
      </c>
      <c r="I82" s="198">
        <v>0.1</v>
      </c>
      <c r="J82" s="198">
        <v>0.1</v>
      </c>
      <c r="K82" s="198">
        <v>0.1</v>
      </c>
      <c r="L82" s="198">
        <v>0.1</v>
      </c>
      <c r="M82" s="198">
        <v>0.1</v>
      </c>
      <c r="N82" s="198">
        <v>0.1</v>
      </c>
      <c r="O82" s="198">
        <v>0.1</v>
      </c>
      <c r="P82" s="198">
        <v>0.1</v>
      </c>
    </row>
    <row r="83" spans="1:16" x14ac:dyDescent="0.25">
      <c r="A83" s="1" t="s">
        <v>37</v>
      </c>
    </row>
    <row r="84" spans="1:16" x14ac:dyDescent="0.25">
      <c r="A84" s="1" t="s">
        <v>375</v>
      </c>
      <c r="B84" s="198">
        <v>0.02</v>
      </c>
      <c r="C84" s="198">
        <v>2.5000000000000001E-2</v>
      </c>
      <c r="D84" s="198">
        <v>2.5000000000000001E-2</v>
      </c>
      <c r="E84" s="198">
        <v>2.5000000000000001E-2</v>
      </c>
      <c r="F84" s="198">
        <v>2.5000000000000001E-2</v>
      </c>
      <c r="G84" s="198">
        <v>2.5000000000000001E-2</v>
      </c>
      <c r="H84" s="198">
        <v>2.5000000000000001E-2</v>
      </c>
      <c r="I84" s="198">
        <v>2.5000000000000001E-2</v>
      </c>
      <c r="J84" s="198">
        <v>2.5000000000000001E-2</v>
      </c>
      <c r="K84" s="198">
        <v>2.5000000000000001E-2</v>
      </c>
      <c r="L84" s="198">
        <v>2.5000000000000001E-2</v>
      </c>
      <c r="M84" s="198">
        <v>2.5000000000000001E-2</v>
      </c>
      <c r="N84" s="198">
        <v>2.5000000000000001E-2</v>
      </c>
      <c r="O84" s="198">
        <v>2.5000000000000001E-2</v>
      </c>
      <c r="P84" s="198">
        <v>2.5000000000000001E-2</v>
      </c>
    </row>
    <row r="85" spans="1:16" x14ac:dyDescent="0.25">
      <c r="A85" s="1" t="s">
        <v>376</v>
      </c>
      <c r="B85" s="198">
        <v>0.02</v>
      </c>
      <c r="C85" s="198">
        <v>0.02</v>
      </c>
      <c r="D85" s="198">
        <v>0.02</v>
      </c>
      <c r="E85" s="198">
        <v>0.02</v>
      </c>
      <c r="F85" s="198">
        <v>0.02</v>
      </c>
      <c r="G85" s="198">
        <v>2.5000000000000001E-2</v>
      </c>
      <c r="H85" s="198">
        <v>2.5000000000000001E-2</v>
      </c>
      <c r="I85" s="198">
        <v>2.5000000000000001E-2</v>
      </c>
      <c r="J85" s="198">
        <v>2.5000000000000001E-2</v>
      </c>
      <c r="K85" s="198">
        <v>2.5000000000000001E-2</v>
      </c>
      <c r="L85" s="198">
        <v>2.5000000000000001E-2</v>
      </c>
      <c r="M85" s="198">
        <v>2.5000000000000001E-2</v>
      </c>
      <c r="N85" s="198">
        <v>2.5000000000000001E-2</v>
      </c>
      <c r="O85" s="198">
        <v>2.5000000000000001E-2</v>
      </c>
      <c r="P85" s="198">
        <v>2.5000000000000001E-2</v>
      </c>
    </row>
    <row r="86" spans="1:16" x14ac:dyDescent="0.25">
      <c r="A86" s="1" t="s">
        <v>377</v>
      </c>
      <c r="B86" s="198">
        <v>0.06</v>
      </c>
      <c r="C86" s="198">
        <v>0.06</v>
      </c>
      <c r="D86" s="198">
        <v>0.06</v>
      </c>
      <c r="E86" s="198">
        <v>7.0000000000000007E-2</v>
      </c>
      <c r="F86" s="198">
        <v>7.0000000000000007E-2</v>
      </c>
      <c r="G86" s="198">
        <v>7.0000000000000007E-2</v>
      </c>
      <c r="H86" s="198">
        <v>7.0000000000000007E-2</v>
      </c>
      <c r="I86" s="198">
        <v>7.0000000000000007E-2</v>
      </c>
      <c r="J86" s="198">
        <v>7.0000000000000007E-2</v>
      </c>
      <c r="K86" s="198">
        <v>7.0000000000000007E-2</v>
      </c>
      <c r="L86" s="198">
        <v>7.0000000000000007E-2</v>
      </c>
      <c r="M86" s="198">
        <v>7.0000000000000007E-2</v>
      </c>
      <c r="N86" s="198">
        <v>7.0000000000000007E-2</v>
      </c>
      <c r="O86" s="198">
        <v>7.0000000000000007E-2</v>
      </c>
      <c r="P86" s="198">
        <v>7.0000000000000007E-2</v>
      </c>
    </row>
    <row r="87" spans="1:16" x14ac:dyDescent="0.25">
      <c r="A87" s="1" t="s">
        <v>378</v>
      </c>
    </row>
    <row r="88" spans="1:16" x14ac:dyDescent="0.25">
      <c r="A88" s="1" t="s">
        <v>379</v>
      </c>
      <c r="B88" s="198">
        <v>0</v>
      </c>
      <c r="C88" s="198">
        <v>0</v>
      </c>
      <c r="D88" s="198">
        <v>0</v>
      </c>
      <c r="E88" s="198">
        <v>0</v>
      </c>
      <c r="F88" s="198">
        <v>0</v>
      </c>
      <c r="G88" s="198">
        <v>0</v>
      </c>
      <c r="H88" s="198">
        <v>0</v>
      </c>
      <c r="I88" s="198">
        <v>0</v>
      </c>
      <c r="J88" s="198">
        <v>0</v>
      </c>
      <c r="K88" s="198">
        <v>0</v>
      </c>
      <c r="L88" s="198">
        <v>0</v>
      </c>
      <c r="M88" s="198">
        <v>0</v>
      </c>
      <c r="N88" s="198">
        <v>0</v>
      </c>
      <c r="O88" s="198">
        <v>0</v>
      </c>
      <c r="P88" s="198">
        <v>0</v>
      </c>
    </row>
    <row r="89" spans="1:16" x14ac:dyDescent="0.25">
      <c r="A89" s="1" t="s">
        <v>162</v>
      </c>
      <c r="B89" s="198">
        <v>0.01</v>
      </c>
      <c r="C89" s="198">
        <v>0.01</v>
      </c>
      <c r="D89" s="198">
        <v>0.01</v>
      </c>
      <c r="E89" s="198">
        <v>0.01</v>
      </c>
      <c r="F89" s="198">
        <v>0.01</v>
      </c>
      <c r="G89" s="198">
        <v>0.01</v>
      </c>
      <c r="H89" s="198">
        <v>0.01</v>
      </c>
      <c r="I89" s="198">
        <v>0.01</v>
      </c>
      <c r="J89" s="198">
        <v>0.01</v>
      </c>
      <c r="K89" s="198">
        <v>0.01</v>
      </c>
      <c r="L89" s="198">
        <v>0.01</v>
      </c>
      <c r="M89" s="198">
        <v>0.01</v>
      </c>
      <c r="N89" s="198">
        <v>0.01</v>
      </c>
      <c r="O89" s="198">
        <v>0.01</v>
      </c>
      <c r="P89" s="198">
        <v>0.01</v>
      </c>
    </row>
    <row r="90" spans="1:16" x14ac:dyDescent="0.25">
      <c r="A90" s="1" t="s">
        <v>163</v>
      </c>
      <c r="B90" s="198">
        <v>0.01</v>
      </c>
      <c r="C90" s="198">
        <v>0.01</v>
      </c>
      <c r="D90" s="198">
        <v>0.01</v>
      </c>
      <c r="E90" s="198">
        <v>0.01</v>
      </c>
      <c r="F90" s="198">
        <v>0.01</v>
      </c>
      <c r="G90" s="198">
        <v>0.01</v>
      </c>
      <c r="H90" s="198">
        <v>0.01</v>
      </c>
      <c r="I90" s="198">
        <v>0.01</v>
      </c>
      <c r="J90" s="198">
        <v>0.01</v>
      </c>
      <c r="K90" s="198">
        <v>0.01</v>
      </c>
      <c r="L90" s="198">
        <v>0.01</v>
      </c>
      <c r="M90" s="198">
        <v>0.01</v>
      </c>
      <c r="N90" s="198">
        <v>0.01</v>
      </c>
      <c r="O90" s="198">
        <v>0.01</v>
      </c>
      <c r="P90" s="198">
        <v>0.01</v>
      </c>
    </row>
    <row r="91" spans="1:16" x14ac:dyDescent="0.25">
      <c r="A91" s="205" t="s">
        <v>380</v>
      </c>
      <c r="B91" s="206">
        <v>0.01</v>
      </c>
      <c r="C91" s="206">
        <v>0.01</v>
      </c>
      <c r="D91" s="206">
        <v>0.02</v>
      </c>
      <c r="E91" s="206">
        <v>0.03</v>
      </c>
      <c r="F91" s="206">
        <v>0.03</v>
      </c>
      <c r="G91" s="206">
        <v>0.03</v>
      </c>
      <c r="H91" s="206">
        <v>0.03</v>
      </c>
      <c r="I91" s="206">
        <v>0.03</v>
      </c>
      <c r="J91" s="206">
        <v>0.03</v>
      </c>
      <c r="K91" s="206">
        <v>0.03</v>
      </c>
      <c r="L91" s="206">
        <v>0.03</v>
      </c>
      <c r="M91" s="206">
        <v>0.03</v>
      </c>
      <c r="N91" s="206">
        <v>0.03</v>
      </c>
      <c r="O91" s="206">
        <v>0.03</v>
      </c>
      <c r="P91" s="206">
        <v>0.03</v>
      </c>
    </row>
  </sheetData>
  <mergeCells count="1">
    <mergeCell ref="A1:J1"/>
  </mergeCells>
  <pageMargins left="0.70866141732283472" right="0.70866141732283472" top="0.74803149606299213" bottom="0.74803149606299213" header="0.31496062992125984" footer="0.31496062992125984"/>
  <pageSetup paperSize="9" scale="49" orientation="landscape"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6"/>
  <dimension ref="A1:U191"/>
  <sheetViews>
    <sheetView showGridLines="0" topLeftCell="A21" workbookViewId="0">
      <selection activeCell="F41" sqref="F41"/>
    </sheetView>
  </sheetViews>
  <sheetFormatPr defaultRowHeight="15" x14ac:dyDescent="0.25"/>
  <cols>
    <col min="1" max="1" width="7.5703125" customWidth="1"/>
    <col min="2" max="2" width="25.42578125" customWidth="1"/>
    <col min="3" max="3" width="32.7109375" bestFit="1" customWidth="1"/>
    <col min="4" max="4" width="13" customWidth="1"/>
    <col min="5" max="5" width="17.28515625" customWidth="1"/>
    <col min="6" max="6" width="12.28515625" style="16" customWidth="1"/>
    <col min="7" max="7" width="15.28515625" style="16" bestFit="1" customWidth="1"/>
    <col min="8" max="8" width="14.85546875" style="16" customWidth="1"/>
    <col min="9" max="14" width="12.28515625" style="16" customWidth="1"/>
    <col min="15" max="20" width="12.28515625" customWidth="1"/>
  </cols>
  <sheetData>
    <row r="1" spans="1:14" x14ac:dyDescent="0.25">
      <c r="B1" s="268">
        <v>46295</v>
      </c>
      <c r="C1" t="s">
        <v>867</v>
      </c>
      <c r="D1" s="596"/>
    </row>
    <row r="2" spans="1:14" x14ac:dyDescent="0.25">
      <c r="B2" s="218" t="s">
        <v>788</v>
      </c>
      <c r="C2" s="218"/>
      <c r="D2" s="218"/>
      <c r="E2" s="218"/>
      <c r="F2" s="218"/>
      <c r="G2" s="218"/>
      <c r="H2" s="218"/>
      <c r="I2" s="218"/>
      <c r="J2" s="218"/>
      <c r="K2" s="218"/>
      <c r="L2" s="218"/>
      <c r="M2" s="218"/>
      <c r="N2" s="218"/>
    </row>
    <row r="3" spans="1:14" x14ac:dyDescent="0.25">
      <c r="B3" s="435" t="s">
        <v>594</v>
      </c>
      <c r="C3" s="436"/>
      <c r="D3" s="436"/>
      <c r="E3" s="436"/>
      <c r="F3" s="437" t="s">
        <v>124</v>
      </c>
      <c r="G3" s="437" t="s">
        <v>15</v>
      </c>
      <c r="H3" s="437" t="s">
        <v>125</v>
      </c>
      <c r="I3" s="437" t="s">
        <v>126</v>
      </c>
      <c r="J3" s="437" t="s">
        <v>127</v>
      </c>
      <c r="K3" s="437" t="s">
        <v>128</v>
      </c>
      <c r="L3" s="437" t="s">
        <v>129</v>
      </c>
      <c r="M3" s="437" t="s">
        <v>130</v>
      </c>
      <c r="N3" s="437" t="s">
        <v>131</v>
      </c>
    </row>
    <row r="4" spans="1:14" x14ac:dyDescent="0.25">
      <c r="B4" s="438"/>
      <c r="C4" s="438"/>
      <c r="D4" s="438"/>
      <c r="E4" s="439">
        <v>46112</v>
      </c>
      <c r="F4" s="440">
        <v>46477</v>
      </c>
      <c r="G4" s="440">
        <v>46843</v>
      </c>
      <c r="H4" s="440">
        <v>47208</v>
      </c>
      <c r="I4" s="440">
        <v>47573</v>
      </c>
      <c r="J4" s="440">
        <v>47938</v>
      </c>
      <c r="K4" s="440">
        <v>48304</v>
      </c>
      <c r="L4" s="440">
        <v>48669</v>
      </c>
      <c r="M4" s="440">
        <v>49034</v>
      </c>
      <c r="N4" s="440">
        <v>49399</v>
      </c>
    </row>
    <row r="5" spans="1:14" x14ac:dyDescent="0.25">
      <c r="B5" t="s">
        <v>591</v>
      </c>
      <c r="E5">
        <v>50</v>
      </c>
      <c r="F5" s="16">
        <f>E5</f>
        <v>50</v>
      </c>
      <c r="G5" s="16">
        <f t="shared" ref="G5:N5" si="0">F5</f>
        <v>50</v>
      </c>
      <c r="H5" s="16">
        <f t="shared" si="0"/>
        <v>50</v>
      </c>
      <c r="I5" s="16">
        <f t="shared" si="0"/>
        <v>50</v>
      </c>
      <c r="J5" s="16">
        <f t="shared" si="0"/>
        <v>50</v>
      </c>
      <c r="K5" s="16">
        <f t="shared" si="0"/>
        <v>50</v>
      </c>
      <c r="L5" s="16">
        <f t="shared" si="0"/>
        <v>50</v>
      </c>
      <c r="M5" s="16">
        <f t="shared" si="0"/>
        <v>50</v>
      </c>
      <c r="N5" s="16">
        <f t="shared" si="0"/>
        <v>50</v>
      </c>
    </row>
    <row r="6" spans="1:14" x14ac:dyDescent="0.25">
      <c r="B6" t="s">
        <v>133</v>
      </c>
      <c r="F6" s="16">
        <v>180</v>
      </c>
      <c r="G6" s="16">
        <v>360</v>
      </c>
      <c r="H6" s="16">
        <v>360</v>
      </c>
      <c r="I6" s="16">
        <v>360</v>
      </c>
      <c r="J6" s="16">
        <v>360</v>
      </c>
      <c r="K6" s="16">
        <v>360</v>
      </c>
      <c r="L6" s="16">
        <v>360</v>
      </c>
      <c r="M6" s="16">
        <v>360</v>
      </c>
      <c r="N6" s="16">
        <v>360</v>
      </c>
    </row>
    <row r="7" spans="1:14" x14ac:dyDescent="0.25">
      <c r="B7" t="s">
        <v>134</v>
      </c>
      <c r="F7" s="16">
        <f>F6*F5</f>
        <v>9000</v>
      </c>
      <c r="G7" s="16">
        <f t="shared" ref="G7:N7" si="1">G6*G5</f>
        <v>18000</v>
      </c>
      <c r="H7" s="16">
        <f t="shared" si="1"/>
        <v>18000</v>
      </c>
      <c r="I7" s="16">
        <f t="shared" si="1"/>
        <v>18000</v>
      </c>
      <c r="J7" s="16">
        <f t="shared" si="1"/>
        <v>18000</v>
      </c>
      <c r="K7" s="16">
        <f t="shared" si="1"/>
        <v>18000</v>
      </c>
      <c r="L7" s="16">
        <f t="shared" si="1"/>
        <v>18000</v>
      </c>
      <c r="M7" s="16">
        <f t="shared" si="1"/>
        <v>18000</v>
      </c>
      <c r="N7" s="16">
        <f t="shared" si="1"/>
        <v>18000</v>
      </c>
    </row>
    <row r="8" spans="1:14" x14ac:dyDescent="0.25">
      <c r="A8" s="17">
        <v>0</v>
      </c>
      <c r="B8" t="s">
        <v>135</v>
      </c>
      <c r="E8" s="17">
        <v>0.05</v>
      </c>
      <c r="F8" s="83">
        <f>42%-A8</f>
        <v>0.42</v>
      </c>
      <c r="G8" s="83">
        <f>F8*(1+$E$8)</f>
        <v>0.441</v>
      </c>
      <c r="H8" s="83">
        <f>G8*(1+$E$8)</f>
        <v>0.46305000000000002</v>
      </c>
      <c r="I8" s="83">
        <f t="shared" ref="I8:L8" si="2">H8*(1+$E$8)</f>
        <v>0.48620250000000004</v>
      </c>
      <c r="J8" s="83">
        <f t="shared" si="2"/>
        <v>0.51051262500000005</v>
      </c>
      <c r="K8" s="83">
        <f t="shared" si="2"/>
        <v>0.53603825625000012</v>
      </c>
      <c r="L8" s="83">
        <f t="shared" si="2"/>
        <v>0.56284016906250012</v>
      </c>
      <c r="M8" s="83">
        <f t="shared" ref="M8:N8" si="3">L8*(1+$E$8)</f>
        <v>0.5909821775156251</v>
      </c>
      <c r="N8" s="83">
        <f t="shared" si="3"/>
        <v>0.62053128639140642</v>
      </c>
    </row>
    <row r="9" spans="1:14" x14ac:dyDescent="0.25">
      <c r="B9" t="s">
        <v>136</v>
      </c>
      <c r="F9" s="84">
        <f>F7*F8</f>
        <v>3780</v>
      </c>
      <c r="G9" s="84">
        <f t="shared" ref="G9:N9" si="4">G7*G8</f>
        <v>7938</v>
      </c>
      <c r="H9" s="84">
        <f t="shared" si="4"/>
        <v>8334.9</v>
      </c>
      <c r="I9" s="84">
        <f t="shared" si="4"/>
        <v>8751.6450000000004</v>
      </c>
      <c r="J9" s="84">
        <f t="shared" si="4"/>
        <v>9189.2272500000017</v>
      </c>
      <c r="K9" s="84">
        <f t="shared" si="4"/>
        <v>9648.6886125000019</v>
      </c>
      <c r="L9" s="84">
        <f t="shared" si="4"/>
        <v>10131.123043125002</v>
      </c>
      <c r="M9" s="84">
        <f t="shared" si="4"/>
        <v>10637.679195281251</v>
      </c>
      <c r="N9" s="84">
        <f t="shared" si="4"/>
        <v>11169.563155045316</v>
      </c>
    </row>
    <row r="10" spans="1:14" x14ac:dyDescent="0.25">
      <c r="B10" t="s">
        <v>137</v>
      </c>
      <c r="F10" s="84">
        <f>F5*F8</f>
        <v>21</v>
      </c>
      <c r="G10" s="84">
        <f t="shared" ref="G10:N10" si="5">G5*G8</f>
        <v>22.05</v>
      </c>
      <c r="H10" s="84">
        <f t="shared" si="5"/>
        <v>23.1525</v>
      </c>
      <c r="I10" s="84">
        <f t="shared" si="5"/>
        <v>24.310125000000003</v>
      </c>
      <c r="J10" s="84">
        <f t="shared" si="5"/>
        <v>25.525631250000004</v>
      </c>
      <c r="K10" s="84">
        <f t="shared" si="5"/>
        <v>26.801912812500007</v>
      </c>
      <c r="L10" s="84">
        <f t="shared" si="5"/>
        <v>28.142008453125005</v>
      </c>
      <c r="M10" s="84">
        <f t="shared" si="5"/>
        <v>29.549108875781254</v>
      </c>
      <c r="N10" s="84">
        <f t="shared" si="5"/>
        <v>31.026564319570323</v>
      </c>
    </row>
    <row r="11" spans="1:14" x14ac:dyDescent="0.25">
      <c r="A11" s="17">
        <v>0</v>
      </c>
      <c r="B11" t="s">
        <v>138</v>
      </c>
      <c r="D11" s="636" t="s">
        <v>507</v>
      </c>
      <c r="E11" s="17">
        <v>0.05</v>
      </c>
      <c r="F11" s="84">
        <f>3750*(1-A11)</f>
        <v>3750</v>
      </c>
      <c r="G11" s="84">
        <f>F11*(1+$E$11)</f>
        <v>3937.5</v>
      </c>
      <c r="H11" s="84">
        <f t="shared" ref="H11:N11" si="6">G11*(1+$E$11)</f>
        <v>4134.375</v>
      </c>
      <c r="I11" s="84">
        <f t="shared" si="6"/>
        <v>4341.09375</v>
      </c>
      <c r="J11" s="84">
        <f t="shared" si="6"/>
        <v>4558.1484375</v>
      </c>
      <c r="K11" s="84">
        <f t="shared" si="6"/>
        <v>4786.0558593750002</v>
      </c>
      <c r="L11" s="84">
        <f t="shared" si="6"/>
        <v>5025.3586523437507</v>
      </c>
      <c r="M11" s="84">
        <f t="shared" si="6"/>
        <v>5276.6265849609381</v>
      </c>
      <c r="N11" s="84">
        <f t="shared" si="6"/>
        <v>5540.4579142089851</v>
      </c>
    </row>
    <row r="12" spans="1:14" x14ac:dyDescent="0.25">
      <c r="B12" s="1" t="s">
        <v>139</v>
      </c>
    </row>
    <row r="13" spans="1:14" x14ac:dyDescent="0.25">
      <c r="B13" t="s">
        <v>140</v>
      </c>
      <c r="F13" s="210">
        <f>F11*F10*F6/10^5</f>
        <v>141.75</v>
      </c>
      <c r="G13" s="210">
        <f>G11*G10*G6/10^5</f>
        <v>312.55874999999997</v>
      </c>
      <c r="H13" s="210">
        <f t="shared" ref="H13:N13" si="7">H11*H10*H6/10^5</f>
        <v>344.59602187500002</v>
      </c>
      <c r="I13" s="210">
        <f t="shared" si="7"/>
        <v>379.91711411718757</v>
      </c>
      <c r="J13" s="210">
        <f t="shared" si="7"/>
        <v>418.8586183141993</v>
      </c>
      <c r="K13" s="210">
        <f t="shared" si="7"/>
        <v>461.79162669140482</v>
      </c>
      <c r="L13" s="210">
        <f t="shared" si="7"/>
        <v>509.12526842727368</v>
      </c>
      <c r="M13" s="210">
        <f t="shared" si="7"/>
        <v>561.31060844106923</v>
      </c>
      <c r="N13" s="210">
        <f t="shared" si="7"/>
        <v>618.84494580627904</v>
      </c>
    </row>
    <row r="14" spans="1:14" x14ac:dyDescent="0.25">
      <c r="B14" t="s">
        <v>141</v>
      </c>
      <c r="E14" s="17">
        <v>0.05</v>
      </c>
      <c r="F14" s="210">
        <f>+(D74+E74)/10^5</f>
        <v>264.60000000000002</v>
      </c>
      <c r="G14" s="210">
        <f>+(D98+E98)/10^5</f>
        <v>555.66</v>
      </c>
      <c r="H14" s="210">
        <f>G14/G8*H8*(1+$E$14)</f>
        <v>612.61514999999997</v>
      </c>
      <c r="I14" s="210">
        <f>H14/H8*I8*(1+$E$14)</f>
        <v>675.40820287500003</v>
      </c>
      <c r="J14" s="210">
        <f t="shared" ref="J14:N14" si="8">I14/I8*J8*(1+$E$14)</f>
        <v>744.63754366968749</v>
      </c>
      <c r="K14" s="210">
        <f t="shared" si="8"/>
        <v>820.96289189583058</v>
      </c>
      <c r="L14" s="210">
        <f t="shared" si="8"/>
        <v>905.1115883151532</v>
      </c>
      <c r="M14" s="210">
        <f t="shared" si="8"/>
        <v>997.88552611745649</v>
      </c>
      <c r="N14" s="210">
        <f t="shared" si="8"/>
        <v>1100.1687925444958</v>
      </c>
    </row>
    <row r="15" spans="1:14" x14ac:dyDescent="0.25">
      <c r="B15" t="s">
        <v>787</v>
      </c>
      <c r="E15" s="673">
        <v>0.05</v>
      </c>
      <c r="F15" s="210">
        <f>+F74/10^5</f>
        <v>90</v>
      </c>
      <c r="G15" s="210">
        <f>+(F98)/10^5</f>
        <v>189</v>
      </c>
      <c r="H15" s="210">
        <f>+G15*(1+$E$15)</f>
        <v>198.45000000000002</v>
      </c>
      <c r="I15" s="210">
        <f t="shared" ref="I15:N15" si="9">+H15*(1+$E$15)</f>
        <v>208.37250000000003</v>
      </c>
      <c r="J15" s="210">
        <f t="shared" si="9"/>
        <v>218.79112500000005</v>
      </c>
      <c r="K15" s="210">
        <f t="shared" si="9"/>
        <v>229.73068125000006</v>
      </c>
      <c r="L15" s="210">
        <f t="shared" si="9"/>
        <v>241.21721531250009</v>
      </c>
      <c r="M15" s="210">
        <f t="shared" si="9"/>
        <v>253.27807607812511</v>
      </c>
      <c r="N15" s="210">
        <f t="shared" si="9"/>
        <v>265.94197988203138</v>
      </c>
    </row>
    <row r="16" spans="1:14" x14ac:dyDescent="0.25">
      <c r="B16" t="s">
        <v>783</v>
      </c>
      <c r="E16" s="17">
        <v>0.05</v>
      </c>
      <c r="F16" s="210">
        <f>+G74/10^5</f>
        <v>405</v>
      </c>
      <c r="G16" s="210">
        <f>+G98/10^5</f>
        <v>850.5</v>
      </c>
      <c r="H16" s="210">
        <f>+G16*(1+$E$16)</f>
        <v>893.02500000000009</v>
      </c>
      <c r="I16" s="210">
        <f t="shared" ref="I16:N16" si="10">+H16*(1+$E$16)</f>
        <v>937.6762500000001</v>
      </c>
      <c r="J16" s="210">
        <f t="shared" si="10"/>
        <v>984.56006250000019</v>
      </c>
      <c r="K16" s="210">
        <f t="shared" si="10"/>
        <v>1033.7880656250002</v>
      </c>
      <c r="L16" s="210">
        <f t="shared" si="10"/>
        <v>1085.4774689062501</v>
      </c>
      <c r="M16" s="210">
        <f t="shared" si="10"/>
        <v>1139.7513423515627</v>
      </c>
      <c r="N16" s="210">
        <f t="shared" si="10"/>
        <v>1196.7389094691409</v>
      </c>
    </row>
    <row r="17" spans="2:21" x14ac:dyDescent="0.25">
      <c r="B17" t="s">
        <v>792</v>
      </c>
      <c r="E17" s="17">
        <v>0.05</v>
      </c>
      <c r="F17" s="210">
        <f>+H74/10^5</f>
        <v>81</v>
      </c>
      <c r="G17" s="210">
        <f>+H98/10^5</f>
        <v>170.1</v>
      </c>
      <c r="H17" s="210">
        <f>G17*(1+$E$17)</f>
        <v>178.60499999999999</v>
      </c>
      <c r="I17" s="210">
        <f t="shared" ref="I17:N17" si="11">H17*(1+$E$17)</f>
        <v>187.53524999999999</v>
      </c>
      <c r="J17" s="210">
        <f t="shared" si="11"/>
        <v>196.9120125</v>
      </c>
      <c r="K17" s="210">
        <f t="shared" si="11"/>
        <v>206.75761312500001</v>
      </c>
      <c r="L17" s="210">
        <f t="shared" si="11"/>
        <v>217.09549378125001</v>
      </c>
      <c r="M17" s="210">
        <f t="shared" si="11"/>
        <v>227.95026847031252</v>
      </c>
      <c r="N17" s="210">
        <f t="shared" si="11"/>
        <v>239.34778189382817</v>
      </c>
    </row>
    <row r="18" spans="2:21" x14ac:dyDescent="0.25">
      <c r="B18" s="221" t="s">
        <v>145</v>
      </c>
      <c r="C18" s="221"/>
      <c r="D18" s="221"/>
      <c r="E18" s="221"/>
      <c r="F18" s="441">
        <f t="shared" ref="F18:N18" si="12">SUM(F13:F17)</f>
        <v>982.35</v>
      </c>
      <c r="G18" s="441">
        <f t="shared" si="12"/>
        <v>2077.8187499999999</v>
      </c>
      <c r="H18" s="441">
        <f t="shared" si="12"/>
        <v>2227.2911718750001</v>
      </c>
      <c r="I18" s="441">
        <f t="shared" si="12"/>
        <v>2388.9093169921875</v>
      </c>
      <c r="J18" s="441">
        <f t="shared" si="12"/>
        <v>2563.7593619838872</v>
      </c>
      <c r="K18" s="441">
        <f t="shared" si="12"/>
        <v>2753.0308785872357</v>
      </c>
      <c r="L18" s="441">
        <f t="shared" si="12"/>
        <v>2958.0270347424271</v>
      </c>
      <c r="M18" s="441">
        <f t="shared" si="12"/>
        <v>3180.1758214585261</v>
      </c>
      <c r="N18" s="441">
        <f t="shared" si="12"/>
        <v>3421.0424095957751</v>
      </c>
    </row>
    <row r="19" spans="2:21" x14ac:dyDescent="0.25">
      <c r="B19" s="1" t="s">
        <v>146</v>
      </c>
    </row>
    <row r="20" spans="2:21" x14ac:dyDescent="0.25">
      <c r="B20" t="s">
        <v>140</v>
      </c>
      <c r="E20" s="673">
        <v>0.25</v>
      </c>
      <c r="F20" s="210">
        <f t="shared" ref="F20:N20" si="13">F13*$E$20</f>
        <v>35.4375</v>
      </c>
      <c r="G20" s="210">
        <f t="shared" si="13"/>
        <v>78.139687499999994</v>
      </c>
      <c r="H20" s="210">
        <f t="shared" si="13"/>
        <v>86.149005468750005</v>
      </c>
      <c r="I20" s="210">
        <f t="shared" si="13"/>
        <v>94.979278529296892</v>
      </c>
      <c r="J20" s="210">
        <f t="shared" si="13"/>
        <v>104.71465457854983</v>
      </c>
      <c r="K20" s="210">
        <f t="shared" si="13"/>
        <v>115.4479066728512</v>
      </c>
      <c r="L20" s="210">
        <f t="shared" si="13"/>
        <v>127.28131710681842</v>
      </c>
      <c r="M20" s="210">
        <f t="shared" si="13"/>
        <v>140.32765211026731</v>
      </c>
      <c r="N20" s="210">
        <f t="shared" si="13"/>
        <v>154.71123645156976</v>
      </c>
      <c r="U20" s="2"/>
    </row>
    <row r="21" spans="2:21" x14ac:dyDescent="0.25">
      <c r="B21" t="s">
        <v>141</v>
      </c>
      <c r="E21" s="17">
        <v>0.55000000000000004</v>
      </c>
      <c r="F21" s="210">
        <f t="shared" ref="F21:N21" si="14">F14*$E$21</f>
        <v>145.53000000000003</v>
      </c>
      <c r="G21" s="210">
        <f t="shared" si="14"/>
        <v>305.613</v>
      </c>
      <c r="H21" s="210">
        <f t="shared" si="14"/>
        <v>336.9383325</v>
      </c>
      <c r="I21" s="210">
        <f t="shared" si="14"/>
        <v>371.47451158125006</v>
      </c>
      <c r="J21" s="210">
        <f t="shared" si="14"/>
        <v>409.55064901832816</v>
      </c>
      <c r="K21" s="210">
        <f t="shared" si="14"/>
        <v>451.52959054270684</v>
      </c>
      <c r="L21" s="210">
        <f t="shared" si="14"/>
        <v>497.81137357333432</v>
      </c>
      <c r="M21" s="210">
        <f t="shared" si="14"/>
        <v>548.83703936460108</v>
      </c>
      <c r="N21" s="210">
        <f t="shared" si="14"/>
        <v>605.09283589947268</v>
      </c>
    </row>
    <row r="22" spans="2:21" x14ac:dyDescent="0.25">
      <c r="B22" t="s">
        <v>793</v>
      </c>
      <c r="E22" s="17">
        <v>0.35</v>
      </c>
      <c r="F22" s="210">
        <f>+F15*$E$22</f>
        <v>31.499999999999996</v>
      </c>
      <c r="G22" s="210">
        <f t="shared" ref="G22:N22" si="15">G15*$E$22</f>
        <v>66.149999999999991</v>
      </c>
      <c r="H22" s="210">
        <f t="shared" si="15"/>
        <v>69.457499999999996</v>
      </c>
      <c r="I22" s="210">
        <f t="shared" si="15"/>
        <v>72.930375000000012</v>
      </c>
      <c r="J22" s="210">
        <f t="shared" si="15"/>
        <v>76.576893750000011</v>
      </c>
      <c r="K22" s="210">
        <f t="shared" si="15"/>
        <v>80.40573843750002</v>
      </c>
      <c r="L22" s="210">
        <f t="shared" si="15"/>
        <v>84.426025359375032</v>
      </c>
      <c r="M22" s="210">
        <f t="shared" si="15"/>
        <v>88.647326627343787</v>
      </c>
      <c r="N22" s="210">
        <f t="shared" si="15"/>
        <v>93.079692958710979</v>
      </c>
    </row>
    <row r="23" spans="2:21" x14ac:dyDescent="0.25">
      <c r="B23" t="s">
        <v>794</v>
      </c>
      <c r="E23" s="17">
        <v>0.5</v>
      </c>
      <c r="F23" s="210">
        <f t="shared" ref="F23:N23" si="16">+F16*$E$23</f>
        <v>202.5</v>
      </c>
      <c r="G23" s="210">
        <f t="shared" si="16"/>
        <v>425.25</v>
      </c>
      <c r="H23" s="210">
        <f t="shared" si="16"/>
        <v>446.51250000000005</v>
      </c>
      <c r="I23" s="210">
        <f t="shared" si="16"/>
        <v>468.83812500000005</v>
      </c>
      <c r="J23" s="210">
        <f t="shared" si="16"/>
        <v>492.28003125000009</v>
      </c>
      <c r="K23" s="210">
        <f t="shared" si="16"/>
        <v>516.89403281250009</v>
      </c>
      <c r="L23" s="210">
        <f t="shared" si="16"/>
        <v>542.73873445312506</v>
      </c>
      <c r="M23" s="210">
        <f t="shared" si="16"/>
        <v>569.87567117578135</v>
      </c>
      <c r="N23" s="210">
        <f t="shared" si="16"/>
        <v>598.36945473457047</v>
      </c>
    </row>
    <row r="24" spans="2:21" x14ac:dyDescent="0.25">
      <c r="B24" t="s">
        <v>792</v>
      </c>
      <c r="E24" s="17">
        <v>0.5</v>
      </c>
      <c r="F24" s="210">
        <f>+F17*$E$24</f>
        <v>40.5</v>
      </c>
      <c r="G24" s="210">
        <f t="shared" ref="G24:N24" si="17">G17*$E$24</f>
        <v>85.05</v>
      </c>
      <c r="H24" s="210">
        <f t="shared" si="17"/>
        <v>89.302499999999995</v>
      </c>
      <c r="I24" s="210">
        <f t="shared" si="17"/>
        <v>93.767624999999995</v>
      </c>
      <c r="J24" s="210">
        <f t="shared" si="17"/>
        <v>98.456006250000002</v>
      </c>
      <c r="K24" s="210">
        <f t="shared" si="17"/>
        <v>103.3788065625</v>
      </c>
      <c r="L24" s="210">
        <f t="shared" si="17"/>
        <v>108.54774689062501</v>
      </c>
      <c r="M24" s="210">
        <f t="shared" si="17"/>
        <v>113.97513423515626</v>
      </c>
      <c r="N24" s="210">
        <f t="shared" si="17"/>
        <v>119.67389094691409</v>
      </c>
    </row>
    <row r="25" spans="2:21" x14ac:dyDescent="0.25">
      <c r="B25" s="223" t="s">
        <v>147</v>
      </c>
      <c r="C25" s="223"/>
      <c r="D25" s="223"/>
      <c r="E25" s="223"/>
      <c r="F25" s="442">
        <f t="shared" ref="F25:N25" si="18">SUM(F20:F24)</f>
        <v>455.46750000000003</v>
      </c>
      <c r="G25" s="442">
        <f t="shared" si="18"/>
        <v>960.20268749999991</v>
      </c>
      <c r="H25" s="442">
        <f t="shared" si="18"/>
        <v>1028.3598379687501</v>
      </c>
      <c r="I25" s="442">
        <f t="shared" si="18"/>
        <v>1101.9899151105469</v>
      </c>
      <c r="J25" s="442">
        <f t="shared" si="18"/>
        <v>1181.5782348468781</v>
      </c>
      <c r="K25" s="442">
        <f t="shared" si="18"/>
        <v>1267.6560750280582</v>
      </c>
      <c r="L25" s="442">
        <f t="shared" si="18"/>
        <v>1360.8051973832778</v>
      </c>
      <c r="M25" s="442">
        <f t="shared" si="18"/>
        <v>1461.6628235131498</v>
      </c>
      <c r="N25" s="442">
        <f t="shared" si="18"/>
        <v>1570.9271109912379</v>
      </c>
    </row>
    <row r="26" spans="2:21" x14ac:dyDescent="0.25">
      <c r="B26" s="3" t="s">
        <v>148</v>
      </c>
      <c r="C26" s="3"/>
      <c r="D26" s="3"/>
      <c r="E26" s="3"/>
      <c r="F26" s="300">
        <f t="shared" ref="F26:N26" si="19">F18-F25</f>
        <v>526.88249999999994</v>
      </c>
      <c r="G26" s="300">
        <f t="shared" si="19"/>
        <v>1117.6160625</v>
      </c>
      <c r="H26" s="300">
        <f t="shared" si="19"/>
        <v>1198.9313339062501</v>
      </c>
      <c r="I26" s="300">
        <f t="shared" si="19"/>
        <v>1286.9194018816406</v>
      </c>
      <c r="J26" s="300">
        <f t="shared" si="19"/>
        <v>1382.1811271370091</v>
      </c>
      <c r="K26" s="300">
        <f t="shared" si="19"/>
        <v>1485.3748035591775</v>
      </c>
      <c r="L26" s="300">
        <f t="shared" si="19"/>
        <v>1597.2218373591493</v>
      </c>
      <c r="M26" s="300">
        <f t="shared" si="19"/>
        <v>1718.5129979453764</v>
      </c>
      <c r="N26" s="300">
        <f t="shared" si="19"/>
        <v>1850.1152986045372</v>
      </c>
    </row>
    <row r="27" spans="2:21" x14ac:dyDescent="0.25">
      <c r="B27" s="1" t="s">
        <v>149</v>
      </c>
      <c r="F27" s="210"/>
      <c r="G27" s="210"/>
      <c r="H27" s="210"/>
      <c r="I27" s="210"/>
      <c r="J27" s="210"/>
      <c r="K27" s="210"/>
      <c r="L27" s="210"/>
      <c r="M27" s="210"/>
      <c r="N27" s="210"/>
    </row>
    <row r="28" spans="2:21" x14ac:dyDescent="0.25">
      <c r="B28" t="s">
        <v>934</v>
      </c>
      <c r="C28" s="259"/>
      <c r="E28" s="238">
        <v>7.4999999999999997E-2</v>
      </c>
      <c r="F28" s="210">
        <f>F18*$E$28</f>
        <v>73.676249999999996</v>
      </c>
      <c r="G28" s="210">
        <f t="shared" ref="F28:N28" si="20">G18*$E$28</f>
        <v>155.83640624999998</v>
      </c>
      <c r="H28" s="210">
        <f t="shared" si="20"/>
        <v>167.046837890625</v>
      </c>
      <c r="I28" s="210">
        <f t="shared" si="20"/>
        <v>179.16819877441407</v>
      </c>
      <c r="J28" s="210">
        <f t="shared" si="20"/>
        <v>192.28195214879153</v>
      </c>
      <c r="K28" s="210">
        <f t="shared" si="20"/>
        <v>206.47731589404268</v>
      </c>
      <c r="L28" s="210">
        <f t="shared" si="20"/>
        <v>221.85202760568203</v>
      </c>
      <c r="M28" s="210">
        <f t="shared" si="20"/>
        <v>238.51318660938944</v>
      </c>
      <c r="N28" s="210">
        <f t="shared" si="20"/>
        <v>256.57818071968313</v>
      </c>
    </row>
    <row r="29" spans="2:21" x14ac:dyDescent="0.25">
      <c r="B29" t="s">
        <v>151</v>
      </c>
      <c r="E29" s="238">
        <v>2.5000000000000001E-2</v>
      </c>
      <c r="F29" s="210">
        <f>F18*$E$29</f>
        <v>24.558750000000003</v>
      </c>
      <c r="G29" s="210">
        <f t="shared" ref="F29:N29" si="21">G18*$E$29</f>
        <v>51.945468750000003</v>
      </c>
      <c r="H29" s="210">
        <f t="shared" si="21"/>
        <v>55.682279296875009</v>
      </c>
      <c r="I29" s="210">
        <f t="shared" si="21"/>
        <v>59.722732924804689</v>
      </c>
      <c r="J29" s="210">
        <f t="shared" si="21"/>
        <v>64.093984049597182</v>
      </c>
      <c r="K29" s="210">
        <f t="shared" si="21"/>
        <v>68.825771964680897</v>
      </c>
      <c r="L29" s="210">
        <f t="shared" si="21"/>
        <v>73.95067586856068</v>
      </c>
      <c r="M29" s="210">
        <f t="shared" si="21"/>
        <v>79.504395536463164</v>
      </c>
      <c r="N29" s="210">
        <f t="shared" si="21"/>
        <v>85.526060239894377</v>
      </c>
    </row>
    <row r="30" spans="2:21" x14ac:dyDescent="0.25">
      <c r="B30" t="s">
        <v>152</v>
      </c>
      <c r="E30" s="17">
        <v>0.05</v>
      </c>
      <c r="F30" s="210">
        <f>+BS!F26*1.5%/2</f>
        <v>22.385937499999994</v>
      </c>
      <c r="G30" s="210">
        <f>+F30*(1+$E$30)*2</f>
        <v>47.010468749999987</v>
      </c>
      <c r="H30" s="210">
        <f>+G30*(1+$E$30)</f>
        <v>49.360992187499988</v>
      </c>
      <c r="I30" s="210">
        <f t="shared" ref="I30:N30" si="22">+H30*(1+$E$30)</f>
        <v>51.829041796874989</v>
      </c>
      <c r="J30" s="210">
        <f t="shared" si="22"/>
        <v>54.420493886718738</v>
      </c>
      <c r="K30" s="210">
        <f t="shared" si="22"/>
        <v>57.141518581054676</v>
      </c>
      <c r="L30" s="210">
        <f t="shared" si="22"/>
        <v>59.998594510107409</v>
      </c>
      <c r="M30" s="210">
        <f t="shared" si="22"/>
        <v>62.998524235612784</v>
      </c>
      <c r="N30" s="210">
        <f t="shared" si="22"/>
        <v>66.148450447393429</v>
      </c>
    </row>
    <row r="31" spans="2:21" x14ac:dyDescent="0.25">
      <c r="B31" t="s">
        <v>153</v>
      </c>
      <c r="C31" t="s">
        <v>908</v>
      </c>
      <c r="E31" s="17"/>
      <c r="F31" s="210">
        <f>+G31/2</f>
        <v>86.4</v>
      </c>
      <c r="G31" s="210">
        <f>+'Power Consumption'!D21</f>
        <v>172.8</v>
      </c>
      <c r="H31" s="210">
        <f>+G31+(1+0.05)</f>
        <v>173.85000000000002</v>
      </c>
      <c r="I31" s="210">
        <f>+H31+(1+0.05)</f>
        <v>174.90000000000003</v>
      </c>
      <c r="J31" s="210">
        <f t="shared" ref="J31:N31" si="23">+I31+(1+0.05)</f>
        <v>175.95000000000005</v>
      </c>
      <c r="K31" s="210">
        <f t="shared" si="23"/>
        <v>177.00000000000006</v>
      </c>
      <c r="L31" s="210">
        <f t="shared" si="23"/>
        <v>178.05000000000007</v>
      </c>
      <c r="M31" s="210">
        <f t="shared" si="23"/>
        <v>179.10000000000008</v>
      </c>
      <c r="N31" s="210">
        <f t="shared" si="23"/>
        <v>180.15000000000009</v>
      </c>
    </row>
    <row r="32" spans="2:21" x14ac:dyDescent="0.25">
      <c r="B32" t="s">
        <v>862</v>
      </c>
      <c r="C32" t="s">
        <v>908</v>
      </c>
      <c r="E32" s="17"/>
      <c r="F32" s="210">
        <f>+'Labour Wages'!E52*6</f>
        <v>115.68</v>
      </c>
      <c r="G32" s="210">
        <f>+'Labour Wages'!D52*(1+0.05)</f>
        <v>242.92800000000003</v>
      </c>
      <c r="H32" s="210">
        <f>+G32*1.05</f>
        <v>255.07440000000003</v>
      </c>
      <c r="I32" s="210">
        <f t="shared" ref="I32:N32" si="24">+H32*1.05</f>
        <v>267.82812000000001</v>
      </c>
      <c r="J32" s="210">
        <f t="shared" si="24"/>
        <v>281.21952600000003</v>
      </c>
      <c r="K32" s="210">
        <f t="shared" si="24"/>
        <v>295.28050230000002</v>
      </c>
      <c r="L32" s="210">
        <f t="shared" si="24"/>
        <v>310.04452741500006</v>
      </c>
      <c r="M32" s="210">
        <f t="shared" si="24"/>
        <v>325.54675378575007</v>
      </c>
      <c r="N32" s="210">
        <f t="shared" si="24"/>
        <v>341.82409147503756</v>
      </c>
    </row>
    <row r="33" spans="2:20" x14ac:dyDescent="0.25">
      <c r="B33" s="223"/>
      <c r="C33" s="223"/>
      <c r="D33" s="223"/>
      <c r="E33" s="223"/>
      <c r="F33" s="442">
        <f>SUM(F28:F32)</f>
        <v>322.70093750000001</v>
      </c>
      <c r="G33" s="442">
        <f t="shared" ref="G33:N33" si="25">SUM(G28:G32)</f>
        <v>670.52034375000005</v>
      </c>
      <c r="H33" s="442">
        <f t="shared" si="25"/>
        <v>701.01450937499999</v>
      </c>
      <c r="I33" s="442">
        <f t="shared" si="25"/>
        <v>733.44809349609386</v>
      </c>
      <c r="J33" s="442">
        <f t="shared" si="25"/>
        <v>767.96595608510756</v>
      </c>
      <c r="K33" s="442">
        <f t="shared" si="25"/>
        <v>804.72510873977831</v>
      </c>
      <c r="L33" s="442">
        <f t="shared" si="25"/>
        <v>843.8958253993502</v>
      </c>
      <c r="M33" s="442">
        <f t="shared" si="25"/>
        <v>885.66286016721551</v>
      </c>
      <c r="N33" s="442">
        <f t="shared" si="25"/>
        <v>930.22678288200859</v>
      </c>
    </row>
    <row r="34" spans="2:20" x14ac:dyDescent="0.25">
      <c r="B34" s="3" t="s">
        <v>155</v>
      </c>
      <c r="C34" s="3"/>
      <c r="D34" s="3"/>
      <c r="E34" s="3"/>
      <c r="F34" s="300">
        <f>F26-F33</f>
        <v>204.18156249999993</v>
      </c>
      <c r="G34" s="300">
        <f t="shared" ref="G34:N34" si="26">G26-G33</f>
        <v>447.09571874999995</v>
      </c>
      <c r="H34" s="300">
        <f t="shared" si="26"/>
        <v>497.91682453125009</v>
      </c>
      <c r="I34" s="300">
        <f t="shared" si="26"/>
        <v>553.47130838554676</v>
      </c>
      <c r="J34" s="300">
        <f t="shared" si="26"/>
        <v>614.21517105190151</v>
      </c>
      <c r="K34" s="300">
        <f t="shared" si="26"/>
        <v>680.6496948193992</v>
      </c>
      <c r="L34" s="300">
        <f t="shared" si="26"/>
        <v>753.32601195979908</v>
      </c>
      <c r="M34" s="300">
        <f t="shared" si="26"/>
        <v>832.85013777816084</v>
      </c>
      <c r="N34" s="300">
        <f t="shared" si="26"/>
        <v>919.88851572252861</v>
      </c>
    </row>
    <row r="35" spans="2:20" x14ac:dyDescent="0.25">
      <c r="B35" s="192" t="s">
        <v>516</v>
      </c>
      <c r="F35" s="210">
        <f>+Cost!D24/5</f>
        <v>15</v>
      </c>
      <c r="G35" s="210">
        <f>+F35</f>
        <v>15</v>
      </c>
      <c r="H35" s="210">
        <f t="shared" ref="H35:J35" si="27">+G35</f>
        <v>15</v>
      </c>
      <c r="I35" s="210">
        <f t="shared" si="27"/>
        <v>15</v>
      </c>
      <c r="J35" s="210">
        <f t="shared" si="27"/>
        <v>15</v>
      </c>
      <c r="K35" s="210"/>
      <c r="L35" s="210"/>
      <c r="M35" s="210"/>
      <c r="N35" s="210"/>
    </row>
    <row r="36" spans="2:20" x14ac:dyDescent="0.25">
      <c r="B36" s="223" t="s">
        <v>920</v>
      </c>
      <c r="C36" s="222"/>
      <c r="D36" s="222"/>
      <c r="E36" s="222"/>
      <c r="F36" s="442">
        <f>SUM(F35:F35)</f>
        <v>15</v>
      </c>
      <c r="G36" s="442">
        <f t="shared" ref="G36:N36" si="28">SUM(G35:G35)</f>
        <v>15</v>
      </c>
      <c r="H36" s="442">
        <f t="shared" si="28"/>
        <v>15</v>
      </c>
      <c r="I36" s="442">
        <f t="shared" si="28"/>
        <v>15</v>
      </c>
      <c r="J36" s="442">
        <f t="shared" si="28"/>
        <v>15</v>
      </c>
      <c r="K36" s="442">
        <f t="shared" si="28"/>
        <v>0</v>
      </c>
      <c r="L36" s="442">
        <f t="shared" si="28"/>
        <v>0</v>
      </c>
      <c r="M36" s="442">
        <f t="shared" si="28"/>
        <v>0</v>
      </c>
      <c r="N36" s="442">
        <f t="shared" si="28"/>
        <v>0</v>
      </c>
    </row>
    <row r="37" spans="2:20" x14ac:dyDescent="0.25">
      <c r="B37" s="3" t="s">
        <v>160</v>
      </c>
      <c r="C37" s="3"/>
      <c r="D37" s="3"/>
      <c r="E37" s="3"/>
      <c r="F37" s="300">
        <f>F34-F36</f>
        <v>189.18156249999993</v>
      </c>
      <c r="G37" s="300">
        <f t="shared" ref="G37:N37" si="29">G34-G36</f>
        <v>432.09571874999995</v>
      </c>
      <c r="H37" s="300">
        <f t="shared" si="29"/>
        <v>482.91682453125009</v>
      </c>
      <c r="I37" s="300">
        <f t="shared" si="29"/>
        <v>538.47130838554676</v>
      </c>
      <c r="J37" s="300">
        <f t="shared" si="29"/>
        <v>599.21517105190151</v>
      </c>
      <c r="K37" s="300">
        <f t="shared" si="29"/>
        <v>680.6496948193992</v>
      </c>
      <c r="L37" s="300">
        <f t="shared" si="29"/>
        <v>753.32601195979908</v>
      </c>
      <c r="M37" s="300">
        <f t="shared" si="29"/>
        <v>832.85013777816084</v>
      </c>
      <c r="N37" s="300">
        <f t="shared" si="29"/>
        <v>919.88851572252861</v>
      </c>
    </row>
    <row r="38" spans="2:20" x14ac:dyDescent="0.25">
      <c r="F38" s="210"/>
      <c r="G38" s="210"/>
      <c r="H38" s="210"/>
      <c r="I38" s="210"/>
      <c r="J38" s="210"/>
      <c r="K38" s="210"/>
      <c r="L38" s="210"/>
      <c r="M38" s="210"/>
      <c r="N38" s="210"/>
    </row>
    <row r="39" spans="2:20" x14ac:dyDescent="0.25">
      <c r="B39" t="s">
        <v>161</v>
      </c>
      <c r="E39" s="17"/>
      <c r="F39" s="210"/>
      <c r="G39" s="210"/>
      <c r="H39" s="210"/>
      <c r="I39" s="210"/>
      <c r="J39" s="210"/>
      <c r="K39" s="210"/>
      <c r="L39" s="210"/>
      <c r="M39" s="210"/>
      <c r="N39" s="210"/>
    </row>
    <row r="40" spans="2:20" x14ac:dyDescent="0.25">
      <c r="B40" t="s">
        <v>873</v>
      </c>
      <c r="E40" s="17"/>
      <c r="F40" s="210">
        <v>3</v>
      </c>
      <c r="G40" s="210">
        <v>6</v>
      </c>
      <c r="H40" s="210">
        <v>6</v>
      </c>
      <c r="I40" s="210">
        <v>6</v>
      </c>
      <c r="J40" s="210">
        <v>6</v>
      </c>
      <c r="K40" s="210">
        <v>6</v>
      </c>
      <c r="L40" s="210">
        <v>6</v>
      </c>
      <c r="M40" s="210">
        <v>6</v>
      </c>
      <c r="N40" s="210">
        <v>6</v>
      </c>
    </row>
    <row r="41" spans="2:20" x14ac:dyDescent="0.25">
      <c r="B41" t="s">
        <v>163</v>
      </c>
      <c r="E41" s="198">
        <v>0.01</v>
      </c>
      <c r="F41" s="210">
        <f>BS!F28*'P&amp;L Assumptions'!$E$41</f>
        <v>29.438050501893933</v>
      </c>
      <c r="G41" s="210">
        <f>BS!G28*'P&amp;L Assumptions'!$E$41</f>
        <v>28.618318172348477</v>
      </c>
      <c r="H41" s="210">
        <f>BS!H28*'P&amp;L Assumptions'!$E$41</f>
        <v>27.798585842803021</v>
      </c>
      <c r="I41" s="210">
        <f>BS!I28*'P&amp;L Assumptions'!$E$41</f>
        <v>26.978853513257569</v>
      </c>
      <c r="J41" s="210">
        <f>BS!J28*'P&amp;L Assumptions'!$E$41</f>
        <v>26.159121183712113</v>
      </c>
      <c r="K41" s="210">
        <f>BS!K28*'P&amp;L Assumptions'!$E$41</f>
        <v>25.339388854166661</v>
      </c>
      <c r="L41" s="210">
        <f>BS!L28*'P&amp;L Assumptions'!$E$41</f>
        <v>24.519656524621205</v>
      </c>
      <c r="M41" s="210">
        <f>BS!M28*'P&amp;L Assumptions'!$E$41</f>
        <v>23.699924195075752</v>
      </c>
      <c r="N41" s="210">
        <f>BS!N28*'P&amp;L Assumptions'!$E$41</f>
        <v>22.992854183712115</v>
      </c>
    </row>
    <row r="42" spans="2:20" x14ac:dyDescent="0.25">
      <c r="B42" s="223" t="s">
        <v>164</v>
      </c>
      <c r="C42" s="222"/>
      <c r="D42" s="222"/>
      <c r="E42" s="222"/>
      <c r="F42" s="442">
        <f t="shared" ref="F42:N42" si="30">SUM(F40:F41)</f>
        <v>32.438050501893933</v>
      </c>
      <c r="G42" s="442">
        <f t="shared" si="30"/>
        <v>34.618318172348481</v>
      </c>
      <c r="H42" s="442">
        <f t="shared" si="30"/>
        <v>33.798585842803021</v>
      </c>
      <c r="I42" s="442">
        <f t="shared" si="30"/>
        <v>32.978853513257569</v>
      </c>
      <c r="J42" s="442">
        <f t="shared" si="30"/>
        <v>32.159121183712116</v>
      </c>
      <c r="K42" s="442">
        <f t="shared" si="30"/>
        <v>31.339388854166661</v>
      </c>
      <c r="L42" s="442">
        <f t="shared" si="30"/>
        <v>30.519656524621205</v>
      </c>
      <c r="M42" s="442">
        <f t="shared" si="30"/>
        <v>29.699924195075752</v>
      </c>
      <c r="N42" s="442">
        <f t="shared" si="30"/>
        <v>28.992854183712115</v>
      </c>
    </row>
    <row r="43" spans="2:20" s="247" customFormat="1" x14ac:dyDescent="0.25">
      <c r="B43" s="246" t="s">
        <v>41</v>
      </c>
      <c r="C43" s="246"/>
      <c r="D43" s="246"/>
      <c r="E43" s="246"/>
      <c r="F43" s="299">
        <f t="shared" ref="F43:N43" si="31">F37-F42</f>
        <v>156.74351199810599</v>
      </c>
      <c r="G43" s="299">
        <f t="shared" si="31"/>
        <v>397.47740057765145</v>
      </c>
      <c r="H43" s="299">
        <f t="shared" si="31"/>
        <v>449.11823868844704</v>
      </c>
      <c r="I43" s="299">
        <f t="shared" si="31"/>
        <v>505.49245487228922</v>
      </c>
      <c r="J43" s="299">
        <f t="shared" si="31"/>
        <v>567.05604986818935</v>
      </c>
      <c r="K43" s="299">
        <f t="shared" si="31"/>
        <v>649.31030596523249</v>
      </c>
      <c r="L43" s="299">
        <f t="shared" si="31"/>
        <v>722.80635543517792</v>
      </c>
      <c r="M43" s="299">
        <f t="shared" si="31"/>
        <v>803.15021358308513</v>
      </c>
      <c r="N43" s="299">
        <f t="shared" si="31"/>
        <v>890.89566153881651</v>
      </c>
      <c r="O43"/>
      <c r="P43"/>
      <c r="Q43"/>
      <c r="R43"/>
      <c r="S43"/>
      <c r="T43"/>
    </row>
    <row r="45" spans="2:20" hidden="1" x14ac:dyDescent="0.25">
      <c r="B45" t="s">
        <v>525</v>
      </c>
      <c r="F45" s="443">
        <f>F34/F18</f>
        <v>0.20785011706621867</v>
      </c>
      <c r="G45" s="443">
        <f t="shared" ref="G45:N45" si="32">G34/G18</f>
        <v>0.21517551458711207</v>
      </c>
      <c r="H45" s="443">
        <f t="shared" si="32"/>
        <v>0.22355264135137251</v>
      </c>
      <c r="I45" s="443">
        <f t="shared" si="32"/>
        <v>0.23168368277888748</v>
      </c>
      <c r="J45" s="443">
        <f t="shared" si="32"/>
        <v>0.23957598367446226</v>
      </c>
      <c r="K45" s="443">
        <f t="shared" si="32"/>
        <v>0.24723649128435715</v>
      </c>
      <c r="L45" s="443">
        <f t="shared" si="32"/>
        <v>0.25467178058614182</v>
      </c>
      <c r="M45" s="443">
        <f t="shared" si="32"/>
        <v>0.26188807931889446</v>
      </c>
      <c r="N45" s="443">
        <f t="shared" si="32"/>
        <v>0.26889129264878686</v>
      </c>
    </row>
    <row r="46" spans="2:20" x14ac:dyDescent="0.25">
      <c r="G46" s="83"/>
      <c r="H46" s="83"/>
      <c r="I46" s="83"/>
      <c r="J46" s="83"/>
      <c r="K46" s="83"/>
      <c r="L46" s="83"/>
      <c r="M46" s="83"/>
      <c r="N46" s="83"/>
    </row>
    <row r="49" spans="1:20" x14ac:dyDescent="0.25">
      <c r="F49" s="84"/>
      <c r="G49" s="84"/>
      <c r="H49" s="84"/>
      <c r="J49" s="84"/>
      <c r="K49" s="84"/>
      <c r="L49" s="84"/>
      <c r="M49" s="84"/>
      <c r="N49" s="84"/>
    </row>
    <row r="50" spans="1:20" x14ac:dyDescent="0.25">
      <c r="B50" s="736" t="s">
        <v>770</v>
      </c>
      <c r="C50" s="736"/>
      <c r="D50" s="736"/>
      <c r="E50" s="736"/>
      <c r="F50" s="736"/>
      <c r="G50" s="736"/>
      <c r="H50" s="736"/>
      <c r="I50" s="736"/>
      <c r="M50" s="444"/>
      <c r="N50" s="444"/>
    </row>
    <row r="51" spans="1:20" x14ac:dyDescent="0.25">
      <c r="B51" s="736" t="s">
        <v>865</v>
      </c>
      <c r="C51" s="736"/>
      <c r="D51" s="736"/>
      <c r="E51" s="736"/>
      <c r="F51" s="736"/>
      <c r="G51" s="736"/>
      <c r="H51" s="736"/>
      <c r="I51" s="736"/>
    </row>
    <row r="52" spans="1:20" s="590" customFormat="1" x14ac:dyDescent="0.25">
      <c r="A52"/>
      <c r="B52" s="592" t="s">
        <v>512</v>
      </c>
      <c r="C52" s="593"/>
      <c r="D52" s="592" t="s">
        <v>312</v>
      </c>
      <c r="E52" s="593"/>
      <c r="F52" s="594"/>
      <c r="G52" s="594"/>
      <c r="H52" s="595" t="s">
        <v>786</v>
      </c>
      <c r="I52" s="594"/>
      <c r="J52" s="16"/>
      <c r="K52" s="16"/>
      <c r="L52" s="16"/>
      <c r="M52" s="16"/>
      <c r="N52" s="16"/>
      <c r="O52"/>
      <c r="P52"/>
      <c r="Q52"/>
      <c r="R52"/>
      <c r="S52"/>
      <c r="T52"/>
    </row>
    <row r="53" spans="1:20" x14ac:dyDescent="0.25">
      <c r="B53" s="196"/>
      <c r="C53" s="197" t="s">
        <v>213</v>
      </c>
      <c r="D53" s="197" t="s">
        <v>314</v>
      </c>
      <c r="E53" s="197" t="s">
        <v>782</v>
      </c>
      <c r="F53" s="90" t="s">
        <v>316</v>
      </c>
      <c r="G53" s="90" t="s">
        <v>783</v>
      </c>
      <c r="H53" s="90" t="s">
        <v>784</v>
      </c>
      <c r="I53" s="675"/>
    </row>
    <row r="54" spans="1:20" x14ac:dyDescent="0.25">
      <c r="B54" t="s">
        <v>785</v>
      </c>
      <c r="C54" s="1"/>
      <c r="D54" s="1"/>
      <c r="E54" s="1"/>
      <c r="F54" s="28"/>
      <c r="G54" s="28">
        <v>0</v>
      </c>
      <c r="H54" s="28">
        <v>0</v>
      </c>
    </row>
    <row r="55" spans="1:20" x14ac:dyDescent="0.25">
      <c r="B55" s="1" t="s">
        <v>322</v>
      </c>
      <c r="C55" t="s">
        <v>508</v>
      </c>
      <c r="D55" s="448">
        <v>80</v>
      </c>
      <c r="E55" s="448">
        <v>100</v>
      </c>
      <c r="F55" s="448">
        <v>80</v>
      </c>
      <c r="G55" s="448">
        <v>250</v>
      </c>
      <c r="H55" s="448">
        <v>150</v>
      </c>
    </row>
    <row r="56" spans="1:20" x14ac:dyDescent="0.25">
      <c r="D56" s="448"/>
      <c r="E56" s="448"/>
      <c r="F56" s="448"/>
      <c r="G56" s="448"/>
      <c r="H56" s="448"/>
    </row>
    <row r="57" spans="1:20" x14ac:dyDescent="0.25">
      <c r="B57" s="1" t="s">
        <v>790</v>
      </c>
      <c r="D57" s="448">
        <f>+F6</f>
        <v>180</v>
      </c>
      <c r="E57" s="448">
        <f>+D57</f>
        <v>180</v>
      </c>
      <c r="F57" s="448">
        <f>+D57</f>
        <v>180</v>
      </c>
      <c r="G57" s="448">
        <f t="shared" ref="G57:H57" si="33">+E57</f>
        <v>180</v>
      </c>
      <c r="H57" s="448">
        <f t="shared" si="33"/>
        <v>180</v>
      </c>
    </row>
    <row r="58" spans="1:20" x14ac:dyDescent="0.25">
      <c r="B58" s="1"/>
      <c r="D58" s="448"/>
      <c r="E58" s="448"/>
      <c r="F58" s="448"/>
      <c r="G58" s="448"/>
      <c r="H58" s="448"/>
    </row>
    <row r="59" spans="1:20" x14ac:dyDescent="0.25">
      <c r="B59" s="674" t="s">
        <v>324</v>
      </c>
      <c r="D59" s="448"/>
      <c r="E59" s="448"/>
      <c r="F59" s="448"/>
      <c r="G59" s="448"/>
      <c r="H59" s="448"/>
    </row>
    <row r="60" spans="1:20" x14ac:dyDescent="0.25">
      <c r="D60" s="452"/>
      <c r="E60" s="452"/>
      <c r="F60" s="452"/>
      <c r="G60" s="452"/>
      <c r="H60" s="452"/>
    </row>
    <row r="61" spans="1:20" x14ac:dyDescent="0.25">
      <c r="B61" t="s">
        <v>326</v>
      </c>
      <c r="D61" s="452">
        <v>0.4</v>
      </c>
      <c r="E61" s="452">
        <v>0</v>
      </c>
      <c r="F61" s="452">
        <v>0</v>
      </c>
      <c r="G61" s="452">
        <v>0</v>
      </c>
      <c r="H61" s="452">
        <v>0</v>
      </c>
    </row>
    <row r="62" spans="1:20" x14ac:dyDescent="0.25">
      <c r="B62" t="s">
        <v>323</v>
      </c>
      <c r="D62" s="452">
        <v>0.6</v>
      </c>
      <c r="E62" s="452">
        <v>0.5</v>
      </c>
      <c r="F62" s="452">
        <v>0.5</v>
      </c>
      <c r="G62" s="452">
        <v>0.4</v>
      </c>
      <c r="H62" s="452">
        <v>0.3</v>
      </c>
    </row>
    <row r="63" spans="1:20" x14ac:dyDescent="0.25">
      <c r="D63" s="452"/>
      <c r="E63" s="452"/>
      <c r="F63" s="452"/>
      <c r="G63" s="452"/>
      <c r="H63" s="452"/>
    </row>
    <row r="64" spans="1:20" x14ac:dyDescent="0.25">
      <c r="B64" s="674" t="s">
        <v>327</v>
      </c>
      <c r="D64" s="448"/>
      <c r="E64" s="448"/>
      <c r="F64" s="448"/>
      <c r="G64" s="448"/>
      <c r="H64" s="448"/>
    </row>
    <row r="65" spans="2:11" x14ac:dyDescent="0.25">
      <c r="D65" s="465"/>
      <c r="E65" s="465"/>
      <c r="F65" s="465"/>
      <c r="G65" s="465"/>
      <c r="H65" s="465"/>
    </row>
    <row r="66" spans="2:11" x14ac:dyDescent="0.25">
      <c r="B66" t="s">
        <v>326</v>
      </c>
      <c r="D66" s="465">
        <f>D55*D57*D61</f>
        <v>5760</v>
      </c>
      <c r="E66" s="465">
        <f>E55*E57*E61</f>
        <v>0</v>
      </c>
      <c r="F66" s="465">
        <f t="shared" ref="F66:H66" si="34">F55*F57*F61</f>
        <v>0</v>
      </c>
      <c r="G66" s="465">
        <f t="shared" si="34"/>
        <v>0</v>
      </c>
      <c r="H66" s="465">
        <f t="shared" si="34"/>
        <v>0</v>
      </c>
    </row>
    <row r="67" spans="2:11" x14ac:dyDescent="0.25">
      <c r="B67" t="s">
        <v>323</v>
      </c>
      <c r="D67" s="448">
        <f>D55*D57*D62</f>
        <v>8640</v>
      </c>
      <c r="E67" s="448">
        <f>E55*E57*E62</f>
        <v>9000</v>
      </c>
      <c r="F67" s="448">
        <f>F55*F57*F62</f>
        <v>7200</v>
      </c>
      <c r="G67" s="391">
        <f>ROUND(G57*G62*G55,0)</f>
        <v>18000</v>
      </c>
      <c r="H67" s="391">
        <f>ROUND(H57*H62*H55,0)</f>
        <v>8100</v>
      </c>
    </row>
    <row r="68" spans="2:11" x14ac:dyDescent="0.25">
      <c r="D68" s="448"/>
      <c r="E68" s="448"/>
      <c r="F68" s="448"/>
      <c r="G68" s="391"/>
      <c r="H68" s="391"/>
    </row>
    <row r="69" spans="2:11" x14ac:dyDescent="0.25">
      <c r="B69" s="674" t="s">
        <v>328</v>
      </c>
      <c r="D69" s="448"/>
      <c r="E69" s="448"/>
      <c r="F69" s="448"/>
      <c r="G69" s="448"/>
      <c r="H69" s="448"/>
    </row>
    <row r="70" spans="2:11" x14ac:dyDescent="0.25">
      <c r="D70" s="448"/>
      <c r="E70" s="448"/>
      <c r="F70" s="448"/>
      <c r="G70" s="448"/>
      <c r="H70" s="448"/>
    </row>
    <row r="71" spans="2:11" x14ac:dyDescent="0.25">
      <c r="B71" t="s">
        <v>326</v>
      </c>
      <c r="D71" s="448">
        <v>750</v>
      </c>
      <c r="E71" s="448">
        <v>0</v>
      </c>
      <c r="F71" s="448">
        <v>0</v>
      </c>
      <c r="G71" s="448">
        <v>0</v>
      </c>
      <c r="H71" s="448">
        <v>0</v>
      </c>
    </row>
    <row r="72" spans="2:11" x14ac:dyDescent="0.25">
      <c r="B72" t="s">
        <v>323</v>
      </c>
      <c r="D72" s="448">
        <v>1000</v>
      </c>
      <c r="E72" s="448">
        <v>1500</v>
      </c>
      <c r="F72" s="448">
        <v>1250</v>
      </c>
      <c r="G72" s="448">
        <v>2250</v>
      </c>
      <c r="H72" s="448">
        <v>1000</v>
      </c>
    </row>
    <row r="73" spans="2:11" x14ac:dyDescent="0.25">
      <c r="D73" s="448"/>
      <c r="E73" s="448"/>
      <c r="F73" s="448"/>
      <c r="G73" s="448"/>
      <c r="H73" s="448"/>
    </row>
    <row r="74" spans="2:11" ht="15.75" thickBot="1" x14ac:dyDescent="0.3">
      <c r="B74" s="197" t="s">
        <v>329</v>
      </c>
      <c r="C74" s="199">
        <f>SUM(D74:K74)</f>
        <v>84060000</v>
      </c>
      <c r="D74" s="676">
        <f>(D65*D70)+(D66*D71)+(D67*D72)</f>
        <v>12960000</v>
      </c>
      <c r="E74" s="676">
        <f>(E65*E70)+(E66*E71)+(E67*E72)</f>
        <v>13500000</v>
      </c>
      <c r="F74" s="676">
        <f>(F65*F70)+(F66*F71)+(F67*F72)</f>
        <v>9000000</v>
      </c>
      <c r="G74" s="676">
        <f>(G65*G70)+(G66*G71)+(G67*G72)</f>
        <v>40500000</v>
      </c>
      <c r="H74" s="676">
        <f>(H65*H70)+(H66*H71)+(H67*H72)</f>
        <v>8100000</v>
      </c>
    </row>
    <row r="75" spans="2:11" x14ac:dyDescent="0.25">
      <c r="B75" s="1"/>
      <c r="C75" s="597"/>
      <c r="D75" s="598"/>
      <c r="E75" s="598"/>
      <c r="F75" s="599"/>
      <c r="G75" s="599"/>
      <c r="H75" s="599"/>
    </row>
    <row r="76" spans="2:11" x14ac:dyDescent="0.25">
      <c r="B76" s="1"/>
      <c r="C76" s="597"/>
      <c r="D76" s="598"/>
      <c r="E76" s="598"/>
      <c r="F76" s="599"/>
      <c r="G76" s="599"/>
      <c r="H76" s="599"/>
      <c r="I76" s="599"/>
      <c r="J76" s="599"/>
      <c r="K76" s="599"/>
    </row>
    <row r="77" spans="2:11" x14ac:dyDescent="0.25">
      <c r="B77" s="737" t="s">
        <v>770</v>
      </c>
      <c r="C77" s="737"/>
      <c r="D77" s="737"/>
      <c r="E77" s="737"/>
      <c r="F77" s="737"/>
      <c r="G77" s="737"/>
      <c r="H77" s="737"/>
      <c r="I77" s="737"/>
      <c r="J77" s="737"/>
      <c r="K77" s="737"/>
    </row>
    <row r="78" spans="2:11" x14ac:dyDescent="0.25">
      <c r="B78" s="737" t="s">
        <v>791</v>
      </c>
      <c r="C78" s="737"/>
      <c r="D78" s="737"/>
      <c r="E78" s="737"/>
      <c r="F78" s="737"/>
      <c r="G78" s="737"/>
      <c r="H78" s="737"/>
      <c r="I78" s="737"/>
      <c r="J78" s="737"/>
      <c r="K78" s="737"/>
    </row>
    <row r="79" spans="2:11" x14ac:dyDescent="0.25">
      <c r="B79" s="592" t="s">
        <v>512</v>
      </c>
      <c r="C79" s="593"/>
      <c r="D79" s="592" t="s">
        <v>312</v>
      </c>
      <c r="E79" s="593"/>
      <c r="F79" s="594"/>
      <c r="G79" s="594"/>
      <c r="H79" s="595" t="s">
        <v>786</v>
      </c>
      <c r="I79" s="594"/>
      <c r="J79" s="594"/>
      <c r="K79" s="594"/>
    </row>
    <row r="80" spans="2:11" x14ac:dyDescent="0.25">
      <c r="B80" s="196"/>
      <c r="C80" s="197" t="s">
        <v>213</v>
      </c>
      <c r="D80" s="197" t="s">
        <v>314</v>
      </c>
      <c r="E80" s="197" t="s">
        <v>782</v>
      </c>
      <c r="F80" s="90" t="s">
        <v>316</v>
      </c>
      <c r="G80" s="90" t="s">
        <v>783</v>
      </c>
      <c r="H80" s="90" t="s">
        <v>784</v>
      </c>
      <c r="I80" s="90"/>
      <c r="J80" s="90"/>
      <c r="K80" s="90"/>
    </row>
    <row r="81" spans="2:11" x14ac:dyDescent="0.25">
      <c r="B81" t="s">
        <v>785</v>
      </c>
      <c r="C81" s="1"/>
      <c r="D81" s="1"/>
      <c r="E81" s="1"/>
      <c r="F81" s="28"/>
      <c r="G81" s="28"/>
      <c r="H81" s="28"/>
      <c r="I81" s="28"/>
      <c r="J81" s="28"/>
      <c r="K81" s="28"/>
    </row>
    <row r="82" spans="2:11" x14ac:dyDescent="0.25">
      <c r="B82" s="1" t="s">
        <v>322</v>
      </c>
      <c r="C82" t="s">
        <v>508</v>
      </c>
      <c r="D82" s="448">
        <v>80</v>
      </c>
      <c r="E82" s="448">
        <v>100</v>
      </c>
      <c r="F82" s="448">
        <v>80</v>
      </c>
      <c r="G82" s="448">
        <v>250</v>
      </c>
      <c r="H82" s="448">
        <v>150</v>
      </c>
    </row>
    <row r="83" spans="2:11" x14ac:dyDescent="0.25">
      <c r="D83" s="448"/>
      <c r="E83" s="448"/>
      <c r="F83" s="448"/>
      <c r="G83" s="448"/>
      <c r="H83" s="448"/>
    </row>
    <row r="84" spans="2:11" x14ac:dyDescent="0.25">
      <c r="B84" s="1" t="s">
        <v>789</v>
      </c>
      <c r="D84" s="448">
        <v>360</v>
      </c>
      <c r="E84" s="448">
        <v>360</v>
      </c>
      <c r="F84" s="448">
        <v>360</v>
      </c>
      <c r="G84" s="448">
        <v>360</v>
      </c>
      <c r="H84" s="448">
        <v>360</v>
      </c>
    </row>
    <row r="85" spans="2:11" x14ac:dyDescent="0.25">
      <c r="B85" s="1" t="s">
        <v>324</v>
      </c>
      <c r="D85" s="448"/>
      <c r="E85" s="448"/>
      <c r="F85" s="448"/>
      <c r="G85" s="448"/>
      <c r="H85" s="448"/>
    </row>
    <row r="86" spans="2:11" x14ac:dyDescent="0.25">
      <c r="D86" s="452"/>
      <c r="E86" s="452"/>
      <c r="F86" s="452"/>
      <c r="G86" s="452"/>
      <c r="H86" s="452"/>
      <c r="I86" s="83"/>
      <c r="J86" s="83"/>
      <c r="K86" s="83"/>
    </row>
    <row r="87" spans="2:11" x14ac:dyDescent="0.25">
      <c r="B87" t="s">
        <v>326</v>
      </c>
      <c r="D87" s="452">
        <v>0.4</v>
      </c>
      <c r="E87" s="452">
        <v>0</v>
      </c>
      <c r="F87" s="452">
        <v>0</v>
      </c>
      <c r="G87" s="452">
        <v>0</v>
      </c>
      <c r="H87" s="452">
        <v>0</v>
      </c>
      <c r="I87" s="83"/>
      <c r="J87" s="83"/>
      <c r="K87" s="83"/>
    </row>
    <row r="88" spans="2:11" x14ac:dyDescent="0.25">
      <c r="B88" t="s">
        <v>323</v>
      </c>
      <c r="D88" s="452">
        <v>0.6</v>
      </c>
      <c r="E88" s="452">
        <v>0.5</v>
      </c>
      <c r="F88" s="452">
        <v>0.5</v>
      </c>
      <c r="G88" s="452">
        <v>0.4</v>
      </c>
      <c r="H88" s="452">
        <v>0.3</v>
      </c>
      <c r="I88" s="83"/>
      <c r="J88" s="210"/>
      <c r="K88" s="83"/>
    </row>
    <row r="89" spans="2:11" x14ac:dyDescent="0.25">
      <c r="B89" s="1" t="s">
        <v>327</v>
      </c>
      <c r="D89" s="448"/>
      <c r="E89" s="448"/>
      <c r="F89" s="448"/>
      <c r="G89" s="448"/>
      <c r="H89" s="448"/>
      <c r="J89" s="591"/>
    </row>
    <row r="90" spans="2:11" x14ac:dyDescent="0.25">
      <c r="D90" s="465"/>
      <c r="E90" s="465"/>
      <c r="F90" s="465"/>
      <c r="G90" s="465"/>
      <c r="H90" s="465"/>
      <c r="I90" s="84"/>
      <c r="J90" s="84"/>
      <c r="K90" s="84"/>
    </row>
    <row r="91" spans="2:11" x14ac:dyDescent="0.25">
      <c r="B91" t="s">
        <v>326</v>
      </c>
      <c r="D91" s="465">
        <f>D82*D84*D87</f>
        <v>11520</v>
      </c>
      <c r="E91" s="465">
        <f>E82*E84*E87</f>
        <v>0</v>
      </c>
      <c r="F91" s="465">
        <f t="shared" ref="F91:H91" si="35">F82*F84*F87</f>
        <v>0</v>
      </c>
      <c r="G91" s="465">
        <f t="shared" si="35"/>
        <v>0</v>
      </c>
      <c r="H91" s="465">
        <f t="shared" si="35"/>
        <v>0</v>
      </c>
      <c r="I91" s="84"/>
      <c r="J91" s="84"/>
      <c r="K91" s="84"/>
    </row>
    <row r="92" spans="2:11" x14ac:dyDescent="0.25">
      <c r="B92" t="s">
        <v>323</v>
      </c>
      <c r="D92" s="448">
        <f>D82*D84*D88</f>
        <v>17280</v>
      </c>
      <c r="E92" s="448">
        <f>E82*E84*E88</f>
        <v>18000</v>
      </c>
      <c r="F92" s="448">
        <f>F82*F84*F88</f>
        <v>14400</v>
      </c>
      <c r="G92" s="391">
        <f>ROUND(G84*G88*G82,0)</f>
        <v>36000</v>
      </c>
      <c r="H92" s="391">
        <f>ROUND(H84*H88*H82,0)</f>
        <v>16200</v>
      </c>
      <c r="I92" s="84"/>
    </row>
    <row r="93" spans="2:11" x14ac:dyDescent="0.25">
      <c r="B93" s="1" t="s">
        <v>328</v>
      </c>
      <c r="D93" s="448"/>
      <c r="E93" s="448"/>
      <c r="F93" s="448"/>
      <c r="G93" s="448"/>
      <c r="H93" s="448"/>
    </row>
    <row r="94" spans="2:11" x14ac:dyDescent="0.25">
      <c r="D94" s="448"/>
      <c r="E94" s="448"/>
      <c r="F94" s="448"/>
      <c r="G94" s="448"/>
      <c r="H94" s="448"/>
    </row>
    <row r="95" spans="2:11" x14ac:dyDescent="0.25">
      <c r="B95" t="s">
        <v>326</v>
      </c>
      <c r="D95" s="448">
        <f>750*1.05</f>
        <v>787.5</v>
      </c>
      <c r="E95" s="448">
        <v>0</v>
      </c>
      <c r="F95" s="448">
        <v>0</v>
      </c>
      <c r="G95" s="448">
        <v>0</v>
      </c>
      <c r="H95" s="448">
        <v>0</v>
      </c>
    </row>
    <row r="96" spans="2:11" x14ac:dyDescent="0.25">
      <c r="B96" t="s">
        <v>323</v>
      </c>
      <c r="D96" s="448">
        <f>1000*1.05</f>
        <v>1050</v>
      </c>
      <c r="E96" s="448">
        <f>1500*1.05</f>
        <v>1575</v>
      </c>
      <c r="F96" s="448">
        <f>1250*1.05</f>
        <v>1312.5</v>
      </c>
      <c r="G96" s="448">
        <f>2250*1.05</f>
        <v>2362.5</v>
      </c>
      <c r="H96" s="448">
        <f>1000*1.05</f>
        <v>1050</v>
      </c>
    </row>
    <row r="98" spans="1:11" ht="15.75" thickBot="1" x14ac:dyDescent="0.3">
      <c r="B98" s="197" t="s">
        <v>329</v>
      </c>
      <c r="C98" s="199">
        <f>SUM(D98:K98)</f>
        <v>176526000</v>
      </c>
      <c r="D98" s="200">
        <f>(D90*D94)+(D91*D95)+(D92*D96)</f>
        <v>27216000</v>
      </c>
      <c r="E98" s="200">
        <f>(E90*E94)+(E91*E95)+(E92*E96)</f>
        <v>28350000</v>
      </c>
      <c r="F98" s="445">
        <f>(F90*F94)+(F91*F95)+(F92*F96)</f>
        <v>18900000</v>
      </c>
      <c r="G98" s="445">
        <f>(G90*G94)+(G91*G95)+(G92*G96)</f>
        <v>85050000</v>
      </c>
      <c r="H98" s="445">
        <f>(H90*H94)+(H91*H95)+(H92*H96)</f>
        <v>17010000</v>
      </c>
      <c r="I98" s="445">
        <f t="shared" ref="I98:K98" si="36">(I90*I94)+(I91*I95)+(I92*I96)</f>
        <v>0</v>
      </c>
      <c r="J98" s="445">
        <f t="shared" si="36"/>
        <v>0</v>
      </c>
      <c r="K98" s="445">
        <f t="shared" si="36"/>
        <v>0</v>
      </c>
    </row>
    <row r="99" spans="1:11" x14ac:dyDescent="0.25">
      <c r="B99" s="1"/>
      <c r="C99" s="597"/>
      <c r="D99" s="598"/>
      <c r="E99" s="598"/>
      <c r="F99" s="599"/>
      <c r="G99" s="599"/>
      <c r="H99" s="599"/>
      <c r="I99" s="599"/>
      <c r="J99" s="599"/>
      <c r="K99" s="599"/>
    </row>
    <row r="100" spans="1:11" x14ac:dyDescent="0.25">
      <c r="B100" s="1"/>
      <c r="C100" s="597"/>
      <c r="D100" s="598"/>
      <c r="E100" s="598"/>
      <c r="F100" s="599"/>
      <c r="G100" s="599"/>
      <c r="H100" s="599"/>
      <c r="I100" s="599"/>
      <c r="J100" s="599"/>
      <c r="K100" s="599"/>
    </row>
    <row r="101" spans="1:11" x14ac:dyDescent="0.25">
      <c r="B101" s="1" t="s">
        <v>939</v>
      </c>
      <c r="C101" s="597"/>
      <c r="D101" s="598"/>
      <c r="E101" s="598"/>
      <c r="F101" s="599"/>
      <c r="G101" s="599"/>
      <c r="H101" s="599"/>
      <c r="I101" s="599"/>
      <c r="J101" s="599"/>
      <c r="K101" s="599"/>
    </row>
    <row r="102" spans="1:11" x14ac:dyDescent="0.25">
      <c r="A102" t="s">
        <v>940</v>
      </c>
      <c r="B102" s="259" t="s">
        <v>954</v>
      </c>
      <c r="C102" s="597"/>
      <c r="D102" s="598"/>
      <c r="E102" s="598"/>
      <c r="F102" s="599"/>
      <c r="G102" s="599"/>
      <c r="H102" s="599"/>
      <c r="I102" s="599"/>
      <c r="J102" s="599"/>
      <c r="K102" s="599"/>
    </row>
    <row r="103" spans="1:11" x14ac:dyDescent="0.25">
      <c r="A103" t="s">
        <v>941</v>
      </c>
      <c r="B103" s="259" t="s">
        <v>952</v>
      </c>
      <c r="C103" s="597"/>
      <c r="D103" s="598"/>
      <c r="E103" s="598"/>
      <c r="F103" s="599"/>
      <c r="G103" s="599"/>
      <c r="H103" s="599"/>
      <c r="I103" s="599"/>
      <c r="J103" s="599"/>
      <c r="K103" s="599"/>
    </row>
    <row r="104" spans="1:11" x14ac:dyDescent="0.25">
      <c r="A104" t="s">
        <v>942</v>
      </c>
      <c r="B104" s="259" t="s">
        <v>953</v>
      </c>
      <c r="C104" s="597"/>
      <c r="D104" s="598"/>
      <c r="E104" s="598"/>
      <c r="F104" s="599"/>
      <c r="G104" s="599"/>
      <c r="H104" s="599"/>
      <c r="I104" s="599"/>
      <c r="J104" s="599"/>
      <c r="K104" s="599"/>
    </row>
    <row r="105" spans="1:11" x14ac:dyDescent="0.25">
      <c r="A105" t="s">
        <v>944</v>
      </c>
      <c r="B105" s="259" t="s">
        <v>943</v>
      </c>
      <c r="C105" s="597"/>
      <c r="D105" s="598"/>
      <c r="E105" s="598"/>
      <c r="F105" s="599"/>
      <c r="G105" s="599"/>
      <c r="H105" s="599"/>
      <c r="I105" s="599"/>
      <c r="J105" s="599"/>
      <c r="K105" s="599"/>
    </row>
    <row r="106" spans="1:11" x14ac:dyDescent="0.25">
      <c r="B106" s="1"/>
      <c r="C106" s="597"/>
      <c r="D106" s="598"/>
      <c r="E106" s="598"/>
      <c r="F106" s="599"/>
      <c r="G106" s="599"/>
      <c r="H106" s="599"/>
      <c r="I106" s="599"/>
      <c r="J106" s="599"/>
      <c r="K106" s="599"/>
    </row>
    <row r="107" spans="1:11" x14ac:dyDescent="0.25">
      <c r="B107" s="1" t="s">
        <v>945</v>
      </c>
      <c r="C107" s="597"/>
      <c r="D107" s="598"/>
      <c r="E107" s="598"/>
      <c r="F107" s="599"/>
      <c r="G107" s="599"/>
      <c r="H107" s="599"/>
      <c r="I107" s="599"/>
      <c r="J107" s="599"/>
      <c r="K107" s="599"/>
    </row>
    <row r="108" spans="1:11" x14ac:dyDescent="0.25">
      <c r="B108" s="259" t="s">
        <v>947</v>
      </c>
      <c r="C108" s="597"/>
      <c r="D108" s="598"/>
      <c r="E108" s="598" t="s">
        <v>946</v>
      </c>
      <c r="F108" s="642">
        <v>4.7300000000000002E-2</v>
      </c>
      <c r="G108" s="599"/>
      <c r="H108" s="599"/>
      <c r="I108" s="599"/>
      <c r="J108" s="599"/>
      <c r="K108" s="599"/>
    </row>
    <row r="109" spans="1:11" x14ac:dyDescent="0.25">
      <c r="B109" s="259" t="s">
        <v>948</v>
      </c>
      <c r="C109" s="597"/>
      <c r="D109" s="598"/>
      <c r="E109" s="598" t="s">
        <v>949</v>
      </c>
      <c r="F109" s="642">
        <v>0.05</v>
      </c>
      <c r="G109" s="599"/>
      <c r="H109" s="599"/>
      <c r="I109" s="599"/>
      <c r="J109" s="599"/>
      <c r="K109" s="599"/>
    </row>
    <row r="110" spans="1:11" hidden="1" x14ac:dyDescent="0.25">
      <c r="B110" s="1" t="s">
        <v>879</v>
      </c>
      <c r="C110" s="597" t="s">
        <v>881</v>
      </c>
      <c r="D110" s="598"/>
      <c r="E110" s="598"/>
      <c r="F110" s="599"/>
      <c r="G110" s="599"/>
      <c r="H110" s="599"/>
      <c r="I110" s="599"/>
      <c r="J110" s="599"/>
      <c r="K110" s="599"/>
    </row>
    <row r="111" spans="1:11" hidden="1" x14ac:dyDescent="0.25">
      <c r="B111" s="1" t="s">
        <v>880</v>
      </c>
      <c r="C111" s="597">
        <f>100*2</f>
        <v>200</v>
      </c>
      <c r="D111" s="598">
        <v>3000</v>
      </c>
      <c r="E111" s="598">
        <v>365</v>
      </c>
      <c r="F111" s="642">
        <v>0.25</v>
      </c>
      <c r="G111" s="599">
        <f>+C111*D111*E111*F111</f>
        <v>54750000</v>
      </c>
      <c r="H111" s="599">
        <f>+G98-G111</f>
        <v>30300000</v>
      </c>
      <c r="I111" s="599"/>
      <c r="J111" s="599"/>
      <c r="K111" s="599"/>
    </row>
    <row r="112" spans="1:11" hidden="1" x14ac:dyDescent="0.25">
      <c r="B112" s="1" t="s">
        <v>882</v>
      </c>
      <c r="C112" s="1" t="s">
        <v>883</v>
      </c>
      <c r="D112" s="597" t="s">
        <v>884</v>
      </c>
      <c r="E112" s="597" t="s">
        <v>361</v>
      </c>
      <c r="F112" s="599"/>
      <c r="G112" s="599"/>
      <c r="H112" s="599"/>
      <c r="I112" s="599"/>
      <c r="J112" s="599"/>
      <c r="K112" s="599"/>
    </row>
    <row r="113" spans="2:11" hidden="1" x14ac:dyDescent="0.25">
      <c r="C113">
        <f>+G7</f>
        <v>18000</v>
      </c>
      <c r="D113" s="17">
        <v>0.25</v>
      </c>
      <c r="E113">
        <f>+C113*D113</f>
        <v>4500</v>
      </c>
      <c r="F113" s="16">
        <v>1500</v>
      </c>
      <c r="G113" s="643">
        <f>+F113*E113</f>
        <v>6750000</v>
      </c>
    </row>
    <row r="114" spans="2:11" hidden="1" x14ac:dyDescent="0.25">
      <c r="B114" s="1"/>
      <c r="D114" s="17"/>
      <c r="G114" s="643"/>
    </row>
    <row r="115" spans="2:11" hidden="1" x14ac:dyDescent="0.25">
      <c r="B115" s="1"/>
      <c r="D115" s="17"/>
      <c r="G115" s="643"/>
    </row>
    <row r="116" spans="2:11" hidden="1" x14ac:dyDescent="0.25">
      <c r="B116" s="1"/>
      <c r="D116" s="17"/>
      <c r="G116" s="643"/>
    </row>
    <row r="117" spans="2:11" hidden="1" x14ac:dyDescent="0.25">
      <c r="B117" s="1"/>
      <c r="D117" s="17"/>
      <c r="G117" s="643"/>
    </row>
    <row r="118" spans="2:11" hidden="1" x14ac:dyDescent="0.25">
      <c r="D118" s="71">
        <f>D74/10^7</f>
        <v>1.296</v>
      </c>
      <c r="E118" s="71">
        <f t="shared" ref="E118:K118" si="37">E74/10^7</f>
        <v>1.35</v>
      </c>
      <c r="F118" s="446">
        <f t="shared" si="37"/>
        <v>0.9</v>
      </c>
      <c r="G118" s="446">
        <f t="shared" si="37"/>
        <v>4.05</v>
      </c>
      <c r="H118" s="446">
        <f t="shared" si="37"/>
        <v>0.81</v>
      </c>
      <c r="I118" s="446">
        <f t="shared" si="37"/>
        <v>0</v>
      </c>
      <c r="J118" s="446">
        <f t="shared" si="37"/>
        <v>0</v>
      </c>
      <c r="K118" s="446">
        <f t="shared" si="37"/>
        <v>0</v>
      </c>
    </row>
    <row r="119" spans="2:11" hidden="1" x14ac:dyDescent="0.25">
      <c r="B119" s="240" t="s">
        <v>142</v>
      </c>
      <c r="C119" s="241"/>
      <c r="D119" s="241"/>
      <c r="E119" s="241"/>
      <c r="F119" s="447"/>
    </row>
    <row r="120" spans="2:11" hidden="1" x14ac:dyDescent="0.25">
      <c r="F120" s="28" t="s">
        <v>124</v>
      </c>
    </row>
    <row r="121" spans="2:11" hidden="1" x14ac:dyDescent="0.25">
      <c r="F121" s="28">
        <v>2027</v>
      </c>
    </row>
    <row r="122" spans="2:11" hidden="1" x14ac:dyDescent="0.25">
      <c r="B122" t="s">
        <v>123</v>
      </c>
      <c r="F122" s="16">
        <v>90</v>
      </c>
    </row>
    <row r="123" spans="2:11" hidden="1" x14ac:dyDescent="0.25">
      <c r="B123" t="s">
        <v>133</v>
      </c>
      <c r="F123" s="16">
        <v>365</v>
      </c>
    </row>
    <row r="124" spans="2:11" hidden="1" x14ac:dyDescent="0.25">
      <c r="B124" t="s">
        <v>134</v>
      </c>
      <c r="F124" s="16">
        <f>F123*F122</f>
        <v>32850</v>
      </c>
    </row>
    <row r="125" spans="2:11" hidden="1" x14ac:dyDescent="0.25">
      <c r="B125" t="s">
        <v>135</v>
      </c>
      <c r="E125" s="17">
        <v>0.05</v>
      </c>
      <c r="F125" s="83">
        <v>0.5</v>
      </c>
    </row>
    <row r="126" spans="2:11" hidden="1" x14ac:dyDescent="0.25">
      <c r="B126" t="s">
        <v>136</v>
      </c>
      <c r="F126" s="84">
        <f>F124*F125</f>
        <v>16425</v>
      </c>
    </row>
    <row r="127" spans="2:11" hidden="1" x14ac:dyDescent="0.25">
      <c r="B127" t="s">
        <v>359</v>
      </c>
      <c r="E127" s="239">
        <v>1.5</v>
      </c>
      <c r="F127" s="16">
        <f>F126*E127</f>
        <v>24637.5</v>
      </c>
    </row>
    <row r="128" spans="2:11" hidden="1" x14ac:dyDescent="0.25">
      <c r="B128" t="s">
        <v>360</v>
      </c>
      <c r="F128" s="83">
        <v>0.05</v>
      </c>
    </row>
    <row r="129" spans="2:6" hidden="1" x14ac:dyDescent="0.25">
      <c r="B129" t="s">
        <v>361</v>
      </c>
      <c r="C129" s="2"/>
      <c r="F129" s="84">
        <f>F127*F128</f>
        <v>1231.875</v>
      </c>
    </row>
    <row r="130" spans="2:6" hidden="1" x14ac:dyDescent="0.25">
      <c r="B130" t="s">
        <v>362</v>
      </c>
      <c r="F130" s="84">
        <v>4000</v>
      </c>
    </row>
    <row r="131" spans="2:6" hidden="1" x14ac:dyDescent="0.25"/>
    <row r="132" spans="2:6" hidden="1" x14ac:dyDescent="0.25">
      <c r="B132" s="1" t="s">
        <v>363</v>
      </c>
      <c r="F132" s="28">
        <f>F130*F129</f>
        <v>4927500</v>
      </c>
    </row>
    <row r="133" spans="2:6" hidden="1" x14ac:dyDescent="0.25"/>
    <row r="134" spans="2:6" hidden="1" x14ac:dyDescent="0.25"/>
    <row r="135" spans="2:6" hidden="1" x14ac:dyDescent="0.25">
      <c r="B135" s="240" t="s">
        <v>364</v>
      </c>
      <c r="C135" s="241"/>
      <c r="D135" s="241"/>
      <c r="E135" s="241"/>
      <c r="F135" s="447"/>
    </row>
    <row r="136" spans="2:6" hidden="1" x14ac:dyDescent="0.25">
      <c r="B136" t="s">
        <v>513</v>
      </c>
      <c r="F136" s="28" t="s">
        <v>124</v>
      </c>
    </row>
    <row r="137" spans="2:6" hidden="1" x14ac:dyDescent="0.25">
      <c r="B137" s="1"/>
      <c r="F137" s="28">
        <v>2027</v>
      </c>
    </row>
    <row r="138" spans="2:6" hidden="1" x14ac:dyDescent="0.25">
      <c r="B138" t="s">
        <v>365</v>
      </c>
      <c r="E138" s="17"/>
      <c r="F138" s="84">
        <v>250</v>
      </c>
    </row>
    <row r="139" spans="2:6" hidden="1" x14ac:dyDescent="0.25">
      <c r="B139" s="175" t="s">
        <v>136</v>
      </c>
      <c r="F139" s="84">
        <f>F126</f>
        <v>16425</v>
      </c>
    </row>
    <row r="140" spans="2:6" hidden="1" x14ac:dyDescent="0.25">
      <c r="B140" s="197" t="s">
        <v>366</v>
      </c>
      <c r="C140" s="1"/>
      <c r="D140" s="1"/>
      <c r="E140" s="1"/>
      <c r="F140" s="28">
        <f>F138*F139</f>
        <v>4106250</v>
      </c>
    </row>
    <row r="141" spans="2:6" hidden="1" x14ac:dyDescent="0.25"/>
    <row r="142" spans="2:6" hidden="1" x14ac:dyDescent="0.25"/>
    <row r="143" spans="2:6" hidden="1" x14ac:dyDescent="0.25">
      <c r="B143" s="240" t="s">
        <v>367</v>
      </c>
      <c r="C143" s="241"/>
      <c r="D143" s="241"/>
      <c r="E143" s="241"/>
      <c r="F143" s="447"/>
    </row>
    <row r="144" spans="2:6" hidden="1" x14ac:dyDescent="0.25">
      <c r="F144" s="28" t="s">
        <v>124</v>
      </c>
    </row>
    <row r="145" spans="2:6" hidden="1" x14ac:dyDescent="0.25">
      <c r="F145" s="28">
        <v>2027</v>
      </c>
    </row>
    <row r="146" spans="2:6" hidden="1" x14ac:dyDescent="0.25">
      <c r="B146" t="s">
        <v>514</v>
      </c>
      <c r="C146" t="s">
        <v>515</v>
      </c>
      <c r="F146" s="16">
        <v>430</v>
      </c>
    </row>
    <row r="147" spans="2:6" hidden="1" x14ac:dyDescent="0.25">
      <c r="B147" t="s">
        <v>369</v>
      </c>
      <c r="F147" s="16">
        <v>360</v>
      </c>
    </row>
    <row r="148" spans="2:6" hidden="1" x14ac:dyDescent="0.25">
      <c r="B148" s="197" t="s">
        <v>370</v>
      </c>
      <c r="C148" s="1"/>
      <c r="D148" s="1"/>
      <c r="E148" s="1"/>
      <c r="F148" s="28">
        <f>F146*F147*12</f>
        <v>1857600</v>
      </c>
    </row>
    <row r="149" spans="2:6" hidden="1" x14ac:dyDescent="0.25"/>
    <row r="150" spans="2:6" hidden="1" x14ac:dyDescent="0.25">
      <c r="B150" s="245" t="s">
        <v>526</v>
      </c>
    </row>
    <row r="151" spans="2:6" hidden="1" x14ac:dyDescent="0.25"/>
    <row r="152" spans="2:6" hidden="1" x14ac:dyDescent="0.25">
      <c r="B152" s="1" t="s">
        <v>527</v>
      </c>
      <c r="C152" s="1" t="s">
        <v>529</v>
      </c>
    </row>
    <row r="153" spans="2:6" hidden="1" x14ac:dyDescent="0.25">
      <c r="B153" t="s">
        <v>528</v>
      </c>
      <c r="C153" s="17">
        <v>0.02</v>
      </c>
    </row>
    <row r="154" spans="2:6" hidden="1" x14ac:dyDescent="0.25">
      <c r="B154" t="s">
        <v>530</v>
      </c>
      <c r="C154" s="198">
        <v>2.5000000000000001E-2</v>
      </c>
    </row>
    <row r="155" spans="2:6" hidden="1" x14ac:dyDescent="0.25"/>
    <row r="156" spans="2:6" hidden="1" x14ac:dyDescent="0.25">
      <c r="B156" s="1" t="s">
        <v>531</v>
      </c>
    </row>
    <row r="157" spans="2:6" hidden="1" x14ac:dyDescent="0.25">
      <c r="B157" s="1" t="s">
        <v>525</v>
      </c>
      <c r="C157" s="1" t="s">
        <v>538</v>
      </c>
    </row>
    <row r="158" spans="2:6" hidden="1" x14ac:dyDescent="0.25">
      <c r="B158" t="s">
        <v>532</v>
      </c>
      <c r="C158" s="83">
        <v>0.03</v>
      </c>
    </row>
    <row r="159" spans="2:6" hidden="1" x14ac:dyDescent="0.25">
      <c r="B159" t="s">
        <v>533</v>
      </c>
      <c r="C159" s="83">
        <v>0.04</v>
      </c>
    </row>
    <row r="160" spans="2:6" hidden="1" x14ac:dyDescent="0.25">
      <c r="B160" t="s">
        <v>534</v>
      </c>
      <c r="C160" s="83">
        <v>0.05</v>
      </c>
    </row>
    <row r="161" spans="2:3" hidden="1" x14ac:dyDescent="0.25">
      <c r="B161" t="s">
        <v>535</v>
      </c>
      <c r="C161" s="83">
        <v>0.06</v>
      </c>
    </row>
    <row r="162" spans="2:3" hidden="1" x14ac:dyDescent="0.25">
      <c r="B162" t="s">
        <v>536</v>
      </c>
      <c r="C162" s="83">
        <v>7.0000000000000007E-2</v>
      </c>
    </row>
    <row r="163" spans="2:3" hidden="1" x14ac:dyDescent="0.25">
      <c r="B163" t="s">
        <v>537</v>
      </c>
      <c r="C163" s="83">
        <v>0.08</v>
      </c>
    </row>
    <row r="164" spans="2:3" hidden="1" x14ac:dyDescent="0.25"/>
    <row r="165" spans="2:3" hidden="1" x14ac:dyDescent="0.25">
      <c r="B165" s="1" t="s">
        <v>544</v>
      </c>
      <c r="C165" s="1" t="s">
        <v>529</v>
      </c>
    </row>
    <row r="166" spans="2:3" hidden="1" x14ac:dyDescent="0.25">
      <c r="B166" t="s">
        <v>14</v>
      </c>
      <c r="C166" s="198">
        <v>0.01</v>
      </c>
    </row>
    <row r="167" spans="2:3" hidden="1" x14ac:dyDescent="0.25">
      <c r="B167" t="s">
        <v>539</v>
      </c>
      <c r="C167" s="198">
        <v>1.2500000000000001E-2</v>
      </c>
    </row>
    <row r="168" spans="2:3" hidden="1" x14ac:dyDescent="0.25"/>
    <row r="169" spans="2:3" hidden="1" x14ac:dyDescent="0.25">
      <c r="B169" s="1" t="s">
        <v>598</v>
      </c>
      <c r="C169" s="1" t="s">
        <v>529</v>
      </c>
    </row>
    <row r="170" spans="2:3" hidden="1" x14ac:dyDescent="0.25">
      <c r="B170" t="s">
        <v>14</v>
      </c>
      <c r="C170" s="198">
        <v>0.01</v>
      </c>
    </row>
    <row r="171" spans="2:3" hidden="1" x14ac:dyDescent="0.25">
      <c r="B171" t="s">
        <v>539</v>
      </c>
      <c r="C171" s="198">
        <v>1.2500000000000001E-2</v>
      </c>
    </row>
    <row r="172" spans="2:3" hidden="1" x14ac:dyDescent="0.25">
      <c r="C172" s="198"/>
    </row>
    <row r="173" spans="2:3" hidden="1" x14ac:dyDescent="0.25">
      <c r="B173" s="1" t="s">
        <v>540</v>
      </c>
      <c r="C173" s="1" t="s">
        <v>543</v>
      </c>
    </row>
    <row r="174" spans="2:3" hidden="1" x14ac:dyDescent="0.25">
      <c r="B174" t="s">
        <v>541</v>
      </c>
      <c r="C174" s="83">
        <v>0.01</v>
      </c>
    </row>
    <row r="175" spans="2:3" hidden="1" x14ac:dyDescent="0.25">
      <c r="B175" t="s">
        <v>542</v>
      </c>
      <c r="C175" s="83">
        <v>0.02</v>
      </c>
    </row>
    <row r="176" spans="2:3" hidden="1" x14ac:dyDescent="0.25">
      <c r="B176" t="s">
        <v>530</v>
      </c>
      <c r="C176" s="83">
        <v>0.03</v>
      </c>
    </row>
    <row r="177" spans="2:6" hidden="1" x14ac:dyDescent="0.25"/>
    <row r="178" spans="2:6" hidden="1" x14ac:dyDescent="0.25"/>
    <row r="179" spans="2:6" hidden="1" x14ac:dyDescent="0.25"/>
    <row r="180" spans="2:6" hidden="1" x14ac:dyDescent="0.25"/>
    <row r="181" spans="2:6" hidden="1" x14ac:dyDescent="0.25"/>
    <row r="182" spans="2:6" hidden="1" x14ac:dyDescent="0.25"/>
    <row r="183" spans="2:6" hidden="1" x14ac:dyDescent="0.25"/>
    <row r="184" spans="2:6" hidden="1" x14ac:dyDescent="0.25"/>
    <row r="185" spans="2:6" hidden="1" x14ac:dyDescent="0.25"/>
    <row r="186" spans="2:6" hidden="1" x14ac:dyDescent="0.25"/>
    <row r="187" spans="2:6" hidden="1" x14ac:dyDescent="0.25"/>
    <row r="188" spans="2:6" hidden="1" x14ac:dyDescent="0.25"/>
    <row r="189" spans="2:6" hidden="1" x14ac:dyDescent="0.25"/>
    <row r="190" spans="2:6" hidden="1" x14ac:dyDescent="0.25"/>
    <row r="191" spans="2:6" x14ac:dyDescent="0.25">
      <c r="B191" s="259" t="s">
        <v>950</v>
      </c>
      <c r="E191" t="s">
        <v>951</v>
      </c>
      <c r="F191" s="301">
        <v>7.9000000000000001E-2</v>
      </c>
    </row>
  </sheetData>
  <mergeCells count="4">
    <mergeCell ref="B77:K77"/>
    <mergeCell ref="B78:K78"/>
    <mergeCell ref="B50:I50"/>
    <mergeCell ref="B51:I51"/>
  </mergeCells>
  <phoneticPr fontId="9" type="noConversion"/>
  <dataValidations count="1">
    <dataValidation type="list" allowBlank="1" showInputMessage="1" showErrorMessage="1" sqref="A11 A8" xr:uid="{00000000-0002-0000-0500-000000000000}">
      <formula1>"0%,5%"</formula1>
    </dataValidation>
  </dataValidations>
  <hyperlinks>
    <hyperlink ref="B105" r:id="rId1" xr:uid="{E6C3BADA-D0B6-4639-A769-C7139C24E50D}"/>
    <hyperlink ref="B108" r:id="rId2" xr:uid="{BF641706-1951-4F87-ADBD-22BE6544B1DA}"/>
    <hyperlink ref="B109" r:id="rId3" location=":~:text=India's%20Hospitality%20Market%20Size%20was,of%20the%20India%20hospitality%20market." xr:uid="{8D71DF28-963B-4583-AC37-1FD7B63427CA}"/>
    <hyperlink ref="B191" r:id="rId4" xr:uid="{BDFDC915-6F17-41AF-AFE8-F0CB0F19B6BC}"/>
    <hyperlink ref="B103" r:id="rId5" display="https://www.google.com/maps/place/Hotel+Sapphire/@30.225977,74.951275,17z/data=!4m10!3m9!1s0x391732b7dcdb859b:0x3242a77feeb822af!5m3!1s2024-12-07!4m1!1i2!8m2!3d30.225977!4d74.951275!16s%2Fg%2F11b6zw7ybb?authuser=0&amp;hl=en&amp;entry=ttu&amp;g_ep=EgoyMDI0MTIwMy4wIKXMDSoASAFQAw%3D%3D" xr:uid="{75BD535B-690F-4549-BC01-3423B5A75B69}"/>
    <hyperlink ref="B102" r:id="rId6" display="https://www.google.com/travel/search?q=stella%20hotel%20bathinda&amp;g2lb=4893075%2C4965990%2C4969803%2C72277293%2C72302247%2C72317059%2C72406588%2C72414906%2C72421566%2C72471280%2C72472051%2C72481459%2C72485658%2C72499705%2C72614662%2C72616120%2C72619927%2C72647020%2C72648289%2C72658035%2C72686036%2C72760082%2C72808078%2C72825295%2C72836240&amp;hl=en-IN&amp;gl=in&amp;ssta=1&amp;ts=CAEqBwoFOgNJTlI&amp;qs=CAAgASgAMidDaGtJX3ZycjQ5T1VqdVRJQVJvTUwyY3ZNVEoyZEhGak5IazFFQUU&amp;ap=MAC6AQZwcmljZXM&amp;ictx=1&amp;ved=0CAAQ5JsGahcKEwjIuO7z85KKAxUAAAAAHQAAAAAQcw" xr:uid="{A72ED3FA-D582-436E-86DD-75B53E093460}"/>
    <hyperlink ref="B104" r:id="rId7" display="https://www.google.com/travel/search?q=comfort%20inn%20bhatinda&amp;g2lb=4893075%2C4965990%2C4969803%2C72277293%2C72302247%2C72317059%2C72406588%2C72414906%2C72421566%2C72471280%2C72472051%2C72481459%2C72485658%2C72499705%2C72614662%2C72616120%2C72619927%2C72647020%2C72648289%2C72658035%2C72686036%2C72760082%2C72808078%2C72825295%2C72836240&amp;hl=en-IN&amp;gl=in&amp;ssta=1&amp;ts=CAEaRwopEicyJTB4MzkxNzJkNWYyY2VjMWNkZDoweDNjZmEyNjIwYmEyMzViNmMSGhIUCgcI6A8QDBgHEgcI6A8QDBgIGAEyAggC&amp;qs=CAEyE0Nnb0k3TGFOMFl2RWlmMDhFQUU4AkIJCWxbI7ogJvo8QgkJbFsjuiAm-jw&amp;ap=ugEGcHJpY2Vz&amp;ictx=1&amp;ved=0CAAQ5JsGahcKEwjIuO7z85KKAxUAAAAAHQAAAAAQEA" xr:uid="{34DD5688-593E-49D4-B2BD-A18961111710}"/>
  </hyperlinks>
  <pageMargins left="0.7" right="0.7" top="0.75" bottom="0.75" header="0.3" footer="0.3"/>
  <pageSetup paperSize="9" orientation="portrait" r:id="rId8"/>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7"/>
  <dimension ref="B1:XFD81"/>
  <sheetViews>
    <sheetView topLeftCell="A20" workbookViewId="0">
      <selection activeCell="L43" sqref="L43"/>
    </sheetView>
  </sheetViews>
  <sheetFormatPr defaultRowHeight="15" x14ac:dyDescent="0.25"/>
  <cols>
    <col min="1" max="1" width="4.28515625" style="347" customWidth="1"/>
    <col min="2" max="2" width="5.7109375" style="344" customWidth="1"/>
    <col min="3" max="3" width="54.7109375" style="347" customWidth="1"/>
    <col min="4" max="4" width="17.140625" style="369" customWidth="1"/>
    <col min="5" max="5" width="12.140625" style="369" customWidth="1"/>
    <col min="6" max="6" width="14.85546875" style="369" customWidth="1"/>
    <col min="7" max="7" width="13.140625" style="369" customWidth="1"/>
    <col min="8" max="8" width="17.5703125" style="369" customWidth="1"/>
    <col min="9" max="9" width="15.85546875" style="369" customWidth="1"/>
    <col min="10" max="10" width="15.5703125" style="369" customWidth="1"/>
    <col min="11" max="12" width="10.5703125" style="369" customWidth="1"/>
    <col min="13" max="31" width="10.5703125" customWidth="1"/>
    <col min="33" max="55" width="9.140625" style="347"/>
    <col min="56" max="56" width="11" style="347" customWidth="1"/>
    <col min="57" max="257" width="9.140625" style="347"/>
    <col min="258" max="258" width="5.7109375" style="347" customWidth="1"/>
    <col min="259" max="259" width="54.7109375" style="347" customWidth="1"/>
    <col min="260" max="260" width="12.5703125" style="347" customWidth="1"/>
    <col min="261" max="287" width="10.5703125" style="347" customWidth="1"/>
    <col min="288" max="311" width="9.140625" style="347"/>
    <col min="312" max="312" width="11" style="347" customWidth="1"/>
    <col min="313" max="513" width="9.140625" style="347"/>
    <col min="514" max="514" width="5.7109375" style="347" customWidth="1"/>
    <col min="515" max="515" width="54.7109375" style="347" customWidth="1"/>
    <col min="516" max="516" width="12.5703125" style="347" customWidth="1"/>
    <col min="517" max="543" width="10.5703125" style="347" customWidth="1"/>
    <col min="544" max="567" width="9.140625" style="347"/>
    <col min="568" max="568" width="11" style="347" customWidth="1"/>
    <col min="569" max="769" width="9.140625" style="347"/>
    <col min="770" max="770" width="5.7109375" style="347" customWidth="1"/>
    <col min="771" max="771" width="54.7109375" style="347" customWidth="1"/>
    <col min="772" max="772" width="12.5703125" style="347" customWidth="1"/>
    <col min="773" max="799" width="10.5703125" style="347" customWidth="1"/>
    <col min="800" max="823" width="9.140625" style="347"/>
    <col min="824" max="824" width="11" style="347" customWidth="1"/>
    <col min="825" max="1025" width="9.140625" style="347"/>
    <col min="1026" max="1026" width="5.7109375" style="347" customWidth="1"/>
    <col min="1027" max="1027" width="54.7109375" style="347" customWidth="1"/>
    <col min="1028" max="1028" width="12.5703125" style="347" customWidth="1"/>
    <col min="1029" max="1055" width="10.5703125" style="347" customWidth="1"/>
    <col min="1056" max="1079" width="9.140625" style="347"/>
    <col min="1080" max="1080" width="11" style="347" customWidth="1"/>
    <col min="1081" max="1281" width="9.140625" style="347"/>
    <col min="1282" max="1282" width="5.7109375" style="347" customWidth="1"/>
    <col min="1283" max="1283" width="54.7109375" style="347" customWidth="1"/>
    <col min="1284" max="1284" width="12.5703125" style="347" customWidth="1"/>
    <col min="1285" max="1311" width="10.5703125" style="347" customWidth="1"/>
    <col min="1312" max="1335" width="9.140625" style="347"/>
    <col min="1336" max="1336" width="11" style="347" customWidth="1"/>
    <col min="1337" max="1537" width="9.140625" style="347"/>
    <col min="1538" max="1538" width="5.7109375" style="347" customWidth="1"/>
    <col min="1539" max="1539" width="54.7109375" style="347" customWidth="1"/>
    <col min="1540" max="1540" width="12.5703125" style="347" customWidth="1"/>
    <col min="1541" max="1567" width="10.5703125" style="347" customWidth="1"/>
    <col min="1568" max="1591" width="9.140625" style="347"/>
    <col min="1592" max="1592" width="11" style="347" customWidth="1"/>
    <col min="1593" max="1793" width="9.140625" style="347"/>
    <col min="1794" max="1794" width="5.7109375" style="347" customWidth="1"/>
    <col min="1795" max="1795" width="54.7109375" style="347" customWidth="1"/>
    <col min="1796" max="1796" width="12.5703125" style="347" customWidth="1"/>
    <col min="1797" max="1823" width="10.5703125" style="347" customWidth="1"/>
    <col min="1824" max="1847" width="9.140625" style="347"/>
    <col min="1848" max="1848" width="11" style="347" customWidth="1"/>
    <col min="1849" max="2049" width="9.140625" style="347"/>
    <col min="2050" max="2050" width="5.7109375" style="347" customWidth="1"/>
    <col min="2051" max="2051" width="54.7109375" style="347" customWidth="1"/>
    <col min="2052" max="2052" width="12.5703125" style="347" customWidth="1"/>
    <col min="2053" max="2079" width="10.5703125" style="347" customWidth="1"/>
    <col min="2080" max="2103" width="9.140625" style="347"/>
    <col min="2104" max="2104" width="11" style="347" customWidth="1"/>
    <col min="2105" max="2305" width="9.140625" style="347"/>
    <col min="2306" max="2306" width="5.7109375" style="347" customWidth="1"/>
    <col min="2307" max="2307" width="54.7109375" style="347" customWidth="1"/>
    <col min="2308" max="2308" width="12.5703125" style="347" customWidth="1"/>
    <col min="2309" max="2335" width="10.5703125" style="347" customWidth="1"/>
    <col min="2336" max="2359" width="9.140625" style="347"/>
    <col min="2360" max="2360" width="11" style="347" customWidth="1"/>
    <col min="2361" max="2561" width="9.140625" style="347"/>
    <col min="2562" max="2562" width="5.7109375" style="347" customWidth="1"/>
    <col min="2563" max="2563" width="54.7109375" style="347" customWidth="1"/>
    <col min="2564" max="2564" width="12.5703125" style="347" customWidth="1"/>
    <col min="2565" max="2591" width="10.5703125" style="347" customWidth="1"/>
    <col min="2592" max="2615" width="9.140625" style="347"/>
    <col min="2616" max="2616" width="11" style="347" customWidth="1"/>
    <col min="2617" max="2817" width="9.140625" style="347"/>
    <col min="2818" max="2818" width="5.7109375" style="347" customWidth="1"/>
    <col min="2819" max="2819" width="54.7109375" style="347" customWidth="1"/>
    <col min="2820" max="2820" width="12.5703125" style="347" customWidth="1"/>
    <col min="2821" max="2847" width="10.5703125" style="347" customWidth="1"/>
    <col min="2848" max="2871" width="9.140625" style="347"/>
    <col min="2872" max="2872" width="11" style="347" customWidth="1"/>
    <col min="2873" max="3073" width="9.140625" style="347"/>
    <col min="3074" max="3074" width="5.7109375" style="347" customWidth="1"/>
    <col min="3075" max="3075" width="54.7109375" style="347" customWidth="1"/>
    <col min="3076" max="3076" width="12.5703125" style="347" customWidth="1"/>
    <col min="3077" max="3103" width="10.5703125" style="347" customWidth="1"/>
    <col min="3104" max="3127" width="9.140625" style="347"/>
    <col min="3128" max="3128" width="11" style="347" customWidth="1"/>
    <col min="3129" max="3329" width="9.140625" style="347"/>
    <col min="3330" max="3330" width="5.7109375" style="347" customWidth="1"/>
    <col min="3331" max="3331" width="54.7109375" style="347" customWidth="1"/>
    <col min="3332" max="3332" width="12.5703125" style="347" customWidth="1"/>
    <col min="3333" max="3359" width="10.5703125" style="347" customWidth="1"/>
    <col min="3360" max="3383" width="9.140625" style="347"/>
    <col min="3384" max="3384" width="11" style="347" customWidth="1"/>
    <col min="3385" max="3585" width="9.140625" style="347"/>
    <col min="3586" max="3586" width="5.7109375" style="347" customWidth="1"/>
    <col min="3587" max="3587" width="54.7109375" style="347" customWidth="1"/>
    <col min="3588" max="3588" width="12.5703125" style="347" customWidth="1"/>
    <col min="3589" max="3615" width="10.5703125" style="347" customWidth="1"/>
    <col min="3616" max="3639" width="9.140625" style="347"/>
    <col min="3640" max="3640" width="11" style="347" customWidth="1"/>
    <col min="3641" max="3841" width="9.140625" style="347"/>
    <col min="3842" max="3842" width="5.7109375" style="347" customWidth="1"/>
    <col min="3843" max="3843" width="54.7109375" style="347" customWidth="1"/>
    <col min="3844" max="3844" width="12.5703125" style="347" customWidth="1"/>
    <col min="3845" max="3871" width="10.5703125" style="347" customWidth="1"/>
    <col min="3872" max="3895" width="9.140625" style="347"/>
    <col min="3896" max="3896" width="11" style="347" customWidth="1"/>
    <col min="3897" max="4097" width="9.140625" style="347"/>
    <col min="4098" max="4098" width="5.7109375" style="347" customWidth="1"/>
    <col min="4099" max="4099" width="54.7109375" style="347" customWidth="1"/>
    <col min="4100" max="4100" width="12.5703125" style="347" customWidth="1"/>
    <col min="4101" max="4127" width="10.5703125" style="347" customWidth="1"/>
    <col min="4128" max="4151" width="9.140625" style="347"/>
    <col min="4152" max="4152" width="11" style="347" customWidth="1"/>
    <col min="4153" max="4353" width="9.140625" style="347"/>
    <col min="4354" max="4354" width="5.7109375" style="347" customWidth="1"/>
    <col min="4355" max="4355" width="54.7109375" style="347" customWidth="1"/>
    <col min="4356" max="4356" width="12.5703125" style="347" customWidth="1"/>
    <col min="4357" max="4383" width="10.5703125" style="347" customWidth="1"/>
    <col min="4384" max="4407" width="9.140625" style="347"/>
    <col min="4408" max="4408" width="11" style="347" customWidth="1"/>
    <col min="4409" max="4609" width="9.140625" style="347"/>
    <col min="4610" max="4610" width="5.7109375" style="347" customWidth="1"/>
    <col min="4611" max="4611" width="54.7109375" style="347" customWidth="1"/>
    <col min="4612" max="4612" width="12.5703125" style="347" customWidth="1"/>
    <col min="4613" max="4639" width="10.5703125" style="347" customWidth="1"/>
    <col min="4640" max="4663" width="9.140625" style="347"/>
    <col min="4664" max="4664" width="11" style="347" customWidth="1"/>
    <col min="4665" max="4865" width="9.140625" style="347"/>
    <col min="4866" max="4866" width="5.7109375" style="347" customWidth="1"/>
    <col min="4867" max="4867" width="54.7109375" style="347" customWidth="1"/>
    <col min="4868" max="4868" width="12.5703125" style="347" customWidth="1"/>
    <col min="4869" max="4895" width="10.5703125" style="347" customWidth="1"/>
    <col min="4896" max="4919" width="9.140625" style="347"/>
    <col min="4920" max="4920" width="11" style="347" customWidth="1"/>
    <col min="4921" max="5121" width="9.140625" style="347"/>
    <col min="5122" max="5122" width="5.7109375" style="347" customWidth="1"/>
    <col min="5123" max="5123" width="54.7109375" style="347" customWidth="1"/>
    <col min="5124" max="5124" width="12.5703125" style="347" customWidth="1"/>
    <col min="5125" max="5151" width="10.5703125" style="347" customWidth="1"/>
    <col min="5152" max="5175" width="9.140625" style="347"/>
    <col min="5176" max="5176" width="11" style="347" customWidth="1"/>
    <col min="5177" max="5377" width="9.140625" style="347"/>
    <col min="5378" max="5378" width="5.7109375" style="347" customWidth="1"/>
    <col min="5379" max="5379" width="54.7109375" style="347" customWidth="1"/>
    <col min="5380" max="5380" width="12.5703125" style="347" customWidth="1"/>
    <col min="5381" max="5407" width="10.5703125" style="347" customWidth="1"/>
    <col min="5408" max="5431" width="9.140625" style="347"/>
    <col min="5432" max="5432" width="11" style="347" customWidth="1"/>
    <col min="5433" max="5633" width="9.140625" style="347"/>
    <col min="5634" max="5634" width="5.7109375" style="347" customWidth="1"/>
    <col min="5635" max="5635" width="54.7109375" style="347" customWidth="1"/>
    <col min="5636" max="5636" width="12.5703125" style="347" customWidth="1"/>
    <col min="5637" max="5663" width="10.5703125" style="347" customWidth="1"/>
    <col min="5664" max="5687" width="9.140625" style="347"/>
    <col min="5688" max="5688" width="11" style="347" customWidth="1"/>
    <col min="5689" max="5889" width="9.140625" style="347"/>
    <col min="5890" max="5890" width="5.7109375" style="347" customWidth="1"/>
    <col min="5891" max="5891" width="54.7109375" style="347" customWidth="1"/>
    <col min="5892" max="5892" width="12.5703125" style="347" customWidth="1"/>
    <col min="5893" max="5919" width="10.5703125" style="347" customWidth="1"/>
    <col min="5920" max="5943" width="9.140625" style="347"/>
    <col min="5944" max="5944" width="11" style="347" customWidth="1"/>
    <col min="5945" max="6145" width="9.140625" style="347"/>
    <col min="6146" max="6146" width="5.7109375" style="347" customWidth="1"/>
    <col min="6147" max="6147" width="54.7109375" style="347" customWidth="1"/>
    <col min="6148" max="6148" width="12.5703125" style="347" customWidth="1"/>
    <col min="6149" max="6175" width="10.5703125" style="347" customWidth="1"/>
    <col min="6176" max="6199" width="9.140625" style="347"/>
    <col min="6200" max="6200" width="11" style="347" customWidth="1"/>
    <col min="6201" max="6401" width="9.140625" style="347"/>
    <col min="6402" max="6402" width="5.7109375" style="347" customWidth="1"/>
    <col min="6403" max="6403" width="54.7109375" style="347" customWidth="1"/>
    <col min="6404" max="6404" width="12.5703125" style="347" customWidth="1"/>
    <col min="6405" max="6431" width="10.5703125" style="347" customWidth="1"/>
    <col min="6432" max="6455" width="9.140625" style="347"/>
    <col min="6456" max="6456" width="11" style="347" customWidth="1"/>
    <col min="6457" max="6657" width="9.140625" style="347"/>
    <col min="6658" max="6658" width="5.7109375" style="347" customWidth="1"/>
    <col min="6659" max="6659" width="54.7109375" style="347" customWidth="1"/>
    <col min="6660" max="6660" width="12.5703125" style="347" customWidth="1"/>
    <col min="6661" max="6687" width="10.5703125" style="347" customWidth="1"/>
    <col min="6688" max="6711" width="9.140625" style="347"/>
    <col min="6712" max="6712" width="11" style="347" customWidth="1"/>
    <col min="6713" max="6913" width="9.140625" style="347"/>
    <col min="6914" max="6914" width="5.7109375" style="347" customWidth="1"/>
    <col min="6915" max="6915" width="54.7109375" style="347" customWidth="1"/>
    <col min="6916" max="6916" width="12.5703125" style="347" customWidth="1"/>
    <col min="6917" max="6943" width="10.5703125" style="347" customWidth="1"/>
    <col min="6944" max="6967" width="9.140625" style="347"/>
    <col min="6968" max="6968" width="11" style="347" customWidth="1"/>
    <col min="6969" max="7169" width="9.140625" style="347"/>
    <col min="7170" max="7170" width="5.7109375" style="347" customWidth="1"/>
    <col min="7171" max="7171" width="54.7109375" style="347" customWidth="1"/>
    <col min="7172" max="7172" width="12.5703125" style="347" customWidth="1"/>
    <col min="7173" max="7199" width="10.5703125" style="347" customWidth="1"/>
    <col min="7200" max="7223" width="9.140625" style="347"/>
    <col min="7224" max="7224" width="11" style="347" customWidth="1"/>
    <col min="7225" max="7425" width="9.140625" style="347"/>
    <col min="7426" max="7426" width="5.7109375" style="347" customWidth="1"/>
    <col min="7427" max="7427" width="54.7109375" style="347" customWidth="1"/>
    <col min="7428" max="7428" width="12.5703125" style="347" customWidth="1"/>
    <col min="7429" max="7455" width="10.5703125" style="347" customWidth="1"/>
    <col min="7456" max="7479" width="9.140625" style="347"/>
    <col min="7480" max="7480" width="11" style="347" customWidth="1"/>
    <col min="7481" max="7681" width="9.140625" style="347"/>
    <col min="7682" max="7682" width="5.7109375" style="347" customWidth="1"/>
    <col min="7683" max="7683" width="54.7109375" style="347" customWidth="1"/>
    <col min="7684" max="7684" width="12.5703125" style="347" customWidth="1"/>
    <col min="7685" max="7711" width="10.5703125" style="347" customWidth="1"/>
    <col min="7712" max="7735" width="9.140625" style="347"/>
    <col min="7736" max="7736" width="11" style="347" customWidth="1"/>
    <col min="7737" max="7937" width="9.140625" style="347"/>
    <col min="7938" max="7938" width="5.7109375" style="347" customWidth="1"/>
    <col min="7939" max="7939" width="54.7109375" style="347" customWidth="1"/>
    <col min="7940" max="7940" width="12.5703125" style="347" customWidth="1"/>
    <col min="7941" max="7967" width="10.5703125" style="347" customWidth="1"/>
    <col min="7968" max="7991" width="9.140625" style="347"/>
    <col min="7992" max="7992" width="11" style="347" customWidth="1"/>
    <col min="7993" max="8193" width="9.140625" style="347"/>
    <col min="8194" max="8194" width="5.7109375" style="347" customWidth="1"/>
    <col min="8195" max="8195" width="54.7109375" style="347" customWidth="1"/>
    <col min="8196" max="8196" width="12.5703125" style="347" customWidth="1"/>
    <col min="8197" max="8223" width="10.5703125" style="347" customWidth="1"/>
    <col min="8224" max="8247" width="9.140625" style="347"/>
    <col min="8248" max="8248" width="11" style="347" customWidth="1"/>
    <col min="8249" max="8449" width="9.140625" style="347"/>
    <col min="8450" max="8450" width="5.7109375" style="347" customWidth="1"/>
    <col min="8451" max="8451" width="54.7109375" style="347" customWidth="1"/>
    <col min="8452" max="8452" width="12.5703125" style="347" customWidth="1"/>
    <col min="8453" max="8479" width="10.5703125" style="347" customWidth="1"/>
    <col min="8480" max="8503" width="9.140625" style="347"/>
    <col min="8504" max="8504" width="11" style="347" customWidth="1"/>
    <col min="8505" max="8705" width="9.140625" style="347"/>
    <col min="8706" max="8706" width="5.7109375" style="347" customWidth="1"/>
    <col min="8707" max="8707" width="54.7109375" style="347" customWidth="1"/>
    <col min="8708" max="8708" width="12.5703125" style="347" customWidth="1"/>
    <col min="8709" max="8735" width="10.5703125" style="347" customWidth="1"/>
    <col min="8736" max="8759" width="9.140625" style="347"/>
    <col min="8760" max="8760" width="11" style="347" customWidth="1"/>
    <col min="8761" max="8961" width="9.140625" style="347"/>
    <col min="8962" max="8962" width="5.7109375" style="347" customWidth="1"/>
    <col min="8963" max="8963" width="54.7109375" style="347" customWidth="1"/>
    <col min="8964" max="8964" width="12.5703125" style="347" customWidth="1"/>
    <col min="8965" max="8991" width="10.5703125" style="347" customWidth="1"/>
    <col min="8992" max="9015" width="9.140625" style="347"/>
    <col min="9016" max="9016" width="11" style="347" customWidth="1"/>
    <col min="9017" max="9217" width="9.140625" style="347"/>
    <col min="9218" max="9218" width="5.7109375" style="347" customWidth="1"/>
    <col min="9219" max="9219" width="54.7109375" style="347" customWidth="1"/>
    <col min="9220" max="9220" width="12.5703125" style="347" customWidth="1"/>
    <col min="9221" max="9247" width="10.5703125" style="347" customWidth="1"/>
    <col min="9248" max="9271" width="9.140625" style="347"/>
    <col min="9272" max="9272" width="11" style="347" customWidth="1"/>
    <col min="9273" max="9473" width="9.140625" style="347"/>
    <col min="9474" max="9474" width="5.7109375" style="347" customWidth="1"/>
    <col min="9475" max="9475" width="54.7109375" style="347" customWidth="1"/>
    <col min="9476" max="9476" width="12.5703125" style="347" customWidth="1"/>
    <col min="9477" max="9503" width="10.5703125" style="347" customWidth="1"/>
    <col min="9504" max="9527" width="9.140625" style="347"/>
    <col min="9528" max="9528" width="11" style="347" customWidth="1"/>
    <col min="9529" max="9729" width="9.140625" style="347"/>
    <col min="9730" max="9730" width="5.7109375" style="347" customWidth="1"/>
    <col min="9731" max="9731" width="54.7109375" style="347" customWidth="1"/>
    <col min="9732" max="9732" width="12.5703125" style="347" customWidth="1"/>
    <col min="9733" max="9759" width="10.5703125" style="347" customWidth="1"/>
    <col min="9760" max="9783" width="9.140625" style="347"/>
    <col min="9784" max="9784" width="11" style="347" customWidth="1"/>
    <col min="9785" max="9985" width="9.140625" style="347"/>
    <col min="9986" max="9986" width="5.7109375" style="347" customWidth="1"/>
    <col min="9987" max="9987" width="54.7109375" style="347" customWidth="1"/>
    <col min="9988" max="9988" width="12.5703125" style="347" customWidth="1"/>
    <col min="9989" max="10015" width="10.5703125" style="347" customWidth="1"/>
    <col min="10016" max="10039" width="9.140625" style="347"/>
    <col min="10040" max="10040" width="11" style="347" customWidth="1"/>
    <col min="10041" max="10241" width="9.140625" style="347"/>
    <col min="10242" max="10242" width="5.7109375" style="347" customWidth="1"/>
    <col min="10243" max="10243" width="54.7109375" style="347" customWidth="1"/>
    <col min="10244" max="10244" width="12.5703125" style="347" customWidth="1"/>
    <col min="10245" max="10271" width="10.5703125" style="347" customWidth="1"/>
    <col min="10272" max="10295" width="9.140625" style="347"/>
    <col min="10296" max="10296" width="11" style="347" customWidth="1"/>
    <col min="10297" max="10497" width="9.140625" style="347"/>
    <col min="10498" max="10498" width="5.7109375" style="347" customWidth="1"/>
    <col min="10499" max="10499" width="54.7109375" style="347" customWidth="1"/>
    <col min="10500" max="10500" width="12.5703125" style="347" customWidth="1"/>
    <col min="10501" max="10527" width="10.5703125" style="347" customWidth="1"/>
    <col min="10528" max="10551" width="9.140625" style="347"/>
    <col min="10552" max="10552" width="11" style="347" customWidth="1"/>
    <col min="10553" max="10753" width="9.140625" style="347"/>
    <col min="10754" max="10754" width="5.7109375" style="347" customWidth="1"/>
    <col min="10755" max="10755" width="54.7109375" style="347" customWidth="1"/>
    <col min="10756" max="10756" width="12.5703125" style="347" customWidth="1"/>
    <col min="10757" max="10783" width="10.5703125" style="347" customWidth="1"/>
    <col min="10784" max="10807" width="9.140625" style="347"/>
    <col min="10808" max="10808" width="11" style="347" customWidth="1"/>
    <col min="10809" max="11009" width="9.140625" style="347"/>
    <col min="11010" max="11010" width="5.7109375" style="347" customWidth="1"/>
    <col min="11011" max="11011" width="54.7109375" style="347" customWidth="1"/>
    <col min="11012" max="11012" width="12.5703125" style="347" customWidth="1"/>
    <col min="11013" max="11039" width="10.5703125" style="347" customWidth="1"/>
    <col min="11040" max="11063" width="9.140625" style="347"/>
    <col min="11064" max="11064" width="11" style="347" customWidth="1"/>
    <col min="11065" max="11265" width="9.140625" style="347"/>
    <col min="11266" max="11266" width="5.7109375" style="347" customWidth="1"/>
    <col min="11267" max="11267" width="54.7109375" style="347" customWidth="1"/>
    <col min="11268" max="11268" width="12.5703125" style="347" customWidth="1"/>
    <col min="11269" max="11295" width="10.5703125" style="347" customWidth="1"/>
    <col min="11296" max="11319" width="9.140625" style="347"/>
    <col min="11320" max="11320" width="11" style="347" customWidth="1"/>
    <col min="11321" max="11521" width="9.140625" style="347"/>
    <col min="11522" max="11522" width="5.7109375" style="347" customWidth="1"/>
    <col min="11523" max="11523" width="54.7109375" style="347" customWidth="1"/>
    <col min="11524" max="11524" width="12.5703125" style="347" customWidth="1"/>
    <col min="11525" max="11551" width="10.5703125" style="347" customWidth="1"/>
    <col min="11552" max="11575" width="9.140625" style="347"/>
    <col min="11576" max="11576" width="11" style="347" customWidth="1"/>
    <col min="11577" max="11777" width="9.140625" style="347"/>
    <col min="11778" max="11778" width="5.7109375" style="347" customWidth="1"/>
    <col min="11779" max="11779" width="54.7109375" style="347" customWidth="1"/>
    <col min="11780" max="11780" width="12.5703125" style="347" customWidth="1"/>
    <col min="11781" max="11807" width="10.5703125" style="347" customWidth="1"/>
    <col min="11808" max="11831" width="9.140625" style="347"/>
    <col min="11832" max="11832" width="11" style="347" customWidth="1"/>
    <col min="11833" max="12033" width="9.140625" style="347"/>
    <col min="12034" max="12034" width="5.7109375" style="347" customWidth="1"/>
    <col min="12035" max="12035" width="54.7109375" style="347" customWidth="1"/>
    <col min="12036" max="12036" width="12.5703125" style="347" customWidth="1"/>
    <col min="12037" max="12063" width="10.5703125" style="347" customWidth="1"/>
    <col min="12064" max="12087" width="9.140625" style="347"/>
    <col min="12088" max="12088" width="11" style="347" customWidth="1"/>
    <col min="12089" max="12289" width="9.140625" style="347"/>
    <col min="12290" max="12290" width="5.7109375" style="347" customWidth="1"/>
    <col min="12291" max="12291" width="54.7109375" style="347" customWidth="1"/>
    <col min="12292" max="12292" width="12.5703125" style="347" customWidth="1"/>
    <col min="12293" max="12319" width="10.5703125" style="347" customWidth="1"/>
    <col min="12320" max="12343" width="9.140625" style="347"/>
    <col min="12344" max="12344" width="11" style="347" customWidth="1"/>
    <col min="12345" max="12545" width="9.140625" style="347"/>
    <col min="12546" max="12546" width="5.7109375" style="347" customWidth="1"/>
    <col min="12547" max="12547" width="54.7109375" style="347" customWidth="1"/>
    <col min="12548" max="12548" width="12.5703125" style="347" customWidth="1"/>
    <col min="12549" max="12575" width="10.5703125" style="347" customWidth="1"/>
    <col min="12576" max="12599" width="9.140625" style="347"/>
    <col min="12600" max="12600" width="11" style="347" customWidth="1"/>
    <col min="12601" max="12801" width="9.140625" style="347"/>
    <col min="12802" max="12802" width="5.7109375" style="347" customWidth="1"/>
    <col min="12803" max="12803" width="54.7109375" style="347" customWidth="1"/>
    <col min="12804" max="12804" width="12.5703125" style="347" customWidth="1"/>
    <col min="12805" max="12831" width="10.5703125" style="347" customWidth="1"/>
    <col min="12832" max="12855" width="9.140625" style="347"/>
    <col min="12856" max="12856" width="11" style="347" customWidth="1"/>
    <col min="12857" max="13057" width="9.140625" style="347"/>
    <col min="13058" max="13058" width="5.7109375" style="347" customWidth="1"/>
    <col min="13059" max="13059" width="54.7109375" style="347" customWidth="1"/>
    <col min="13060" max="13060" width="12.5703125" style="347" customWidth="1"/>
    <col min="13061" max="13087" width="10.5703125" style="347" customWidth="1"/>
    <col min="13088" max="13111" width="9.140625" style="347"/>
    <col min="13112" max="13112" width="11" style="347" customWidth="1"/>
    <col min="13113" max="13313" width="9.140625" style="347"/>
    <col min="13314" max="13314" width="5.7109375" style="347" customWidth="1"/>
    <col min="13315" max="13315" width="54.7109375" style="347" customWidth="1"/>
    <col min="13316" max="13316" width="12.5703125" style="347" customWidth="1"/>
    <col min="13317" max="13343" width="10.5703125" style="347" customWidth="1"/>
    <col min="13344" max="13367" width="9.140625" style="347"/>
    <col min="13368" max="13368" width="11" style="347" customWidth="1"/>
    <col min="13369" max="13569" width="9.140625" style="347"/>
    <col min="13570" max="13570" width="5.7109375" style="347" customWidth="1"/>
    <col min="13571" max="13571" width="54.7109375" style="347" customWidth="1"/>
    <col min="13572" max="13572" width="12.5703125" style="347" customWidth="1"/>
    <col min="13573" max="13599" width="10.5703125" style="347" customWidth="1"/>
    <col min="13600" max="13623" width="9.140625" style="347"/>
    <col min="13624" max="13624" width="11" style="347" customWidth="1"/>
    <col min="13625" max="13825" width="9.140625" style="347"/>
    <col min="13826" max="13826" width="5.7109375" style="347" customWidth="1"/>
    <col min="13827" max="13827" width="54.7109375" style="347" customWidth="1"/>
    <col min="13828" max="13828" width="12.5703125" style="347" customWidth="1"/>
    <col min="13829" max="13855" width="10.5703125" style="347" customWidth="1"/>
    <col min="13856" max="13879" width="9.140625" style="347"/>
    <col min="13880" max="13880" width="11" style="347" customWidth="1"/>
    <col min="13881" max="14081" width="9.140625" style="347"/>
    <col min="14082" max="14082" width="5.7109375" style="347" customWidth="1"/>
    <col min="14083" max="14083" width="54.7109375" style="347" customWidth="1"/>
    <col min="14084" max="14084" width="12.5703125" style="347" customWidth="1"/>
    <col min="14085" max="14111" width="10.5703125" style="347" customWidth="1"/>
    <col min="14112" max="14135" width="9.140625" style="347"/>
    <col min="14136" max="14136" width="11" style="347" customWidth="1"/>
    <col min="14137" max="14337" width="9.140625" style="347"/>
    <col min="14338" max="14338" width="5.7109375" style="347" customWidth="1"/>
    <col min="14339" max="14339" width="54.7109375" style="347" customWidth="1"/>
    <col min="14340" max="14340" width="12.5703125" style="347" customWidth="1"/>
    <col min="14341" max="14367" width="10.5703125" style="347" customWidth="1"/>
    <col min="14368" max="14391" width="9.140625" style="347"/>
    <col min="14392" max="14392" width="11" style="347" customWidth="1"/>
    <col min="14393" max="14593" width="9.140625" style="347"/>
    <col min="14594" max="14594" width="5.7109375" style="347" customWidth="1"/>
    <col min="14595" max="14595" width="54.7109375" style="347" customWidth="1"/>
    <col min="14596" max="14596" width="12.5703125" style="347" customWidth="1"/>
    <col min="14597" max="14623" width="10.5703125" style="347" customWidth="1"/>
    <col min="14624" max="14647" width="9.140625" style="347"/>
    <col min="14648" max="14648" width="11" style="347" customWidth="1"/>
    <col min="14649" max="14849" width="9.140625" style="347"/>
    <col min="14850" max="14850" width="5.7109375" style="347" customWidth="1"/>
    <col min="14851" max="14851" width="54.7109375" style="347" customWidth="1"/>
    <col min="14852" max="14852" width="12.5703125" style="347" customWidth="1"/>
    <col min="14853" max="14879" width="10.5703125" style="347" customWidth="1"/>
    <col min="14880" max="14903" width="9.140625" style="347"/>
    <col min="14904" max="14904" width="11" style="347" customWidth="1"/>
    <col min="14905" max="15105" width="9.140625" style="347"/>
    <col min="15106" max="15106" width="5.7109375" style="347" customWidth="1"/>
    <col min="15107" max="15107" width="54.7109375" style="347" customWidth="1"/>
    <col min="15108" max="15108" width="12.5703125" style="347" customWidth="1"/>
    <col min="15109" max="15135" width="10.5703125" style="347" customWidth="1"/>
    <col min="15136" max="15159" width="9.140625" style="347"/>
    <col min="15160" max="15160" width="11" style="347" customWidth="1"/>
    <col min="15161" max="15361" width="9.140625" style="347"/>
    <col min="15362" max="15362" width="5.7109375" style="347" customWidth="1"/>
    <col min="15363" max="15363" width="54.7109375" style="347" customWidth="1"/>
    <col min="15364" max="15364" width="12.5703125" style="347" customWidth="1"/>
    <col min="15365" max="15391" width="10.5703125" style="347" customWidth="1"/>
    <col min="15392" max="15415" width="9.140625" style="347"/>
    <col min="15416" max="15416" width="11" style="347" customWidth="1"/>
    <col min="15417" max="15617" width="9.140625" style="347"/>
    <col min="15618" max="15618" width="5.7109375" style="347" customWidth="1"/>
    <col min="15619" max="15619" width="54.7109375" style="347" customWidth="1"/>
    <col min="15620" max="15620" width="12.5703125" style="347" customWidth="1"/>
    <col min="15621" max="15647" width="10.5703125" style="347" customWidth="1"/>
    <col min="15648" max="15671" width="9.140625" style="347"/>
    <col min="15672" max="15672" width="11" style="347" customWidth="1"/>
    <col min="15673" max="15873" width="9.140625" style="347"/>
    <col min="15874" max="15874" width="5.7109375" style="347" customWidth="1"/>
    <col min="15875" max="15875" width="54.7109375" style="347" customWidth="1"/>
    <col min="15876" max="15876" width="12.5703125" style="347" customWidth="1"/>
    <col min="15877" max="15903" width="10.5703125" style="347" customWidth="1"/>
    <col min="15904" max="15927" width="9.140625" style="347"/>
    <col min="15928" max="15928" width="11" style="347" customWidth="1"/>
    <col min="15929" max="16129" width="9.140625" style="347"/>
    <col min="16130" max="16130" width="5.7109375" style="347" customWidth="1"/>
    <col min="16131" max="16131" width="54.7109375" style="347" customWidth="1"/>
    <col min="16132" max="16132" width="12.5703125" style="347" customWidth="1"/>
    <col min="16133" max="16159" width="10.5703125" style="347" customWidth="1"/>
    <col min="16160" max="16183" width="9.140625" style="347"/>
    <col min="16184" max="16184" width="11" style="347" customWidth="1"/>
    <col min="16185" max="16384" width="9.140625" style="347"/>
  </cols>
  <sheetData>
    <row r="1" spans="2:16384" hidden="1" x14ac:dyDescent="0.25">
      <c r="C1" s="345" t="s">
        <v>650</v>
      </c>
      <c r="D1" s="346" t="s">
        <v>651</v>
      </c>
      <c r="E1" s="346" t="s">
        <v>652</v>
      </c>
      <c r="F1" s="346"/>
      <c r="G1" s="346"/>
      <c r="H1" s="346"/>
      <c r="I1" s="346"/>
      <c r="J1" s="346"/>
      <c r="K1" s="346"/>
      <c r="L1" s="346"/>
      <c r="BC1" s="348"/>
      <c r="BD1" s="348" t="s">
        <v>653</v>
      </c>
    </row>
    <row r="2" spans="2:16384" hidden="1" x14ac:dyDescent="0.25">
      <c r="C2" s="345" t="s">
        <v>654</v>
      </c>
      <c r="D2" s="346" t="s">
        <v>655</v>
      </c>
      <c r="E2" s="346" t="s">
        <v>656</v>
      </c>
      <c r="F2" s="346"/>
      <c r="G2" s="346"/>
      <c r="H2" s="346"/>
      <c r="I2" s="346"/>
      <c r="J2" s="346"/>
      <c r="K2" s="346"/>
      <c r="L2" s="346"/>
      <c r="BC2" s="348"/>
      <c r="BD2" s="348" t="s">
        <v>657</v>
      </c>
    </row>
    <row r="3" spans="2:16384" hidden="1" x14ac:dyDescent="0.25">
      <c r="C3" s="349" t="s">
        <v>658</v>
      </c>
      <c r="D3" s="350" t="s">
        <v>208</v>
      </c>
      <c r="E3" s="350" t="s">
        <v>208</v>
      </c>
      <c r="F3" s="350"/>
      <c r="G3" s="350"/>
      <c r="H3" s="350"/>
      <c r="I3" s="350"/>
      <c r="J3" s="350"/>
      <c r="K3" s="350"/>
      <c r="L3" s="350"/>
      <c r="BC3" s="348"/>
      <c r="BD3" s="351" t="s">
        <v>208</v>
      </c>
    </row>
    <row r="4" spans="2:16384" hidden="1" x14ac:dyDescent="0.25">
      <c r="C4" s="349" t="s">
        <v>659</v>
      </c>
      <c r="D4" s="352" t="str">
        <f t="shared" ref="D4:L4" si="0">CONCATENATE(MID(D1,7,4),"-",MID(D2,9,2))</f>
        <v>2026-27</v>
      </c>
      <c r="E4" s="352" t="str">
        <f t="shared" si="0"/>
        <v>2027-28</v>
      </c>
      <c r="F4" s="352" t="str">
        <f t="shared" si="0"/>
        <v>-</v>
      </c>
      <c r="G4" s="352" t="str">
        <f t="shared" si="0"/>
        <v>-</v>
      </c>
      <c r="H4" s="352" t="str">
        <f t="shared" si="0"/>
        <v>-</v>
      </c>
      <c r="I4" s="352" t="str">
        <f t="shared" si="0"/>
        <v>-</v>
      </c>
      <c r="J4" s="352" t="str">
        <f t="shared" si="0"/>
        <v>-</v>
      </c>
      <c r="K4" s="352" t="str">
        <f t="shared" si="0"/>
        <v>-</v>
      </c>
      <c r="L4" s="352" t="str">
        <f t="shared" si="0"/>
        <v>-</v>
      </c>
      <c r="BC4" s="348"/>
      <c r="BD4" s="348" t="s">
        <v>660</v>
      </c>
    </row>
    <row r="5" spans="2:16384" hidden="1" x14ac:dyDescent="0.25">
      <c r="C5" s="344"/>
      <c r="D5" s="344"/>
      <c r="E5" s="344"/>
      <c r="F5" s="344"/>
      <c r="G5" s="344"/>
      <c r="H5" s="344"/>
      <c r="I5" s="344"/>
      <c r="J5" s="344"/>
      <c r="K5" s="344"/>
      <c r="L5" s="344"/>
      <c r="AG5" s="344"/>
      <c r="AH5" s="344"/>
      <c r="AI5" s="344"/>
      <c r="AJ5" s="344"/>
      <c r="AK5" s="344"/>
      <c r="AL5" s="344"/>
      <c r="AM5" s="344"/>
      <c r="AN5" s="344"/>
      <c r="AO5" s="344"/>
      <c r="AP5" s="344"/>
      <c r="AQ5" s="344"/>
      <c r="AR5" s="344"/>
      <c r="AS5" s="344"/>
      <c r="AT5" s="344"/>
      <c r="AU5" s="344"/>
      <c r="AV5" s="344"/>
      <c r="AW5" s="344"/>
      <c r="AX5" s="344"/>
      <c r="AY5" s="344"/>
      <c r="AZ5" s="344"/>
      <c r="BA5" s="344"/>
      <c r="BB5" s="344"/>
      <c r="BC5" s="344"/>
      <c r="BD5" s="344"/>
      <c r="BE5" s="344"/>
      <c r="BF5" s="344"/>
      <c r="BG5" s="344"/>
      <c r="BH5" s="344"/>
      <c r="BI5" s="344"/>
      <c r="BJ5" s="344"/>
      <c r="BK5" s="344"/>
      <c r="BL5" s="344"/>
      <c r="BM5" s="344"/>
      <c r="BN5" s="344"/>
      <c r="BO5" s="344"/>
      <c r="BP5" s="344"/>
      <c r="BQ5" s="344"/>
      <c r="BR5" s="344"/>
      <c r="BS5" s="344"/>
      <c r="BT5" s="344"/>
      <c r="BU5" s="344"/>
      <c r="BV5" s="344"/>
      <c r="BW5" s="344"/>
      <c r="BX5" s="344"/>
      <c r="BY5" s="344"/>
      <c r="BZ5" s="344"/>
      <c r="CA5" s="344"/>
      <c r="CB5" s="344"/>
      <c r="CC5" s="344"/>
      <c r="CD5" s="344"/>
      <c r="CE5" s="344"/>
      <c r="CF5" s="344"/>
      <c r="CG5" s="344"/>
      <c r="CH5" s="344"/>
      <c r="CI5" s="344"/>
      <c r="CJ5" s="344"/>
      <c r="CK5" s="344"/>
      <c r="CL5" s="344"/>
      <c r="CM5" s="344"/>
      <c r="CN5" s="344"/>
      <c r="CO5" s="344"/>
      <c r="CP5" s="344"/>
      <c r="CQ5" s="344"/>
      <c r="CR5" s="344"/>
      <c r="CS5" s="344"/>
      <c r="CT5" s="344"/>
      <c r="CU5" s="344"/>
      <c r="CV5" s="344"/>
      <c r="CW5" s="344"/>
      <c r="CX5" s="344"/>
      <c r="CY5" s="344"/>
      <c r="CZ5" s="344"/>
      <c r="DA5" s="344"/>
      <c r="DB5" s="344"/>
      <c r="DC5" s="344"/>
      <c r="DD5" s="344"/>
      <c r="DE5" s="344"/>
      <c r="DF5" s="344"/>
      <c r="DG5" s="344"/>
      <c r="DH5" s="344"/>
      <c r="DI5" s="344"/>
      <c r="DJ5" s="344"/>
      <c r="DK5" s="344"/>
      <c r="DL5" s="344"/>
      <c r="DM5" s="344"/>
      <c r="DN5" s="344"/>
      <c r="DO5" s="344"/>
      <c r="DP5" s="344"/>
      <c r="DQ5" s="344"/>
      <c r="DR5" s="344"/>
      <c r="DS5" s="344"/>
      <c r="DT5" s="344"/>
      <c r="DU5" s="344"/>
      <c r="DV5" s="344"/>
      <c r="DW5" s="344"/>
      <c r="DX5" s="344"/>
      <c r="DY5" s="344"/>
      <c r="DZ5" s="344"/>
      <c r="EA5" s="344"/>
      <c r="EB5" s="344"/>
      <c r="EC5" s="344"/>
      <c r="ED5" s="344"/>
      <c r="EE5" s="344"/>
      <c r="EF5" s="344"/>
      <c r="EG5" s="344"/>
      <c r="EH5" s="344"/>
      <c r="EI5" s="344"/>
      <c r="EJ5" s="344"/>
      <c r="EK5" s="344"/>
      <c r="EL5" s="344"/>
      <c r="EM5" s="344"/>
      <c r="EN5" s="344"/>
      <c r="EO5" s="344"/>
      <c r="EP5" s="344"/>
      <c r="EQ5" s="344"/>
      <c r="ER5" s="344"/>
      <c r="ES5" s="344"/>
      <c r="ET5" s="344"/>
      <c r="EU5" s="344"/>
      <c r="EV5" s="344"/>
      <c r="EW5" s="344"/>
      <c r="EX5" s="344"/>
      <c r="EY5" s="344"/>
      <c r="EZ5" s="344"/>
      <c r="FA5" s="344"/>
      <c r="FB5" s="344"/>
      <c r="FC5" s="344"/>
      <c r="FD5" s="344"/>
      <c r="FE5" s="344"/>
      <c r="FF5" s="344"/>
      <c r="FG5" s="344"/>
      <c r="FH5" s="344"/>
      <c r="FI5" s="344"/>
      <c r="FJ5" s="344"/>
      <c r="FK5" s="344"/>
      <c r="FL5" s="344"/>
      <c r="FM5" s="344"/>
      <c r="FN5" s="344"/>
      <c r="FO5" s="344"/>
      <c r="FP5" s="344"/>
      <c r="FQ5" s="344"/>
      <c r="FR5" s="344"/>
      <c r="FS5" s="344"/>
      <c r="FT5" s="344"/>
      <c r="FU5" s="344"/>
      <c r="FV5" s="344"/>
      <c r="FW5" s="344"/>
      <c r="FX5" s="344"/>
      <c r="FY5" s="344"/>
      <c r="FZ5" s="344"/>
      <c r="GA5" s="344"/>
      <c r="GB5" s="344"/>
      <c r="GC5" s="344"/>
      <c r="GD5" s="344"/>
      <c r="GE5" s="344"/>
      <c r="GF5" s="344"/>
      <c r="GG5" s="344"/>
      <c r="GH5" s="344"/>
      <c r="GI5" s="344"/>
      <c r="GJ5" s="344"/>
      <c r="GK5" s="344"/>
      <c r="GL5" s="344"/>
      <c r="GM5" s="344"/>
      <c r="GN5" s="344"/>
      <c r="GO5" s="344"/>
      <c r="GP5" s="344"/>
      <c r="GQ5" s="344"/>
      <c r="GR5" s="344"/>
      <c r="GS5" s="344"/>
      <c r="GT5" s="344"/>
      <c r="GU5" s="344"/>
      <c r="GV5" s="344"/>
      <c r="GW5" s="344"/>
      <c r="GX5" s="344"/>
      <c r="GY5" s="344"/>
      <c r="GZ5" s="344"/>
      <c r="HA5" s="344"/>
      <c r="HB5" s="344"/>
      <c r="HC5" s="344"/>
      <c r="HD5" s="344"/>
      <c r="HE5" s="344"/>
      <c r="HF5" s="344"/>
      <c r="HG5" s="344"/>
      <c r="HH5" s="344"/>
      <c r="HI5" s="344"/>
      <c r="HJ5" s="344"/>
      <c r="HK5" s="344"/>
      <c r="HL5" s="344"/>
      <c r="HM5" s="344"/>
      <c r="HN5" s="344"/>
      <c r="HO5" s="344"/>
      <c r="HP5" s="344"/>
      <c r="HQ5" s="344"/>
      <c r="HR5" s="344"/>
      <c r="HS5" s="344"/>
      <c r="HT5" s="344"/>
      <c r="HU5" s="344"/>
      <c r="HV5" s="344"/>
      <c r="HW5" s="344"/>
      <c r="HX5" s="344"/>
      <c r="HY5" s="344"/>
      <c r="HZ5" s="344"/>
      <c r="IA5" s="344"/>
      <c r="IB5" s="344"/>
      <c r="IC5" s="344"/>
      <c r="ID5" s="344"/>
      <c r="IE5" s="344"/>
      <c r="IF5" s="344"/>
      <c r="IG5" s="344"/>
      <c r="IH5" s="344"/>
      <c r="II5" s="344"/>
      <c r="IJ5" s="344"/>
      <c r="IK5" s="344"/>
      <c r="IL5" s="344"/>
      <c r="IM5" s="344"/>
      <c r="IN5" s="344"/>
      <c r="IO5" s="344"/>
      <c r="IP5" s="344"/>
      <c r="IQ5" s="344"/>
      <c r="IR5" s="344"/>
      <c r="IS5" s="344"/>
      <c r="IT5" s="344"/>
      <c r="IU5" s="344"/>
      <c r="IV5" s="344"/>
      <c r="IW5" s="344"/>
      <c r="IX5" s="344"/>
      <c r="IY5" s="344"/>
      <c r="IZ5" s="344"/>
      <c r="JA5" s="344"/>
      <c r="JB5" s="344"/>
      <c r="JC5" s="344"/>
      <c r="JD5" s="344"/>
      <c r="JE5" s="344"/>
      <c r="JF5" s="344"/>
      <c r="JG5" s="344"/>
      <c r="JH5" s="344"/>
      <c r="JI5" s="344"/>
      <c r="JJ5" s="344"/>
      <c r="JK5" s="344"/>
      <c r="JL5" s="344"/>
      <c r="JM5" s="344"/>
      <c r="JN5" s="344"/>
      <c r="JO5" s="344"/>
      <c r="JP5" s="344"/>
      <c r="JQ5" s="344"/>
      <c r="JR5" s="344"/>
      <c r="JS5" s="344"/>
      <c r="JT5" s="344"/>
      <c r="JU5" s="344"/>
      <c r="JV5" s="344"/>
      <c r="JW5" s="344"/>
      <c r="JX5" s="344"/>
      <c r="JY5" s="344"/>
      <c r="JZ5" s="344"/>
      <c r="KA5" s="344"/>
      <c r="KB5" s="344"/>
      <c r="KC5" s="344"/>
      <c r="KD5" s="344"/>
      <c r="KE5" s="344"/>
      <c r="KF5" s="344"/>
      <c r="KG5" s="344"/>
      <c r="KH5" s="344"/>
      <c r="KI5" s="344"/>
      <c r="KJ5" s="344"/>
      <c r="KK5" s="344"/>
      <c r="KL5" s="344"/>
      <c r="KM5" s="344"/>
      <c r="KN5" s="344"/>
      <c r="KO5" s="344"/>
      <c r="KP5" s="344"/>
      <c r="KQ5" s="344"/>
      <c r="KR5" s="344"/>
      <c r="KS5" s="344"/>
      <c r="KT5" s="344"/>
      <c r="KU5" s="344"/>
      <c r="KV5" s="344"/>
      <c r="KW5" s="344"/>
      <c r="KX5" s="344"/>
      <c r="KY5" s="344"/>
      <c r="KZ5" s="344"/>
      <c r="LA5" s="344"/>
      <c r="LB5" s="344"/>
      <c r="LC5" s="344"/>
      <c r="LD5" s="344"/>
      <c r="LE5" s="344"/>
      <c r="LF5" s="344"/>
      <c r="LG5" s="344"/>
      <c r="LH5" s="344"/>
      <c r="LI5" s="344"/>
      <c r="LJ5" s="344"/>
      <c r="LK5" s="344"/>
      <c r="LL5" s="344"/>
      <c r="LM5" s="344"/>
      <c r="LN5" s="344"/>
      <c r="LO5" s="344"/>
      <c r="LP5" s="344"/>
      <c r="LQ5" s="344"/>
      <c r="LR5" s="344"/>
      <c r="LS5" s="344"/>
      <c r="LT5" s="344"/>
      <c r="LU5" s="344"/>
      <c r="LV5" s="344"/>
      <c r="LW5" s="344"/>
      <c r="LX5" s="344"/>
      <c r="LY5" s="344"/>
      <c r="LZ5" s="344"/>
      <c r="MA5" s="344"/>
      <c r="MB5" s="344"/>
      <c r="MC5" s="344"/>
      <c r="MD5" s="344"/>
      <c r="ME5" s="344"/>
      <c r="MF5" s="344"/>
      <c r="MG5" s="344"/>
      <c r="MH5" s="344"/>
      <c r="MI5" s="344"/>
      <c r="MJ5" s="344"/>
      <c r="MK5" s="344"/>
      <c r="ML5" s="344"/>
      <c r="MM5" s="344"/>
      <c r="MN5" s="344"/>
      <c r="MO5" s="344"/>
      <c r="MP5" s="344"/>
      <c r="MQ5" s="344"/>
      <c r="MR5" s="344"/>
      <c r="MS5" s="344"/>
      <c r="MT5" s="344"/>
      <c r="MU5" s="344"/>
      <c r="MV5" s="344"/>
      <c r="MW5" s="344"/>
      <c r="MX5" s="344"/>
      <c r="MY5" s="344"/>
      <c r="MZ5" s="344"/>
      <c r="NA5" s="344"/>
      <c r="NB5" s="344"/>
      <c r="NC5" s="344"/>
      <c r="ND5" s="344"/>
      <c r="NE5" s="344"/>
      <c r="NF5" s="344"/>
      <c r="NG5" s="344"/>
      <c r="NH5" s="344"/>
      <c r="NI5" s="344"/>
      <c r="NJ5" s="344"/>
      <c r="NK5" s="344"/>
      <c r="NL5" s="344"/>
      <c r="NM5" s="344"/>
      <c r="NN5" s="344"/>
      <c r="NO5" s="344"/>
      <c r="NP5" s="344"/>
      <c r="NQ5" s="344"/>
      <c r="NR5" s="344"/>
      <c r="NS5" s="344"/>
      <c r="NT5" s="344"/>
      <c r="NU5" s="344"/>
      <c r="NV5" s="344"/>
      <c r="NW5" s="344"/>
      <c r="NX5" s="344"/>
      <c r="NY5" s="344"/>
      <c r="NZ5" s="344"/>
      <c r="OA5" s="344"/>
      <c r="OB5" s="344"/>
      <c r="OC5" s="344"/>
      <c r="OD5" s="344"/>
      <c r="OE5" s="344"/>
      <c r="OF5" s="344"/>
      <c r="OG5" s="344"/>
      <c r="OH5" s="344"/>
      <c r="OI5" s="344"/>
      <c r="OJ5" s="344"/>
      <c r="OK5" s="344"/>
      <c r="OL5" s="344"/>
      <c r="OM5" s="344"/>
      <c r="ON5" s="344"/>
      <c r="OO5" s="344"/>
      <c r="OP5" s="344"/>
      <c r="OQ5" s="344"/>
      <c r="OR5" s="344"/>
      <c r="OS5" s="344"/>
      <c r="OT5" s="344"/>
      <c r="OU5" s="344"/>
      <c r="OV5" s="344"/>
      <c r="OW5" s="344"/>
      <c r="OX5" s="344"/>
      <c r="OY5" s="344"/>
      <c r="OZ5" s="344"/>
      <c r="PA5" s="344"/>
      <c r="PB5" s="344"/>
      <c r="PC5" s="344"/>
      <c r="PD5" s="344"/>
      <c r="PE5" s="344"/>
      <c r="PF5" s="344"/>
      <c r="PG5" s="344"/>
      <c r="PH5" s="344"/>
      <c r="PI5" s="344"/>
      <c r="PJ5" s="344"/>
      <c r="PK5" s="344"/>
      <c r="PL5" s="344"/>
      <c r="PM5" s="344"/>
      <c r="PN5" s="344"/>
      <c r="PO5" s="344"/>
      <c r="PP5" s="344"/>
      <c r="PQ5" s="344"/>
      <c r="PR5" s="344"/>
      <c r="PS5" s="344"/>
      <c r="PT5" s="344"/>
      <c r="PU5" s="344"/>
      <c r="PV5" s="344"/>
      <c r="PW5" s="344"/>
      <c r="PX5" s="344"/>
      <c r="PY5" s="344"/>
      <c r="PZ5" s="344"/>
      <c r="QA5" s="344"/>
      <c r="QB5" s="344"/>
      <c r="QC5" s="344"/>
      <c r="QD5" s="344"/>
      <c r="QE5" s="344"/>
      <c r="QF5" s="344"/>
      <c r="QG5" s="344"/>
      <c r="QH5" s="344"/>
      <c r="QI5" s="344"/>
      <c r="QJ5" s="344"/>
      <c r="QK5" s="344"/>
      <c r="QL5" s="344"/>
      <c r="QM5" s="344"/>
      <c r="QN5" s="344"/>
      <c r="QO5" s="344"/>
      <c r="QP5" s="344"/>
      <c r="QQ5" s="344"/>
      <c r="QR5" s="344"/>
      <c r="QS5" s="344"/>
      <c r="QT5" s="344"/>
      <c r="QU5" s="344"/>
      <c r="QV5" s="344"/>
      <c r="QW5" s="344"/>
      <c r="QX5" s="344"/>
      <c r="QY5" s="344"/>
      <c r="QZ5" s="344"/>
      <c r="RA5" s="344"/>
      <c r="RB5" s="344"/>
      <c r="RC5" s="344"/>
      <c r="RD5" s="344"/>
      <c r="RE5" s="344"/>
      <c r="RF5" s="344"/>
      <c r="RG5" s="344"/>
      <c r="RH5" s="344"/>
      <c r="RI5" s="344"/>
      <c r="RJ5" s="344"/>
      <c r="RK5" s="344"/>
      <c r="RL5" s="344"/>
      <c r="RM5" s="344"/>
      <c r="RN5" s="344"/>
      <c r="RO5" s="344"/>
      <c r="RP5" s="344"/>
      <c r="RQ5" s="344"/>
      <c r="RR5" s="344"/>
      <c r="RS5" s="344"/>
      <c r="RT5" s="344"/>
      <c r="RU5" s="344"/>
      <c r="RV5" s="344"/>
      <c r="RW5" s="344"/>
      <c r="RX5" s="344"/>
      <c r="RY5" s="344"/>
      <c r="RZ5" s="344"/>
      <c r="SA5" s="344"/>
      <c r="SB5" s="344"/>
      <c r="SC5" s="344"/>
      <c r="SD5" s="344"/>
      <c r="SE5" s="344"/>
      <c r="SF5" s="344"/>
      <c r="SG5" s="344"/>
      <c r="SH5" s="344"/>
      <c r="SI5" s="344"/>
      <c r="SJ5" s="344"/>
      <c r="SK5" s="344"/>
      <c r="SL5" s="344"/>
      <c r="SM5" s="344"/>
      <c r="SN5" s="344"/>
      <c r="SO5" s="344"/>
      <c r="SP5" s="344"/>
      <c r="SQ5" s="344"/>
      <c r="SR5" s="344"/>
      <c r="SS5" s="344"/>
      <c r="ST5" s="344"/>
      <c r="SU5" s="344"/>
      <c r="SV5" s="344"/>
      <c r="SW5" s="344"/>
      <c r="SX5" s="344"/>
      <c r="SY5" s="344"/>
      <c r="SZ5" s="344"/>
      <c r="TA5" s="344"/>
      <c r="TB5" s="344"/>
      <c r="TC5" s="344"/>
      <c r="TD5" s="344"/>
      <c r="TE5" s="344"/>
      <c r="TF5" s="344"/>
      <c r="TG5" s="344"/>
      <c r="TH5" s="344"/>
      <c r="TI5" s="344"/>
      <c r="TJ5" s="344"/>
      <c r="TK5" s="344"/>
      <c r="TL5" s="344"/>
      <c r="TM5" s="344"/>
      <c r="TN5" s="344"/>
      <c r="TO5" s="344"/>
      <c r="TP5" s="344"/>
      <c r="TQ5" s="344"/>
      <c r="TR5" s="344"/>
      <c r="TS5" s="344"/>
      <c r="TT5" s="344"/>
      <c r="TU5" s="344"/>
      <c r="TV5" s="344"/>
      <c r="TW5" s="344"/>
      <c r="TX5" s="344"/>
      <c r="TY5" s="344"/>
      <c r="TZ5" s="344"/>
      <c r="UA5" s="344"/>
      <c r="UB5" s="344"/>
      <c r="UC5" s="344"/>
      <c r="UD5" s="344"/>
      <c r="UE5" s="344"/>
      <c r="UF5" s="344"/>
      <c r="UG5" s="344"/>
      <c r="UH5" s="344"/>
      <c r="UI5" s="344"/>
      <c r="UJ5" s="344"/>
      <c r="UK5" s="344"/>
      <c r="UL5" s="344"/>
      <c r="UM5" s="344"/>
      <c r="UN5" s="344"/>
      <c r="UO5" s="344"/>
      <c r="UP5" s="344"/>
      <c r="UQ5" s="344"/>
      <c r="UR5" s="344"/>
      <c r="US5" s="344"/>
      <c r="UT5" s="344"/>
      <c r="UU5" s="344"/>
      <c r="UV5" s="344"/>
      <c r="UW5" s="344"/>
      <c r="UX5" s="344"/>
      <c r="UY5" s="344"/>
      <c r="UZ5" s="344"/>
      <c r="VA5" s="344"/>
      <c r="VB5" s="344"/>
      <c r="VC5" s="344"/>
      <c r="VD5" s="344"/>
      <c r="VE5" s="344"/>
      <c r="VF5" s="344"/>
      <c r="VG5" s="344"/>
      <c r="VH5" s="344"/>
      <c r="VI5" s="344"/>
      <c r="VJ5" s="344"/>
      <c r="VK5" s="344"/>
      <c r="VL5" s="344"/>
      <c r="VM5" s="344"/>
      <c r="VN5" s="344"/>
      <c r="VO5" s="344"/>
      <c r="VP5" s="344"/>
      <c r="VQ5" s="344"/>
      <c r="VR5" s="344"/>
      <c r="VS5" s="344"/>
      <c r="VT5" s="344"/>
      <c r="VU5" s="344"/>
      <c r="VV5" s="344"/>
      <c r="VW5" s="344"/>
      <c r="VX5" s="344"/>
      <c r="VY5" s="344"/>
      <c r="VZ5" s="344"/>
      <c r="WA5" s="344"/>
      <c r="WB5" s="344"/>
      <c r="WC5" s="344"/>
      <c r="WD5" s="344"/>
      <c r="WE5" s="344"/>
      <c r="WF5" s="344"/>
      <c r="WG5" s="344"/>
      <c r="WH5" s="344"/>
      <c r="WI5" s="344"/>
      <c r="WJ5" s="344"/>
      <c r="WK5" s="344"/>
      <c r="WL5" s="344"/>
      <c r="WM5" s="344"/>
      <c r="WN5" s="344"/>
      <c r="WO5" s="344"/>
      <c r="WP5" s="344"/>
      <c r="WQ5" s="344"/>
      <c r="WR5" s="344"/>
      <c r="WS5" s="344"/>
      <c r="WT5" s="344"/>
      <c r="WU5" s="344"/>
      <c r="WV5" s="344"/>
      <c r="WW5" s="344"/>
      <c r="WX5" s="344"/>
      <c r="WY5" s="344"/>
      <c r="WZ5" s="344"/>
      <c r="XA5" s="344"/>
      <c r="XB5" s="344"/>
      <c r="XC5" s="344"/>
      <c r="XD5" s="344"/>
      <c r="XE5" s="344"/>
      <c r="XF5" s="344"/>
      <c r="XG5" s="344"/>
      <c r="XH5" s="344"/>
      <c r="XI5" s="344"/>
      <c r="XJ5" s="344"/>
      <c r="XK5" s="344"/>
      <c r="XL5" s="344"/>
      <c r="XM5" s="344"/>
      <c r="XN5" s="344"/>
      <c r="XO5" s="344"/>
      <c r="XP5" s="344"/>
      <c r="XQ5" s="344"/>
      <c r="XR5" s="344"/>
      <c r="XS5" s="344"/>
      <c r="XT5" s="344"/>
      <c r="XU5" s="344"/>
      <c r="XV5" s="344"/>
      <c r="XW5" s="344"/>
      <c r="XX5" s="344"/>
      <c r="XY5" s="344"/>
      <c r="XZ5" s="344"/>
      <c r="YA5" s="344"/>
      <c r="YB5" s="344"/>
      <c r="YC5" s="344"/>
      <c r="YD5" s="344"/>
      <c r="YE5" s="344"/>
      <c r="YF5" s="344"/>
      <c r="YG5" s="344"/>
      <c r="YH5" s="344"/>
      <c r="YI5" s="344"/>
      <c r="YJ5" s="344"/>
      <c r="YK5" s="344"/>
      <c r="YL5" s="344"/>
      <c r="YM5" s="344"/>
      <c r="YN5" s="344"/>
      <c r="YO5" s="344"/>
      <c r="YP5" s="344"/>
      <c r="YQ5" s="344"/>
      <c r="YR5" s="344"/>
      <c r="YS5" s="344"/>
      <c r="YT5" s="344"/>
      <c r="YU5" s="344"/>
      <c r="YV5" s="344"/>
      <c r="YW5" s="344"/>
      <c r="YX5" s="344"/>
      <c r="YY5" s="344"/>
      <c r="YZ5" s="344"/>
      <c r="ZA5" s="344"/>
      <c r="ZB5" s="344"/>
      <c r="ZC5" s="344"/>
      <c r="ZD5" s="344"/>
      <c r="ZE5" s="344"/>
      <c r="ZF5" s="344"/>
      <c r="ZG5" s="344"/>
      <c r="ZH5" s="344"/>
      <c r="ZI5" s="344"/>
      <c r="ZJ5" s="344"/>
      <c r="ZK5" s="344"/>
      <c r="ZL5" s="344"/>
      <c r="ZM5" s="344"/>
      <c r="ZN5" s="344"/>
      <c r="ZO5" s="344"/>
      <c r="ZP5" s="344"/>
      <c r="ZQ5" s="344"/>
      <c r="ZR5" s="344"/>
      <c r="ZS5" s="344"/>
      <c r="ZT5" s="344"/>
      <c r="ZU5" s="344"/>
      <c r="ZV5" s="344"/>
      <c r="ZW5" s="344"/>
      <c r="ZX5" s="344"/>
      <c r="ZY5" s="344"/>
      <c r="ZZ5" s="344"/>
      <c r="AAA5" s="344"/>
      <c r="AAB5" s="344"/>
      <c r="AAC5" s="344"/>
      <c r="AAD5" s="344"/>
      <c r="AAE5" s="344"/>
      <c r="AAF5" s="344"/>
      <c r="AAG5" s="344"/>
      <c r="AAH5" s="344"/>
      <c r="AAI5" s="344"/>
      <c r="AAJ5" s="344"/>
      <c r="AAK5" s="344"/>
      <c r="AAL5" s="344"/>
      <c r="AAM5" s="344"/>
      <c r="AAN5" s="344"/>
      <c r="AAO5" s="344"/>
      <c r="AAP5" s="344"/>
      <c r="AAQ5" s="344"/>
      <c r="AAR5" s="344"/>
      <c r="AAS5" s="344"/>
      <c r="AAT5" s="344"/>
      <c r="AAU5" s="344"/>
      <c r="AAV5" s="344"/>
      <c r="AAW5" s="344"/>
      <c r="AAX5" s="344"/>
      <c r="AAY5" s="344"/>
      <c r="AAZ5" s="344"/>
      <c r="ABA5" s="344"/>
      <c r="ABB5" s="344"/>
      <c r="ABC5" s="344"/>
      <c r="ABD5" s="344"/>
      <c r="ABE5" s="344"/>
      <c r="ABF5" s="344"/>
      <c r="ABG5" s="344"/>
      <c r="ABH5" s="344"/>
      <c r="ABI5" s="344"/>
      <c r="ABJ5" s="344"/>
      <c r="ABK5" s="344"/>
      <c r="ABL5" s="344"/>
      <c r="ABM5" s="344"/>
      <c r="ABN5" s="344"/>
      <c r="ABO5" s="344"/>
      <c r="ABP5" s="344"/>
      <c r="ABQ5" s="344"/>
      <c r="ABR5" s="344"/>
      <c r="ABS5" s="344"/>
      <c r="ABT5" s="344"/>
      <c r="ABU5" s="344"/>
      <c r="ABV5" s="344"/>
      <c r="ABW5" s="344"/>
      <c r="ABX5" s="344"/>
      <c r="ABY5" s="344"/>
      <c r="ABZ5" s="344"/>
      <c r="ACA5" s="344"/>
      <c r="ACB5" s="344"/>
      <c r="ACC5" s="344"/>
      <c r="ACD5" s="344"/>
      <c r="ACE5" s="344"/>
      <c r="ACF5" s="344"/>
      <c r="ACG5" s="344"/>
      <c r="ACH5" s="344"/>
      <c r="ACI5" s="344"/>
      <c r="ACJ5" s="344"/>
      <c r="ACK5" s="344"/>
      <c r="ACL5" s="344"/>
      <c r="ACM5" s="344"/>
      <c r="ACN5" s="344"/>
      <c r="ACO5" s="344"/>
      <c r="ACP5" s="344"/>
      <c r="ACQ5" s="344"/>
      <c r="ACR5" s="344"/>
      <c r="ACS5" s="344"/>
      <c r="ACT5" s="344"/>
      <c r="ACU5" s="344"/>
      <c r="ACV5" s="344"/>
      <c r="ACW5" s="344"/>
      <c r="ACX5" s="344"/>
      <c r="ACY5" s="344"/>
      <c r="ACZ5" s="344"/>
      <c r="ADA5" s="344"/>
      <c r="ADB5" s="344"/>
      <c r="ADC5" s="344"/>
      <c r="ADD5" s="344"/>
      <c r="ADE5" s="344"/>
      <c r="ADF5" s="344"/>
      <c r="ADG5" s="344"/>
      <c r="ADH5" s="344"/>
      <c r="ADI5" s="344"/>
      <c r="ADJ5" s="344"/>
      <c r="ADK5" s="344"/>
      <c r="ADL5" s="344"/>
      <c r="ADM5" s="344"/>
      <c r="ADN5" s="344"/>
      <c r="ADO5" s="344"/>
      <c r="ADP5" s="344"/>
      <c r="ADQ5" s="344"/>
      <c r="ADR5" s="344"/>
      <c r="ADS5" s="344"/>
      <c r="ADT5" s="344"/>
      <c r="ADU5" s="344"/>
      <c r="ADV5" s="344"/>
      <c r="ADW5" s="344"/>
      <c r="ADX5" s="344"/>
      <c r="ADY5" s="344"/>
      <c r="ADZ5" s="344"/>
      <c r="AEA5" s="344"/>
      <c r="AEB5" s="344"/>
      <c r="AEC5" s="344"/>
      <c r="AED5" s="344"/>
      <c r="AEE5" s="344"/>
      <c r="AEF5" s="344"/>
      <c r="AEG5" s="344"/>
      <c r="AEH5" s="344"/>
      <c r="AEI5" s="344"/>
      <c r="AEJ5" s="344"/>
      <c r="AEK5" s="344"/>
      <c r="AEL5" s="344"/>
      <c r="AEM5" s="344"/>
      <c r="AEN5" s="344"/>
      <c r="AEO5" s="344"/>
      <c r="AEP5" s="344"/>
      <c r="AEQ5" s="344"/>
      <c r="AER5" s="344"/>
      <c r="AES5" s="344"/>
      <c r="AET5" s="344"/>
      <c r="AEU5" s="344"/>
      <c r="AEV5" s="344"/>
      <c r="AEW5" s="344"/>
      <c r="AEX5" s="344"/>
      <c r="AEY5" s="344"/>
      <c r="AEZ5" s="344"/>
      <c r="AFA5" s="344"/>
      <c r="AFB5" s="344"/>
      <c r="AFC5" s="344"/>
      <c r="AFD5" s="344"/>
      <c r="AFE5" s="344"/>
      <c r="AFF5" s="344"/>
      <c r="AFG5" s="344"/>
      <c r="AFH5" s="344"/>
      <c r="AFI5" s="344"/>
      <c r="AFJ5" s="344"/>
      <c r="AFK5" s="344"/>
      <c r="AFL5" s="344"/>
      <c r="AFM5" s="344"/>
      <c r="AFN5" s="344"/>
      <c r="AFO5" s="344"/>
      <c r="AFP5" s="344"/>
      <c r="AFQ5" s="344"/>
      <c r="AFR5" s="344"/>
      <c r="AFS5" s="344"/>
      <c r="AFT5" s="344"/>
      <c r="AFU5" s="344"/>
      <c r="AFV5" s="344"/>
      <c r="AFW5" s="344"/>
      <c r="AFX5" s="344"/>
      <c r="AFY5" s="344"/>
      <c r="AFZ5" s="344"/>
      <c r="AGA5" s="344"/>
      <c r="AGB5" s="344"/>
      <c r="AGC5" s="344"/>
      <c r="AGD5" s="344"/>
      <c r="AGE5" s="344"/>
      <c r="AGF5" s="344"/>
      <c r="AGG5" s="344"/>
      <c r="AGH5" s="344"/>
      <c r="AGI5" s="344"/>
      <c r="AGJ5" s="344"/>
      <c r="AGK5" s="344"/>
      <c r="AGL5" s="344"/>
      <c r="AGM5" s="344"/>
      <c r="AGN5" s="344"/>
      <c r="AGO5" s="344"/>
      <c r="AGP5" s="344"/>
      <c r="AGQ5" s="344"/>
      <c r="AGR5" s="344"/>
      <c r="AGS5" s="344"/>
      <c r="AGT5" s="344"/>
      <c r="AGU5" s="344"/>
      <c r="AGV5" s="344"/>
      <c r="AGW5" s="344"/>
      <c r="AGX5" s="344"/>
      <c r="AGY5" s="344"/>
      <c r="AGZ5" s="344"/>
      <c r="AHA5" s="344"/>
      <c r="AHB5" s="344"/>
      <c r="AHC5" s="344"/>
      <c r="AHD5" s="344"/>
      <c r="AHE5" s="344"/>
      <c r="AHF5" s="344"/>
      <c r="AHG5" s="344"/>
      <c r="AHH5" s="344"/>
      <c r="AHI5" s="344"/>
      <c r="AHJ5" s="344"/>
      <c r="AHK5" s="344"/>
      <c r="AHL5" s="344"/>
      <c r="AHM5" s="344"/>
      <c r="AHN5" s="344"/>
      <c r="AHO5" s="344"/>
      <c r="AHP5" s="344"/>
      <c r="AHQ5" s="344"/>
      <c r="AHR5" s="344"/>
      <c r="AHS5" s="344"/>
      <c r="AHT5" s="344"/>
      <c r="AHU5" s="344"/>
      <c r="AHV5" s="344"/>
      <c r="AHW5" s="344"/>
      <c r="AHX5" s="344"/>
      <c r="AHY5" s="344"/>
      <c r="AHZ5" s="344"/>
      <c r="AIA5" s="344"/>
      <c r="AIB5" s="344"/>
      <c r="AIC5" s="344"/>
      <c r="AID5" s="344"/>
      <c r="AIE5" s="344"/>
      <c r="AIF5" s="344"/>
      <c r="AIG5" s="344"/>
      <c r="AIH5" s="344"/>
      <c r="AII5" s="344"/>
      <c r="AIJ5" s="344"/>
      <c r="AIK5" s="344"/>
      <c r="AIL5" s="344"/>
      <c r="AIM5" s="344"/>
      <c r="AIN5" s="344"/>
      <c r="AIO5" s="344"/>
      <c r="AIP5" s="344"/>
      <c r="AIQ5" s="344"/>
      <c r="AIR5" s="344"/>
      <c r="AIS5" s="344"/>
      <c r="AIT5" s="344"/>
      <c r="AIU5" s="344"/>
      <c r="AIV5" s="344"/>
      <c r="AIW5" s="344"/>
      <c r="AIX5" s="344"/>
      <c r="AIY5" s="344"/>
      <c r="AIZ5" s="344"/>
      <c r="AJA5" s="344"/>
      <c r="AJB5" s="344"/>
      <c r="AJC5" s="344"/>
      <c r="AJD5" s="344"/>
      <c r="AJE5" s="344"/>
      <c r="AJF5" s="344"/>
      <c r="AJG5" s="344"/>
      <c r="AJH5" s="344"/>
      <c r="AJI5" s="344"/>
      <c r="AJJ5" s="344"/>
      <c r="AJK5" s="344"/>
      <c r="AJL5" s="344"/>
      <c r="AJM5" s="344"/>
      <c r="AJN5" s="344"/>
      <c r="AJO5" s="344"/>
      <c r="AJP5" s="344"/>
      <c r="AJQ5" s="344"/>
      <c r="AJR5" s="344"/>
      <c r="AJS5" s="344"/>
      <c r="AJT5" s="344"/>
      <c r="AJU5" s="344"/>
      <c r="AJV5" s="344"/>
      <c r="AJW5" s="344"/>
      <c r="AJX5" s="344"/>
      <c r="AJY5" s="344"/>
      <c r="AJZ5" s="344"/>
      <c r="AKA5" s="344"/>
      <c r="AKB5" s="344"/>
      <c r="AKC5" s="344"/>
      <c r="AKD5" s="344"/>
      <c r="AKE5" s="344"/>
      <c r="AKF5" s="344"/>
      <c r="AKG5" s="344"/>
      <c r="AKH5" s="344"/>
      <c r="AKI5" s="344"/>
      <c r="AKJ5" s="344"/>
      <c r="AKK5" s="344"/>
      <c r="AKL5" s="344"/>
      <c r="AKM5" s="344"/>
      <c r="AKN5" s="344"/>
      <c r="AKO5" s="344"/>
      <c r="AKP5" s="344"/>
      <c r="AKQ5" s="344"/>
      <c r="AKR5" s="344"/>
      <c r="AKS5" s="344"/>
      <c r="AKT5" s="344"/>
      <c r="AKU5" s="344"/>
      <c r="AKV5" s="344"/>
      <c r="AKW5" s="344"/>
      <c r="AKX5" s="344"/>
      <c r="AKY5" s="344"/>
      <c r="AKZ5" s="344"/>
      <c r="ALA5" s="344"/>
      <c r="ALB5" s="344"/>
      <c r="ALC5" s="344"/>
      <c r="ALD5" s="344"/>
      <c r="ALE5" s="344"/>
      <c r="ALF5" s="344"/>
      <c r="ALG5" s="344"/>
      <c r="ALH5" s="344"/>
      <c r="ALI5" s="344"/>
      <c r="ALJ5" s="344"/>
      <c r="ALK5" s="344"/>
      <c r="ALL5" s="344"/>
      <c r="ALM5" s="344"/>
      <c r="ALN5" s="344"/>
      <c r="ALO5" s="344"/>
      <c r="ALP5" s="344"/>
      <c r="ALQ5" s="344"/>
      <c r="ALR5" s="344"/>
      <c r="ALS5" s="344"/>
      <c r="ALT5" s="344"/>
      <c r="ALU5" s="344"/>
      <c r="ALV5" s="344"/>
      <c r="ALW5" s="344"/>
      <c r="ALX5" s="344"/>
      <c r="ALY5" s="344"/>
      <c r="ALZ5" s="344"/>
      <c r="AMA5" s="344"/>
      <c r="AMB5" s="344"/>
      <c r="AMC5" s="344"/>
      <c r="AMD5" s="344"/>
      <c r="AME5" s="344"/>
      <c r="AMF5" s="344"/>
      <c r="AMG5" s="344"/>
      <c r="AMH5" s="344"/>
      <c r="AMI5" s="344"/>
      <c r="AMJ5" s="344"/>
      <c r="AMK5" s="344"/>
      <c r="AML5" s="344"/>
      <c r="AMM5" s="344"/>
      <c r="AMN5" s="344"/>
      <c r="AMO5" s="344"/>
      <c r="AMP5" s="344"/>
      <c r="AMQ5" s="344"/>
      <c r="AMR5" s="344"/>
      <c r="AMS5" s="344"/>
      <c r="AMT5" s="344"/>
      <c r="AMU5" s="344"/>
      <c r="AMV5" s="344"/>
      <c r="AMW5" s="344"/>
      <c r="AMX5" s="344"/>
      <c r="AMY5" s="344"/>
      <c r="AMZ5" s="344"/>
      <c r="ANA5" s="344"/>
      <c r="ANB5" s="344"/>
      <c r="ANC5" s="344"/>
      <c r="AND5" s="344"/>
      <c r="ANE5" s="344"/>
      <c r="ANF5" s="344"/>
      <c r="ANG5" s="344"/>
      <c r="ANH5" s="344"/>
      <c r="ANI5" s="344"/>
      <c r="ANJ5" s="344"/>
      <c r="ANK5" s="344"/>
      <c r="ANL5" s="344"/>
      <c r="ANM5" s="344"/>
      <c r="ANN5" s="344"/>
      <c r="ANO5" s="344"/>
      <c r="ANP5" s="344"/>
      <c r="ANQ5" s="344"/>
      <c r="ANR5" s="344"/>
      <c r="ANS5" s="344"/>
      <c r="ANT5" s="344"/>
      <c r="ANU5" s="344"/>
      <c r="ANV5" s="344"/>
      <c r="ANW5" s="344"/>
      <c r="ANX5" s="344"/>
      <c r="ANY5" s="344"/>
      <c r="ANZ5" s="344"/>
      <c r="AOA5" s="344"/>
      <c r="AOB5" s="344"/>
      <c r="AOC5" s="344"/>
      <c r="AOD5" s="344"/>
      <c r="AOE5" s="344"/>
      <c r="AOF5" s="344"/>
      <c r="AOG5" s="344"/>
      <c r="AOH5" s="344"/>
      <c r="AOI5" s="344"/>
      <c r="AOJ5" s="344"/>
      <c r="AOK5" s="344"/>
      <c r="AOL5" s="344"/>
      <c r="AOM5" s="344"/>
      <c r="AON5" s="344"/>
      <c r="AOO5" s="344"/>
      <c r="AOP5" s="344"/>
      <c r="AOQ5" s="344"/>
      <c r="AOR5" s="344"/>
      <c r="AOS5" s="344"/>
      <c r="AOT5" s="344"/>
      <c r="AOU5" s="344"/>
      <c r="AOV5" s="344"/>
      <c r="AOW5" s="344"/>
      <c r="AOX5" s="344"/>
      <c r="AOY5" s="344"/>
      <c r="AOZ5" s="344"/>
      <c r="APA5" s="344"/>
      <c r="APB5" s="344"/>
      <c r="APC5" s="344"/>
      <c r="APD5" s="344"/>
      <c r="APE5" s="344"/>
      <c r="APF5" s="344"/>
      <c r="APG5" s="344"/>
      <c r="APH5" s="344"/>
      <c r="API5" s="344"/>
      <c r="APJ5" s="344"/>
      <c r="APK5" s="344"/>
      <c r="APL5" s="344"/>
      <c r="APM5" s="344"/>
      <c r="APN5" s="344"/>
      <c r="APO5" s="344"/>
      <c r="APP5" s="344"/>
      <c r="APQ5" s="344"/>
      <c r="APR5" s="344"/>
      <c r="APS5" s="344"/>
      <c r="APT5" s="344"/>
      <c r="APU5" s="344"/>
      <c r="APV5" s="344"/>
      <c r="APW5" s="344"/>
      <c r="APX5" s="344"/>
      <c r="APY5" s="344"/>
      <c r="APZ5" s="344"/>
      <c r="AQA5" s="344"/>
      <c r="AQB5" s="344"/>
      <c r="AQC5" s="344"/>
      <c r="AQD5" s="344"/>
      <c r="AQE5" s="344"/>
      <c r="AQF5" s="344"/>
      <c r="AQG5" s="344"/>
      <c r="AQH5" s="344"/>
      <c r="AQI5" s="344"/>
      <c r="AQJ5" s="344"/>
      <c r="AQK5" s="344"/>
      <c r="AQL5" s="344"/>
      <c r="AQM5" s="344"/>
      <c r="AQN5" s="344"/>
      <c r="AQO5" s="344"/>
      <c r="AQP5" s="344"/>
      <c r="AQQ5" s="344"/>
      <c r="AQR5" s="344"/>
      <c r="AQS5" s="344"/>
      <c r="AQT5" s="344"/>
      <c r="AQU5" s="344"/>
      <c r="AQV5" s="344"/>
      <c r="AQW5" s="344"/>
      <c r="AQX5" s="344"/>
      <c r="AQY5" s="344"/>
      <c r="AQZ5" s="344"/>
      <c r="ARA5" s="344"/>
      <c r="ARB5" s="344"/>
      <c r="ARC5" s="344"/>
      <c r="ARD5" s="344"/>
      <c r="ARE5" s="344"/>
      <c r="ARF5" s="344"/>
      <c r="ARG5" s="344"/>
      <c r="ARH5" s="344"/>
      <c r="ARI5" s="344"/>
      <c r="ARJ5" s="344"/>
      <c r="ARK5" s="344"/>
      <c r="ARL5" s="344"/>
      <c r="ARM5" s="344"/>
      <c r="ARN5" s="344"/>
      <c r="ARO5" s="344"/>
      <c r="ARP5" s="344"/>
      <c r="ARQ5" s="344"/>
      <c r="ARR5" s="344"/>
      <c r="ARS5" s="344"/>
      <c r="ART5" s="344"/>
      <c r="ARU5" s="344"/>
      <c r="ARV5" s="344"/>
      <c r="ARW5" s="344"/>
      <c r="ARX5" s="344"/>
      <c r="ARY5" s="344"/>
      <c r="ARZ5" s="344"/>
      <c r="ASA5" s="344"/>
      <c r="ASB5" s="344"/>
      <c r="ASC5" s="344"/>
      <c r="ASD5" s="344"/>
      <c r="ASE5" s="344"/>
      <c r="ASF5" s="344"/>
      <c r="ASG5" s="344"/>
      <c r="ASH5" s="344"/>
      <c r="ASI5" s="344"/>
      <c r="ASJ5" s="344"/>
      <c r="ASK5" s="344"/>
      <c r="ASL5" s="344"/>
      <c r="ASM5" s="344"/>
      <c r="ASN5" s="344"/>
      <c r="ASO5" s="344"/>
      <c r="ASP5" s="344"/>
      <c r="ASQ5" s="344"/>
      <c r="ASR5" s="344"/>
      <c r="ASS5" s="344"/>
      <c r="AST5" s="344"/>
      <c r="ASU5" s="344"/>
      <c r="ASV5" s="344"/>
      <c r="ASW5" s="344"/>
      <c r="ASX5" s="344"/>
      <c r="ASY5" s="344"/>
      <c r="ASZ5" s="344"/>
      <c r="ATA5" s="344"/>
      <c r="ATB5" s="344"/>
      <c r="ATC5" s="344"/>
      <c r="ATD5" s="344"/>
      <c r="ATE5" s="344"/>
      <c r="ATF5" s="344"/>
      <c r="ATG5" s="344"/>
      <c r="ATH5" s="344"/>
      <c r="ATI5" s="344"/>
      <c r="ATJ5" s="344"/>
      <c r="ATK5" s="344"/>
      <c r="ATL5" s="344"/>
      <c r="ATM5" s="344"/>
      <c r="ATN5" s="344"/>
      <c r="ATO5" s="344"/>
      <c r="ATP5" s="344"/>
      <c r="ATQ5" s="344"/>
      <c r="ATR5" s="344"/>
      <c r="ATS5" s="344"/>
      <c r="ATT5" s="344"/>
      <c r="ATU5" s="344"/>
      <c r="ATV5" s="344"/>
      <c r="ATW5" s="344"/>
      <c r="ATX5" s="344"/>
      <c r="ATY5" s="344"/>
      <c r="ATZ5" s="344"/>
      <c r="AUA5" s="344"/>
      <c r="AUB5" s="344"/>
      <c r="AUC5" s="344"/>
      <c r="AUD5" s="344"/>
      <c r="AUE5" s="344"/>
      <c r="AUF5" s="344"/>
      <c r="AUG5" s="344"/>
      <c r="AUH5" s="344"/>
      <c r="AUI5" s="344"/>
      <c r="AUJ5" s="344"/>
      <c r="AUK5" s="344"/>
      <c r="AUL5" s="344"/>
      <c r="AUM5" s="344"/>
      <c r="AUN5" s="344"/>
      <c r="AUO5" s="344"/>
      <c r="AUP5" s="344"/>
      <c r="AUQ5" s="344"/>
      <c r="AUR5" s="344"/>
      <c r="AUS5" s="344"/>
      <c r="AUT5" s="344"/>
      <c r="AUU5" s="344"/>
      <c r="AUV5" s="344"/>
      <c r="AUW5" s="344"/>
      <c r="AUX5" s="344"/>
      <c r="AUY5" s="344"/>
      <c r="AUZ5" s="344"/>
      <c r="AVA5" s="344"/>
      <c r="AVB5" s="344"/>
      <c r="AVC5" s="344"/>
      <c r="AVD5" s="344"/>
      <c r="AVE5" s="344"/>
      <c r="AVF5" s="344"/>
      <c r="AVG5" s="344"/>
      <c r="AVH5" s="344"/>
      <c r="AVI5" s="344"/>
      <c r="AVJ5" s="344"/>
      <c r="AVK5" s="344"/>
      <c r="AVL5" s="344"/>
      <c r="AVM5" s="344"/>
      <c r="AVN5" s="344"/>
      <c r="AVO5" s="344"/>
      <c r="AVP5" s="344"/>
      <c r="AVQ5" s="344"/>
      <c r="AVR5" s="344"/>
      <c r="AVS5" s="344"/>
      <c r="AVT5" s="344"/>
      <c r="AVU5" s="344"/>
      <c r="AVV5" s="344"/>
      <c r="AVW5" s="344"/>
      <c r="AVX5" s="344"/>
      <c r="AVY5" s="344"/>
      <c r="AVZ5" s="344"/>
      <c r="AWA5" s="344"/>
      <c r="AWB5" s="344"/>
      <c r="AWC5" s="344"/>
      <c r="AWD5" s="344"/>
      <c r="AWE5" s="344"/>
      <c r="AWF5" s="344"/>
      <c r="AWG5" s="344"/>
      <c r="AWH5" s="344"/>
      <c r="AWI5" s="344"/>
      <c r="AWJ5" s="344"/>
      <c r="AWK5" s="344"/>
      <c r="AWL5" s="344"/>
      <c r="AWM5" s="344"/>
      <c r="AWN5" s="344"/>
      <c r="AWO5" s="344"/>
      <c r="AWP5" s="344"/>
      <c r="AWQ5" s="344"/>
      <c r="AWR5" s="344"/>
      <c r="AWS5" s="344"/>
      <c r="AWT5" s="344"/>
      <c r="AWU5" s="344"/>
      <c r="AWV5" s="344"/>
      <c r="AWW5" s="344"/>
      <c r="AWX5" s="344"/>
      <c r="AWY5" s="344"/>
      <c r="AWZ5" s="344"/>
      <c r="AXA5" s="344"/>
      <c r="AXB5" s="344"/>
      <c r="AXC5" s="344"/>
      <c r="AXD5" s="344"/>
      <c r="AXE5" s="344"/>
      <c r="AXF5" s="344"/>
      <c r="AXG5" s="344"/>
      <c r="AXH5" s="344"/>
      <c r="AXI5" s="344"/>
      <c r="AXJ5" s="344"/>
      <c r="AXK5" s="344"/>
      <c r="AXL5" s="344"/>
      <c r="AXM5" s="344"/>
      <c r="AXN5" s="344"/>
      <c r="AXO5" s="344"/>
      <c r="AXP5" s="344"/>
      <c r="AXQ5" s="344"/>
      <c r="AXR5" s="344"/>
      <c r="AXS5" s="344"/>
      <c r="AXT5" s="344"/>
      <c r="AXU5" s="344"/>
      <c r="AXV5" s="344"/>
      <c r="AXW5" s="344"/>
      <c r="AXX5" s="344"/>
      <c r="AXY5" s="344"/>
      <c r="AXZ5" s="344"/>
      <c r="AYA5" s="344"/>
      <c r="AYB5" s="344"/>
      <c r="AYC5" s="344"/>
      <c r="AYD5" s="344"/>
      <c r="AYE5" s="344"/>
      <c r="AYF5" s="344"/>
      <c r="AYG5" s="344"/>
      <c r="AYH5" s="344"/>
      <c r="AYI5" s="344"/>
      <c r="AYJ5" s="344"/>
      <c r="AYK5" s="344"/>
      <c r="AYL5" s="344"/>
      <c r="AYM5" s="344"/>
      <c r="AYN5" s="344"/>
      <c r="AYO5" s="344"/>
      <c r="AYP5" s="344"/>
      <c r="AYQ5" s="344"/>
      <c r="AYR5" s="344"/>
      <c r="AYS5" s="344"/>
      <c r="AYT5" s="344"/>
      <c r="AYU5" s="344"/>
      <c r="AYV5" s="344"/>
      <c r="AYW5" s="344"/>
      <c r="AYX5" s="344"/>
      <c r="AYY5" s="344"/>
      <c r="AYZ5" s="344"/>
      <c r="AZA5" s="344"/>
      <c r="AZB5" s="344"/>
      <c r="AZC5" s="344"/>
      <c r="AZD5" s="344"/>
      <c r="AZE5" s="344"/>
      <c r="AZF5" s="344"/>
      <c r="AZG5" s="344"/>
      <c r="AZH5" s="344"/>
      <c r="AZI5" s="344"/>
      <c r="AZJ5" s="344"/>
      <c r="AZK5" s="344"/>
      <c r="AZL5" s="344"/>
      <c r="AZM5" s="344"/>
      <c r="AZN5" s="344"/>
      <c r="AZO5" s="344"/>
      <c r="AZP5" s="344"/>
      <c r="AZQ5" s="344"/>
      <c r="AZR5" s="344"/>
      <c r="AZS5" s="344"/>
      <c r="AZT5" s="344"/>
      <c r="AZU5" s="344"/>
      <c r="AZV5" s="344"/>
      <c r="AZW5" s="344"/>
      <c r="AZX5" s="344"/>
      <c r="AZY5" s="344"/>
      <c r="AZZ5" s="344"/>
      <c r="BAA5" s="344"/>
      <c r="BAB5" s="344"/>
      <c r="BAC5" s="344"/>
      <c r="BAD5" s="344"/>
      <c r="BAE5" s="344"/>
      <c r="BAF5" s="344"/>
      <c r="BAG5" s="344"/>
      <c r="BAH5" s="344"/>
      <c r="BAI5" s="344"/>
      <c r="BAJ5" s="344"/>
      <c r="BAK5" s="344"/>
      <c r="BAL5" s="344"/>
      <c r="BAM5" s="344"/>
      <c r="BAN5" s="344"/>
      <c r="BAO5" s="344"/>
      <c r="BAP5" s="344"/>
      <c r="BAQ5" s="344"/>
      <c r="BAR5" s="344"/>
      <c r="BAS5" s="344"/>
      <c r="BAT5" s="344"/>
      <c r="BAU5" s="344"/>
      <c r="BAV5" s="344"/>
      <c r="BAW5" s="344"/>
      <c r="BAX5" s="344"/>
      <c r="BAY5" s="344"/>
      <c r="BAZ5" s="344"/>
      <c r="BBA5" s="344"/>
      <c r="BBB5" s="344"/>
      <c r="BBC5" s="344"/>
      <c r="BBD5" s="344"/>
      <c r="BBE5" s="344"/>
      <c r="BBF5" s="344"/>
      <c r="BBG5" s="344"/>
      <c r="BBH5" s="344"/>
      <c r="BBI5" s="344"/>
      <c r="BBJ5" s="344"/>
      <c r="BBK5" s="344"/>
      <c r="BBL5" s="344"/>
      <c r="BBM5" s="344"/>
      <c r="BBN5" s="344"/>
      <c r="BBO5" s="344"/>
      <c r="BBP5" s="344"/>
      <c r="BBQ5" s="344"/>
      <c r="BBR5" s="344"/>
      <c r="BBS5" s="344"/>
      <c r="BBT5" s="344"/>
      <c r="BBU5" s="344"/>
      <c r="BBV5" s="344"/>
      <c r="BBW5" s="344"/>
      <c r="BBX5" s="344"/>
      <c r="BBY5" s="344"/>
      <c r="BBZ5" s="344"/>
      <c r="BCA5" s="344"/>
      <c r="BCB5" s="344"/>
      <c r="BCC5" s="344"/>
      <c r="BCD5" s="344"/>
      <c r="BCE5" s="344"/>
      <c r="BCF5" s="344"/>
      <c r="BCG5" s="344"/>
      <c r="BCH5" s="344"/>
      <c r="BCI5" s="344"/>
      <c r="BCJ5" s="344"/>
      <c r="BCK5" s="344"/>
      <c r="BCL5" s="344"/>
      <c r="BCM5" s="344"/>
      <c r="BCN5" s="344"/>
      <c r="BCO5" s="344"/>
      <c r="BCP5" s="344"/>
      <c r="BCQ5" s="344"/>
      <c r="BCR5" s="344"/>
      <c r="BCS5" s="344"/>
      <c r="BCT5" s="344"/>
      <c r="BCU5" s="344"/>
      <c r="BCV5" s="344"/>
      <c r="BCW5" s="344"/>
      <c r="BCX5" s="344"/>
      <c r="BCY5" s="344"/>
      <c r="BCZ5" s="344"/>
      <c r="BDA5" s="344"/>
      <c r="BDB5" s="344"/>
      <c r="BDC5" s="344"/>
      <c r="BDD5" s="344"/>
      <c r="BDE5" s="344"/>
      <c r="BDF5" s="344"/>
      <c r="BDG5" s="344"/>
      <c r="BDH5" s="344"/>
      <c r="BDI5" s="344"/>
      <c r="BDJ5" s="344"/>
      <c r="BDK5" s="344"/>
      <c r="BDL5" s="344"/>
      <c r="BDM5" s="344"/>
      <c r="BDN5" s="344"/>
      <c r="BDO5" s="344"/>
      <c r="BDP5" s="344"/>
      <c r="BDQ5" s="344"/>
      <c r="BDR5" s="344"/>
      <c r="BDS5" s="344"/>
      <c r="BDT5" s="344"/>
      <c r="BDU5" s="344"/>
      <c r="BDV5" s="344"/>
      <c r="BDW5" s="344"/>
      <c r="BDX5" s="344"/>
      <c r="BDY5" s="344"/>
      <c r="BDZ5" s="344"/>
      <c r="BEA5" s="344"/>
      <c r="BEB5" s="344"/>
      <c r="BEC5" s="344"/>
      <c r="BED5" s="344"/>
      <c r="BEE5" s="344"/>
      <c r="BEF5" s="344"/>
      <c r="BEG5" s="344"/>
      <c r="BEH5" s="344"/>
      <c r="BEI5" s="344"/>
      <c r="BEJ5" s="344"/>
      <c r="BEK5" s="344"/>
      <c r="BEL5" s="344"/>
      <c r="BEM5" s="344"/>
      <c r="BEN5" s="344"/>
      <c r="BEO5" s="344"/>
      <c r="BEP5" s="344"/>
      <c r="BEQ5" s="344"/>
      <c r="BER5" s="344"/>
      <c r="BES5" s="344"/>
      <c r="BET5" s="344"/>
      <c r="BEU5" s="344"/>
      <c r="BEV5" s="344"/>
      <c r="BEW5" s="344"/>
      <c r="BEX5" s="344"/>
      <c r="BEY5" s="344"/>
      <c r="BEZ5" s="344"/>
      <c r="BFA5" s="344"/>
      <c r="BFB5" s="344"/>
      <c r="BFC5" s="344"/>
      <c r="BFD5" s="344"/>
      <c r="BFE5" s="344"/>
      <c r="BFF5" s="344"/>
      <c r="BFG5" s="344"/>
      <c r="BFH5" s="344"/>
      <c r="BFI5" s="344"/>
      <c r="BFJ5" s="344"/>
      <c r="BFK5" s="344"/>
      <c r="BFL5" s="344"/>
      <c r="BFM5" s="344"/>
      <c r="BFN5" s="344"/>
      <c r="BFO5" s="344"/>
      <c r="BFP5" s="344"/>
      <c r="BFQ5" s="344"/>
      <c r="BFR5" s="344"/>
      <c r="BFS5" s="344"/>
      <c r="BFT5" s="344"/>
      <c r="BFU5" s="344"/>
      <c r="BFV5" s="344"/>
      <c r="BFW5" s="344"/>
      <c r="BFX5" s="344"/>
      <c r="BFY5" s="344"/>
      <c r="BFZ5" s="344"/>
      <c r="BGA5" s="344"/>
      <c r="BGB5" s="344"/>
      <c r="BGC5" s="344"/>
      <c r="BGD5" s="344"/>
      <c r="BGE5" s="344"/>
      <c r="BGF5" s="344"/>
      <c r="BGG5" s="344"/>
      <c r="BGH5" s="344"/>
      <c r="BGI5" s="344"/>
      <c r="BGJ5" s="344"/>
      <c r="BGK5" s="344"/>
      <c r="BGL5" s="344"/>
      <c r="BGM5" s="344"/>
      <c r="BGN5" s="344"/>
      <c r="BGO5" s="344"/>
      <c r="BGP5" s="344"/>
      <c r="BGQ5" s="344"/>
      <c r="BGR5" s="344"/>
      <c r="BGS5" s="344"/>
      <c r="BGT5" s="344"/>
      <c r="BGU5" s="344"/>
      <c r="BGV5" s="344"/>
      <c r="BGW5" s="344"/>
      <c r="BGX5" s="344"/>
      <c r="BGY5" s="344"/>
      <c r="BGZ5" s="344"/>
      <c r="BHA5" s="344"/>
      <c r="BHB5" s="344"/>
      <c r="BHC5" s="344"/>
      <c r="BHD5" s="344"/>
      <c r="BHE5" s="344"/>
      <c r="BHF5" s="344"/>
      <c r="BHG5" s="344"/>
      <c r="BHH5" s="344"/>
      <c r="BHI5" s="344"/>
      <c r="BHJ5" s="344"/>
      <c r="BHK5" s="344"/>
      <c r="BHL5" s="344"/>
      <c r="BHM5" s="344"/>
      <c r="BHN5" s="344"/>
      <c r="BHO5" s="344"/>
      <c r="BHP5" s="344"/>
      <c r="BHQ5" s="344"/>
      <c r="BHR5" s="344"/>
      <c r="BHS5" s="344"/>
      <c r="BHT5" s="344"/>
      <c r="BHU5" s="344"/>
      <c r="BHV5" s="344"/>
      <c r="BHW5" s="344"/>
      <c r="BHX5" s="344"/>
      <c r="BHY5" s="344"/>
      <c r="BHZ5" s="344"/>
      <c r="BIA5" s="344"/>
      <c r="BIB5" s="344"/>
      <c r="BIC5" s="344"/>
      <c r="BID5" s="344"/>
      <c r="BIE5" s="344"/>
      <c r="BIF5" s="344"/>
      <c r="BIG5" s="344"/>
      <c r="BIH5" s="344"/>
      <c r="BII5" s="344"/>
      <c r="BIJ5" s="344"/>
      <c r="BIK5" s="344"/>
      <c r="BIL5" s="344"/>
      <c r="BIM5" s="344"/>
      <c r="BIN5" s="344"/>
      <c r="BIO5" s="344"/>
      <c r="BIP5" s="344"/>
      <c r="BIQ5" s="344"/>
      <c r="BIR5" s="344"/>
      <c r="BIS5" s="344"/>
      <c r="BIT5" s="344"/>
      <c r="BIU5" s="344"/>
      <c r="BIV5" s="344"/>
      <c r="BIW5" s="344"/>
      <c r="BIX5" s="344"/>
      <c r="BIY5" s="344"/>
      <c r="BIZ5" s="344"/>
      <c r="BJA5" s="344"/>
      <c r="BJB5" s="344"/>
      <c r="BJC5" s="344"/>
      <c r="BJD5" s="344"/>
      <c r="BJE5" s="344"/>
      <c r="BJF5" s="344"/>
      <c r="BJG5" s="344"/>
      <c r="BJH5" s="344"/>
      <c r="BJI5" s="344"/>
      <c r="BJJ5" s="344"/>
      <c r="BJK5" s="344"/>
      <c r="BJL5" s="344"/>
      <c r="BJM5" s="344"/>
      <c r="BJN5" s="344"/>
      <c r="BJO5" s="344"/>
      <c r="BJP5" s="344"/>
      <c r="BJQ5" s="344"/>
      <c r="BJR5" s="344"/>
      <c r="BJS5" s="344"/>
      <c r="BJT5" s="344"/>
      <c r="BJU5" s="344"/>
      <c r="BJV5" s="344"/>
      <c r="BJW5" s="344"/>
      <c r="BJX5" s="344"/>
      <c r="BJY5" s="344"/>
      <c r="BJZ5" s="344"/>
      <c r="BKA5" s="344"/>
      <c r="BKB5" s="344"/>
      <c r="BKC5" s="344"/>
      <c r="BKD5" s="344"/>
      <c r="BKE5" s="344"/>
      <c r="BKF5" s="344"/>
      <c r="BKG5" s="344"/>
      <c r="BKH5" s="344"/>
      <c r="BKI5" s="344"/>
      <c r="BKJ5" s="344"/>
      <c r="BKK5" s="344"/>
      <c r="BKL5" s="344"/>
      <c r="BKM5" s="344"/>
      <c r="BKN5" s="344"/>
      <c r="BKO5" s="344"/>
      <c r="BKP5" s="344"/>
      <c r="BKQ5" s="344"/>
      <c r="BKR5" s="344"/>
      <c r="BKS5" s="344"/>
      <c r="BKT5" s="344"/>
      <c r="BKU5" s="344"/>
      <c r="BKV5" s="344"/>
      <c r="BKW5" s="344"/>
      <c r="BKX5" s="344"/>
      <c r="BKY5" s="344"/>
      <c r="BKZ5" s="344"/>
      <c r="BLA5" s="344"/>
      <c r="BLB5" s="344"/>
      <c r="BLC5" s="344"/>
      <c r="BLD5" s="344"/>
      <c r="BLE5" s="344"/>
      <c r="BLF5" s="344"/>
      <c r="BLG5" s="344"/>
      <c r="BLH5" s="344"/>
      <c r="BLI5" s="344"/>
      <c r="BLJ5" s="344"/>
      <c r="BLK5" s="344"/>
      <c r="BLL5" s="344"/>
      <c r="BLM5" s="344"/>
      <c r="BLN5" s="344"/>
      <c r="BLO5" s="344"/>
      <c r="BLP5" s="344"/>
      <c r="BLQ5" s="344"/>
      <c r="BLR5" s="344"/>
      <c r="BLS5" s="344"/>
      <c r="BLT5" s="344"/>
      <c r="BLU5" s="344"/>
      <c r="BLV5" s="344"/>
      <c r="BLW5" s="344"/>
      <c r="BLX5" s="344"/>
      <c r="BLY5" s="344"/>
      <c r="BLZ5" s="344"/>
      <c r="BMA5" s="344"/>
      <c r="BMB5" s="344"/>
      <c r="BMC5" s="344"/>
      <c r="BMD5" s="344"/>
      <c r="BME5" s="344"/>
      <c r="BMF5" s="344"/>
      <c r="BMG5" s="344"/>
      <c r="BMH5" s="344"/>
      <c r="BMI5" s="344"/>
      <c r="BMJ5" s="344"/>
      <c r="BMK5" s="344"/>
      <c r="BML5" s="344"/>
      <c r="BMM5" s="344"/>
      <c r="BMN5" s="344"/>
      <c r="BMO5" s="344"/>
      <c r="BMP5" s="344"/>
      <c r="BMQ5" s="344"/>
      <c r="BMR5" s="344"/>
      <c r="BMS5" s="344"/>
      <c r="BMT5" s="344"/>
      <c r="BMU5" s="344"/>
      <c r="BMV5" s="344"/>
      <c r="BMW5" s="344"/>
      <c r="BMX5" s="344"/>
      <c r="BMY5" s="344"/>
      <c r="BMZ5" s="344"/>
      <c r="BNA5" s="344"/>
      <c r="BNB5" s="344"/>
      <c r="BNC5" s="344"/>
      <c r="BND5" s="344"/>
      <c r="BNE5" s="344"/>
      <c r="BNF5" s="344"/>
      <c r="BNG5" s="344"/>
      <c r="BNH5" s="344"/>
      <c r="BNI5" s="344"/>
      <c r="BNJ5" s="344"/>
      <c r="BNK5" s="344"/>
      <c r="BNL5" s="344"/>
      <c r="BNM5" s="344"/>
      <c r="BNN5" s="344"/>
      <c r="BNO5" s="344"/>
      <c r="BNP5" s="344"/>
      <c r="BNQ5" s="344"/>
      <c r="BNR5" s="344"/>
      <c r="BNS5" s="344"/>
      <c r="BNT5" s="344"/>
      <c r="BNU5" s="344"/>
      <c r="BNV5" s="344"/>
      <c r="BNW5" s="344"/>
      <c r="BNX5" s="344"/>
      <c r="BNY5" s="344"/>
      <c r="BNZ5" s="344"/>
      <c r="BOA5" s="344"/>
      <c r="BOB5" s="344"/>
      <c r="BOC5" s="344"/>
      <c r="BOD5" s="344"/>
      <c r="BOE5" s="344"/>
      <c r="BOF5" s="344"/>
      <c r="BOG5" s="344"/>
      <c r="BOH5" s="344"/>
      <c r="BOI5" s="344"/>
      <c r="BOJ5" s="344"/>
      <c r="BOK5" s="344"/>
      <c r="BOL5" s="344"/>
      <c r="BOM5" s="344"/>
      <c r="BON5" s="344"/>
      <c r="BOO5" s="344"/>
      <c r="BOP5" s="344"/>
      <c r="BOQ5" s="344"/>
      <c r="BOR5" s="344"/>
      <c r="BOS5" s="344"/>
      <c r="BOT5" s="344"/>
      <c r="BOU5" s="344"/>
      <c r="BOV5" s="344"/>
      <c r="BOW5" s="344"/>
      <c r="BOX5" s="344"/>
      <c r="BOY5" s="344"/>
      <c r="BOZ5" s="344"/>
      <c r="BPA5" s="344"/>
      <c r="BPB5" s="344"/>
      <c r="BPC5" s="344"/>
      <c r="BPD5" s="344"/>
      <c r="BPE5" s="344"/>
      <c r="BPF5" s="344"/>
      <c r="BPG5" s="344"/>
      <c r="BPH5" s="344"/>
      <c r="BPI5" s="344"/>
      <c r="BPJ5" s="344"/>
      <c r="BPK5" s="344"/>
      <c r="BPL5" s="344"/>
      <c r="BPM5" s="344"/>
      <c r="BPN5" s="344"/>
      <c r="BPO5" s="344"/>
      <c r="BPP5" s="344"/>
      <c r="BPQ5" s="344"/>
      <c r="BPR5" s="344"/>
      <c r="BPS5" s="344"/>
      <c r="BPT5" s="344"/>
      <c r="BPU5" s="344"/>
      <c r="BPV5" s="344"/>
      <c r="BPW5" s="344"/>
      <c r="BPX5" s="344"/>
      <c r="BPY5" s="344"/>
      <c r="BPZ5" s="344"/>
      <c r="BQA5" s="344"/>
      <c r="BQB5" s="344"/>
      <c r="BQC5" s="344"/>
      <c r="BQD5" s="344"/>
      <c r="BQE5" s="344"/>
      <c r="BQF5" s="344"/>
      <c r="BQG5" s="344"/>
      <c r="BQH5" s="344"/>
      <c r="BQI5" s="344"/>
      <c r="BQJ5" s="344"/>
      <c r="BQK5" s="344"/>
      <c r="BQL5" s="344"/>
      <c r="BQM5" s="344"/>
      <c r="BQN5" s="344"/>
      <c r="BQO5" s="344"/>
      <c r="BQP5" s="344"/>
      <c r="BQQ5" s="344"/>
      <c r="BQR5" s="344"/>
      <c r="BQS5" s="344"/>
      <c r="BQT5" s="344"/>
      <c r="BQU5" s="344"/>
      <c r="BQV5" s="344"/>
      <c r="BQW5" s="344"/>
      <c r="BQX5" s="344"/>
      <c r="BQY5" s="344"/>
      <c r="BQZ5" s="344"/>
      <c r="BRA5" s="344"/>
      <c r="BRB5" s="344"/>
      <c r="BRC5" s="344"/>
      <c r="BRD5" s="344"/>
      <c r="BRE5" s="344"/>
      <c r="BRF5" s="344"/>
      <c r="BRG5" s="344"/>
      <c r="BRH5" s="344"/>
      <c r="BRI5" s="344"/>
      <c r="BRJ5" s="344"/>
      <c r="BRK5" s="344"/>
      <c r="BRL5" s="344"/>
      <c r="BRM5" s="344"/>
      <c r="BRN5" s="344"/>
      <c r="BRO5" s="344"/>
      <c r="BRP5" s="344"/>
      <c r="BRQ5" s="344"/>
      <c r="BRR5" s="344"/>
      <c r="BRS5" s="344"/>
      <c r="BRT5" s="344"/>
      <c r="BRU5" s="344"/>
      <c r="BRV5" s="344"/>
      <c r="BRW5" s="344"/>
      <c r="BRX5" s="344"/>
      <c r="BRY5" s="344"/>
      <c r="BRZ5" s="344"/>
      <c r="BSA5" s="344"/>
      <c r="BSB5" s="344"/>
      <c r="BSC5" s="344"/>
      <c r="BSD5" s="344"/>
      <c r="BSE5" s="344"/>
      <c r="BSF5" s="344"/>
      <c r="BSG5" s="344"/>
      <c r="BSH5" s="344"/>
      <c r="BSI5" s="344"/>
      <c r="BSJ5" s="344"/>
      <c r="BSK5" s="344"/>
      <c r="BSL5" s="344"/>
      <c r="BSM5" s="344"/>
      <c r="BSN5" s="344"/>
      <c r="BSO5" s="344"/>
      <c r="BSP5" s="344"/>
      <c r="BSQ5" s="344"/>
      <c r="BSR5" s="344"/>
      <c r="BSS5" s="344"/>
      <c r="BST5" s="344"/>
      <c r="BSU5" s="344"/>
      <c r="BSV5" s="344"/>
      <c r="BSW5" s="344"/>
      <c r="BSX5" s="344"/>
      <c r="BSY5" s="344"/>
      <c r="BSZ5" s="344"/>
      <c r="BTA5" s="344"/>
      <c r="BTB5" s="344"/>
      <c r="BTC5" s="344"/>
      <c r="BTD5" s="344"/>
      <c r="BTE5" s="344"/>
      <c r="BTF5" s="344"/>
      <c r="BTG5" s="344"/>
      <c r="BTH5" s="344"/>
      <c r="BTI5" s="344"/>
      <c r="BTJ5" s="344"/>
      <c r="BTK5" s="344"/>
      <c r="BTL5" s="344"/>
      <c r="BTM5" s="344"/>
      <c r="BTN5" s="344"/>
      <c r="BTO5" s="344"/>
      <c r="BTP5" s="344"/>
      <c r="BTQ5" s="344"/>
      <c r="BTR5" s="344"/>
      <c r="BTS5" s="344"/>
      <c r="BTT5" s="344"/>
      <c r="BTU5" s="344"/>
      <c r="BTV5" s="344"/>
      <c r="BTW5" s="344"/>
      <c r="BTX5" s="344"/>
      <c r="BTY5" s="344"/>
      <c r="BTZ5" s="344"/>
      <c r="BUA5" s="344"/>
      <c r="BUB5" s="344"/>
      <c r="BUC5" s="344"/>
      <c r="BUD5" s="344"/>
      <c r="BUE5" s="344"/>
      <c r="BUF5" s="344"/>
      <c r="BUG5" s="344"/>
      <c r="BUH5" s="344"/>
      <c r="BUI5" s="344"/>
      <c r="BUJ5" s="344"/>
      <c r="BUK5" s="344"/>
      <c r="BUL5" s="344"/>
      <c r="BUM5" s="344"/>
      <c r="BUN5" s="344"/>
      <c r="BUO5" s="344"/>
      <c r="BUP5" s="344"/>
      <c r="BUQ5" s="344"/>
      <c r="BUR5" s="344"/>
      <c r="BUS5" s="344"/>
      <c r="BUT5" s="344"/>
      <c r="BUU5" s="344"/>
      <c r="BUV5" s="344"/>
      <c r="BUW5" s="344"/>
      <c r="BUX5" s="344"/>
      <c r="BUY5" s="344"/>
      <c r="BUZ5" s="344"/>
      <c r="BVA5" s="344"/>
      <c r="BVB5" s="344"/>
      <c r="BVC5" s="344"/>
      <c r="BVD5" s="344"/>
      <c r="BVE5" s="344"/>
      <c r="BVF5" s="344"/>
      <c r="BVG5" s="344"/>
      <c r="BVH5" s="344"/>
      <c r="BVI5" s="344"/>
      <c r="BVJ5" s="344"/>
      <c r="BVK5" s="344"/>
      <c r="BVL5" s="344"/>
      <c r="BVM5" s="344"/>
      <c r="BVN5" s="344"/>
      <c r="BVO5" s="344"/>
      <c r="BVP5" s="344"/>
      <c r="BVQ5" s="344"/>
      <c r="BVR5" s="344"/>
      <c r="BVS5" s="344"/>
      <c r="BVT5" s="344"/>
      <c r="BVU5" s="344"/>
      <c r="BVV5" s="344"/>
      <c r="BVW5" s="344"/>
      <c r="BVX5" s="344"/>
      <c r="BVY5" s="344"/>
      <c r="BVZ5" s="344"/>
      <c r="BWA5" s="344"/>
      <c r="BWB5" s="344"/>
      <c r="BWC5" s="344"/>
      <c r="BWD5" s="344"/>
      <c r="BWE5" s="344"/>
      <c r="BWF5" s="344"/>
      <c r="BWG5" s="344"/>
      <c r="BWH5" s="344"/>
      <c r="BWI5" s="344"/>
      <c r="BWJ5" s="344"/>
      <c r="BWK5" s="344"/>
      <c r="BWL5" s="344"/>
      <c r="BWM5" s="344"/>
      <c r="BWN5" s="344"/>
      <c r="BWO5" s="344"/>
      <c r="BWP5" s="344"/>
      <c r="BWQ5" s="344"/>
      <c r="BWR5" s="344"/>
      <c r="BWS5" s="344"/>
      <c r="BWT5" s="344"/>
      <c r="BWU5" s="344"/>
      <c r="BWV5" s="344"/>
      <c r="BWW5" s="344"/>
      <c r="BWX5" s="344"/>
      <c r="BWY5" s="344"/>
      <c r="BWZ5" s="344"/>
      <c r="BXA5" s="344"/>
      <c r="BXB5" s="344"/>
      <c r="BXC5" s="344"/>
      <c r="BXD5" s="344"/>
      <c r="BXE5" s="344"/>
      <c r="BXF5" s="344"/>
      <c r="BXG5" s="344"/>
      <c r="BXH5" s="344"/>
      <c r="BXI5" s="344"/>
      <c r="BXJ5" s="344"/>
      <c r="BXK5" s="344"/>
      <c r="BXL5" s="344"/>
      <c r="BXM5" s="344"/>
      <c r="BXN5" s="344"/>
      <c r="BXO5" s="344"/>
      <c r="BXP5" s="344"/>
      <c r="BXQ5" s="344"/>
      <c r="BXR5" s="344"/>
      <c r="BXS5" s="344"/>
      <c r="BXT5" s="344"/>
      <c r="BXU5" s="344"/>
      <c r="BXV5" s="344"/>
      <c r="BXW5" s="344"/>
      <c r="BXX5" s="344"/>
      <c r="BXY5" s="344"/>
      <c r="BXZ5" s="344"/>
      <c r="BYA5" s="344"/>
      <c r="BYB5" s="344"/>
      <c r="BYC5" s="344"/>
      <c r="BYD5" s="344"/>
      <c r="BYE5" s="344"/>
      <c r="BYF5" s="344"/>
      <c r="BYG5" s="344"/>
      <c r="BYH5" s="344"/>
      <c r="BYI5" s="344"/>
      <c r="BYJ5" s="344"/>
      <c r="BYK5" s="344"/>
      <c r="BYL5" s="344"/>
      <c r="BYM5" s="344"/>
      <c r="BYN5" s="344"/>
      <c r="BYO5" s="344"/>
      <c r="BYP5" s="344"/>
      <c r="BYQ5" s="344"/>
      <c r="BYR5" s="344"/>
      <c r="BYS5" s="344"/>
      <c r="BYT5" s="344"/>
      <c r="BYU5" s="344"/>
      <c r="BYV5" s="344"/>
      <c r="BYW5" s="344"/>
      <c r="BYX5" s="344"/>
      <c r="BYY5" s="344"/>
      <c r="BYZ5" s="344"/>
      <c r="BZA5" s="344"/>
      <c r="BZB5" s="344"/>
      <c r="BZC5" s="344"/>
      <c r="BZD5" s="344"/>
      <c r="BZE5" s="344"/>
      <c r="BZF5" s="344"/>
      <c r="BZG5" s="344"/>
      <c r="BZH5" s="344"/>
      <c r="BZI5" s="344"/>
      <c r="BZJ5" s="344"/>
      <c r="BZK5" s="344"/>
      <c r="BZL5" s="344"/>
      <c r="BZM5" s="344"/>
      <c r="BZN5" s="344"/>
      <c r="BZO5" s="344"/>
      <c r="BZP5" s="344"/>
      <c r="BZQ5" s="344"/>
      <c r="BZR5" s="344"/>
      <c r="BZS5" s="344"/>
      <c r="BZT5" s="344"/>
      <c r="BZU5" s="344"/>
      <c r="BZV5" s="344"/>
      <c r="BZW5" s="344"/>
      <c r="BZX5" s="344"/>
      <c r="BZY5" s="344"/>
      <c r="BZZ5" s="344"/>
      <c r="CAA5" s="344"/>
      <c r="CAB5" s="344"/>
      <c r="CAC5" s="344"/>
      <c r="CAD5" s="344"/>
      <c r="CAE5" s="344"/>
      <c r="CAF5" s="344"/>
      <c r="CAG5" s="344"/>
      <c r="CAH5" s="344"/>
      <c r="CAI5" s="344"/>
      <c r="CAJ5" s="344"/>
      <c r="CAK5" s="344"/>
      <c r="CAL5" s="344"/>
      <c r="CAM5" s="344"/>
      <c r="CAN5" s="344"/>
      <c r="CAO5" s="344"/>
      <c r="CAP5" s="344"/>
      <c r="CAQ5" s="344"/>
      <c r="CAR5" s="344"/>
      <c r="CAS5" s="344"/>
      <c r="CAT5" s="344"/>
      <c r="CAU5" s="344"/>
      <c r="CAV5" s="344"/>
      <c r="CAW5" s="344"/>
      <c r="CAX5" s="344"/>
      <c r="CAY5" s="344"/>
      <c r="CAZ5" s="344"/>
      <c r="CBA5" s="344"/>
      <c r="CBB5" s="344"/>
      <c r="CBC5" s="344"/>
      <c r="CBD5" s="344"/>
      <c r="CBE5" s="344"/>
      <c r="CBF5" s="344"/>
      <c r="CBG5" s="344"/>
      <c r="CBH5" s="344"/>
      <c r="CBI5" s="344"/>
      <c r="CBJ5" s="344"/>
      <c r="CBK5" s="344"/>
      <c r="CBL5" s="344"/>
      <c r="CBM5" s="344"/>
      <c r="CBN5" s="344"/>
      <c r="CBO5" s="344"/>
      <c r="CBP5" s="344"/>
      <c r="CBQ5" s="344"/>
      <c r="CBR5" s="344"/>
      <c r="CBS5" s="344"/>
      <c r="CBT5" s="344"/>
      <c r="CBU5" s="344"/>
      <c r="CBV5" s="344"/>
      <c r="CBW5" s="344"/>
      <c r="CBX5" s="344"/>
      <c r="CBY5" s="344"/>
      <c r="CBZ5" s="344"/>
      <c r="CCA5" s="344"/>
      <c r="CCB5" s="344"/>
      <c r="CCC5" s="344"/>
      <c r="CCD5" s="344"/>
      <c r="CCE5" s="344"/>
      <c r="CCF5" s="344"/>
      <c r="CCG5" s="344"/>
      <c r="CCH5" s="344"/>
      <c r="CCI5" s="344"/>
      <c r="CCJ5" s="344"/>
      <c r="CCK5" s="344"/>
      <c r="CCL5" s="344"/>
      <c r="CCM5" s="344"/>
      <c r="CCN5" s="344"/>
      <c r="CCO5" s="344"/>
      <c r="CCP5" s="344"/>
      <c r="CCQ5" s="344"/>
      <c r="CCR5" s="344"/>
      <c r="CCS5" s="344"/>
      <c r="CCT5" s="344"/>
      <c r="CCU5" s="344"/>
      <c r="CCV5" s="344"/>
      <c r="CCW5" s="344"/>
      <c r="CCX5" s="344"/>
      <c r="CCY5" s="344"/>
      <c r="CCZ5" s="344"/>
      <c r="CDA5" s="344"/>
      <c r="CDB5" s="344"/>
      <c r="CDC5" s="344"/>
      <c r="CDD5" s="344"/>
      <c r="CDE5" s="344"/>
      <c r="CDF5" s="344"/>
      <c r="CDG5" s="344"/>
      <c r="CDH5" s="344"/>
      <c r="CDI5" s="344"/>
      <c r="CDJ5" s="344"/>
      <c r="CDK5" s="344"/>
      <c r="CDL5" s="344"/>
      <c r="CDM5" s="344"/>
      <c r="CDN5" s="344"/>
      <c r="CDO5" s="344"/>
      <c r="CDP5" s="344"/>
      <c r="CDQ5" s="344"/>
      <c r="CDR5" s="344"/>
      <c r="CDS5" s="344"/>
      <c r="CDT5" s="344"/>
      <c r="CDU5" s="344"/>
      <c r="CDV5" s="344"/>
      <c r="CDW5" s="344"/>
      <c r="CDX5" s="344"/>
      <c r="CDY5" s="344"/>
      <c r="CDZ5" s="344"/>
      <c r="CEA5" s="344"/>
      <c r="CEB5" s="344"/>
      <c r="CEC5" s="344"/>
      <c r="CED5" s="344"/>
      <c r="CEE5" s="344"/>
      <c r="CEF5" s="344"/>
      <c r="CEG5" s="344"/>
      <c r="CEH5" s="344"/>
      <c r="CEI5" s="344"/>
      <c r="CEJ5" s="344"/>
      <c r="CEK5" s="344"/>
      <c r="CEL5" s="344"/>
      <c r="CEM5" s="344"/>
      <c r="CEN5" s="344"/>
      <c r="CEO5" s="344"/>
      <c r="CEP5" s="344"/>
      <c r="CEQ5" s="344"/>
      <c r="CER5" s="344"/>
      <c r="CES5" s="344"/>
      <c r="CET5" s="344"/>
      <c r="CEU5" s="344"/>
      <c r="CEV5" s="344"/>
      <c r="CEW5" s="344"/>
      <c r="CEX5" s="344"/>
      <c r="CEY5" s="344"/>
      <c r="CEZ5" s="344"/>
      <c r="CFA5" s="344"/>
      <c r="CFB5" s="344"/>
      <c r="CFC5" s="344"/>
      <c r="CFD5" s="344"/>
      <c r="CFE5" s="344"/>
      <c r="CFF5" s="344"/>
      <c r="CFG5" s="344"/>
      <c r="CFH5" s="344"/>
      <c r="CFI5" s="344"/>
      <c r="CFJ5" s="344"/>
      <c r="CFK5" s="344"/>
      <c r="CFL5" s="344"/>
      <c r="CFM5" s="344"/>
      <c r="CFN5" s="344"/>
      <c r="CFO5" s="344"/>
      <c r="CFP5" s="344"/>
      <c r="CFQ5" s="344"/>
      <c r="CFR5" s="344"/>
      <c r="CFS5" s="344"/>
      <c r="CFT5" s="344"/>
      <c r="CFU5" s="344"/>
      <c r="CFV5" s="344"/>
      <c r="CFW5" s="344"/>
      <c r="CFX5" s="344"/>
      <c r="CFY5" s="344"/>
      <c r="CFZ5" s="344"/>
      <c r="CGA5" s="344"/>
      <c r="CGB5" s="344"/>
      <c r="CGC5" s="344"/>
      <c r="CGD5" s="344"/>
      <c r="CGE5" s="344"/>
      <c r="CGF5" s="344"/>
      <c r="CGG5" s="344"/>
      <c r="CGH5" s="344"/>
      <c r="CGI5" s="344"/>
      <c r="CGJ5" s="344"/>
      <c r="CGK5" s="344"/>
      <c r="CGL5" s="344"/>
      <c r="CGM5" s="344"/>
      <c r="CGN5" s="344"/>
      <c r="CGO5" s="344"/>
      <c r="CGP5" s="344"/>
      <c r="CGQ5" s="344"/>
      <c r="CGR5" s="344"/>
      <c r="CGS5" s="344"/>
      <c r="CGT5" s="344"/>
      <c r="CGU5" s="344"/>
      <c r="CGV5" s="344"/>
      <c r="CGW5" s="344"/>
      <c r="CGX5" s="344"/>
      <c r="CGY5" s="344"/>
      <c r="CGZ5" s="344"/>
      <c r="CHA5" s="344"/>
      <c r="CHB5" s="344"/>
      <c r="CHC5" s="344"/>
      <c r="CHD5" s="344"/>
      <c r="CHE5" s="344"/>
      <c r="CHF5" s="344"/>
      <c r="CHG5" s="344"/>
      <c r="CHH5" s="344"/>
      <c r="CHI5" s="344"/>
      <c r="CHJ5" s="344"/>
      <c r="CHK5" s="344"/>
      <c r="CHL5" s="344"/>
      <c r="CHM5" s="344"/>
      <c r="CHN5" s="344"/>
      <c r="CHO5" s="344"/>
      <c r="CHP5" s="344"/>
      <c r="CHQ5" s="344"/>
      <c r="CHR5" s="344"/>
      <c r="CHS5" s="344"/>
      <c r="CHT5" s="344"/>
      <c r="CHU5" s="344"/>
      <c r="CHV5" s="344"/>
      <c r="CHW5" s="344"/>
      <c r="CHX5" s="344"/>
      <c r="CHY5" s="344"/>
      <c r="CHZ5" s="344"/>
      <c r="CIA5" s="344"/>
      <c r="CIB5" s="344"/>
      <c r="CIC5" s="344"/>
      <c r="CID5" s="344"/>
      <c r="CIE5" s="344"/>
      <c r="CIF5" s="344"/>
      <c r="CIG5" s="344"/>
      <c r="CIH5" s="344"/>
      <c r="CII5" s="344"/>
      <c r="CIJ5" s="344"/>
      <c r="CIK5" s="344"/>
      <c r="CIL5" s="344"/>
      <c r="CIM5" s="344"/>
      <c r="CIN5" s="344"/>
      <c r="CIO5" s="344"/>
      <c r="CIP5" s="344"/>
      <c r="CIQ5" s="344"/>
      <c r="CIR5" s="344"/>
      <c r="CIS5" s="344"/>
      <c r="CIT5" s="344"/>
      <c r="CIU5" s="344"/>
      <c r="CIV5" s="344"/>
      <c r="CIW5" s="344"/>
      <c r="CIX5" s="344"/>
      <c r="CIY5" s="344"/>
      <c r="CIZ5" s="344"/>
      <c r="CJA5" s="344"/>
      <c r="CJB5" s="344"/>
      <c r="CJC5" s="344"/>
      <c r="CJD5" s="344"/>
      <c r="CJE5" s="344"/>
      <c r="CJF5" s="344"/>
      <c r="CJG5" s="344"/>
      <c r="CJH5" s="344"/>
      <c r="CJI5" s="344"/>
      <c r="CJJ5" s="344"/>
      <c r="CJK5" s="344"/>
      <c r="CJL5" s="344"/>
      <c r="CJM5" s="344"/>
      <c r="CJN5" s="344"/>
      <c r="CJO5" s="344"/>
      <c r="CJP5" s="344"/>
      <c r="CJQ5" s="344"/>
      <c r="CJR5" s="344"/>
      <c r="CJS5" s="344"/>
      <c r="CJT5" s="344"/>
      <c r="CJU5" s="344"/>
      <c r="CJV5" s="344"/>
      <c r="CJW5" s="344"/>
      <c r="CJX5" s="344"/>
      <c r="CJY5" s="344"/>
      <c r="CJZ5" s="344"/>
      <c r="CKA5" s="344"/>
      <c r="CKB5" s="344"/>
      <c r="CKC5" s="344"/>
      <c r="CKD5" s="344"/>
      <c r="CKE5" s="344"/>
      <c r="CKF5" s="344"/>
      <c r="CKG5" s="344"/>
      <c r="CKH5" s="344"/>
      <c r="CKI5" s="344"/>
      <c r="CKJ5" s="344"/>
      <c r="CKK5" s="344"/>
      <c r="CKL5" s="344"/>
      <c r="CKM5" s="344"/>
      <c r="CKN5" s="344"/>
      <c r="CKO5" s="344"/>
      <c r="CKP5" s="344"/>
      <c r="CKQ5" s="344"/>
      <c r="CKR5" s="344"/>
      <c r="CKS5" s="344"/>
      <c r="CKT5" s="344"/>
      <c r="CKU5" s="344"/>
      <c r="CKV5" s="344"/>
      <c r="CKW5" s="344"/>
      <c r="CKX5" s="344"/>
      <c r="CKY5" s="344"/>
      <c r="CKZ5" s="344"/>
      <c r="CLA5" s="344"/>
      <c r="CLB5" s="344"/>
      <c r="CLC5" s="344"/>
      <c r="CLD5" s="344"/>
      <c r="CLE5" s="344"/>
      <c r="CLF5" s="344"/>
      <c r="CLG5" s="344"/>
      <c r="CLH5" s="344"/>
      <c r="CLI5" s="344"/>
      <c r="CLJ5" s="344"/>
      <c r="CLK5" s="344"/>
      <c r="CLL5" s="344"/>
      <c r="CLM5" s="344"/>
      <c r="CLN5" s="344"/>
      <c r="CLO5" s="344"/>
      <c r="CLP5" s="344"/>
      <c r="CLQ5" s="344"/>
      <c r="CLR5" s="344"/>
      <c r="CLS5" s="344"/>
      <c r="CLT5" s="344"/>
      <c r="CLU5" s="344"/>
      <c r="CLV5" s="344"/>
      <c r="CLW5" s="344"/>
      <c r="CLX5" s="344"/>
      <c r="CLY5" s="344"/>
      <c r="CLZ5" s="344"/>
      <c r="CMA5" s="344"/>
      <c r="CMB5" s="344"/>
      <c r="CMC5" s="344"/>
      <c r="CMD5" s="344"/>
      <c r="CME5" s="344"/>
      <c r="CMF5" s="344"/>
      <c r="CMG5" s="344"/>
      <c r="CMH5" s="344"/>
      <c r="CMI5" s="344"/>
      <c r="CMJ5" s="344"/>
      <c r="CMK5" s="344"/>
      <c r="CML5" s="344"/>
      <c r="CMM5" s="344"/>
      <c r="CMN5" s="344"/>
      <c r="CMO5" s="344"/>
      <c r="CMP5" s="344"/>
      <c r="CMQ5" s="344"/>
      <c r="CMR5" s="344"/>
      <c r="CMS5" s="344"/>
      <c r="CMT5" s="344"/>
      <c r="CMU5" s="344"/>
      <c r="CMV5" s="344"/>
      <c r="CMW5" s="344"/>
      <c r="CMX5" s="344"/>
      <c r="CMY5" s="344"/>
      <c r="CMZ5" s="344"/>
      <c r="CNA5" s="344"/>
      <c r="CNB5" s="344"/>
      <c r="CNC5" s="344"/>
      <c r="CND5" s="344"/>
      <c r="CNE5" s="344"/>
      <c r="CNF5" s="344"/>
      <c r="CNG5" s="344"/>
      <c r="CNH5" s="344"/>
      <c r="CNI5" s="344"/>
      <c r="CNJ5" s="344"/>
      <c r="CNK5" s="344"/>
      <c r="CNL5" s="344"/>
      <c r="CNM5" s="344"/>
      <c r="CNN5" s="344"/>
      <c r="CNO5" s="344"/>
      <c r="CNP5" s="344"/>
      <c r="CNQ5" s="344"/>
      <c r="CNR5" s="344"/>
      <c r="CNS5" s="344"/>
      <c r="CNT5" s="344"/>
      <c r="CNU5" s="344"/>
      <c r="CNV5" s="344"/>
      <c r="CNW5" s="344"/>
      <c r="CNX5" s="344"/>
      <c r="CNY5" s="344"/>
      <c r="CNZ5" s="344"/>
      <c r="COA5" s="344"/>
      <c r="COB5" s="344"/>
      <c r="COC5" s="344"/>
      <c r="COD5" s="344"/>
      <c r="COE5" s="344"/>
      <c r="COF5" s="344"/>
      <c r="COG5" s="344"/>
      <c r="COH5" s="344"/>
      <c r="COI5" s="344"/>
      <c r="COJ5" s="344"/>
      <c r="COK5" s="344"/>
      <c r="COL5" s="344"/>
      <c r="COM5" s="344"/>
      <c r="CON5" s="344"/>
      <c r="COO5" s="344"/>
      <c r="COP5" s="344"/>
      <c r="COQ5" s="344"/>
      <c r="COR5" s="344"/>
      <c r="COS5" s="344"/>
      <c r="COT5" s="344"/>
      <c r="COU5" s="344"/>
      <c r="COV5" s="344"/>
      <c r="COW5" s="344"/>
      <c r="COX5" s="344"/>
      <c r="COY5" s="344"/>
      <c r="COZ5" s="344"/>
      <c r="CPA5" s="344"/>
      <c r="CPB5" s="344"/>
      <c r="CPC5" s="344"/>
      <c r="CPD5" s="344"/>
      <c r="CPE5" s="344"/>
      <c r="CPF5" s="344"/>
      <c r="CPG5" s="344"/>
      <c r="CPH5" s="344"/>
      <c r="CPI5" s="344"/>
      <c r="CPJ5" s="344"/>
      <c r="CPK5" s="344"/>
      <c r="CPL5" s="344"/>
      <c r="CPM5" s="344"/>
      <c r="CPN5" s="344"/>
      <c r="CPO5" s="344"/>
      <c r="CPP5" s="344"/>
      <c r="CPQ5" s="344"/>
      <c r="CPR5" s="344"/>
      <c r="CPS5" s="344"/>
      <c r="CPT5" s="344"/>
      <c r="CPU5" s="344"/>
      <c r="CPV5" s="344"/>
      <c r="CPW5" s="344"/>
      <c r="CPX5" s="344"/>
      <c r="CPY5" s="344"/>
      <c r="CPZ5" s="344"/>
      <c r="CQA5" s="344"/>
      <c r="CQB5" s="344"/>
      <c r="CQC5" s="344"/>
      <c r="CQD5" s="344"/>
      <c r="CQE5" s="344"/>
      <c r="CQF5" s="344"/>
      <c r="CQG5" s="344"/>
      <c r="CQH5" s="344"/>
      <c r="CQI5" s="344"/>
      <c r="CQJ5" s="344"/>
      <c r="CQK5" s="344"/>
      <c r="CQL5" s="344"/>
      <c r="CQM5" s="344"/>
      <c r="CQN5" s="344"/>
      <c r="CQO5" s="344"/>
      <c r="CQP5" s="344"/>
      <c r="CQQ5" s="344"/>
      <c r="CQR5" s="344"/>
      <c r="CQS5" s="344"/>
      <c r="CQT5" s="344"/>
      <c r="CQU5" s="344"/>
      <c r="CQV5" s="344"/>
      <c r="CQW5" s="344"/>
      <c r="CQX5" s="344"/>
      <c r="CQY5" s="344"/>
      <c r="CQZ5" s="344"/>
      <c r="CRA5" s="344"/>
      <c r="CRB5" s="344"/>
      <c r="CRC5" s="344"/>
      <c r="CRD5" s="344"/>
      <c r="CRE5" s="344"/>
      <c r="CRF5" s="344"/>
      <c r="CRG5" s="344"/>
      <c r="CRH5" s="344"/>
      <c r="CRI5" s="344"/>
      <c r="CRJ5" s="344"/>
      <c r="CRK5" s="344"/>
      <c r="CRL5" s="344"/>
      <c r="CRM5" s="344"/>
      <c r="CRN5" s="344"/>
      <c r="CRO5" s="344"/>
      <c r="CRP5" s="344"/>
      <c r="CRQ5" s="344"/>
      <c r="CRR5" s="344"/>
      <c r="CRS5" s="344"/>
      <c r="CRT5" s="344"/>
      <c r="CRU5" s="344"/>
      <c r="CRV5" s="344"/>
      <c r="CRW5" s="344"/>
      <c r="CRX5" s="344"/>
      <c r="CRY5" s="344"/>
      <c r="CRZ5" s="344"/>
      <c r="CSA5" s="344"/>
      <c r="CSB5" s="344"/>
      <c r="CSC5" s="344"/>
      <c r="CSD5" s="344"/>
      <c r="CSE5" s="344"/>
      <c r="CSF5" s="344"/>
      <c r="CSG5" s="344"/>
      <c r="CSH5" s="344"/>
      <c r="CSI5" s="344"/>
      <c r="CSJ5" s="344"/>
      <c r="CSK5" s="344"/>
      <c r="CSL5" s="344"/>
      <c r="CSM5" s="344"/>
      <c r="CSN5" s="344"/>
      <c r="CSO5" s="344"/>
      <c r="CSP5" s="344"/>
      <c r="CSQ5" s="344"/>
      <c r="CSR5" s="344"/>
      <c r="CSS5" s="344"/>
      <c r="CST5" s="344"/>
      <c r="CSU5" s="344"/>
      <c r="CSV5" s="344"/>
      <c r="CSW5" s="344"/>
      <c r="CSX5" s="344"/>
      <c r="CSY5" s="344"/>
      <c r="CSZ5" s="344"/>
      <c r="CTA5" s="344"/>
      <c r="CTB5" s="344"/>
      <c r="CTC5" s="344"/>
      <c r="CTD5" s="344"/>
      <c r="CTE5" s="344"/>
      <c r="CTF5" s="344"/>
      <c r="CTG5" s="344"/>
      <c r="CTH5" s="344"/>
      <c r="CTI5" s="344"/>
      <c r="CTJ5" s="344"/>
      <c r="CTK5" s="344"/>
      <c r="CTL5" s="344"/>
      <c r="CTM5" s="344"/>
      <c r="CTN5" s="344"/>
      <c r="CTO5" s="344"/>
      <c r="CTP5" s="344"/>
      <c r="CTQ5" s="344"/>
      <c r="CTR5" s="344"/>
      <c r="CTS5" s="344"/>
      <c r="CTT5" s="344"/>
      <c r="CTU5" s="344"/>
      <c r="CTV5" s="344"/>
      <c r="CTW5" s="344"/>
      <c r="CTX5" s="344"/>
      <c r="CTY5" s="344"/>
      <c r="CTZ5" s="344"/>
      <c r="CUA5" s="344"/>
      <c r="CUB5" s="344"/>
      <c r="CUC5" s="344"/>
      <c r="CUD5" s="344"/>
      <c r="CUE5" s="344"/>
      <c r="CUF5" s="344"/>
      <c r="CUG5" s="344"/>
      <c r="CUH5" s="344"/>
      <c r="CUI5" s="344"/>
      <c r="CUJ5" s="344"/>
      <c r="CUK5" s="344"/>
      <c r="CUL5" s="344"/>
      <c r="CUM5" s="344"/>
      <c r="CUN5" s="344"/>
      <c r="CUO5" s="344"/>
      <c r="CUP5" s="344"/>
      <c r="CUQ5" s="344"/>
      <c r="CUR5" s="344"/>
      <c r="CUS5" s="344"/>
      <c r="CUT5" s="344"/>
      <c r="CUU5" s="344"/>
      <c r="CUV5" s="344"/>
      <c r="CUW5" s="344"/>
      <c r="CUX5" s="344"/>
      <c r="CUY5" s="344"/>
      <c r="CUZ5" s="344"/>
      <c r="CVA5" s="344"/>
      <c r="CVB5" s="344"/>
      <c r="CVC5" s="344"/>
      <c r="CVD5" s="344"/>
      <c r="CVE5" s="344"/>
      <c r="CVF5" s="344"/>
      <c r="CVG5" s="344"/>
      <c r="CVH5" s="344"/>
      <c r="CVI5" s="344"/>
      <c r="CVJ5" s="344"/>
      <c r="CVK5" s="344"/>
      <c r="CVL5" s="344"/>
      <c r="CVM5" s="344"/>
      <c r="CVN5" s="344"/>
      <c r="CVO5" s="344"/>
      <c r="CVP5" s="344"/>
      <c r="CVQ5" s="344"/>
      <c r="CVR5" s="344"/>
      <c r="CVS5" s="344"/>
      <c r="CVT5" s="344"/>
      <c r="CVU5" s="344"/>
      <c r="CVV5" s="344"/>
      <c r="CVW5" s="344"/>
      <c r="CVX5" s="344"/>
      <c r="CVY5" s="344"/>
      <c r="CVZ5" s="344"/>
      <c r="CWA5" s="344"/>
      <c r="CWB5" s="344"/>
      <c r="CWC5" s="344"/>
      <c r="CWD5" s="344"/>
      <c r="CWE5" s="344"/>
      <c r="CWF5" s="344"/>
      <c r="CWG5" s="344"/>
      <c r="CWH5" s="344"/>
      <c r="CWI5" s="344"/>
      <c r="CWJ5" s="344"/>
      <c r="CWK5" s="344"/>
      <c r="CWL5" s="344"/>
      <c r="CWM5" s="344"/>
      <c r="CWN5" s="344"/>
      <c r="CWO5" s="344"/>
      <c r="CWP5" s="344"/>
      <c r="CWQ5" s="344"/>
      <c r="CWR5" s="344"/>
      <c r="CWS5" s="344"/>
      <c r="CWT5" s="344"/>
      <c r="CWU5" s="344"/>
      <c r="CWV5" s="344"/>
      <c r="CWW5" s="344"/>
      <c r="CWX5" s="344"/>
      <c r="CWY5" s="344"/>
      <c r="CWZ5" s="344"/>
      <c r="CXA5" s="344"/>
      <c r="CXB5" s="344"/>
      <c r="CXC5" s="344"/>
      <c r="CXD5" s="344"/>
      <c r="CXE5" s="344"/>
      <c r="CXF5" s="344"/>
      <c r="CXG5" s="344"/>
      <c r="CXH5" s="344"/>
      <c r="CXI5" s="344"/>
      <c r="CXJ5" s="344"/>
      <c r="CXK5" s="344"/>
      <c r="CXL5" s="344"/>
      <c r="CXM5" s="344"/>
      <c r="CXN5" s="344"/>
      <c r="CXO5" s="344"/>
      <c r="CXP5" s="344"/>
      <c r="CXQ5" s="344"/>
      <c r="CXR5" s="344"/>
      <c r="CXS5" s="344"/>
      <c r="CXT5" s="344"/>
      <c r="CXU5" s="344"/>
      <c r="CXV5" s="344"/>
      <c r="CXW5" s="344"/>
      <c r="CXX5" s="344"/>
      <c r="CXY5" s="344"/>
      <c r="CXZ5" s="344"/>
      <c r="CYA5" s="344"/>
      <c r="CYB5" s="344"/>
      <c r="CYC5" s="344"/>
      <c r="CYD5" s="344"/>
      <c r="CYE5" s="344"/>
      <c r="CYF5" s="344"/>
      <c r="CYG5" s="344"/>
      <c r="CYH5" s="344"/>
      <c r="CYI5" s="344"/>
      <c r="CYJ5" s="344"/>
      <c r="CYK5" s="344"/>
      <c r="CYL5" s="344"/>
      <c r="CYM5" s="344"/>
      <c r="CYN5" s="344"/>
      <c r="CYO5" s="344"/>
      <c r="CYP5" s="344"/>
      <c r="CYQ5" s="344"/>
      <c r="CYR5" s="344"/>
      <c r="CYS5" s="344"/>
      <c r="CYT5" s="344"/>
      <c r="CYU5" s="344"/>
      <c r="CYV5" s="344"/>
      <c r="CYW5" s="344"/>
      <c r="CYX5" s="344"/>
      <c r="CYY5" s="344"/>
      <c r="CYZ5" s="344"/>
      <c r="CZA5" s="344"/>
      <c r="CZB5" s="344"/>
      <c r="CZC5" s="344"/>
      <c r="CZD5" s="344"/>
      <c r="CZE5" s="344"/>
      <c r="CZF5" s="344"/>
      <c r="CZG5" s="344"/>
      <c r="CZH5" s="344"/>
      <c r="CZI5" s="344"/>
      <c r="CZJ5" s="344"/>
      <c r="CZK5" s="344"/>
      <c r="CZL5" s="344"/>
      <c r="CZM5" s="344"/>
      <c r="CZN5" s="344"/>
      <c r="CZO5" s="344"/>
      <c r="CZP5" s="344"/>
      <c r="CZQ5" s="344"/>
      <c r="CZR5" s="344"/>
      <c r="CZS5" s="344"/>
      <c r="CZT5" s="344"/>
      <c r="CZU5" s="344"/>
      <c r="CZV5" s="344"/>
      <c r="CZW5" s="344"/>
      <c r="CZX5" s="344"/>
      <c r="CZY5" s="344"/>
      <c r="CZZ5" s="344"/>
      <c r="DAA5" s="344"/>
      <c r="DAB5" s="344"/>
      <c r="DAC5" s="344"/>
      <c r="DAD5" s="344"/>
      <c r="DAE5" s="344"/>
      <c r="DAF5" s="344"/>
      <c r="DAG5" s="344"/>
      <c r="DAH5" s="344"/>
      <c r="DAI5" s="344"/>
      <c r="DAJ5" s="344"/>
      <c r="DAK5" s="344"/>
      <c r="DAL5" s="344"/>
      <c r="DAM5" s="344"/>
      <c r="DAN5" s="344"/>
      <c r="DAO5" s="344"/>
      <c r="DAP5" s="344"/>
      <c r="DAQ5" s="344"/>
      <c r="DAR5" s="344"/>
      <c r="DAS5" s="344"/>
      <c r="DAT5" s="344"/>
      <c r="DAU5" s="344"/>
      <c r="DAV5" s="344"/>
      <c r="DAW5" s="344"/>
      <c r="DAX5" s="344"/>
      <c r="DAY5" s="344"/>
      <c r="DAZ5" s="344"/>
      <c r="DBA5" s="344"/>
      <c r="DBB5" s="344"/>
      <c r="DBC5" s="344"/>
      <c r="DBD5" s="344"/>
      <c r="DBE5" s="344"/>
      <c r="DBF5" s="344"/>
      <c r="DBG5" s="344"/>
      <c r="DBH5" s="344"/>
      <c r="DBI5" s="344"/>
      <c r="DBJ5" s="344"/>
      <c r="DBK5" s="344"/>
      <c r="DBL5" s="344"/>
      <c r="DBM5" s="344"/>
      <c r="DBN5" s="344"/>
      <c r="DBO5" s="344"/>
      <c r="DBP5" s="344"/>
      <c r="DBQ5" s="344"/>
      <c r="DBR5" s="344"/>
      <c r="DBS5" s="344"/>
      <c r="DBT5" s="344"/>
      <c r="DBU5" s="344"/>
      <c r="DBV5" s="344"/>
      <c r="DBW5" s="344"/>
      <c r="DBX5" s="344"/>
      <c r="DBY5" s="344"/>
      <c r="DBZ5" s="344"/>
      <c r="DCA5" s="344"/>
      <c r="DCB5" s="344"/>
      <c r="DCC5" s="344"/>
      <c r="DCD5" s="344"/>
      <c r="DCE5" s="344"/>
      <c r="DCF5" s="344"/>
      <c r="DCG5" s="344"/>
      <c r="DCH5" s="344"/>
      <c r="DCI5" s="344"/>
      <c r="DCJ5" s="344"/>
      <c r="DCK5" s="344"/>
      <c r="DCL5" s="344"/>
      <c r="DCM5" s="344"/>
      <c r="DCN5" s="344"/>
      <c r="DCO5" s="344"/>
      <c r="DCP5" s="344"/>
      <c r="DCQ5" s="344"/>
      <c r="DCR5" s="344"/>
      <c r="DCS5" s="344"/>
      <c r="DCT5" s="344"/>
      <c r="DCU5" s="344"/>
      <c r="DCV5" s="344"/>
      <c r="DCW5" s="344"/>
      <c r="DCX5" s="344"/>
      <c r="DCY5" s="344"/>
      <c r="DCZ5" s="344"/>
      <c r="DDA5" s="344"/>
      <c r="DDB5" s="344"/>
      <c r="DDC5" s="344"/>
      <c r="DDD5" s="344"/>
      <c r="DDE5" s="344"/>
      <c r="DDF5" s="344"/>
      <c r="DDG5" s="344"/>
      <c r="DDH5" s="344"/>
      <c r="DDI5" s="344"/>
      <c r="DDJ5" s="344"/>
      <c r="DDK5" s="344"/>
      <c r="DDL5" s="344"/>
      <c r="DDM5" s="344"/>
      <c r="DDN5" s="344"/>
      <c r="DDO5" s="344"/>
      <c r="DDP5" s="344"/>
      <c r="DDQ5" s="344"/>
      <c r="DDR5" s="344"/>
      <c r="DDS5" s="344"/>
      <c r="DDT5" s="344"/>
      <c r="DDU5" s="344"/>
      <c r="DDV5" s="344"/>
      <c r="DDW5" s="344"/>
      <c r="DDX5" s="344"/>
      <c r="DDY5" s="344"/>
      <c r="DDZ5" s="344"/>
      <c r="DEA5" s="344"/>
      <c r="DEB5" s="344"/>
      <c r="DEC5" s="344"/>
      <c r="DED5" s="344"/>
      <c r="DEE5" s="344"/>
      <c r="DEF5" s="344"/>
      <c r="DEG5" s="344"/>
      <c r="DEH5" s="344"/>
      <c r="DEI5" s="344"/>
      <c r="DEJ5" s="344"/>
      <c r="DEK5" s="344"/>
      <c r="DEL5" s="344"/>
      <c r="DEM5" s="344"/>
      <c r="DEN5" s="344"/>
      <c r="DEO5" s="344"/>
      <c r="DEP5" s="344"/>
      <c r="DEQ5" s="344"/>
      <c r="DER5" s="344"/>
      <c r="DES5" s="344"/>
      <c r="DET5" s="344"/>
      <c r="DEU5" s="344"/>
      <c r="DEV5" s="344"/>
      <c r="DEW5" s="344"/>
      <c r="DEX5" s="344"/>
      <c r="DEY5" s="344"/>
      <c r="DEZ5" s="344"/>
      <c r="DFA5" s="344"/>
      <c r="DFB5" s="344"/>
      <c r="DFC5" s="344"/>
      <c r="DFD5" s="344"/>
      <c r="DFE5" s="344"/>
      <c r="DFF5" s="344"/>
      <c r="DFG5" s="344"/>
      <c r="DFH5" s="344"/>
      <c r="DFI5" s="344"/>
      <c r="DFJ5" s="344"/>
      <c r="DFK5" s="344"/>
      <c r="DFL5" s="344"/>
      <c r="DFM5" s="344"/>
      <c r="DFN5" s="344"/>
      <c r="DFO5" s="344"/>
      <c r="DFP5" s="344"/>
      <c r="DFQ5" s="344"/>
      <c r="DFR5" s="344"/>
      <c r="DFS5" s="344"/>
      <c r="DFT5" s="344"/>
      <c r="DFU5" s="344"/>
      <c r="DFV5" s="344"/>
      <c r="DFW5" s="344"/>
      <c r="DFX5" s="344"/>
      <c r="DFY5" s="344"/>
      <c r="DFZ5" s="344"/>
      <c r="DGA5" s="344"/>
      <c r="DGB5" s="344"/>
      <c r="DGC5" s="344"/>
      <c r="DGD5" s="344"/>
      <c r="DGE5" s="344"/>
      <c r="DGF5" s="344"/>
      <c r="DGG5" s="344"/>
      <c r="DGH5" s="344"/>
      <c r="DGI5" s="344"/>
      <c r="DGJ5" s="344"/>
      <c r="DGK5" s="344"/>
      <c r="DGL5" s="344"/>
      <c r="DGM5" s="344"/>
      <c r="DGN5" s="344"/>
      <c r="DGO5" s="344"/>
      <c r="DGP5" s="344"/>
      <c r="DGQ5" s="344"/>
      <c r="DGR5" s="344"/>
      <c r="DGS5" s="344"/>
      <c r="DGT5" s="344"/>
      <c r="DGU5" s="344"/>
      <c r="DGV5" s="344"/>
      <c r="DGW5" s="344"/>
      <c r="DGX5" s="344"/>
      <c r="DGY5" s="344"/>
      <c r="DGZ5" s="344"/>
      <c r="DHA5" s="344"/>
      <c r="DHB5" s="344"/>
      <c r="DHC5" s="344"/>
      <c r="DHD5" s="344"/>
      <c r="DHE5" s="344"/>
      <c r="DHF5" s="344"/>
      <c r="DHG5" s="344"/>
      <c r="DHH5" s="344"/>
      <c r="DHI5" s="344"/>
      <c r="DHJ5" s="344"/>
      <c r="DHK5" s="344"/>
      <c r="DHL5" s="344"/>
      <c r="DHM5" s="344"/>
      <c r="DHN5" s="344"/>
      <c r="DHO5" s="344"/>
      <c r="DHP5" s="344"/>
      <c r="DHQ5" s="344"/>
      <c r="DHR5" s="344"/>
      <c r="DHS5" s="344"/>
      <c r="DHT5" s="344"/>
      <c r="DHU5" s="344"/>
      <c r="DHV5" s="344"/>
      <c r="DHW5" s="344"/>
      <c r="DHX5" s="344"/>
      <c r="DHY5" s="344"/>
      <c r="DHZ5" s="344"/>
      <c r="DIA5" s="344"/>
      <c r="DIB5" s="344"/>
      <c r="DIC5" s="344"/>
      <c r="DID5" s="344"/>
      <c r="DIE5" s="344"/>
      <c r="DIF5" s="344"/>
      <c r="DIG5" s="344"/>
      <c r="DIH5" s="344"/>
      <c r="DII5" s="344"/>
      <c r="DIJ5" s="344"/>
      <c r="DIK5" s="344"/>
      <c r="DIL5" s="344"/>
      <c r="DIM5" s="344"/>
      <c r="DIN5" s="344"/>
      <c r="DIO5" s="344"/>
      <c r="DIP5" s="344"/>
      <c r="DIQ5" s="344"/>
      <c r="DIR5" s="344"/>
      <c r="DIS5" s="344"/>
      <c r="DIT5" s="344"/>
      <c r="DIU5" s="344"/>
      <c r="DIV5" s="344"/>
      <c r="DIW5" s="344"/>
      <c r="DIX5" s="344"/>
      <c r="DIY5" s="344"/>
      <c r="DIZ5" s="344"/>
      <c r="DJA5" s="344"/>
      <c r="DJB5" s="344"/>
      <c r="DJC5" s="344"/>
      <c r="DJD5" s="344"/>
      <c r="DJE5" s="344"/>
      <c r="DJF5" s="344"/>
      <c r="DJG5" s="344"/>
      <c r="DJH5" s="344"/>
      <c r="DJI5" s="344"/>
      <c r="DJJ5" s="344"/>
      <c r="DJK5" s="344"/>
      <c r="DJL5" s="344"/>
      <c r="DJM5" s="344"/>
      <c r="DJN5" s="344"/>
      <c r="DJO5" s="344"/>
      <c r="DJP5" s="344"/>
      <c r="DJQ5" s="344"/>
      <c r="DJR5" s="344"/>
      <c r="DJS5" s="344"/>
      <c r="DJT5" s="344"/>
      <c r="DJU5" s="344"/>
      <c r="DJV5" s="344"/>
      <c r="DJW5" s="344"/>
      <c r="DJX5" s="344"/>
      <c r="DJY5" s="344"/>
      <c r="DJZ5" s="344"/>
      <c r="DKA5" s="344"/>
      <c r="DKB5" s="344"/>
      <c r="DKC5" s="344"/>
      <c r="DKD5" s="344"/>
      <c r="DKE5" s="344"/>
      <c r="DKF5" s="344"/>
      <c r="DKG5" s="344"/>
      <c r="DKH5" s="344"/>
      <c r="DKI5" s="344"/>
      <c r="DKJ5" s="344"/>
      <c r="DKK5" s="344"/>
      <c r="DKL5" s="344"/>
      <c r="DKM5" s="344"/>
      <c r="DKN5" s="344"/>
      <c r="DKO5" s="344"/>
      <c r="DKP5" s="344"/>
      <c r="DKQ5" s="344"/>
      <c r="DKR5" s="344"/>
      <c r="DKS5" s="344"/>
      <c r="DKT5" s="344"/>
      <c r="DKU5" s="344"/>
      <c r="DKV5" s="344"/>
      <c r="DKW5" s="344"/>
      <c r="DKX5" s="344"/>
      <c r="DKY5" s="344"/>
      <c r="DKZ5" s="344"/>
      <c r="DLA5" s="344"/>
      <c r="DLB5" s="344"/>
      <c r="DLC5" s="344"/>
      <c r="DLD5" s="344"/>
      <c r="DLE5" s="344"/>
      <c r="DLF5" s="344"/>
      <c r="DLG5" s="344"/>
      <c r="DLH5" s="344"/>
      <c r="DLI5" s="344"/>
      <c r="DLJ5" s="344"/>
      <c r="DLK5" s="344"/>
      <c r="DLL5" s="344"/>
      <c r="DLM5" s="344"/>
      <c r="DLN5" s="344"/>
      <c r="DLO5" s="344"/>
      <c r="DLP5" s="344"/>
      <c r="DLQ5" s="344"/>
      <c r="DLR5" s="344"/>
      <c r="DLS5" s="344"/>
      <c r="DLT5" s="344"/>
      <c r="DLU5" s="344"/>
      <c r="DLV5" s="344"/>
      <c r="DLW5" s="344"/>
      <c r="DLX5" s="344"/>
      <c r="DLY5" s="344"/>
      <c r="DLZ5" s="344"/>
      <c r="DMA5" s="344"/>
      <c r="DMB5" s="344"/>
      <c r="DMC5" s="344"/>
      <c r="DMD5" s="344"/>
      <c r="DME5" s="344"/>
      <c r="DMF5" s="344"/>
      <c r="DMG5" s="344"/>
      <c r="DMH5" s="344"/>
      <c r="DMI5" s="344"/>
      <c r="DMJ5" s="344"/>
      <c r="DMK5" s="344"/>
      <c r="DML5" s="344"/>
      <c r="DMM5" s="344"/>
      <c r="DMN5" s="344"/>
      <c r="DMO5" s="344"/>
      <c r="DMP5" s="344"/>
      <c r="DMQ5" s="344"/>
      <c r="DMR5" s="344"/>
      <c r="DMS5" s="344"/>
      <c r="DMT5" s="344"/>
      <c r="DMU5" s="344"/>
      <c r="DMV5" s="344"/>
      <c r="DMW5" s="344"/>
      <c r="DMX5" s="344"/>
      <c r="DMY5" s="344"/>
      <c r="DMZ5" s="344"/>
      <c r="DNA5" s="344"/>
      <c r="DNB5" s="344"/>
      <c r="DNC5" s="344"/>
      <c r="DND5" s="344"/>
      <c r="DNE5" s="344"/>
      <c r="DNF5" s="344"/>
      <c r="DNG5" s="344"/>
      <c r="DNH5" s="344"/>
      <c r="DNI5" s="344"/>
      <c r="DNJ5" s="344"/>
      <c r="DNK5" s="344"/>
      <c r="DNL5" s="344"/>
      <c r="DNM5" s="344"/>
      <c r="DNN5" s="344"/>
      <c r="DNO5" s="344"/>
      <c r="DNP5" s="344"/>
      <c r="DNQ5" s="344"/>
      <c r="DNR5" s="344"/>
      <c r="DNS5" s="344"/>
      <c r="DNT5" s="344"/>
      <c r="DNU5" s="344"/>
      <c r="DNV5" s="344"/>
      <c r="DNW5" s="344"/>
      <c r="DNX5" s="344"/>
      <c r="DNY5" s="344"/>
      <c r="DNZ5" s="344"/>
      <c r="DOA5" s="344"/>
      <c r="DOB5" s="344"/>
      <c r="DOC5" s="344"/>
      <c r="DOD5" s="344"/>
      <c r="DOE5" s="344"/>
      <c r="DOF5" s="344"/>
      <c r="DOG5" s="344"/>
      <c r="DOH5" s="344"/>
      <c r="DOI5" s="344"/>
      <c r="DOJ5" s="344"/>
      <c r="DOK5" s="344"/>
      <c r="DOL5" s="344"/>
      <c r="DOM5" s="344"/>
      <c r="DON5" s="344"/>
      <c r="DOO5" s="344"/>
      <c r="DOP5" s="344"/>
      <c r="DOQ5" s="344"/>
      <c r="DOR5" s="344"/>
      <c r="DOS5" s="344"/>
      <c r="DOT5" s="344"/>
      <c r="DOU5" s="344"/>
      <c r="DOV5" s="344"/>
      <c r="DOW5" s="344"/>
      <c r="DOX5" s="344"/>
      <c r="DOY5" s="344"/>
      <c r="DOZ5" s="344"/>
      <c r="DPA5" s="344"/>
      <c r="DPB5" s="344"/>
      <c r="DPC5" s="344"/>
      <c r="DPD5" s="344"/>
      <c r="DPE5" s="344"/>
      <c r="DPF5" s="344"/>
      <c r="DPG5" s="344"/>
      <c r="DPH5" s="344"/>
      <c r="DPI5" s="344"/>
      <c r="DPJ5" s="344"/>
      <c r="DPK5" s="344"/>
      <c r="DPL5" s="344"/>
      <c r="DPM5" s="344"/>
      <c r="DPN5" s="344"/>
      <c r="DPO5" s="344"/>
      <c r="DPP5" s="344"/>
      <c r="DPQ5" s="344"/>
      <c r="DPR5" s="344"/>
      <c r="DPS5" s="344"/>
      <c r="DPT5" s="344"/>
      <c r="DPU5" s="344"/>
      <c r="DPV5" s="344"/>
      <c r="DPW5" s="344"/>
      <c r="DPX5" s="344"/>
      <c r="DPY5" s="344"/>
      <c r="DPZ5" s="344"/>
      <c r="DQA5" s="344"/>
      <c r="DQB5" s="344"/>
      <c r="DQC5" s="344"/>
      <c r="DQD5" s="344"/>
      <c r="DQE5" s="344"/>
      <c r="DQF5" s="344"/>
      <c r="DQG5" s="344"/>
      <c r="DQH5" s="344"/>
      <c r="DQI5" s="344"/>
      <c r="DQJ5" s="344"/>
      <c r="DQK5" s="344"/>
      <c r="DQL5" s="344"/>
      <c r="DQM5" s="344"/>
      <c r="DQN5" s="344"/>
      <c r="DQO5" s="344"/>
      <c r="DQP5" s="344"/>
      <c r="DQQ5" s="344"/>
      <c r="DQR5" s="344"/>
      <c r="DQS5" s="344"/>
      <c r="DQT5" s="344"/>
      <c r="DQU5" s="344"/>
      <c r="DQV5" s="344"/>
      <c r="DQW5" s="344"/>
      <c r="DQX5" s="344"/>
      <c r="DQY5" s="344"/>
      <c r="DQZ5" s="344"/>
      <c r="DRA5" s="344"/>
      <c r="DRB5" s="344"/>
      <c r="DRC5" s="344"/>
      <c r="DRD5" s="344"/>
      <c r="DRE5" s="344"/>
      <c r="DRF5" s="344"/>
      <c r="DRG5" s="344"/>
      <c r="DRH5" s="344"/>
      <c r="DRI5" s="344"/>
      <c r="DRJ5" s="344"/>
      <c r="DRK5" s="344"/>
      <c r="DRL5" s="344"/>
      <c r="DRM5" s="344"/>
      <c r="DRN5" s="344"/>
      <c r="DRO5" s="344"/>
      <c r="DRP5" s="344"/>
      <c r="DRQ5" s="344"/>
      <c r="DRR5" s="344"/>
      <c r="DRS5" s="344"/>
      <c r="DRT5" s="344"/>
      <c r="DRU5" s="344"/>
      <c r="DRV5" s="344"/>
      <c r="DRW5" s="344"/>
      <c r="DRX5" s="344"/>
      <c r="DRY5" s="344"/>
      <c r="DRZ5" s="344"/>
      <c r="DSA5" s="344"/>
      <c r="DSB5" s="344"/>
      <c r="DSC5" s="344"/>
      <c r="DSD5" s="344"/>
      <c r="DSE5" s="344"/>
      <c r="DSF5" s="344"/>
      <c r="DSG5" s="344"/>
      <c r="DSH5" s="344"/>
      <c r="DSI5" s="344"/>
      <c r="DSJ5" s="344"/>
      <c r="DSK5" s="344"/>
      <c r="DSL5" s="344"/>
      <c r="DSM5" s="344"/>
      <c r="DSN5" s="344"/>
      <c r="DSO5" s="344"/>
      <c r="DSP5" s="344"/>
      <c r="DSQ5" s="344"/>
      <c r="DSR5" s="344"/>
      <c r="DSS5" s="344"/>
      <c r="DST5" s="344"/>
      <c r="DSU5" s="344"/>
      <c r="DSV5" s="344"/>
      <c r="DSW5" s="344"/>
      <c r="DSX5" s="344"/>
      <c r="DSY5" s="344"/>
      <c r="DSZ5" s="344"/>
      <c r="DTA5" s="344"/>
      <c r="DTB5" s="344"/>
      <c r="DTC5" s="344"/>
      <c r="DTD5" s="344"/>
      <c r="DTE5" s="344"/>
      <c r="DTF5" s="344"/>
      <c r="DTG5" s="344"/>
      <c r="DTH5" s="344"/>
      <c r="DTI5" s="344"/>
      <c r="DTJ5" s="344"/>
      <c r="DTK5" s="344"/>
      <c r="DTL5" s="344"/>
      <c r="DTM5" s="344"/>
      <c r="DTN5" s="344"/>
      <c r="DTO5" s="344"/>
      <c r="DTP5" s="344"/>
      <c r="DTQ5" s="344"/>
      <c r="DTR5" s="344"/>
      <c r="DTS5" s="344"/>
      <c r="DTT5" s="344"/>
      <c r="DTU5" s="344"/>
      <c r="DTV5" s="344"/>
      <c r="DTW5" s="344"/>
      <c r="DTX5" s="344"/>
      <c r="DTY5" s="344"/>
      <c r="DTZ5" s="344"/>
      <c r="DUA5" s="344"/>
      <c r="DUB5" s="344"/>
      <c r="DUC5" s="344"/>
      <c r="DUD5" s="344"/>
      <c r="DUE5" s="344"/>
      <c r="DUF5" s="344"/>
      <c r="DUG5" s="344"/>
      <c r="DUH5" s="344"/>
      <c r="DUI5" s="344"/>
      <c r="DUJ5" s="344"/>
      <c r="DUK5" s="344"/>
      <c r="DUL5" s="344"/>
      <c r="DUM5" s="344"/>
      <c r="DUN5" s="344"/>
      <c r="DUO5" s="344"/>
      <c r="DUP5" s="344"/>
      <c r="DUQ5" s="344"/>
      <c r="DUR5" s="344"/>
      <c r="DUS5" s="344"/>
      <c r="DUT5" s="344"/>
      <c r="DUU5" s="344"/>
      <c r="DUV5" s="344"/>
      <c r="DUW5" s="344"/>
      <c r="DUX5" s="344"/>
      <c r="DUY5" s="344"/>
      <c r="DUZ5" s="344"/>
      <c r="DVA5" s="344"/>
      <c r="DVB5" s="344"/>
      <c r="DVC5" s="344"/>
      <c r="DVD5" s="344"/>
      <c r="DVE5" s="344"/>
      <c r="DVF5" s="344"/>
      <c r="DVG5" s="344"/>
      <c r="DVH5" s="344"/>
      <c r="DVI5" s="344"/>
      <c r="DVJ5" s="344"/>
      <c r="DVK5" s="344"/>
      <c r="DVL5" s="344"/>
      <c r="DVM5" s="344"/>
      <c r="DVN5" s="344"/>
      <c r="DVO5" s="344"/>
      <c r="DVP5" s="344"/>
      <c r="DVQ5" s="344"/>
      <c r="DVR5" s="344"/>
      <c r="DVS5" s="344"/>
      <c r="DVT5" s="344"/>
      <c r="DVU5" s="344"/>
      <c r="DVV5" s="344"/>
      <c r="DVW5" s="344"/>
      <c r="DVX5" s="344"/>
      <c r="DVY5" s="344"/>
      <c r="DVZ5" s="344"/>
      <c r="DWA5" s="344"/>
      <c r="DWB5" s="344"/>
      <c r="DWC5" s="344"/>
      <c r="DWD5" s="344"/>
      <c r="DWE5" s="344"/>
      <c r="DWF5" s="344"/>
      <c r="DWG5" s="344"/>
      <c r="DWH5" s="344"/>
      <c r="DWI5" s="344"/>
      <c r="DWJ5" s="344"/>
      <c r="DWK5" s="344"/>
      <c r="DWL5" s="344"/>
      <c r="DWM5" s="344"/>
      <c r="DWN5" s="344"/>
      <c r="DWO5" s="344"/>
      <c r="DWP5" s="344"/>
      <c r="DWQ5" s="344"/>
      <c r="DWR5" s="344"/>
      <c r="DWS5" s="344"/>
      <c r="DWT5" s="344"/>
      <c r="DWU5" s="344"/>
      <c r="DWV5" s="344"/>
      <c r="DWW5" s="344"/>
      <c r="DWX5" s="344"/>
      <c r="DWY5" s="344"/>
      <c r="DWZ5" s="344"/>
      <c r="DXA5" s="344"/>
      <c r="DXB5" s="344"/>
      <c r="DXC5" s="344"/>
      <c r="DXD5" s="344"/>
      <c r="DXE5" s="344"/>
      <c r="DXF5" s="344"/>
      <c r="DXG5" s="344"/>
      <c r="DXH5" s="344"/>
      <c r="DXI5" s="344"/>
      <c r="DXJ5" s="344"/>
      <c r="DXK5" s="344"/>
      <c r="DXL5" s="344"/>
      <c r="DXM5" s="344"/>
      <c r="DXN5" s="344"/>
      <c r="DXO5" s="344"/>
      <c r="DXP5" s="344"/>
      <c r="DXQ5" s="344"/>
      <c r="DXR5" s="344"/>
      <c r="DXS5" s="344"/>
      <c r="DXT5" s="344"/>
      <c r="DXU5" s="344"/>
      <c r="DXV5" s="344"/>
      <c r="DXW5" s="344"/>
      <c r="DXX5" s="344"/>
      <c r="DXY5" s="344"/>
      <c r="DXZ5" s="344"/>
      <c r="DYA5" s="344"/>
      <c r="DYB5" s="344"/>
      <c r="DYC5" s="344"/>
      <c r="DYD5" s="344"/>
      <c r="DYE5" s="344"/>
      <c r="DYF5" s="344"/>
      <c r="DYG5" s="344"/>
      <c r="DYH5" s="344"/>
      <c r="DYI5" s="344"/>
      <c r="DYJ5" s="344"/>
      <c r="DYK5" s="344"/>
      <c r="DYL5" s="344"/>
      <c r="DYM5" s="344"/>
      <c r="DYN5" s="344"/>
      <c r="DYO5" s="344"/>
      <c r="DYP5" s="344"/>
      <c r="DYQ5" s="344"/>
      <c r="DYR5" s="344"/>
      <c r="DYS5" s="344"/>
      <c r="DYT5" s="344"/>
      <c r="DYU5" s="344"/>
      <c r="DYV5" s="344"/>
      <c r="DYW5" s="344"/>
      <c r="DYX5" s="344"/>
      <c r="DYY5" s="344"/>
      <c r="DYZ5" s="344"/>
      <c r="DZA5" s="344"/>
      <c r="DZB5" s="344"/>
      <c r="DZC5" s="344"/>
      <c r="DZD5" s="344"/>
      <c r="DZE5" s="344"/>
      <c r="DZF5" s="344"/>
      <c r="DZG5" s="344"/>
      <c r="DZH5" s="344"/>
      <c r="DZI5" s="344"/>
      <c r="DZJ5" s="344"/>
      <c r="DZK5" s="344"/>
      <c r="DZL5" s="344"/>
      <c r="DZM5" s="344"/>
      <c r="DZN5" s="344"/>
      <c r="DZO5" s="344"/>
      <c r="DZP5" s="344"/>
      <c r="DZQ5" s="344"/>
      <c r="DZR5" s="344"/>
      <c r="DZS5" s="344"/>
      <c r="DZT5" s="344"/>
      <c r="DZU5" s="344"/>
      <c r="DZV5" s="344"/>
      <c r="DZW5" s="344"/>
      <c r="DZX5" s="344"/>
      <c r="DZY5" s="344"/>
      <c r="DZZ5" s="344"/>
      <c r="EAA5" s="344"/>
      <c r="EAB5" s="344"/>
      <c r="EAC5" s="344"/>
      <c r="EAD5" s="344"/>
      <c r="EAE5" s="344"/>
      <c r="EAF5" s="344"/>
      <c r="EAG5" s="344"/>
      <c r="EAH5" s="344"/>
      <c r="EAI5" s="344"/>
      <c r="EAJ5" s="344"/>
      <c r="EAK5" s="344"/>
      <c r="EAL5" s="344"/>
      <c r="EAM5" s="344"/>
      <c r="EAN5" s="344"/>
      <c r="EAO5" s="344"/>
      <c r="EAP5" s="344"/>
      <c r="EAQ5" s="344"/>
      <c r="EAR5" s="344"/>
      <c r="EAS5" s="344"/>
      <c r="EAT5" s="344"/>
      <c r="EAU5" s="344"/>
      <c r="EAV5" s="344"/>
      <c r="EAW5" s="344"/>
      <c r="EAX5" s="344"/>
      <c r="EAY5" s="344"/>
      <c r="EAZ5" s="344"/>
      <c r="EBA5" s="344"/>
      <c r="EBB5" s="344"/>
      <c r="EBC5" s="344"/>
      <c r="EBD5" s="344"/>
      <c r="EBE5" s="344"/>
      <c r="EBF5" s="344"/>
      <c r="EBG5" s="344"/>
      <c r="EBH5" s="344"/>
      <c r="EBI5" s="344"/>
      <c r="EBJ5" s="344"/>
      <c r="EBK5" s="344"/>
      <c r="EBL5" s="344"/>
      <c r="EBM5" s="344"/>
      <c r="EBN5" s="344"/>
      <c r="EBO5" s="344"/>
      <c r="EBP5" s="344"/>
      <c r="EBQ5" s="344"/>
      <c r="EBR5" s="344"/>
      <c r="EBS5" s="344"/>
      <c r="EBT5" s="344"/>
      <c r="EBU5" s="344"/>
      <c r="EBV5" s="344"/>
      <c r="EBW5" s="344"/>
      <c r="EBX5" s="344"/>
      <c r="EBY5" s="344"/>
      <c r="EBZ5" s="344"/>
      <c r="ECA5" s="344"/>
      <c r="ECB5" s="344"/>
      <c r="ECC5" s="344"/>
      <c r="ECD5" s="344"/>
      <c r="ECE5" s="344"/>
      <c r="ECF5" s="344"/>
      <c r="ECG5" s="344"/>
      <c r="ECH5" s="344"/>
      <c r="ECI5" s="344"/>
      <c r="ECJ5" s="344"/>
      <c r="ECK5" s="344"/>
      <c r="ECL5" s="344"/>
      <c r="ECM5" s="344"/>
      <c r="ECN5" s="344"/>
      <c r="ECO5" s="344"/>
      <c r="ECP5" s="344"/>
      <c r="ECQ5" s="344"/>
      <c r="ECR5" s="344"/>
      <c r="ECS5" s="344"/>
      <c r="ECT5" s="344"/>
      <c r="ECU5" s="344"/>
      <c r="ECV5" s="344"/>
      <c r="ECW5" s="344"/>
      <c r="ECX5" s="344"/>
      <c r="ECY5" s="344"/>
      <c r="ECZ5" s="344"/>
      <c r="EDA5" s="344"/>
      <c r="EDB5" s="344"/>
      <c r="EDC5" s="344"/>
      <c r="EDD5" s="344"/>
      <c r="EDE5" s="344"/>
      <c r="EDF5" s="344"/>
      <c r="EDG5" s="344"/>
      <c r="EDH5" s="344"/>
      <c r="EDI5" s="344"/>
      <c r="EDJ5" s="344"/>
      <c r="EDK5" s="344"/>
      <c r="EDL5" s="344"/>
      <c r="EDM5" s="344"/>
      <c r="EDN5" s="344"/>
      <c r="EDO5" s="344"/>
      <c r="EDP5" s="344"/>
      <c r="EDQ5" s="344"/>
      <c r="EDR5" s="344"/>
      <c r="EDS5" s="344"/>
      <c r="EDT5" s="344"/>
      <c r="EDU5" s="344"/>
      <c r="EDV5" s="344"/>
      <c r="EDW5" s="344"/>
      <c r="EDX5" s="344"/>
      <c r="EDY5" s="344"/>
      <c r="EDZ5" s="344"/>
      <c r="EEA5" s="344"/>
      <c r="EEB5" s="344"/>
      <c r="EEC5" s="344"/>
      <c r="EED5" s="344"/>
      <c r="EEE5" s="344"/>
      <c r="EEF5" s="344"/>
      <c r="EEG5" s="344"/>
      <c r="EEH5" s="344"/>
      <c r="EEI5" s="344"/>
      <c r="EEJ5" s="344"/>
      <c r="EEK5" s="344"/>
      <c r="EEL5" s="344"/>
      <c r="EEM5" s="344"/>
      <c r="EEN5" s="344"/>
      <c r="EEO5" s="344"/>
      <c r="EEP5" s="344"/>
      <c r="EEQ5" s="344"/>
      <c r="EER5" s="344"/>
      <c r="EES5" s="344"/>
      <c r="EET5" s="344"/>
      <c r="EEU5" s="344"/>
      <c r="EEV5" s="344"/>
      <c r="EEW5" s="344"/>
      <c r="EEX5" s="344"/>
      <c r="EEY5" s="344"/>
      <c r="EEZ5" s="344"/>
      <c r="EFA5" s="344"/>
      <c r="EFB5" s="344"/>
      <c r="EFC5" s="344"/>
      <c r="EFD5" s="344"/>
      <c r="EFE5" s="344"/>
      <c r="EFF5" s="344"/>
      <c r="EFG5" s="344"/>
      <c r="EFH5" s="344"/>
      <c r="EFI5" s="344"/>
      <c r="EFJ5" s="344"/>
      <c r="EFK5" s="344"/>
      <c r="EFL5" s="344"/>
      <c r="EFM5" s="344"/>
      <c r="EFN5" s="344"/>
      <c r="EFO5" s="344"/>
      <c r="EFP5" s="344"/>
      <c r="EFQ5" s="344"/>
      <c r="EFR5" s="344"/>
      <c r="EFS5" s="344"/>
      <c r="EFT5" s="344"/>
      <c r="EFU5" s="344"/>
      <c r="EFV5" s="344"/>
      <c r="EFW5" s="344"/>
      <c r="EFX5" s="344"/>
      <c r="EFY5" s="344"/>
      <c r="EFZ5" s="344"/>
      <c r="EGA5" s="344"/>
      <c r="EGB5" s="344"/>
      <c r="EGC5" s="344"/>
      <c r="EGD5" s="344"/>
      <c r="EGE5" s="344"/>
      <c r="EGF5" s="344"/>
      <c r="EGG5" s="344"/>
      <c r="EGH5" s="344"/>
      <c r="EGI5" s="344"/>
      <c r="EGJ5" s="344"/>
      <c r="EGK5" s="344"/>
      <c r="EGL5" s="344"/>
      <c r="EGM5" s="344"/>
      <c r="EGN5" s="344"/>
      <c r="EGO5" s="344"/>
      <c r="EGP5" s="344"/>
      <c r="EGQ5" s="344"/>
      <c r="EGR5" s="344"/>
      <c r="EGS5" s="344"/>
      <c r="EGT5" s="344"/>
      <c r="EGU5" s="344"/>
      <c r="EGV5" s="344"/>
      <c r="EGW5" s="344"/>
      <c r="EGX5" s="344"/>
      <c r="EGY5" s="344"/>
      <c r="EGZ5" s="344"/>
      <c r="EHA5" s="344"/>
      <c r="EHB5" s="344"/>
      <c r="EHC5" s="344"/>
      <c r="EHD5" s="344"/>
      <c r="EHE5" s="344"/>
      <c r="EHF5" s="344"/>
      <c r="EHG5" s="344"/>
      <c r="EHH5" s="344"/>
      <c r="EHI5" s="344"/>
      <c r="EHJ5" s="344"/>
      <c r="EHK5" s="344"/>
      <c r="EHL5" s="344"/>
      <c r="EHM5" s="344"/>
      <c r="EHN5" s="344"/>
      <c r="EHO5" s="344"/>
      <c r="EHP5" s="344"/>
      <c r="EHQ5" s="344"/>
      <c r="EHR5" s="344"/>
      <c r="EHS5" s="344"/>
      <c r="EHT5" s="344"/>
      <c r="EHU5" s="344"/>
      <c r="EHV5" s="344"/>
      <c r="EHW5" s="344"/>
      <c r="EHX5" s="344"/>
      <c r="EHY5" s="344"/>
      <c r="EHZ5" s="344"/>
      <c r="EIA5" s="344"/>
      <c r="EIB5" s="344"/>
      <c r="EIC5" s="344"/>
      <c r="EID5" s="344"/>
      <c r="EIE5" s="344"/>
      <c r="EIF5" s="344"/>
      <c r="EIG5" s="344"/>
      <c r="EIH5" s="344"/>
      <c r="EII5" s="344"/>
      <c r="EIJ5" s="344"/>
      <c r="EIK5" s="344"/>
      <c r="EIL5" s="344"/>
      <c r="EIM5" s="344"/>
      <c r="EIN5" s="344"/>
      <c r="EIO5" s="344"/>
      <c r="EIP5" s="344"/>
      <c r="EIQ5" s="344"/>
      <c r="EIR5" s="344"/>
      <c r="EIS5" s="344"/>
      <c r="EIT5" s="344"/>
      <c r="EIU5" s="344"/>
      <c r="EIV5" s="344"/>
      <c r="EIW5" s="344"/>
      <c r="EIX5" s="344"/>
      <c r="EIY5" s="344"/>
      <c r="EIZ5" s="344"/>
      <c r="EJA5" s="344"/>
      <c r="EJB5" s="344"/>
      <c r="EJC5" s="344"/>
      <c r="EJD5" s="344"/>
      <c r="EJE5" s="344"/>
      <c r="EJF5" s="344"/>
      <c r="EJG5" s="344"/>
      <c r="EJH5" s="344"/>
      <c r="EJI5" s="344"/>
      <c r="EJJ5" s="344"/>
      <c r="EJK5" s="344"/>
      <c r="EJL5" s="344"/>
      <c r="EJM5" s="344"/>
      <c r="EJN5" s="344"/>
      <c r="EJO5" s="344"/>
      <c r="EJP5" s="344"/>
      <c r="EJQ5" s="344"/>
      <c r="EJR5" s="344"/>
      <c r="EJS5" s="344"/>
      <c r="EJT5" s="344"/>
      <c r="EJU5" s="344"/>
      <c r="EJV5" s="344"/>
      <c r="EJW5" s="344"/>
      <c r="EJX5" s="344"/>
      <c r="EJY5" s="344"/>
      <c r="EJZ5" s="344"/>
      <c r="EKA5" s="344"/>
      <c r="EKB5" s="344"/>
      <c r="EKC5" s="344"/>
      <c r="EKD5" s="344"/>
      <c r="EKE5" s="344"/>
      <c r="EKF5" s="344"/>
      <c r="EKG5" s="344"/>
      <c r="EKH5" s="344"/>
      <c r="EKI5" s="344"/>
      <c r="EKJ5" s="344"/>
      <c r="EKK5" s="344"/>
      <c r="EKL5" s="344"/>
      <c r="EKM5" s="344"/>
      <c r="EKN5" s="344"/>
      <c r="EKO5" s="344"/>
      <c r="EKP5" s="344"/>
      <c r="EKQ5" s="344"/>
      <c r="EKR5" s="344"/>
      <c r="EKS5" s="344"/>
      <c r="EKT5" s="344"/>
      <c r="EKU5" s="344"/>
      <c r="EKV5" s="344"/>
      <c r="EKW5" s="344"/>
      <c r="EKX5" s="344"/>
      <c r="EKY5" s="344"/>
      <c r="EKZ5" s="344"/>
      <c r="ELA5" s="344"/>
      <c r="ELB5" s="344"/>
      <c r="ELC5" s="344"/>
      <c r="ELD5" s="344"/>
      <c r="ELE5" s="344"/>
      <c r="ELF5" s="344"/>
      <c r="ELG5" s="344"/>
      <c r="ELH5" s="344"/>
      <c r="ELI5" s="344"/>
      <c r="ELJ5" s="344"/>
      <c r="ELK5" s="344"/>
      <c r="ELL5" s="344"/>
      <c r="ELM5" s="344"/>
      <c r="ELN5" s="344"/>
      <c r="ELO5" s="344"/>
      <c r="ELP5" s="344"/>
      <c r="ELQ5" s="344"/>
      <c r="ELR5" s="344"/>
      <c r="ELS5" s="344"/>
      <c r="ELT5" s="344"/>
      <c r="ELU5" s="344"/>
      <c r="ELV5" s="344"/>
      <c r="ELW5" s="344"/>
      <c r="ELX5" s="344"/>
      <c r="ELY5" s="344"/>
      <c r="ELZ5" s="344"/>
      <c r="EMA5" s="344"/>
      <c r="EMB5" s="344"/>
      <c r="EMC5" s="344"/>
      <c r="EMD5" s="344"/>
      <c r="EME5" s="344"/>
      <c r="EMF5" s="344"/>
      <c r="EMG5" s="344"/>
      <c r="EMH5" s="344"/>
      <c r="EMI5" s="344"/>
      <c r="EMJ5" s="344"/>
      <c r="EMK5" s="344"/>
      <c r="EML5" s="344"/>
      <c r="EMM5" s="344"/>
      <c r="EMN5" s="344"/>
      <c r="EMO5" s="344"/>
      <c r="EMP5" s="344"/>
      <c r="EMQ5" s="344"/>
      <c r="EMR5" s="344"/>
      <c r="EMS5" s="344"/>
      <c r="EMT5" s="344"/>
      <c r="EMU5" s="344"/>
      <c r="EMV5" s="344"/>
      <c r="EMW5" s="344"/>
      <c r="EMX5" s="344"/>
      <c r="EMY5" s="344"/>
      <c r="EMZ5" s="344"/>
      <c r="ENA5" s="344"/>
      <c r="ENB5" s="344"/>
      <c r="ENC5" s="344"/>
      <c r="END5" s="344"/>
      <c r="ENE5" s="344"/>
      <c r="ENF5" s="344"/>
      <c r="ENG5" s="344"/>
      <c r="ENH5" s="344"/>
      <c r="ENI5" s="344"/>
      <c r="ENJ5" s="344"/>
      <c r="ENK5" s="344"/>
      <c r="ENL5" s="344"/>
      <c r="ENM5" s="344"/>
      <c r="ENN5" s="344"/>
      <c r="ENO5" s="344"/>
      <c r="ENP5" s="344"/>
      <c r="ENQ5" s="344"/>
      <c r="ENR5" s="344"/>
      <c r="ENS5" s="344"/>
      <c r="ENT5" s="344"/>
      <c r="ENU5" s="344"/>
      <c r="ENV5" s="344"/>
      <c r="ENW5" s="344"/>
      <c r="ENX5" s="344"/>
      <c r="ENY5" s="344"/>
      <c r="ENZ5" s="344"/>
      <c r="EOA5" s="344"/>
      <c r="EOB5" s="344"/>
      <c r="EOC5" s="344"/>
      <c r="EOD5" s="344"/>
      <c r="EOE5" s="344"/>
      <c r="EOF5" s="344"/>
      <c r="EOG5" s="344"/>
      <c r="EOH5" s="344"/>
      <c r="EOI5" s="344"/>
      <c r="EOJ5" s="344"/>
      <c r="EOK5" s="344"/>
      <c r="EOL5" s="344"/>
      <c r="EOM5" s="344"/>
      <c r="EON5" s="344"/>
      <c r="EOO5" s="344"/>
      <c r="EOP5" s="344"/>
      <c r="EOQ5" s="344"/>
      <c r="EOR5" s="344"/>
      <c r="EOS5" s="344"/>
      <c r="EOT5" s="344"/>
      <c r="EOU5" s="344"/>
      <c r="EOV5" s="344"/>
      <c r="EOW5" s="344"/>
      <c r="EOX5" s="344"/>
      <c r="EOY5" s="344"/>
      <c r="EOZ5" s="344"/>
      <c r="EPA5" s="344"/>
      <c r="EPB5" s="344"/>
      <c r="EPC5" s="344"/>
      <c r="EPD5" s="344"/>
      <c r="EPE5" s="344"/>
      <c r="EPF5" s="344"/>
      <c r="EPG5" s="344"/>
      <c r="EPH5" s="344"/>
      <c r="EPI5" s="344"/>
      <c r="EPJ5" s="344"/>
      <c r="EPK5" s="344"/>
      <c r="EPL5" s="344"/>
      <c r="EPM5" s="344"/>
      <c r="EPN5" s="344"/>
      <c r="EPO5" s="344"/>
      <c r="EPP5" s="344"/>
      <c r="EPQ5" s="344"/>
      <c r="EPR5" s="344"/>
      <c r="EPS5" s="344"/>
      <c r="EPT5" s="344"/>
      <c r="EPU5" s="344"/>
      <c r="EPV5" s="344"/>
      <c r="EPW5" s="344"/>
      <c r="EPX5" s="344"/>
      <c r="EPY5" s="344"/>
      <c r="EPZ5" s="344"/>
      <c r="EQA5" s="344"/>
      <c r="EQB5" s="344"/>
      <c r="EQC5" s="344"/>
      <c r="EQD5" s="344"/>
      <c r="EQE5" s="344"/>
      <c r="EQF5" s="344"/>
      <c r="EQG5" s="344"/>
      <c r="EQH5" s="344"/>
      <c r="EQI5" s="344"/>
      <c r="EQJ5" s="344"/>
      <c r="EQK5" s="344"/>
      <c r="EQL5" s="344"/>
      <c r="EQM5" s="344"/>
      <c r="EQN5" s="344"/>
      <c r="EQO5" s="344"/>
      <c r="EQP5" s="344"/>
      <c r="EQQ5" s="344"/>
      <c r="EQR5" s="344"/>
      <c r="EQS5" s="344"/>
      <c r="EQT5" s="344"/>
      <c r="EQU5" s="344"/>
      <c r="EQV5" s="344"/>
      <c r="EQW5" s="344"/>
      <c r="EQX5" s="344"/>
      <c r="EQY5" s="344"/>
      <c r="EQZ5" s="344"/>
      <c r="ERA5" s="344"/>
      <c r="ERB5" s="344"/>
      <c r="ERC5" s="344"/>
      <c r="ERD5" s="344"/>
      <c r="ERE5" s="344"/>
      <c r="ERF5" s="344"/>
      <c r="ERG5" s="344"/>
      <c r="ERH5" s="344"/>
      <c r="ERI5" s="344"/>
      <c r="ERJ5" s="344"/>
      <c r="ERK5" s="344"/>
      <c r="ERL5" s="344"/>
      <c r="ERM5" s="344"/>
      <c r="ERN5" s="344"/>
      <c r="ERO5" s="344"/>
      <c r="ERP5" s="344"/>
      <c r="ERQ5" s="344"/>
      <c r="ERR5" s="344"/>
      <c r="ERS5" s="344"/>
      <c r="ERT5" s="344"/>
      <c r="ERU5" s="344"/>
      <c r="ERV5" s="344"/>
      <c r="ERW5" s="344"/>
      <c r="ERX5" s="344"/>
      <c r="ERY5" s="344"/>
      <c r="ERZ5" s="344"/>
      <c r="ESA5" s="344"/>
      <c r="ESB5" s="344"/>
      <c r="ESC5" s="344"/>
      <c r="ESD5" s="344"/>
      <c r="ESE5" s="344"/>
      <c r="ESF5" s="344"/>
      <c r="ESG5" s="344"/>
      <c r="ESH5" s="344"/>
      <c r="ESI5" s="344"/>
      <c r="ESJ5" s="344"/>
      <c r="ESK5" s="344"/>
      <c r="ESL5" s="344"/>
      <c r="ESM5" s="344"/>
      <c r="ESN5" s="344"/>
      <c r="ESO5" s="344"/>
      <c r="ESP5" s="344"/>
      <c r="ESQ5" s="344"/>
      <c r="ESR5" s="344"/>
      <c r="ESS5" s="344"/>
      <c r="EST5" s="344"/>
      <c r="ESU5" s="344"/>
      <c r="ESV5" s="344"/>
      <c r="ESW5" s="344"/>
      <c r="ESX5" s="344"/>
      <c r="ESY5" s="344"/>
      <c r="ESZ5" s="344"/>
      <c r="ETA5" s="344"/>
      <c r="ETB5" s="344"/>
      <c r="ETC5" s="344"/>
      <c r="ETD5" s="344"/>
      <c r="ETE5" s="344"/>
      <c r="ETF5" s="344"/>
      <c r="ETG5" s="344"/>
      <c r="ETH5" s="344"/>
      <c r="ETI5" s="344"/>
      <c r="ETJ5" s="344"/>
      <c r="ETK5" s="344"/>
      <c r="ETL5" s="344"/>
      <c r="ETM5" s="344"/>
      <c r="ETN5" s="344"/>
      <c r="ETO5" s="344"/>
      <c r="ETP5" s="344"/>
      <c r="ETQ5" s="344"/>
      <c r="ETR5" s="344"/>
      <c r="ETS5" s="344"/>
      <c r="ETT5" s="344"/>
      <c r="ETU5" s="344"/>
      <c r="ETV5" s="344"/>
      <c r="ETW5" s="344"/>
      <c r="ETX5" s="344"/>
      <c r="ETY5" s="344"/>
      <c r="ETZ5" s="344"/>
      <c r="EUA5" s="344"/>
      <c r="EUB5" s="344"/>
      <c r="EUC5" s="344"/>
      <c r="EUD5" s="344"/>
      <c r="EUE5" s="344"/>
      <c r="EUF5" s="344"/>
      <c r="EUG5" s="344"/>
      <c r="EUH5" s="344"/>
      <c r="EUI5" s="344"/>
      <c r="EUJ5" s="344"/>
      <c r="EUK5" s="344"/>
      <c r="EUL5" s="344"/>
      <c r="EUM5" s="344"/>
      <c r="EUN5" s="344"/>
      <c r="EUO5" s="344"/>
      <c r="EUP5" s="344"/>
      <c r="EUQ5" s="344"/>
      <c r="EUR5" s="344"/>
      <c r="EUS5" s="344"/>
      <c r="EUT5" s="344"/>
      <c r="EUU5" s="344"/>
      <c r="EUV5" s="344"/>
      <c r="EUW5" s="344"/>
      <c r="EUX5" s="344"/>
      <c r="EUY5" s="344"/>
      <c r="EUZ5" s="344"/>
      <c r="EVA5" s="344"/>
      <c r="EVB5" s="344"/>
      <c r="EVC5" s="344"/>
      <c r="EVD5" s="344"/>
      <c r="EVE5" s="344"/>
      <c r="EVF5" s="344"/>
      <c r="EVG5" s="344"/>
      <c r="EVH5" s="344"/>
      <c r="EVI5" s="344"/>
      <c r="EVJ5" s="344"/>
      <c r="EVK5" s="344"/>
      <c r="EVL5" s="344"/>
      <c r="EVM5" s="344"/>
      <c r="EVN5" s="344"/>
      <c r="EVO5" s="344"/>
      <c r="EVP5" s="344"/>
      <c r="EVQ5" s="344"/>
      <c r="EVR5" s="344"/>
      <c r="EVS5" s="344"/>
      <c r="EVT5" s="344"/>
      <c r="EVU5" s="344"/>
      <c r="EVV5" s="344"/>
      <c r="EVW5" s="344"/>
      <c r="EVX5" s="344"/>
      <c r="EVY5" s="344"/>
      <c r="EVZ5" s="344"/>
      <c r="EWA5" s="344"/>
      <c r="EWB5" s="344"/>
      <c r="EWC5" s="344"/>
      <c r="EWD5" s="344"/>
      <c r="EWE5" s="344"/>
      <c r="EWF5" s="344"/>
      <c r="EWG5" s="344"/>
      <c r="EWH5" s="344"/>
      <c r="EWI5" s="344"/>
      <c r="EWJ5" s="344"/>
      <c r="EWK5" s="344"/>
      <c r="EWL5" s="344"/>
      <c r="EWM5" s="344"/>
      <c r="EWN5" s="344"/>
      <c r="EWO5" s="344"/>
      <c r="EWP5" s="344"/>
      <c r="EWQ5" s="344"/>
      <c r="EWR5" s="344"/>
      <c r="EWS5" s="344"/>
      <c r="EWT5" s="344"/>
      <c r="EWU5" s="344"/>
      <c r="EWV5" s="344"/>
      <c r="EWW5" s="344"/>
      <c r="EWX5" s="344"/>
      <c r="EWY5" s="344"/>
      <c r="EWZ5" s="344"/>
      <c r="EXA5" s="344"/>
      <c r="EXB5" s="344"/>
      <c r="EXC5" s="344"/>
      <c r="EXD5" s="344"/>
      <c r="EXE5" s="344"/>
      <c r="EXF5" s="344"/>
      <c r="EXG5" s="344"/>
      <c r="EXH5" s="344"/>
      <c r="EXI5" s="344"/>
      <c r="EXJ5" s="344"/>
      <c r="EXK5" s="344"/>
      <c r="EXL5" s="344"/>
      <c r="EXM5" s="344"/>
      <c r="EXN5" s="344"/>
      <c r="EXO5" s="344"/>
      <c r="EXP5" s="344"/>
      <c r="EXQ5" s="344"/>
      <c r="EXR5" s="344"/>
      <c r="EXS5" s="344"/>
      <c r="EXT5" s="344"/>
      <c r="EXU5" s="344"/>
      <c r="EXV5" s="344"/>
      <c r="EXW5" s="344"/>
      <c r="EXX5" s="344"/>
      <c r="EXY5" s="344"/>
      <c r="EXZ5" s="344"/>
      <c r="EYA5" s="344"/>
      <c r="EYB5" s="344"/>
      <c r="EYC5" s="344"/>
      <c r="EYD5" s="344"/>
      <c r="EYE5" s="344"/>
      <c r="EYF5" s="344"/>
      <c r="EYG5" s="344"/>
      <c r="EYH5" s="344"/>
      <c r="EYI5" s="344"/>
      <c r="EYJ5" s="344"/>
      <c r="EYK5" s="344"/>
      <c r="EYL5" s="344"/>
      <c r="EYM5" s="344"/>
      <c r="EYN5" s="344"/>
      <c r="EYO5" s="344"/>
      <c r="EYP5" s="344"/>
      <c r="EYQ5" s="344"/>
      <c r="EYR5" s="344"/>
      <c r="EYS5" s="344"/>
      <c r="EYT5" s="344"/>
      <c r="EYU5" s="344"/>
      <c r="EYV5" s="344"/>
      <c r="EYW5" s="344"/>
      <c r="EYX5" s="344"/>
      <c r="EYY5" s="344"/>
      <c r="EYZ5" s="344"/>
      <c r="EZA5" s="344"/>
      <c r="EZB5" s="344"/>
      <c r="EZC5" s="344"/>
      <c r="EZD5" s="344"/>
      <c r="EZE5" s="344"/>
      <c r="EZF5" s="344"/>
      <c r="EZG5" s="344"/>
      <c r="EZH5" s="344"/>
      <c r="EZI5" s="344"/>
      <c r="EZJ5" s="344"/>
      <c r="EZK5" s="344"/>
      <c r="EZL5" s="344"/>
      <c r="EZM5" s="344"/>
      <c r="EZN5" s="344"/>
      <c r="EZO5" s="344"/>
      <c r="EZP5" s="344"/>
      <c r="EZQ5" s="344"/>
      <c r="EZR5" s="344"/>
      <c r="EZS5" s="344"/>
      <c r="EZT5" s="344"/>
      <c r="EZU5" s="344"/>
      <c r="EZV5" s="344"/>
      <c r="EZW5" s="344"/>
      <c r="EZX5" s="344"/>
      <c r="EZY5" s="344"/>
      <c r="EZZ5" s="344"/>
      <c r="FAA5" s="344"/>
      <c r="FAB5" s="344"/>
      <c r="FAC5" s="344"/>
      <c r="FAD5" s="344"/>
      <c r="FAE5" s="344"/>
      <c r="FAF5" s="344"/>
      <c r="FAG5" s="344"/>
      <c r="FAH5" s="344"/>
      <c r="FAI5" s="344"/>
      <c r="FAJ5" s="344"/>
      <c r="FAK5" s="344"/>
      <c r="FAL5" s="344"/>
      <c r="FAM5" s="344"/>
      <c r="FAN5" s="344"/>
      <c r="FAO5" s="344"/>
      <c r="FAP5" s="344"/>
      <c r="FAQ5" s="344"/>
      <c r="FAR5" s="344"/>
      <c r="FAS5" s="344"/>
      <c r="FAT5" s="344"/>
      <c r="FAU5" s="344"/>
      <c r="FAV5" s="344"/>
      <c r="FAW5" s="344"/>
      <c r="FAX5" s="344"/>
      <c r="FAY5" s="344"/>
      <c r="FAZ5" s="344"/>
      <c r="FBA5" s="344"/>
      <c r="FBB5" s="344"/>
      <c r="FBC5" s="344"/>
      <c r="FBD5" s="344"/>
      <c r="FBE5" s="344"/>
      <c r="FBF5" s="344"/>
      <c r="FBG5" s="344"/>
      <c r="FBH5" s="344"/>
      <c r="FBI5" s="344"/>
      <c r="FBJ5" s="344"/>
      <c r="FBK5" s="344"/>
      <c r="FBL5" s="344"/>
      <c r="FBM5" s="344"/>
      <c r="FBN5" s="344"/>
      <c r="FBO5" s="344"/>
      <c r="FBP5" s="344"/>
      <c r="FBQ5" s="344"/>
      <c r="FBR5" s="344"/>
      <c r="FBS5" s="344"/>
      <c r="FBT5" s="344"/>
      <c r="FBU5" s="344"/>
      <c r="FBV5" s="344"/>
      <c r="FBW5" s="344"/>
      <c r="FBX5" s="344"/>
      <c r="FBY5" s="344"/>
      <c r="FBZ5" s="344"/>
      <c r="FCA5" s="344"/>
      <c r="FCB5" s="344"/>
      <c r="FCC5" s="344"/>
      <c r="FCD5" s="344"/>
      <c r="FCE5" s="344"/>
      <c r="FCF5" s="344"/>
      <c r="FCG5" s="344"/>
      <c r="FCH5" s="344"/>
      <c r="FCI5" s="344"/>
      <c r="FCJ5" s="344"/>
      <c r="FCK5" s="344"/>
      <c r="FCL5" s="344"/>
      <c r="FCM5" s="344"/>
      <c r="FCN5" s="344"/>
      <c r="FCO5" s="344"/>
      <c r="FCP5" s="344"/>
      <c r="FCQ5" s="344"/>
      <c r="FCR5" s="344"/>
      <c r="FCS5" s="344"/>
      <c r="FCT5" s="344"/>
      <c r="FCU5" s="344"/>
      <c r="FCV5" s="344"/>
      <c r="FCW5" s="344"/>
      <c r="FCX5" s="344"/>
      <c r="FCY5" s="344"/>
      <c r="FCZ5" s="344"/>
      <c r="FDA5" s="344"/>
      <c r="FDB5" s="344"/>
      <c r="FDC5" s="344"/>
      <c r="FDD5" s="344"/>
      <c r="FDE5" s="344"/>
      <c r="FDF5" s="344"/>
      <c r="FDG5" s="344"/>
      <c r="FDH5" s="344"/>
      <c r="FDI5" s="344"/>
      <c r="FDJ5" s="344"/>
      <c r="FDK5" s="344"/>
      <c r="FDL5" s="344"/>
      <c r="FDM5" s="344"/>
      <c r="FDN5" s="344"/>
      <c r="FDO5" s="344"/>
      <c r="FDP5" s="344"/>
      <c r="FDQ5" s="344"/>
      <c r="FDR5" s="344"/>
      <c r="FDS5" s="344"/>
      <c r="FDT5" s="344"/>
      <c r="FDU5" s="344"/>
      <c r="FDV5" s="344"/>
      <c r="FDW5" s="344"/>
      <c r="FDX5" s="344"/>
      <c r="FDY5" s="344"/>
      <c r="FDZ5" s="344"/>
      <c r="FEA5" s="344"/>
      <c r="FEB5" s="344"/>
      <c r="FEC5" s="344"/>
      <c r="FED5" s="344"/>
      <c r="FEE5" s="344"/>
      <c r="FEF5" s="344"/>
      <c r="FEG5" s="344"/>
      <c r="FEH5" s="344"/>
      <c r="FEI5" s="344"/>
      <c r="FEJ5" s="344"/>
      <c r="FEK5" s="344"/>
      <c r="FEL5" s="344"/>
      <c r="FEM5" s="344"/>
      <c r="FEN5" s="344"/>
      <c r="FEO5" s="344"/>
      <c r="FEP5" s="344"/>
      <c r="FEQ5" s="344"/>
      <c r="FER5" s="344"/>
      <c r="FES5" s="344"/>
      <c r="FET5" s="344"/>
      <c r="FEU5" s="344"/>
      <c r="FEV5" s="344"/>
      <c r="FEW5" s="344"/>
      <c r="FEX5" s="344"/>
      <c r="FEY5" s="344"/>
      <c r="FEZ5" s="344"/>
      <c r="FFA5" s="344"/>
      <c r="FFB5" s="344"/>
      <c r="FFC5" s="344"/>
      <c r="FFD5" s="344"/>
      <c r="FFE5" s="344"/>
      <c r="FFF5" s="344"/>
      <c r="FFG5" s="344"/>
      <c r="FFH5" s="344"/>
      <c r="FFI5" s="344"/>
      <c r="FFJ5" s="344"/>
      <c r="FFK5" s="344"/>
      <c r="FFL5" s="344"/>
      <c r="FFM5" s="344"/>
      <c r="FFN5" s="344"/>
      <c r="FFO5" s="344"/>
      <c r="FFP5" s="344"/>
      <c r="FFQ5" s="344"/>
      <c r="FFR5" s="344"/>
      <c r="FFS5" s="344"/>
      <c r="FFT5" s="344"/>
      <c r="FFU5" s="344"/>
      <c r="FFV5" s="344"/>
      <c r="FFW5" s="344"/>
      <c r="FFX5" s="344"/>
      <c r="FFY5" s="344"/>
      <c r="FFZ5" s="344"/>
      <c r="FGA5" s="344"/>
      <c r="FGB5" s="344"/>
      <c r="FGC5" s="344"/>
      <c r="FGD5" s="344"/>
      <c r="FGE5" s="344"/>
      <c r="FGF5" s="344"/>
      <c r="FGG5" s="344"/>
      <c r="FGH5" s="344"/>
      <c r="FGI5" s="344"/>
      <c r="FGJ5" s="344"/>
      <c r="FGK5" s="344"/>
      <c r="FGL5" s="344"/>
      <c r="FGM5" s="344"/>
      <c r="FGN5" s="344"/>
      <c r="FGO5" s="344"/>
      <c r="FGP5" s="344"/>
      <c r="FGQ5" s="344"/>
      <c r="FGR5" s="344"/>
      <c r="FGS5" s="344"/>
      <c r="FGT5" s="344"/>
      <c r="FGU5" s="344"/>
      <c r="FGV5" s="344"/>
      <c r="FGW5" s="344"/>
      <c r="FGX5" s="344"/>
      <c r="FGY5" s="344"/>
      <c r="FGZ5" s="344"/>
      <c r="FHA5" s="344"/>
      <c r="FHB5" s="344"/>
      <c r="FHC5" s="344"/>
      <c r="FHD5" s="344"/>
      <c r="FHE5" s="344"/>
      <c r="FHF5" s="344"/>
      <c r="FHG5" s="344"/>
      <c r="FHH5" s="344"/>
      <c r="FHI5" s="344"/>
      <c r="FHJ5" s="344"/>
      <c r="FHK5" s="344"/>
      <c r="FHL5" s="344"/>
      <c r="FHM5" s="344"/>
      <c r="FHN5" s="344"/>
      <c r="FHO5" s="344"/>
      <c r="FHP5" s="344"/>
      <c r="FHQ5" s="344"/>
      <c r="FHR5" s="344"/>
      <c r="FHS5" s="344"/>
      <c r="FHT5" s="344"/>
      <c r="FHU5" s="344"/>
      <c r="FHV5" s="344"/>
      <c r="FHW5" s="344"/>
      <c r="FHX5" s="344"/>
      <c r="FHY5" s="344"/>
      <c r="FHZ5" s="344"/>
      <c r="FIA5" s="344"/>
      <c r="FIB5" s="344"/>
      <c r="FIC5" s="344"/>
      <c r="FID5" s="344"/>
      <c r="FIE5" s="344"/>
      <c r="FIF5" s="344"/>
      <c r="FIG5" s="344"/>
      <c r="FIH5" s="344"/>
      <c r="FII5" s="344"/>
      <c r="FIJ5" s="344"/>
      <c r="FIK5" s="344"/>
      <c r="FIL5" s="344"/>
      <c r="FIM5" s="344"/>
      <c r="FIN5" s="344"/>
      <c r="FIO5" s="344"/>
      <c r="FIP5" s="344"/>
      <c r="FIQ5" s="344"/>
      <c r="FIR5" s="344"/>
      <c r="FIS5" s="344"/>
      <c r="FIT5" s="344"/>
      <c r="FIU5" s="344"/>
      <c r="FIV5" s="344"/>
      <c r="FIW5" s="344"/>
      <c r="FIX5" s="344"/>
      <c r="FIY5" s="344"/>
      <c r="FIZ5" s="344"/>
      <c r="FJA5" s="344"/>
      <c r="FJB5" s="344"/>
      <c r="FJC5" s="344"/>
      <c r="FJD5" s="344"/>
      <c r="FJE5" s="344"/>
      <c r="FJF5" s="344"/>
      <c r="FJG5" s="344"/>
      <c r="FJH5" s="344"/>
      <c r="FJI5" s="344"/>
      <c r="FJJ5" s="344"/>
      <c r="FJK5" s="344"/>
      <c r="FJL5" s="344"/>
      <c r="FJM5" s="344"/>
      <c r="FJN5" s="344"/>
      <c r="FJO5" s="344"/>
      <c r="FJP5" s="344"/>
      <c r="FJQ5" s="344"/>
      <c r="FJR5" s="344"/>
      <c r="FJS5" s="344"/>
      <c r="FJT5" s="344"/>
      <c r="FJU5" s="344"/>
      <c r="FJV5" s="344"/>
      <c r="FJW5" s="344"/>
      <c r="FJX5" s="344"/>
      <c r="FJY5" s="344"/>
      <c r="FJZ5" s="344"/>
      <c r="FKA5" s="344"/>
      <c r="FKB5" s="344"/>
      <c r="FKC5" s="344"/>
      <c r="FKD5" s="344"/>
      <c r="FKE5" s="344"/>
      <c r="FKF5" s="344"/>
      <c r="FKG5" s="344"/>
      <c r="FKH5" s="344"/>
      <c r="FKI5" s="344"/>
      <c r="FKJ5" s="344"/>
      <c r="FKK5" s="344"/>
      <c r="FKL5" s="344"/>
      <c r="FKM5" s="344"/>
      <c r="FKN5" s="344"/>
      <c r="FKO5" s="344"/>
      <c r="FKP5" s="344"/>
      <c r="FKQ5" s="344"/>
      <c r="FKR5" s="344"/>
      <c r="FKS5" s="344"/>
      <c r="FKT5" s="344"/>
      <c r="FKU5" s="344"/>
      <c r="FKV5" s="344"/>
      <c r="FKW5" s="344"/>
      <c r="FKX5" s="344"/>
      <c r="FKY5" s="344"/>
      <c r="FKZ5" s="344"/>
      <c r="FLA5" s="344"/>
      <c r="FLB5" s="344"/>
      <c r="FLC5" s="344"/>
      <c r="FLD5" s="344"/>
      <c r="FLE5" s="344"/>
      <c r="FLF5" s="344"/>
      <c r="FLG5" s="344"/>
      <c r="FLH5" s="344"/>
      <c r="FLI5" s="344"/>
      <c r="FLJ5" s="344"/>
      <c r="FLK5" s="344"/>
      <c r="FLL5" s="344"/>
      <c r="FLM5" s="344"/>
      <c r="FLN5" s="344"/>
      <c r="FLO5" s="344"/>
      <c r="FLP5" s="344"/>
      <c r="FLQ5" s="344"/>
      <c r="FLR5" s="344"/>
      <c r="FLS5" s="344"/>
      <c r="FLT5" s="344"/>
      <c r="FLU5" s="344"/>
      <c r="FLV5" s="344"/>
      <c r="FLW5" s="344"/>
      <c r="FLX5" s="344"/>
      <c r="FLY5" s="344"/>
      <c r="FLZ5" s="344"/>
      <c r="FMA5" s="344"/>
      <c r="FMB5" s="344"/>
      <c r="FMC5" s="344"/>
      <c r="FMD5" s="344"/>
      <c r="FME5" s="344"/>
      <c r="FMF5" s="344"/>
      <c r="FMG5" s="344"/>
      <c r="FMH5" s="344"/>
      <c r="FMI5" s="344"/>
      <c r="FMJ5" s="344"/>
      <c r="FMK5" s="344"/>
      <c r="FML5" s="344"/>
      <c r="FMM5" s="344"/>
      <c r="FMN5" s="344"/>
      <c r="FMO5" s="344"/>
      <c r="FMP5" s="344"/>
      <c r="FMQ5" s="344"/>
      <c r="FMR5" s="344"/>
      <c r="FMS5" s="344"/>
      <c r="FMT5" s="344"/>
      <c r="FMU5" s="344"/>
      <c r="FMV5" s="344"/>
      <c r="FMW5" s="344"/>
      <c r="FMX5" s="344"/>
      <c r="FMY5" s="344"/>
      <c r="FMZ5" s="344"/>
      <c r="FNA5" s="344"/>
      <c r="FNB5" s="344"/>
      <c r="FNC5" s="344"/>
      <c r="FND5" s="344"/>
      <c r="FNE5" s="344"/>
      <c r="FNF5" s="344"/>
      <c r="FNG5" s="344"/>
      <c r="FNH5" s="344"/>
      <c r="FNI5" s="344"/>
      <c r="FNJ5" s="344"/>
      <c r="FNK5" s="344"/>
      <c r="FNL5" s="344"/>
      <c r="FNM5" s="344"/>
      <c r="FNN5" s="344"/>
      <c r="FNO5" s="344"/>
      <c r="FNP5" s="344"/>
      <c r="FNQ5" s="344"/>
      <c r="FNR5" s="344"/>
      <c r="FNS5" s="344"/>
      <c r="FNT5" s="344"/>
      <c r="FNU5" s="344"/>
      <c r="FNV5" s="344"/>
      <c r="FNW5" s="344"/>
      <c r="FNX5" s="344"/>
      <c r="FNY5" s="344"/>
      <c r="FNZ5" s="344"/>
      <c r="FOA5" s="344"/>
      <c r="FOB5" s="344"/>
      <c r="FOC5" s="344"/>
      <c r="FOD5" s="344"/>
      <c r="FOE5" s="344"/>
      <c r="FOF5" s="344"/>
      <c r="FOG5" s="344"/>
      <c r="FOH5" s="344"/>
      <c r="FOI5" s="344"/>
      <c r="FOJ5" s="344"/>
      <c r="FOK5" s="344"/>
      <c r="FOL5" s="344"/>
      <c r="FOM5" s="344"/>
      <c r="FON5" s="344"/>
      <c r="FOO5" s="344"/>
      <c r="FOP5" s="344"/>
      <c r="FOQ5" s="344"/>
      <c r="FOR5" s="344"/>
      <c r="FOS5" s="344"/>
      <c r="FOT5" s="344"/>
      <c r="FOU5" s="344"/>
      <c r="FOV5" s="344"/>
      <c r="FOW5" s="344"/>
      <c r="FOX5" s="344"/>
      <c r="FOY5" s="344"/>
      <c r="FOZ5" s="344"/>
      <c r="FPA5" s="344"/>
      <c r="FPB5" s="344"/>
      <c r="FPC5" s="344"/>
      <c r="FPD5" s="344"/>
      <c r="FPE5" s="344"/>
      <c r="FPF5" s="344"/>
      <c r="FPG5" s="344"/>
      <c r="FPH5" s="344"/>
      <c r="FPI5" s="344"/>
      <c r="FPJ5" s="344"/>
      <c r="FPK5" s="344"/>
      <c r="FPL5" s="344"/>
      <c r="FPM5" s="344"/>
      <c r="FPN5" s="344"/>
      <c r="FPO5" s="344"/>
      <c r="FPP5" s="344"/>
      <c r="FPQ5" s="344"/>
      <c r="FPR5" s="344"/>
      <c r="FPS5" s="344"/>
      <c r="FPT5" s="344"/>
      <c r="FPU5" s="344"/>
      <c r="FPV5" s="344"/>
      <c r="FPW5" s="344"/>
      <c r="FPX5" s="344"/>
      <c r="FPY5" s="344"/>
      <c r="FPZ5" s="344"/>
      <c r="FQA5" s="344"/>
      <c r="FQB5" s="344"/>
      <c r="FQC5" s="344"/>
      <c r="FQD5" s="344"/>
      <c r="FQE5" s="344"/>
      <c r="FQF5" s="344"/>
      <c r="FQG5" s="344"/>
      <c r="FQH5" s="344"/>
      <c r="FQI5" s="344"/>
      <c r="FQJ5" s="344"/>
      <c r="FQK5" s="344"/>
      <c r="FQL5" s="344"/>
      <c r="FQM5" s="344"/>
      <c r="FQN5" s="344"/>
      <c r="FQO5" s="344"/>
      <c r="FQP5" s="344"/>
      <c r="FQQ5" s="344"/>
      <c r="FQR5" s="344"/>
      <c r="FQS5" s="344"/>
      <c r="FQT5" s="344"/>
      <c r="FQU5" s="344"/>
      <c r="FQV5" s="344"/>
      <c r="FQW5" s="344"/>
      <c r="FQX5" s="344"/>
      <c r="FQY5" s="344"/>
      <c r="FQZ5" s="344"/>
      <c r="FRA5" s="344"/>
      <c r="FRB5" s="344"/>
      <c r="FRC5" s="344"/>
      <c r="FRD5" s="344"/>
      <c r="FRE5" s="344"/>
      <c r="FRF5" s="344"/>
      <c r="FRG5" s="344"/>
      <c r="FRH5" s="344"/>
      <c r="FRI5" s="344"/>
      <c r="FRJ5" s="344"/>
      <c r="FRK5" s="344"/>
      <c r="FRL5" s="344"/>
      <c r="FRM5" s="344"/>
      <c r="FRN5" s="344"/>
      <c r="FRO5" s="344"/>
      <c r="FRP5" s="344"/>
      <c r="FRQ5" s="344"/>
      <c r="FRR5" s="344"/>
      <c r="FRS5" s="344"/>
      <c r="FRT5" s="344"/>
      <c r="FRU5" s="344"/>
      <c r="FRV5" s="344"/>
      <c r="FRW5" s="344"/>
      <c r="FRX5" s="344"/>
      <c r="FRY5" s="344"/>
      <c r="FRZ5" s="344"/>
      <c r="FSA5" s="344"/>
      <c r="FSB5" s="344"/>
      <c r="FSC5" s="344"/>
      <c r="FSD5" s="344"/>
      <c r="FSE5" s="344"/>
      <c r="FSF5" s="344"/>
      <c r="FSG5" s="344"/>
      <c r="FSH5" s="344"/>
      <c r="FSI5" s="344"/>
      <c r="FSJ5" s="344"/>
      <c r="FSK5" s="344"/>
      <c r="FSL5" s="344"/>
      <c r="FSM5" s="344"/>
      <c r="FSN5" s="344"/>
      <c r="FSO5" s="344"/>
      <c r="FSP5" s="344"/>
      <c r="FSQ5" s="344"/>
      <c r="FSR5" s="344"/>
      <c r="FSS5" s="344"/>
      <c r="FST5" s="344"/>
      <c r="FSU5" s="344"/>
      <c r="FSV5" s="344"/>
      <c r="FSW5" s="344"/>
      <c r="FSX5" s="344"/>
      <c r="FSY5" s="344"/>
      <c r="FSZ5" s="344"/>
      <c r="FTA5" s="344"/>
      <c r="FTB5" s="344"/>
      <c r="FTC5" s="344"/>
      <c r="FTD5" s="344"/>
      <c r="FTE5" s="344"/>
      <c r="FTF5" s="344"/>
      <c r="FTG5" s="344"/>
      <c r="FTH5" s="344"/>
      <c r="FTI5" s="344"/>
      <c r="FTJ5" s="344"/>
      <c r="FTK5" s="344"/>
      <c r="FTL5" s="344"/>
      <c r="FTM5" s="344"/>
      <c r="FTN5" s="344"/>
      <c r="FTO5" s="344"/>
      <c r="FTP5" s="344"/>
      <c r="FTQ5" s="344"/>
      <c r="FTR5" s="344"/>
      <c r="FTS5" s="344"/>
      <c r="FTT5" s="344"/>
      <c r="FTU5" s="344"/>
      <c r="FTV5" s="344"/>
      <c r="FTW5" s="344"/>
      <c r="FTX5" s="344"/>
      <c r="FTY5" s="344"/>
      <c r="FTZ5" s="344"/>
      <c r="FUA5" s="344"/>
      <c r="FUB5" s="344"/>
      <c r="FUC5" s="344"/>
      <c r="FUD5" s="344"/>
      <c r="FUE5" s="344"/>
      <c r="FUF5" s="344"/>
      <c r="FUG5" s="344"/>
      <c r="FUH5" s="344"/>
      <c r="FUI5" s="344"/>
      <c r="FUJ5" s="344"/>
      <c r="FUK5" s="344"/>
      <c r="FUL5" s="344"/>
      <c r="FUM5" s="344"/>
      <c r="FUN5" s="344"/>
      <c r="FUO5" s="344"/>
      <c r="FUP5" s="344"/>
      <c r="FUQ5" s="344"/>
      <c r="FUR5" s="344"/>
      <c r="FUS5" s="344"/>
      <c r="FUT5" s="344"/>
      <c r="FUU5" s="344"/>
      <c r="FUV5" s="344"/>
      <c r="FUW5" s="344"/>
      <c r="FUX5" s="344"/>
      <c r="FUY5" s="344"/>
      <c r="FUZ5" s="344"/>
      <c r="FVA5" s="344"/>
      <c r="FVB5" s="344"/>
      <c r="FVC5" s="344"/>
      <c r="FVD5" s="344"/>
      <c r="FVE5" s="344"/>
      <c r="FVF5" s="344"/>
      <c r="FVG5" s="344"/>
      <c r="FVH5" s="344"/>
      <c r="FVI5" s="344"/>
      <c r="FVJ5" s="344"/>
      <c r="FVK5" s="344"/>
      <c r="FVL5" s="344"/>
      <c r="FVM5" s="344"/>
      <c r="FVN5" s="344"/>
      <c r="FVO5" s="344"/>
      <c r="FVP5" s="344"/>
      <c r="FVQ5" s="344"/>
      <c r="FVR5" s="344"/>
      <c r="FVS5" s="344"/>
      <c r="FVT5" s="344"/>
      <c r="FVU5" s="344"/>
      <c r="FVV5" s="344"/>
      <c r="FVW5" s="344"/>
      <c r="FVX5" s="344"/>
      <c r="FVY5" s="344"/>
      <c r="FVZ5" s="344"/>
      <c r="FWA5" s="344"/>
      <c r="FWB5" s="344"/>
      <c r="FWC5" s="344"/>
      <c r="FWD5" s="344"/>
      <c r="FWE5" s="344"/>
      <c r="FWF5" s="344"/>
      <c r="FWG5" s="344"/>
      <c r="FWH5" s="344"/>
      <c r="FWI5" s="344"/>
      <c r="FWJ5" s="344"/>
      <c r="FWK5" s="344"/>
      <c r="FWL5" s="344"/>
      <c r="FWM5" s="344"/>
      <c r="FWN5" s="344"/>
      <c r="FWO5" s="344"/>
      <c r="FWP5" s="344"/>
      <c r="FWQ5" s="344"/>
      <c r="FWR5" s="344"/>
      <c r="FWS5" s="344"/>
      <c r="FWT5" s="344"/>
      <c r="FWU5" s="344"/>
      <c r="FWV5" s="344"/>
      <c r="FWW5" s="344"/>
      <c r="FWX5" s="344"/>
      <c r="FWY5" s="344"/>
      <c r="FWZ5" s="344"/>
      <c r="FXA5" s="344"/>
      <c r="FXB5" s="344"/>
      <c r="FXC5" s="344"/>
      <c r="FXD5" s="344"/>
      <c r="FXE5" s="344"/>
      <c r="FXF5" s="344"/>
      <c r="FXG5" s="344"/>
      <c r="FXH5" s="344"/>
      <c r="FXI5" s="344"/>
      <c r="FXJ5" s="344"/>
      <c r="FXK5" s="344"/>
      <c r="FXL5" s="344"/>
      <c r="FXM5" s="344"/>
      <c r="FXN5" s="344"/>
      <c r="FXO5" s="344"/>
      <c r="FXP5" s="344"/>
      <c r="FXQ5" s="344"/>
      <c r="FXR5" s="344"/>
      <c r="FXS5" s="344"/>
      <c r="FXT5" s="344"/>
      <c r="FXU5" s="344"/>
      <c r="FXV5" s="344"/>
      <c r="FXW5" s="344"/>
      <c r="FXX5" s="344"/>
      <c r="FXY5" s="344"/>
      <c r="FXZ5" s="344"/>
      <c r="FYA5" s="344"/>
      <c r="FYB5" s="344"/>
      <c r="FYC5" s="344"/>
      <c r="FYD5" s="344"/>
      <c r="FYE5" s="344"/>
      <c r="FYF5" s="344"/>
      <c r="FYG5" s="344"/>
      <c r="FYH5" s="344"/>
      <c r="FYI5" s="344"/>
      <c r="FYJ5" s="344"/>
      <c r="FYK5" s="344"/>
      <c r="FYL5" s="344"/>
      <c r="FYM5" s="344"/>
      <c r="FYN5" s="344"/>
      <c r="FYO5" s="344"/>
      <c r="FYP5" s="344"/>
      <c r="FYQ5" s="344"/>
      <c r="FYR5" s="344"/>
      <c r="FYS5" s="344"/>
      <c r="FYT5" s="344"/>
      <c r="FYU5" s="344"/>
      <c r="FYV5" s="344"/>
      <c r="FYW5" s="344"/>
      <c r="FYX5" s="344"/>
      <c r="FYY5" s="344"/>
      <c r="FYZ5" s="344"/>
      <c r="FZA5" s="344"/>
      <c r="FZB5" s="344"/>
      <c r="FZC5" s="344"/>
      <c r="FZD5" s="344"/>
      <c r="FZE5" s="344"/>
      <c r="FZF5" s="344"/>
      <c r="FZG5" s="344"/>
      <c r="FZH5" s="344"/>
      <c r="FZI5" s="344"/>
      <c r="FZJ5" s="344"/>
      <c r="FZK5" s="344"/>
      <c r="FZL5" s="344"/>
      <c r="FZM5" s="344"/>
      <c r="FZN5" s="344"/>
      <c r="FZO5" s="344"/>
      <c r="FZP5" s="344"/>
      <c r="FZQ5" s="344"/>
      <c r="FZR5" s="344"/>
      <c r="FZS5" s="344"/>
      <c r="FZT5" s="344"/>
      <c r="FZU5" s="344"/>
      <c r="FZV5" s="344"/>
      <c r="FZW5" s="344"/>
      <c r="FZX5" s="344"/>
      <c r="FZY5" s="344"/>
      <c r="FZZ5" s="344"/>
      <c r="GAA5" s="344"/>
      <c r="GAB5" s="344"/>
      <c r="GAC5" s="344"/>
      <c r="GAD5" s="344"/>
      <c r="GAE5" s="344"/>
      <c r="GAF5" s="344"/>
      <c r="GAG5" s="344"/>
      <c r="GAH5" s="344"/>
      <c r="GAI5" s="344"/>
      <c r="GAJ5" s="344"/>
      <c r="GAK5" s="344"/>
      <c r="GAL5" s="344"/>
      <c r="GAM5" s="344"/>
      <c r="GAN5" s="344"/>
      <c r="GAO5" s="344"/>
      <c r="GAP5" s="344"/>
      <c r="GAQ5" s="344"/>
      <c r="GAR5" s="344"/>
      <c r="GAS5" s="344"/>
      <c r="GAT5" s="344"/>
      <c r="GAU5" s="344"/>
      <c r="GAV5" s="344"/>
      <c r="GAW5" s="344"/>
      <c r="GAX5" s="344"/>
      <c r="GAY5" s="344"/>
      <c r="GAZ5" s="344"/>
      <c r="GBA5" s="344"/>
      <c r="GBB5" s="344"/>
      <c r="GBC5" s="344"/>
      <c r="GBD5" s="344"/>
      <c r="GBE5" s="344"/>
      <c r="GBF5" s="344"/>
      <c r="GBG5" s="344"/>
      <c r="GBH5" s="344"/>
      <c r="GBI5" s="344"/>
      <c r="GBJ5" s="344"/>
      <c r="GBK5" s="344"/>
      <c r="GBL5" s="344"/>
      <c r="GBM5" s="344"/>
      <c r="GBN5" s="344"/>
      <c r="GBO5" s="344"/>
      <c r="GBP5" s="344"/>
      <c r="GBQ5" s="344"/>
      <c r="GBR5" s="344"/>
      <c r="GBS5" s="344"/>
      <c r="GBT5" s="344"/>
      <c r="GBU5" s="344"/>
      <c r="GBV5" s="344"/>
      <c r="GBW5" s="344"/>
      <c r="GBX5" s="344"/>
      <c r="GBY5" s="344"/>
      <c r="GBZ5" s="344"/>
      <c r="GCA5" s="344"/>
      <c r="GCB5" s="344"/>
      <c r="GCC5" s="344"/>
      <c r="GCD5" s="344"/>
      <c r="GCE5" s="344"/>
      <c r="GCF5" s="344"/>
      <c r="GCG5" s="344"/>
      <c r="GCH5" s="344"/>
      <c r="GCI5" s="344"/>
      <c r="GCJ5" s="344"/>
      <c r="GCK5" s="344"/>
      <c r="GCL5" s="344"/>
      <c r="GCM5" s="344"/>
      <c r="GCN5" s="344"/>
      <c r="GCO5" s="344"/>
      <c r="GCP5" s="344"/>
      <c r="GCQ5" s="344"/>
      <c r="GCR5" s="344"/>
      <c r="GCS5" s="344"/>
      <c r="GCT5" s="344"/>
      <c r="GCU5" s="344"/>
      <c r="GCV5" s="344"/>
      <c r="GCW5" s="344"/>
      <c r="GCX5" s="344"/>
      <c r="GCY5" s="344"/>
      <c r="GCZ5" s="344"/>
      <c r="GDA5" s="344"/>
      <c r="GDB5" s="344"/>
      <c r="GDC5" s="344"/>
      <c r="GDD5" s="344"/>
      <c r="GDE5" s="344"/>
      <c r="GDF5" s="344"/>
      <c r="GDG5" s="344"/>
      <c r="GDH5" s="344"/>
      <c r="GDI5" s="344"/>
      <c r="GDJ5" s="344"/>
      <c r="GDK5" s="344"/>
      <c r="GDL5" s="344"/>
      <c r="GDM5" s="344"/>
      <c r="GDN5" s="344"/>
      <c r="GDO5" s="344"/>
      <c r="GDP5" s="344"/>
      <c r="GDQ5" s="344"/>
      <c r="GDR5" s="344"/>
      <c r="GDS5" s="344"/>
      <c r="GDT5" s="344"/>
      <c r="GDU5" s="344"/>
      <c r="GDV5" s="344"/>
      <c r="GDW5" s="344"/>
      <c r="GDX5" s="344"/>
      <c r="GDY5" s="344"/>
      <c r="GDZ5" s="344"/>
      <c r="GEA5" s="344"/>
      <c r="GEB5" s="344"/>
      <c r="GEC5" s="344"/>
      <c r="GED5" s="344"/>
      <c r="GEE5" s="344"/>
      <c r="GEF5" s="344"/>
      <c r="GEG5" s="344"/>
      <c r="GEH5" s="344"/>
      <c r="GEI5" s="344"/>
      <c r="GEJ5" s="344"/>
      <c r="GEK5" s="344"/>
      <c r="GEL5" s="344"/>
      <c r="GEM5" s="344"/>
      <c r="GEN5" s="344"/>
      <c r="GEO5" s="344"/>
      <c r="GEP5" s="344"/>
      <c r="GEQ5" s="344"/>
      <c r="GER5" s="344"/>
      <c r="GES5" s="344"/>
      <c r="GET5" s="344"/>
      <c r="GEU5" s="344"/>
      <c r="GEV5" s="344"/>
      <c r="GEW5" s="344"/>
      <c r="GEX5" s="344"/>
      <c r="GEY5" s="344"/>
      <c r="GEZ5" s="344"/>
      <c r="GFA5" s="344"/>
      <c r="GFB5" s="344"/>
      <c r="GFC5" s="344"/>
      <c r="GFD5" s="344"/>
      <c r="GFE5" s="344"/>
      <c r="GFF5" s="344"/>
      <c r="GFG5" s="344"/>
      <c r="GFH5" s="344"/>
      <c r="GFI5" s="344"/>
      <c r="GFJ5" s="344"/>
      <c r="GFK5" s="344"/>
      <c r="GFL5" s="344"/>
      <c r="GFM5" s="344"/>
      <c r="GFN5" s="344"/>
      <c r="GFO5" s="344"/>
      <c r="GFP5" s="344"/>
      <c r="GFQ5" s="344"/>
      <c r="GFR5" s="344"/>
      <c r="GFS5" s="344"/>
      <c r="GFT5" s="344"/>
      <c r="GFU5" s="344"/>
      <c r="GFV5" s="344"/>
      <c r="GFW5" s="344"/>
      <c r="GFX5" s="344"/>
      <c r="GFY5" s="344"/>
      <c r="GFZ5" s="344"/>
      <c r="GGA5" s="344"/>
      <c r="GGB5" s="344"/>
      <c r="GGC5" s="344"/>
      <c r="GGD5" s="344"/>
      <c r="GGE5" s="344"/>
      <c r="GGF5" s="344"/>
      <c r="GGG5" s="344"/>
      <c r="GGH5" s="344"/>
      <c r="GGI5" s="344"/>
      <c r="GGJ5" s="344"/>
      <c r="GGK5" s="344"/>
      <c r="GGL5" s="344"/>
      <c r="GGM5" s="344"/>
      <c r="GGN5" s="344"/>
      <c r="GGO5" s="344"/>
      <c r="GGP5" s="344"/>
      <c r="GGQ5" s="344"/>
      <c r="GGR5" s="344"/>
      <c r="GGS5" s="344"/>
      <c r="GGT5" s="344"/>
      <c r="GGU5" s="344"/>
      <c r="GGV5" s="344"/>
      <c r="GGW5" s="344"/>
      <c r="GGX5" s="344"/>
      <c r="GGY5" s="344"/>
      <c r="GGZ5" s="344"/>
      <c r="GHA5" s="344"/>
      <c r="GHB5" s="344"/>
      <c r="GHC5" s="344"/>
      <c r="GHD5" s="344"/>
      <c r="GHE5" s="344"/>
      <c r="GHF5" s="344"/>
      <c r="GHG5" s="344"/>
      <c r="GHH5" s="344"/>
      <c r="GHI5" s="344"/>
      <c r="GHJ5" s="344"/>
      <c r="GHK5" s="344"/>
      <c r="GHL5" s="344"/>
      <c r="GHM5" s="344"/>
      <c r="GHN5" s="344"/>
      <c r="GHO5" s="344"/>
      <c r="GHP5" s="344"/>
      <c r="GHQ5" s="344"/>
      <c r="GHR5" s="344"/>
      <c r="GHS5" s="344"/>
      <c r="GHT5" s="344"/>
      <c r="GHU5" s="344"/>
      <c r="GHV5" s="344"/>
      <c r="GHW5" s="344"/>
      <c r="GHX5" s="344"/>
      <c r="GHY5" s="344"/>
      <c r="GHZ5" s="344"/>
      <c r="GIA5" s="344"/>
      <c r="GIB5" s="344"/>
      <c r="GIC5" s="344"/>
      <c r="GID5" s="344"/>
      <c r="GIE5" s="344"/>
      <c r="GIF5" s="344"/>
      <c r="GIG5" s="344"/>
      <c r="GIH5" s="344"/>
      <c r="GII5" s="344"/>
      <c r="GIJ5" s="344"/>
      <c r="GIK5" s="344"/>
      <c r="GIL5" s="344"/>
      <c r="GIM5" s="344"/>
      <c r="GIN5" s="344"/>
      <c r="GIO5" s="344"/>
      <c r="GIP5" s="344"/>
      <c r="GIQ5" s="344"/>
      <c r="GIR5" s="344"/>
      <c r="GIS5" s="344"/>
      <c r="GIT5" s="344"/>
      <c r="GIU5" s="344"/>
      <c r="GIV5" s="344"/>
      <c r="GIW5" s="344"/>
      <c r="GIX5" s="344"/>
      <c r="GIY5" s="344"/>
      <c r="GIZ5" s="344"/>
      <c r="GJA5" s="344"/>
      <c r="GJB5" s="344"/>
      <c r="GJC5" s="344"/>
      <c r="GJD5" s="344"/>
      <c r="GJE5" s="344"/>
      <c r="GJF5" s="344"/>
      <c r="GJG5" s="344"/>
      <c r="GJH5" s="344"/>
      <c r="GJI5" s="344"/>
      <c r="GJJ5" s="344"/>
      <c r="GJK5" s="344"/>
      <c r="GJL5" s="344"/>
      <c r="GJM5" s="344"/>
      <c r="GJN5" s="344"/>
      <c r="GJO5" s="344"/>
      <c r="GJP5" s="344"/>
      <c r="GJQ5" s="344"/>
      <c r="GJR5" s="344"/>
      <c r="GJS5" s="344"/>
      <c r="GJT5" s="344"/>
      <c r="GJU5" s="344"/>
      <c r="GJV5" s="344"/>
      <c r="GJW5" s="344"/>
      <c r="GJX5" s="344"/>
      <c r="GJY5" s="344"/>
      <c r="GJZ5" s="344"/>
      <c r="GKA5" s="344"/>
      <c r="GKB5" s="344"/>
      <c r="GKC5" s="344"/>
      <c r="GKD5" s="344"/>
      <c r="GKE5" s="344"/>
      <c r="GKF5" s="344"/>
      <c r="GKG5" s="344"/>
      <c r="GKH5" s="344"/>
      <c r="GKI5" s="344"/>
      <c r="GKJ5" s="344"/>
      <c r="GKK5" s="344"/>
      <c r="GKL5" s="344"/>
      <c r="GKM5" s="344"/>
      <c r="GKN5" s="344"/>
      <c r="GKO5" s="344"/>
      <c r="GKP5" s="344"/>
      <c r="GKQ5" s="344"/>
      <c r="GKR5" s="344"/>
      <c r="GKS5" s="344"/>
      <c r="GKT5" s="344"/>
      <c r="GKU5" s="344"/>
      <c r="GKV5" s="344"/>
      <c r="GKW5" s="344"/>
      <c r="GKX5" s="344"/>
      <c r="GKY5" s="344"/>
      <c r="GKZ5" s="344"/>
      <c r="GLA5" s="344"/>
      <c r="GLB5" s="344"/>
      <c r="GLC5" s="344"/>
      <c r="GLD5" s="344"/>
      <c r="GLE5" s="344"/>
      <c r="GLF5" s="344"/>
      <c r="GLG5" s="344"/>
      <c r="GLH5" s="344"/>
      <c r="GLI5" s="344"/>
      <c r="GLJ5" s="344"/>
      <c r="GLK5" s="344"/>
      <c r="GLL5" s="344"/>
      <c r="GLM5" s="344"/>
      <c r="GLN5" s="344"/>
      <c r="GLO5" s="344"/>
      <c r="GLP5" s="344"/>
      <c r="GLQ5" s="344"/>
      <c r="GLR5" s="344"/>
      <c r="GLS5" s="344"/>
      <c r="GLT5" s="344"/>
      <c r="GLU5" s="344"/>
      <c r="GLV5" s="344"/>
      <c r="GLW5" s="344"/>
      <c r="GLX5" s="344"/>
      <c r="GLY5" s="344"/>
      <c r="GLZ5" s="344"/>
      <c r="GMA5" s="344"/>
      <c r="GMB5" s="344"/>
      <c r="GMC5" s="344"/>
      <c r="GMD5" s="344"/>
      <c r="GME5" s="344"/>
      <c r="GMF5" s="344"/>
      <c r="GMG5" s="344"/>
      <c r="GMH5" s="344"/>
      <c r="GMI5" s="344"/>
      <c r="GMJ5" s="344"/>
      <c r="GMK5" s="344"/>
      <c r="GML5" s="344"/>
      <c r="GMM5" s="344"/>
      <c r="GMN5" s="344"/>
      <c r="GMO5" s="344"/>
      <c r="GMP5" s="344"/>
      <c r="GMQ5" s="344"/>
      <c r="GMR5" s="344"/>
      <c r="GMS5" s="344"/>
      <c r="GMT5" s="344"/>
      <c r="GMU5" s="344"/>
      <c r="GMV5" s="344"/>
      <c r="GMW5" s="344"/>
      <c r="GMX5" s="344"/>
      <c r="GMY5" s="344"/>
      <c r="GMZ5" s="344"/>
      <c r="GNA5" s="344"/>
      <c r="GNB5" s="344"/>
      <c r="GNC5" s="344"/>
      <c r="GND5" s="344"/>
      <c r="GNE5" s="344"/>
      <c r="GNF5" s="344"/>
      <c r="GNG5" s="344"/>
      <c r="GNH5" s="344"/>
      <c r="GNI5" s="344"/>
      <c r="GNJ5" s="344"/>
      <c r="GNK5" s="344"/>
      <c r="GNL5" s="344"/>
      <c r="GNM5" s="344"/>
      <c r="GNN5" s="344"/>
      <c r="GNO5" s="344"/>
      <c r="GNP5" s="344"/>
      <c r="GNQ5" s="344"/>
      <c r="GNR5" s="344"/>
      <c r="GNS5" s="344"/>
      <c r="GNT5" s="344"/>
      <c r="GNU5" s="344"/>
      <c r="GNV5" s="344"/>
      <c r="GNW5" s="344"/>
      <c r="GNX5" s="344"/>
      <c r="GNY5" s="344"/>
      <c r="GNZ5" s="344"/>
      <c r="GOA5" s="344"/>
      <c r="GOB5" s="344"/>
      <c r="GOC5" s="344"/>
      <c r="GOD5" s="344"/>
      <c r="GOE5" s="344"/>
      <c r="GOF5" s="344"/>
      <c r="GOG5" s="344"/>
      <c r="GOH5" s="344"/>
      <c r="GOI5" s="344"/>
      <c r="GOJ5" s="344"/>
      <c r="GOK5" s="344"/>
      <c r="GOL5" s="344"/>
      <c r="GOM5" s="344"/>
      <c r="GON5" s="344"/>
      <c r="GOO5" s="344"/>
      <c r="GOP5" s="344"/>
      <c r="GOQ5" s="344"/>
      <c r="GOR5" s="344"/>
      <c r="GOS5" s="344"/>
      <c r="GOT5" s="344"/>
      <c r="GOU5" s="344"/>
      <c r="GOV5" s="344"/>
      <c r="GOW5" s="344"/>
      <c r="GOX5" s="344"/>
      <c r="GOY5" s="344"/>
      <c r="GOZ5" s="344"/>
      <c r="GPA5" s="344"/>
      <c r="GPB5" s="344"/>
      <c r="GPC5" s="344"/>
      <c r="GPD5" s="344"/>
      <c r="GPE5" s="344"/>
      <c r="GPF5" s="344"/>
      <c r="GPG5" s="344"/>
      <c r="GPH5" s="344"/>
      <c r="GPI5" s="344"/>
      <c r="GPJ5" s="344"/>
      <c r="GPK5" s="344"/>
      <c r="GPL5" s="344"/>
      <c r="GPM5" s="344"/>
      <c r="GPN5" s="344"/>
      <c r="GPO5" s="344"/>
      <c r="GPP5" s="344"/>
      <c r="GPQ5" s="344"/>
      <c r="GPR5" s="344"/>
      <c r="GPS5" s="344"/>
      <c r="GPT5" s="344"/>
      <c r="GPU5" s="344"/>
      <c r="GPV5" s="344"/>
      <c r="GPW5" s="344"/>
      <c r="GPX5" s="344"/>
      <c r="GPY5" s="344"/>
      <c r="GPZ5" s="344"/>
      <c r="GQA5" s="344"/>
      <c r="GQB5" s="344"/>
      <c r="GQC5" s="344"/>
      <c r="GQD5" s="344"/>
      <c r="GQE5" s="344"/>
      <c r="GQF5" s="344"/>
      <c r="GQG5" s="344"/>
      <c r="GQH5" s="344"/>
      <c r="GQI5" s="344"/>
      <c r="GQJ5" s="344"/>
      <c r="GQK5" s="344"/>
      <c r="GQL5" s="344"/>
      <c r="GQM5" s="344"/>
      <c r="GQN5" s="344"/>
      <c r="GQO5" s="344"/>
      <c r="GQP5" s="344"/>
      <c r="GQQ5" s="344"/>
      <c r="GQR5" s="344"/>
      <c r="GQS5" s="344"/>
      <c r="GQT5" s="344"/>
      <c r="GQU5" s="344"/>
      <c r="GQV5" s="344"/>
      <c r="GQW5" s="344"/>
      <c r="GQX5" s="344"/>
      <c r="GQY5" s="344"/>
      <c r="GQZ5" s="344"/>
      <c r="GRA5" s="344"/>
      <c r="GRB5" s="344"/>
      <c r="GRC5" s="344"/>
      <c r="GRD5" s="344"/>
      <c r="GRE5" s="344"/>
      <c r="GRF5" s="344"/>
      <c r="GRG5" s="344"/>
      <c r="GRH5" s="344"/>
      <c r="GRI5" s="344"/>
      <c r="GRJ5" s="344"/>
      <c r="GRK5" s="344"/>
      <c r="GRL5" s="344"/>
      <c r="GRM5" s="344"/>
      <c r="GRN5" s="344"/>
      <c r="GRO5" s="344"/>
      <c r="GRP5" s="344"/>
      <c r="GRQ5" s="344"/>
      <c r="GRR5" s="344"/>
      <c r="GRS5" s="344"/>
      <c r="GRT5" s="344"/>
      <c r="GRU5" s="344"/>
      <c r="GRV5" s="344"/>
      <c r="GRW5" s="344"/>
      <c r="GRX5" s="344"/>
      <c r="GRY5" s="344"/>
      <c r="GRZ5" s="344"/>
      <c r="GSA5" s="344"/>
      <c r="GSB5" s="344"/>
      <c r="GSC5" s="344"/>
      <c r="GSD5" s="344"/>
      <c r="GSE5" s="344"/>
      <c r="GSF5" s="344"/>
      <c r="GSG5" s="344"/>
      <c r="GSH5" s="344"/>
      <c r="GSI5" s="344"/>
      <c r="GSJ5" s="344"/>
      <c r="GSK5" s="344"/>
      <c r="GSL5" s="344"/>
      <c r="GSM5" s="344"/>
      <c r="GSN5" s="344"/>
      <c r="GSO5" s="344"/>
      <c r="GSP5" s="344"/>
      <c r="GSQ5" s="344"/>
      <c r="GSR5" s="344"/>
      <c r="GSS5" s="344"/>
      <c r="GST5" s="344"/>
      <c r="GSU5" s="344"/>
      <c r="GSV5" s="344"/>
      <c r="GSW5" s="344"/>
      <c r="GSX5" s="344"/>
      <c r="GSY5" s="344"/>
      <c r="GSZ5" s="344"/>
      <c r="GTA5" s="344"/>
      <c r="GTB5" s="344"/>
      <c r="GTC5" s="344"/>
      <c r="GTD5" s="344"/>
      <c r="GTE5" s="344"/>
      <c r="GTF5" s="344"/>
      <c r="GTG5" s="344"/>
      <c r="GTH5" s="344"/>
      <c r="GTI5" s="344"/>
      <c r="GTJ5" s="344"/>
      <c r="GTK5" s="344"/>
      <c r="GTL5" s="344"/>
      <c r="GTM5" s="344"/>
      <c r="GTN5" s="344"/>
      <c r="GTO5" s="344"/>
      <c r="GTP5" s="344"/>
      <c r="GTQ5" s="344"/>
      <c r="GTR5" s="344"/>
      <c r="GTS5" s="344"/>
      <c r="GTT5" s="344"/>
      <c r="GTU5" s="344"/>
      <c r="GTV5" s="344"/>
      <c r="GTW5" s="344"/>
      <c r="GTX5" s="344"/>
      <c r="GTY5" s="344"/>
      <c r="GTZ5" s="344"/>
      <c r="GUA5" s="344"/>
      <c r="GUB5" s="344"/>
      <c r="GUC5" s="344"/>
      <c r="GUD5" s="344"/>
      <c r="GUE5" s="344"/>
      <c r="GUF5" s="344"/>
      <c r="GUG5" s="344"/>
      <c r="GUH5" s="344"/>
      <c r="GUI5" s="344"/>
      <c r="GUJ5" s="344"/>
      <c r="GUK5" s="344"/>
      <c r="GUL5" s="344"/>
      <c r="GUM5" s="344"/>
      <c r="GUN5" s="344"/>
      <c r="GUO5" s="344"/>
      <c r="GUP5" s="344"/>
      <c r="GUQ5" s="344"/>
      <c r="GUR5" s="344"/>
      <c r="GUS5" s="344"/>
      <c r="GUT5" s="344"/>
      <c r="GUU5" s="344"/>
      <c r="GUV5" s="344"/>
      <c r="GUW5" s="344"/>
      <c r="GUX5" s="344"/>
      <c r="GUY5" s="344"/>
      <c r="GUZ5" s="344"/>
      <c r="GVA5" s="344"/>
      <c r="GVB5" s="344"/>
      <c r="GVC5" s="344"/>
      <c r="GVD5" s="344"/>
      <c r="GVE5" s="344"/>
      <c r="GVF5" s="344"/>
      <c r="GVG5" s="344"/>
      <c r="GVH5" s="344"/>
      <c r="GVI5" s="344"/>
      <c r="GVJ5" s="344"/>
      <c r="GVK5" s="344"/>
      <c r="GVL5" s="344"/>
      <c r="GVM5" s="344"/>
      <c r="GVN5" s="344"/>
      <c r="GVO5" s="344"/>
      <c r="GVP5" s="344"/>
      <c r="GVQ5" s="344"/>
      <c r="GVR5" s="344"/>
      <c r="GVS5" s="344"/>
      <c r="GVT5" s="344"/>
      <c r="GVU5" s="344"/>
      <c r="GVV5" s="344"/>
      <c r="GVW5" s="344"/>
      <c r="GVX5" s="344"/>
      <c r="GVY5" s="344"/>
      <c r="GVZ5" s="344"/>
      <c r="GWA5" s="344"/>
      <c r="GWB5" s="344"/>
      <c r="GWC5" s="344"/>
      <c r="GWD5" s="344"/>
      <c r="GWE5" s="344"/>
      <c r="GWF5" s="344"/>
      <c r="GWG5" s="344"/>
      <c r="GWH5" s="344"/>
      <c r="GWI5" s="344"/>
      <c r="GWJ5" s="344"/>
      <c r="GWK5" s="344"/>
      <c r="GWL5" s="344"/>
      <c r="GWM5" s="344"/>
      <c r="GWN5" s="344"/>
      <c r="GWO5" s="344"/>
      <c r="GWP5" s="344"/>
      <c r="GWQ5" s="344"/>
      <c r="GWR5" s="344"/>
      <c r="GWS5" s="344"/>
      <c r="GWT5" s="344"/>
      <c r="GWU5" s="344"/>
      <c r="GWV5" s="344"/>
      <c r="GWW5" s="344"/>
      <c r="GWX5" s="344"/>
      <c r="GWY5" s="344"/>
      <c r="GWZ5" s="344"/>
      <c r="GXA5" s="344"/>
      <c r="GXB5" s="344"/>
      <c r="GXC5" s="344"/>
      <c r="GXD5" s="344"/>
      <c r="GXE5" s="344"/>
      <c r="GXF5" s="344"/>
      <c r="GXG5" s="344"/>
      <c r="GXH5" s="344"/>
      <c r="GXI5" s="344"/>
      <c r="GXJ5" s="344"/>
      <c r="GXK5" s="344"/>
      <c r="GXL5" s="344"/>
      <c r="GXM5" s="344"/>
      <c r="GXN5" s="344"/>
      <c r="GXO5" s="344"/>
      <c r="GXP5" s="344"/>
      <c r="GXQ5" s="344"/>
      <c r="GXR5" s="344"/>
      <c r="GXS5" s="344"/>
      <c r="GXT5" s="344"/>
      <c r="GXU5" s="344"/>
      <c r="GXV5" s="344"/>
      <c r="GXW5" s="344"/>
      <c r="GXX5" s="344"/>
      <c r="GXY5" s="344"/>
      <c r="GXZ5" s="344"/>
      <c r="GYA5" s="344"/>
      <c r="GYB5" s="344"/>
      <c r="GYC5" s="344"/>
      <c r="GYD5" s="344"/>
      <c r="GYE5" s="344"/>
      <c r="GYF5" s="344"/>
      <c r="GYG5" s="344"/>
      <c r="GYH5" s="344"/>
      <c r="GYI5" s="344"/>
      <c r="GYJ5" s="344"/>
      <c r="GYK5" s="344"/>
      <c r="GYL5" s="344"/>
      <c r="GYM5" s="344"/>
      <c r="GYN5" s="344"/>
      <c r="GYO5" s="344"/>
      <c r="GYP5" s="344"/>
      <c r="GYQ5" s="344"/>
      <c r="GYR5" s="344"/>
      <c r="GYS5" s="344"/>
      <c r="GYT5" s="344"/>
      <c r="GYU5" s="344"/>
      <c r="GYV5" s="344"/>
      <c r="GYW5" s="344"/>
      <c r="GYX5" s="344"/>
      <c r="GYY5" s="344"/>
      <c r="GYZ5" s="344"/>
      <c r="GZA5" s="344"/>
      <c r="GZB5" s="344"/>
      <c r="GZC5" s="344"/>
      <c r="GZD5" s="344"/>
      <c r="GZE5" s="344"/>
      <c r="GZF5" s="344"/>
      <c r="GZG5" s="344"/>
      <c r="GZH5" s="344"/>
      <c r="GZI5" s="344"/>
      <c r="GZJ5" s="344"/>
      <c r="GZK5" s="344"/>
      <c r="GZL5" s="344"/>
      <c r="GZM5" s="344"/>
      <c r="GZN5" s="344"/>
      <c r="GZO5" s="344"/>
      <c r="GZP5" s="344"/>
      <c r="GZQ5" s="344"/>
      <c r="GZR5" s="344"/>
      <c r="GZS5" s="344"/>
      <c r="GZT5" s="344"/>
      <c r="GZU5" s="344"/>
      <c r="GZV5" s="344"/>
      <c r="GZW5" s="344"/>
      <c r="GZX5" s="344"/>
      <c r="GZY5" s="344"/>
      <c r="GZZ5" s="344"/>
      <c r="HAA5" s="344"/>
      <c r="HAB5" s="344"/>
      <c r="HAC5" s="344"/>
      <c r="HAD5" s="344"/>
      <c r="HAE5" s="344"/>
      <c r="HAF5" s="344"/>
      <c r="HAG5" s="344"/>
      <c r="HAH5" s="344"/>
      <c r="HAI5" s="344"/>
      <c r="HAJ5" s="344"/>
      <c r="HAK5" s="344"/>
      <c r="HAL5" s="344"/>
      <c r="HAM5" s="344"/>
      <c r="HAN5" s="344"/>
      <c r="HAO5" s="344"/>
      <c r="HAP5" s="344"/>
      <c r="HAQ5" s="344"/>
      <c r="HAR5" s="344"/>
      <c r="HAS5" s="344"/>
      <c r="HAT5" s="344"/>
      <c r="HAU5" s="344"/>
      <c r="HAV5" s="344"/>
      <c r="HAW5" s="344"/>
      <c r="HAX5" s="344"/>
      <c r="HAY5" s="344"/>
      <c r="HAZ5" s="344"/>
      <c r="HBA5" s="344"/>
      <c r="HBB5" s="344"/>
      <c r="HBC5" s="344"/>
      <c r="HBD5" s="344"/>
      <c r="HBE5" s="344"/>
      <c r="HBF5" s="344"/>
      <c r="HBG5" s="344"/>
      <c r="HBH5" s="344"/>
      <c r="HBI5" s="344"/>
      <c r="HBJ5" s="344"/>
      <c r="HBK5" s="344"/>
      <c r="HBL5" s="344"/>
      <c r="HBM5" s="344"/>
      <c r="HBN5" s="344"/>
      <c r="HBO5" s="344"/>
      <c r="HBP5" s="344"/>
      <c r="HBQ5" s="344"/>
      <c r="HBR5" s="344"/>
      <c r="HBS5" s="344"/>
      <c r="HBT5" s="344"/>
      <c r="HBU5" s="344"/>
      <c r="HBV5" s="344"/>
      <c r="HBW5" s="344"/>
      <c r="HBX5" s="344"/>
      <c r="HBY5" s="344"/>
      <c r="HBZ5" s="344"/>
      <c r="HCA5" s="344"/>
      <c r="HCB5" s="344"/>
      <c r="HCC5" s="344"/>
      <c r="HCD5" s="344"/>
      <c r="HCE5" s="344"/>
      <c r="HCF5" s="344"/>
      <c r="HCG5" s="344"/>
      <c r="HCH5" s="344"/>
      <c r="HCI5" s="344"/>
      <c r="HCJ5" s="344"/>
      <c r="HCK5" s="344"/>
      <c r="HCL5" s="344"/>
      <c r="HCM5" s="344"/>
      <c r="HCN5" s="344"/>
      <c r="HCO5" s="344"/>
      <c r="HCP5" s="344"/>
      <c r="HCQ5" s="344"/>
      <c r="HCR5" s="344"/>
      <c r="HCS5" s="344"/>
      <c r="HCT5" s="344"/>
      <c r="HCU5" s="344"/>
      <c r="HCV5" s="344"/>
      <c r="HCW5" s="344"/>
      <c r="HCX5" s="344"/>
      <c r="HCY5" s="344"/>
      <c r="HCZ5" s="344"/>
      <c r="HDA5" s="344"/>
      <c r="HDB5" s="344"/>
      <c r="HDC5" s="344"/>
      <c r="HDD5" s="344"/>
      <c r="HDE5" s="344"/>
      <c r="HDF5" s="344"/>
      <c r="HDG5" s="344"/>
      <c r="HDH5" s="344"/>
      <c r="HDI5" s="344"/>
      <c r="HDJ5" s="344"/>
      <c r="HDK5" s="344"/>
      <c r="HDL5" s="344"/>
      <c r="HDM5" s="344"/>
      <c r="HDN5" s="344"/>
      <c r="HDO5" s="344"/>
      <c r="HDP5" s="344"/>
      <c r="HDQ5" s="344"/>
      <c r="HDR5" s="344"/>
      <c r="HDS5" s="344"/>
      <c r="HDT5" s="344"/>
      <c r="HDU5" s="344"/>
      <c r="HDV5" s="344"/>
      <c r="HDW5" s="344"/>
      <c r="HDX5" s="344"/>
      <c r="HDY5" s="344"/>
      <c r="HDZ5" s="344"/>
      <c r="HEA5" s="344"/>
      <c r="HEB5" s="344"/>
      <c r="HEC5" s="344"/>
      <c r="HED5" s="344"/>
      <c r="HEE5" s="344"/>
      <c r="HEF5" s="344"/>
      <c r="HEG5" s="344"/>
      <c r="HEH5" s="344"/>
      <c r="HEI5" s="344"/>
      <c r="HEJ5" s="344"/>
      <c r="HEK5" s="344"/>
      <c r="HEL5" s="344"/>
      <c r="HEM5" s="344"/>
      <c r="HEN5" s="344"/>
      <c r="HEO5" s="344"/>
      <c r="HEP5" s="344"/>
      <c r="HEQ5" s="344"/>
      <c r="HER5" s="344"/>
      <c r="HES5" s="344"/>
      <c r="HET5" s="344"/>
      <c r="HEU5" s="344"/>
      <c r="HEV5" s="344"/>
      <c r="HEW5" s="344"/>
      <c r="HEX5" s="344"/>
      <c r="HEY5" s="344"/>
      <c r="HEZ5" s="344"/>
      <c r="HFA5" s="344"/>
      <c r="HFB5" s="344"/>
      <c r="HFC5" s="344"/>
      <c r="HFD5" s="344"/>
      <c r="HFE5" s="344"/>
      <c r="HFF5" s="344"/>
      <c r="HFG5" s="344"/>
      <c r="HFH5" s="344"/>
      <c r="HFI5" s="344"/>
      <c r="HFJ5" s="344"/>
      <c r="HFK5" s="344"/>
      <c r="HFL5" s="344"/>
      <c r="HFM5" s="344"/>
      <c r="HFN5" s="344"/>
      <c r="HFO5" s="344"/>
      <c r="HFP5" s="344"/>
      <c r="HFQ5" s="344"/>
      <c r="HFR5" s="344"/>
      <c r="HFS5" s="344"/>
      <c r="HFT5" s="344"/>
      <c r="HFU5" s="344"/>
      <c r="HFV5" s="344"/>
      <c r="HFW5" s="344"/>
      <c r="HFX5" s="344"/>
      <c r="HFY5" s="344"/>
      <c r="HFZ5" s="344"/>
      <c r="HGA5" s="344"/>
      <c r="HGB5" s="344"/>
      <c r="HGC5" s="344"/>
      <c r="HGD5" s="344"/>
      <c r="HGE5" s="344"/>
      <c r="HGF5" s="344"/>
      <c r="HGG5" s="344"/>
      <c r="HGH5" s="344"/>
      <c r="HGI5" s="344"/>
      <c r="HGJ5" s="344"/>
      <c r="HGK5" s="344"/>
      <c r="HGL5" s="344"/>
      <c r="HGM5" s="344"/>
      <c r="HGN5" s="344"/>
      <c r="HGO5" s="344"/>
      <c r="HGP5" s="344"/>
      <c r="HGQ5" s="344"/>
      <c r="HGR5" s="344"/>
      <c r="HGS5" s="344"/>
      <c r="HGT5" s="344"/>
      <c r="HGU5" s="344"/>
      <c r="HGV5" s="344"/>
      <c r="HGW5" s="344"/>
      <c r="HGX5" s="344"/>
      <c r="HGY5" s="344"/>
      <c r="HGZ5" s="344"/>
      <c r="HHA5" s="344"/>
      <c r="HHB5" s="344"/>
      <c r="HHC5" s="344"/>
      <c r="HHD5" s="344"/>
      <c r="HHE5" s="344"/>
      <c r="HHF5" s="344"/>
      <c r="HHG5" s="344"/>
      <c r="HHH5" s="344"/>
      <c r="HHI5" s="344"/>
      <c r="HHJ5" s="344"/>
      <c r="HHK5" s="344"/>
      <c r="HHL5" s="344"/>
      <c r="HHM5" s="344"/>
      <c r="HHN5" s="344"/>
      <c r="HHO5" s="344"/>
      <c r="HHP5" s="344"/>
      <c r="HHQ5" s="344"/>
      <c r="HHR5" s="344"/>
      <c r="HHS5" s="344"/>
      <c r="HHT5" s="344"/>
      <c r="HHU5" s="344"/>
      <c r="HHV5" s="344"/>
      <c r="HHW5" s="344"/>
      <c r="HHX5" s="344"/>
      <c r="HHY5" s="344"/>
      <c r="HHZ5" s="344"/>
      <c r="HIA5" s="344"/>
      <c r="HIB5" s="344"/>
      <c r="HIC5" s="344"/>
      <c r="HID5" s="344"/>
      <c r="HIE5" s="344"/>
      <c r="HIF5" s="344"/>
      <c r="HIG5" s="344"/>
      <c r="HIH5" s="344"/>
      <c r="HII5" s="344"/>
      <c r="HIJ5" s="344"/>
      <c r="HIK5" s="344"/>
      <c r="HIL5" s="344"/>
      <c r="HIM5" s="344"/>
      <c r="HIN5" s="344"/>
      <c r="HIO5" s="344"/>
      <c r="HIP5" s="344"/>
      <c r="HIQ5" s="344"/>
      <c r="HIR5" s="344"/>
      <c r="HIS5" s="344"/>
      <c r="HIT5" s="344"/>
      <c r="HIU5" s="344"/>
      <c r="HIV5" s="344"/>
      <c r="HIW5" s="344"/>
      <c r="HIX5" s="344"/>
      <c r="HIY5" s="344"/>
      <c r="HIZ5" s="344"/>
      <c r="HJA5" s="344"/>
      <c r="HJB5" s="344"/>
      <c r="HJC5" s="344"/>
      <c r="HJD5" s="344"/>
      <c r="HJE5" s="344"/>
      <c r="HJF5" s="344"/>
      <c r="HJG5" s="344"/>
      <c r="HJH5" s="344"/>
      <c r="HJI5" s="344"/>
      <c r="HJJ5" s="344"/>
      <c r="HJK5" s="344"/>
      <c r="HJL5" s="344"/>
      <c r="HJM5" s="344"/>
      <c r="HJN5" s="344"/>
      <c r="HJO5" s="344"/>
      <c r="HJP5" s="344"/>
      <c r="HJQ5" s="344"/>
      <c r="HJR5" s="344"/>
      <c r="HJS5" s="344"/>
      <c r="HJT5" s="344"/>
      <c r="HJU5" s="344"/>
      <c r="HJV5" s="344"/>
      <c r="HJW5" s="344"/>
      <c r="HJX5" s="344"/>
      <c r="HJY5" s="344"/>
      <c r="HJZ5" s="344"/>
      <c r="HKA5" s="344"/>
      <c r="HKB5" s="344"/>
      <c r="HKC5" s="344"/>
      <c r="HKD5" s="344"/>
      <c r="HKE5" s="344"/>
      <c r="HKF5" s="344"/>
      <c r="HKG5" s="344"/>
      <c r="HKH5" s="344"/>
      <c r="HKI5" s="344"/>
      <c r="HKJ5" s="344"/>
      <c r="HKK5" s="344"/>
      <c r="HKL5" s="344"/>
      <c r="HKM5" s="344"/>
      <c r="HKN5" s="344"/>
      <c r="HKO5" s="344"/>
      <c r="HKP5" s="344"/>
      <c r="HKQ5" s="344"/>
      <c r="HKR5" s="344"/>
      <c r="HKS5" s="344"/>
      <c r="HKT5" s="344"/>
      <c r="HKU5" s="344"/>
      <c r="HKV5" s="344"/>
      <c r="HKW5" s="344"/>
      <c r="HKX5" s="344"/>
      <c r="HKY5" s="344"/>
      <c r="HKZ5" s="344"/>
      <c r="HLA5" s="344"/>
      <c r="HLB5" s="344"/>
      <c r="HLC5" s="344"/>
      <c r="HLD5" s="344"/>
      <c r="HLE5" s="344"/>
      <c r="HLF5" s="344"/>
      <c r="HLG5" s="344"/>
      <c r="HLH5" s="344"/>
      <c r="HLI5" s="344"/>
      <c r="HLJ5" s="344"/>
      <c r="HLK5" s="344"/>
      <c r="HLL5" s="344"/>
      <c r="HLM5" s="344"/>
      <c r="HLN5" s="344"/>
      <c r="HLO5" s="344"/>
      <c r="HLP5" s="344"/>
      <c r="HLQ5" s="344"/>
      <c r="HLR5" s="344"/>
      <c r="HLS5" s="344"/>
      <c r="HLT5" s="344"/>
      <c r="HLU5" s="344"/>
      <c r="HLV5" s="344"/>
      <c r="HLW5" s="344"/>
      <c r="HLX5" s="344"/>
      <c r="HLY5" s="344"/>
      <c r="HLZ5" s="344"/>
      <c r="HMA5" s="344"/>
      <c r="HMB5" s="344"/>
      <c r="HMC5" s="344"/>
      <c r="HMD5" s="344"/>
      <c r="HME5" s="344"/>
      <c r="HMF5" s="344"/>
      <c r="HMG5" s="344"/>
      <c r="HMH5" s="344"/>
      <c r="HMI5" s="344"/>
      <c r="HMJ5" s="344"/>
      <c r="HMK5" s="344"/>
      <c r="HML5" s="344"/>
      <c r="HMM5" s="344"/>
      <c r="HMN5" s="344"/>
      <c r="HMO5" s="344"/>
      <c r="HMP5" s="344"/>
      <c r="HMQ5" s="344"/>
      <c r="HMR5" s="344"/>
      <c r="HMS5" s="344"/>
      <c r="HMT5" s="344"/>
      <c r="HMU5" s="344"/>
      <c r="HMV5" s="344"/>
      <c r="HMW5" s="344"/>
      <c r="HMX5" s="344"/>
      <c r="HMY5" s="344"/>
      <c r="HMZ5" s="344"/>
      <c r="HNA5" s="344"/>
      <c r="HNB5" s="344"/>
      <c r="HNC5" s="344"/>
      <c r="HND5" s="344"/>
      <c r="HNE5" s="344"/>
      <c r="HNF5" s="344"/>
      <c r="HNG5" s="344"/>
      <c r="HNH5" s="344"/>
      <c r="HNI5" s="344"/>
      <c r="HNJ5" s="344"/>
      <c r="HNK5" s="344"/>
      <c r="HNL5" s="344"/>
      <c r="HNM5" s="344"/>
      <c r="HNN5" s="344"/>
      <c r="HNO5" s="344"/>
      <c r="HNP5" s="344"/>
      <c r="HNQ5" s="344"/>
      <c r="HNR5" s="344"/>
      <c r="HNS5" s="344"/>
      <c r="HNT5" s="344"/>
      <c r="HNU5" s="344"/>
      <c r="HNV5" s="344"/>
      <c r="HNW5" s="344"/>
      <c r="HNX5" s="344"/>
      <c r="HNY5" s="344"/>
      <c r="HNZ5" s="344"/>
      <c r="HOA5" s="344"/>
      <c r="HOB5" s="344"/>
      <c r="HOC5" s="344"/>
      <c r="HOD5" s="344"/>
      <c r="HOE5" s="344"/>
      <c r="HOF5" s="344"/>
      <c r="HOG5" s="344"/>
      <c r="HOH5" s="344"/>
      <c r="HOI5" s="344"/>
      <c r="HOJ5" s="344"/>
      <c r="HOK5" s="344"/>
      <c r="HOL5" s="344"/>
      <c r="HOM5" s="344"/>
      <c r="HON5" s="344"/>
      <c r="HOO5" s="344"/>
      <c r="HOP5" s="344"/>
      <c r="HOQ5" s="344"/>
      <c r="HOR5" s="344"/>
      <c r="HOS5" s="344"/>
      <c r="HOT5" s="344"/>
      <c r="HOU5" s="344"/>
      <c r="HOV5" s="344"/>
      <c r="HOW5" s="344"/>
      <c r="HOX5" s="344"/>
      <c r="HOY5" s="344"/>
      <c r="HOZ5" s="344"/>
      <c r="HPA5" s="344"/>
      <c r="HPB5" s="344"/>
      <c r="HPC5" s="344"/>
      <c r="HPD5" s="344"/>
      <c r="HPE5" s="344"/>
      <c r="HPF5" s="344"/>
      <c r="HPG5" s="344"/>
      <c r="HPH5" s="344"/>
      <c r="HPI5" s="344"/>
      <c r="HPJ5" s="344"/>
      <c r="HPK5" s="344"/>
      <c r="HPL5" s="344"/>
      <c r="HPM5" s="344"/>
      <c r="HPN5" s="344"/>
      <c r="HPO5" s="344"/>
      <c r="HPP5" s="344"/>
      <c r="HPQ5" s="344"/>
      <c r="HPR5" s="344"/>
      <c r="HPS5" s="344"/>
      <c r="HPT5" s="344"/>
      <c r="HPU5" s="344"/>
      <c r="HPV5" s="344"/>
      <c r="HPW5" s="344"/>
      <c r="HPX5" s="344"/>
      <c r="HPY5" s="344"/>
      <c r="HPZ5" s="344"/>
      <c r="HQA5" s="344"/>
      <c r="HQB5" s="344"/>
      <c r="HQC5" s="344"/>
      <c r="HQD5" s="344"/>
      <c r="HQE5" s="344"/>
      <c r="HQF5" s="344"/>
      <c r="HQG5" s="344"/>
      <c r="HQH5" s="344"/>
      <c r="HQI5" s="344"/>
      <c r="HQJ5" s="344"/>
      <c r="HQK5" s="344"/>
      <c r="HQL5" s="344"/>
      <c r="HQM5" s="344"/>
      <c r="HQN5" s="344"/>
      <c r="HQO5" s="344"/>
      <c r="HQP5" s="344"/>
      <c r="HQQ5" s="344"/>
      <c r="HQR5" s="344"/>
      <c r="HQS5" s="344"/>
      <c r="HQT5" s="344"/>
      <c r="HQU5" s="344"/>
      <c r="HQV5" s="344"/>
      <c r="HQW5" s="344"/>
      <c r="HQX5" s="344"/>
      <c r="HQY5" s="344"/>
      <c r="HQZ5" s="344"/>
      <c r="HRA5" s="344"/>
      <c r="HRB5" s="344"/>
      <c r="HRC5" s="344"/>
      <c r="HRD5" s="344"/>
      <c r="HRE5" s="344"/>
      <c r="HRF5" s="344"/>
      <c r="HRG5" s="344"/>
      <c r="HRH5" s="344"/>
      <c r="HRI5" s="344"/>
      <c r="HRJ5" s="344"/>
      <c r="HRK5" s="344"/>
      <c r="HRL5" s="344"/>
      <c r="HRM5" s="344"/>
      <c r="HRN5" s="344"/>
      <c r="HRO5" s="344"/>
      <c r="HRP5" s="344"/>
      <c r="HRQ5" s="344"/>
      <c r="HRR5" s="344"/>
      <c r="HRS5" s="344"/>
      <c r="HRT5" s="344"/>
      <c r="HRU5" s="344"/>
      <c r="HRV5" s="344"/>
      <c r="HRW5" s="344"/>
      <c r="HRX5" s="344"/>
      <c r="HRY5" s="344"/>
      <c r="HRZ5" s="344"/>
      <c r="HSA5" s="344"/>
      <c r="HSB5" s="344"/>
      <c r="HSC5" s="344"/>
      <c r="HSD5" s="344"/>
      <c r="HSE5" s="344"/>
      <c r="HSF5" s="344"/>
      <c r="HSG5" s="344"/>
      <c r="HSH5" s="344"/>
      <c r="HSI5" s="344"/>
      <c r="HSJ5" s="344"/>
      <c r="HSK5" s="344"/>
      <c r="HSL5" s="344"/>
      <c r="HSM5" s="344"/>
      <c r="HSN5" s="344"/>
      <c r="HSO5" s="344"/>
      <c r="HSP5" s="344"/>
      <c r="HSQ5" s="344"/>
      <c r="HSR5" s="344"/>
      <c r="HSS5" s="344"/>
      <c r="HST5" s="344"/>
      <c r="HSU5" s="344"/>
      <c r="HSV5" s="344"/>
      <c r="HSW5" s="344"/>
      <c r="HSX5" s="344"/>
      <c r="HSY5" s="344"/>
      <c r="HSZ5" s="344"/>
      <c r="HTA5" s="344"/>
      <c r="HTB5" s="344"/>
      <c r="HTC5" s="344"/>
      <c r="HTD5" s="344"/>
      <c r="HTE5" s="344"/>
      <c r="HTF5" s="344"/>
      <c r="HTG5" s="344"/>
      <c r="HTH5" s="344"/>
      <c r="HTI5" s="344"/>
      <c r="HTJ5" s="344"/>
      <c r="HTK5" s="344"/>
      <c r="HTL5" s="344"/>
      <c r="HTM5" s="344"/>
      <c r="HTN5" s="344"/>
      <c r="HTO5" s="344"/>
      <c r="HTP5" s="344"/>
      <c r="HTQ5" s="344"/>
      <c r="HTR5" s="344"/>
      <c r="HTS5" s="344"/>
      <c r="HTT5" s="344"/>
      <c r="HTU5" s="344"/>
      <c r="HTV5" s="344"/>
      <c r="HTW5" s="344"/>
      <c r="HTX5" s="344"/>
      <c r="HTY5" s="344"/>
      <c r="HTZ5" s="344"/>
      <c r="HUA5" s="344"/>
      <c r="HUB5" s="344"/>
      <c r="HUC5" s="344"/>
      <c r="HUD5" s="344"/>
      <c r="HUE5" s="344"/>
      <c r="HUF5" s="344"/>
      <c r="HUG5" s="344"/>
      <c r="HUH5" s="344"/>
      <c r="HUI5" s="344"/>
      <c r="HUJ5" s="344"/>
      <c r="HUK5" s="344"/>
      <c r="HUL5" s="344"/>
      <c r="HUM5" s="344"/>
      <c r="HUN5" s="344"/>
      <c r="HUO5" s="344"/>
      <c r="HUP5" s="344"/>
      <c r="HUQ5" s="344"/>
      <c r="HUR5" s="344"/>
      <c r="HUS5" s="344"/>
      <c r="HUT5" s="344"/>
      <c r="HUU5" s="344"/>
      <c r="HUV5" s="344"/>
      <c r="HUW5" s="344"/>
      <c r="HUX5" s="344"/>
      <c r="HUY5" s="344"/>
      <c r="HUZ5" s="344"/>
      <c r="HVA5" s="344"/>
      <c r="HVB5" s="344"/>
      <c r="HVC5" s="344"/>
      <c r="HVD5" s="344"/>
      <c r="HVE5" s="344"/>
      <c r="HVF5" s="344"/>
      <c r="HVG5" s="344"/>
      <c r="HVH5" s="344"/>
      <c r="HVI5" s="344"/>
      <c r="HVJ5" s="344"/>
      <c r="HVK5" s="344"/>
      <c r="HVL5" s="344"/>
      <c r="HVM5" s="344"/>
      <c r="HVN5" s="344"/>
      <c r="HVO5" s="344"/>
      <c r="HVP5" s="344"/>
      <c r="HVQ5" s="344"/>
      <c r="HVR5" s="344"/>
      <c r="HVS5" s="344"/>
      <c r="HVT5" s="344"/>
      <c r="HVU5" s="344"/>
      <c r="HVV5" s="344"/>
      <c r="HVW5" s="344"/>
      <c r="HVX5" s="344"/>
      <c r="HVY5" s="344"/>
      <c r="HVZ5" s="344"/>
      <c r="HWA5" s="344"/>
      <c r="HWB5" s="344"/>
      <c r="HWC5" s="344"/>
      <c r="HWD5" s="344"/>
      <c r="HWE5" s="344"/>
      <c r="HWF5" s="344"/>
      <c r="HWG5" s="344"/>
      <c r="HWH5" s="344"/>
      <c r="HWI5" s="344"/>
      <c r="HWJ5" s="344"/>
      <c r="HWK5" s="344"/>
      <c r="HWL5" s="344"/>
      <c r="HWM5" s="344"/>
      <c r="HWN5" s="344"/>
      <c r="HWO5" s="344"/>
      <c r="HWP5" s="344"/>
      <c r="HWQ5" s="344"/>
      <c r="HWR5" s="344"/>
      <c r="HWS5" s="344"/>
      <c r="HWT5" s="344"/>
      <c r="HWU5" s="344"/>
      <c r="HWV5" s="344"/>
      <c r="HWW5" s="344"/>
      <c r="HWX5" s="344"/>
      <c r="HWY5" s="344"/>
      <c r="HWZ5" s="344"/>
      <c r="HXA5" s="344"/>
      <c r="HXB5" s="344"/>
      <c r="HXC5" s="344"/>
      <c r="HXD5" s="344"/>
      <c r="HXE5" s="344"/>
      <c r="HXF5" s="344"/>
      <c r="HXG5" s="344"/>
      <c r="HXH5" s="344"/>
      <c r="HXI5" s="344"/>
      <c r="HXJ5" s="344"/>
      <c r="HXK5" s="344"/>
      <c r="HXL5" s="344"/>
      <c r="HXM5" s="344"/>
      <c r="HXN5" s="344"/>
      <c r="HXO5" s="344"/>
      <c r="HXP5" s="344"/>
      <c r="HXQ5" s="344"/>
      <c r="HXR5" s="344"/>
      <c r="HXS5" s="344"/>
      <c r="HXT5" s="344"/>
      <c r="HXU5" s="344"/>
      <c r="HXV5" s="344"/>
      <c r="HXW5" s="344"/>
      <c r="HXX5" s="344"/>
      <c r="HXY5" s="344"/>
      <c r="HXZ5" s="344"/>
      <c r="HYA5" s="344"/>
      <c r="HYB5" s="344"/>
      <c r="HYC5" s="344"/>
      <c r="HYD5" s="344"/>
      <c r="HYE5" s="344"/>
      <c r="HYF5" s="344"/>
      <c r="HYG5" s="344"/>
      <c r="HYH5" s="344"/>
      <c r="HYI5" s="344"/>
      <c r="HYJ5" s="344"/>
      <c r="HYK5" s="344"/>
      <c r="HYL5" s="344"/>
      <c r="HYM5" s="344"/>
      <c r="HYN5" s="344"/>
      <c r="HYO5" s="344"/>
      <c r="HYP5" s="344"/>
      <c r="HYQ5" s="344"/>
      <c r="HYR5" s="344"/>
      <c r="HYS5" s="344"/>
      <c r="HYT5" s="344"/>
      <c r="HYU5" s="344"/>
      <c r="HYV5" s="344"/>
      <c r="HYW5" s="344"/>
      <c r="HYX5" s="344"/>
      <c r="HYY5" s="344"/>
      <c r="HYZ5" s="344"/>
      <c r="HZA5" s="344"/>
      <c r="HZB5" s="344"/>
      <c r="HZC5" s="344"/>
      <c r="HZD5" s="344"/>
      <c r="HZE5" s="344"/>
      <c r="HZF5" s="344"/>
      <c r="HZG5" s="344"/>
      <c r="HZH5" s="344"/>
      <c r="HZI5" s="344"/>
      <c r="HZJ5" s="344"/>
      <c r="HZK5" s="344"/>
      <c r="HZL5" s="344"/>
      <c r="HZM5" s="344"/>
      <c r="HZN5" s="344"/>
      <c r="HZO5" s="344"/>
      <c r="HZP5" s="344"/>
      <c r="HZQ5" s="344"/>
      <c r="HZR5" s="344"/>
      <c r="HZS5" s="344"/>
      <c r="HZT5" s="344"/>
      <c r="HZU5" s="344"/>
      <c r="HZV5" s="344"/>
      <c r="HZW5" s="344"/>
      <c r="HZX5" s="344"/>
      <c r="HZY5" s="344"/>
      <c r="HZZ5" s="344"/>
      <c r="IAA5" s="344"/>
      <c r="IAB5" s="344"/>
      <c r="IAC5" s="344"/>
      <c r="IAD5" s="344"/>
      <c r="IAE5" s="344"/>
      <c r="IAF5" s="344"/>
      <c r="IAG5" s="344"/>
      <c r="IAH5" s="344"/>
      <c r="IAI5" s="344"/>
      <c r="IAJ5" s="344"/>
      <c r="IAK5" s="344"/>
      <c r="IAL5" s="344"/>
      <c r="IAM5" s="344"/>
      <c r="IAN5" s="344"/>
      <c r="IAO5" s="344"/>
      <c r="IAP5" s="344"/>
      <c r="IAQ5" s="344"/>
      <c r="IAR5" s="344"/>
      <c r="IAS5" s="344"/>
      <c r="IAT5" s="344"/>
      <c r="IAU5" s="344"/>
      <c r="IAV5" s="344"/>
      <c r="IAW5" s="344"/>
      <c r="IAX5" s="344"/>
      <c r="IAY5" s="344"/>
      <c r="IAZ5" s="344"/>
      <c r="IBA5" s="344"/>
      <c r="IBB5" s="344"/>
      <c r="IBC5" s="344"/>
      <c r="IBD5" s="344"/>
      <c r="IBE5" s="344"/>
      <c r="IBF5" s="344"/>
      <c r="IBG5" s="344"/>
      <c r="IBH5" s="344"/>
      <c r="IBI5" s="344"/>
      <c r="IBJ5" s="344"/>
      <c r="IBK5" s="344"/>
      <c r="IBL5" s="344"/>
      <c r="IBM5" s="344"/>
      <c r="IBN5" s="344"/>
      <c r="IBO5" s="344"/>
      <c r="IBP5" s="344"/>
      <c r="IBQ5" s="344"/>
      <c r="IBR5" s="344"/>
      <c r="IBS5" s="344"/>
      <c r="IBT5" s="344"/>
      <c r="IBU5" s="344"/>
      <c r="IBV5" s="344"/>
      <c r="IBW5" s="344"/>
      <c r="IBX5" s="344"/>
      <c r="IBY5" s="344"/>
      <c r="IBZ5" s="344"/>
      <c r="ICA5" s="344"/>
      <c r="ICB5" s="344"/>
      <c r="ICC5" s="344"/>
      <c r="ICD5" s="344"/>
      <c r="ICE5" s="344"/>
      <c r="ICF5" s="344"/>
      <c r="ICG5" s="344"/>
      <c r="ICH5" s="344"/>
      <c r="ICI5" s="344"/>
      <c r="ICJ5" s="344"/>
      <c r="ICK5" s="344"/>
      <c r="ICL5" s="344"/>
      <c r="ICM5" s="344"/>
      <c r="ICN5" s="344"/>
      <c r="ICO5" s="344"/>
      <c r="ICP5" s="344"/>
      <c r="ICQ5" s="344"/>
      <c r="ICR5" s="344"/>
      <c r="ICS5" s="344"/>
      <c r="ICT5" s="344"/>
      <c r="ICU5" s="344"/>
      <c r="ICV5" s="344"/>
      <c r="ICW5" s="344"/>
      <c r="ICX5" s="344"/>
      <c r="ICY5" s="344"/>
      <c r="ICZ5" s="344"/>
      <c r="IDA5" s="344"/>
      <c r="IDB5" s="344"/>
      <c r="IDC5" s="344"/>
      <c r="IDD5" s="344"/>
      <c r="IDE5" s="344"/>
      <c r="IDF5" s="344"/>
      <c r="IDG5" s="344"/>
      <c r="IDH5" s="344"/>
      <c r="IDI5" s="344"/>
      <c r="IDJ5" s="344"/>
      <c r="IDK5" s="344"/>
      <c r="IDL5" s="344"/>
      <c r="IDM5" s="344"/>
      <c r="IDN5" s="344"/>
      <c r="IDO5" s="344"/>
      <c r="IDP5" s="344"/>
      <c r="IDQ5" s="344"/>
      <c r="IDR5" s="344"/>
      <c r="IDS5" s="344"/>
      <c r="IDT5" s="344"/>
      <c r="IDU5" s="344"/>
      <c r="IDV5" s="344"/>
      <c r="IDW5" s="344"/>
      <c r="IDX5" s="344"/>
      <c r="IDY5" s="344"/>
      <c r="IDZ5" s="344"/>
      <c r="IEA5" s="344"/>
      <c r="IEB5" s="344"/>
      <c r="IEC5" s="344"/>
      <c r="IED5" s="344"/>
      <c r="IEE5" s="344"/>
      <c r="IEF5" s="344"/>
      <c r="IEG5" s="344"/>
      <c r="IEH5" s="344"/>
      <c r="IEI5" s="344"/>
      <c r="IEJ5" s="344"/>
      <c r="IEK5" s="344"/>
      <c r="IEL5" s="344"/>
      <c r="IEM5" s="344"/>
      <c r="IEN5" s="344"/>
      <c r="IEO5" s="344"/>
      <c r="IEP5" s="344"/>
      <c r="IEQ5" s="344"/>
      <c r="IER5" s="344"/>
      <c r="IES5" s="344"/>
      <c r="IET5" s="344"/>
      <c r="IEU5" s="344"/>
      <c r="IEV5" s="344"/>
      <c r="IEW5" s="344"/>
      <c r="IEX5" s="344"/>
      <c r="IEY5" s="344"/>
      <c r="IEZ5" s="344"/>
      <c r="IFA5" s="344"/>
      <c r="IFB5" s="344"/>
      <c r="IFC5" s="344"/>
      <c r="IFD5" s="344"/>
      <c r="IFE5" s="344"/>
      <c r="IFF5" s="344"/>
      <c r="IFG5" s="344"/>
      <c r="IFH5" s="344"/>
      <c r="IFI5" s="344"/>
      <c r="IFJ5" s="344"/>
      <c r="IFK5" s="344"/>
      <c r="IFL5" s="344"/>
      <c r="IFM5" s="344"/>
      <c r="IFN5" s="344"/>
      <c r="IFO5" s="344"/>
      <c r="IFP5" s="344"/>
      <c r="IFQ5" s="344"/>
      <c r="IFR5" s="344"/>
      <c r="IFS5" s="344"/>
      <c r="IFT5" s="344"/>
      <c r="IFU5" s="344"/>
      <c r="IFV5" s="344"/>
      <c r="IFW5" s="344"/>
      <c r="IFX5" s="344"/>
      <c r="IFY5" s="344"/>
      <c r="IFZ5" s="344"/>
      <c r="IGA5" s="344"/>
      <c r="IGB5" s="344"/>
      <c r="IGC5" s="344"/>
      <c r="IGD5" s="344"/>
      <c r="IGE5" s="344"/>
      <c r="IGF5" s="344"/>
      <c r="IGG5" s="344"/>
      <c r="IGH5" s="344"/>
      <c r="IGI5" s="344"/>
      <c r="IGJ5" s="344"/>
      <c r="IGK5" s="344"/>
      <c r="IGL5" s="344"/>
      <c r="IGM5" s="344"/>
      <c r="IGN5" s="344"/>
      <c r="IGO5" s="344"/>
      <c r="IGP5" s="344"/>
      <c r="IGQ5" s="344"/>
      <c r="IGR5" s="344"/>
      <c r="IGS5" s="344"/>
      <c r="IGT5" s="344"/>
      <c r="IGU5" s="344"/>
      <c r="IGV5" s="344"/>
      <c r="IGW5" s="344"/>
      <c r="IGX5" s="344"/>
      <c r="IGY5" s="344"/>
      <c r="IGZ5" s="344"/>
      <c r="IHA5" s="344"/>
      <c r="IHB5" s="344"/>
      <c r="IHC5" s="344"/>
      <c r="IHD5" s="344"/>
      <c r="IHE5" s="344"/>
      <c r="IHF5" s="344"/>
      <c r="IHG5" s="344"/>
      <c r="IHH5" s="344"/>
      <c r="IHI5" s="344"/>
      <c r="IHJ5" s="344"/>
      <c r="IHK5" s="344"/>
      <c r="IHL5" s="344"/>
      <c r="IHM5" s="344"/>
      <c r="IHN5" s="344"/>
      <c r="IHO5" s="344"/>
      <c r="IHP5" s="344"/>
      <c r="IHQ5" s="344"/>
      <c r="IHR5" s="344"/>
      <c r="IHS5" s="344"/>
      <c r="IHT5" s="344"/>
      <c r="IHU5" s="344"/>
      <c r="IHV5" s="344"/>
      <c r="IHW5" s="344"/>
      <c r="IHX5" s="344"/>
      <c r="IHY5" s="344"/>
      <c r="IHZ5" s="344"/>
      <c r="IIA5" s="344"/>
      <c r="IIB5" s="344"/>
      <c r="IIC5" s="344"/>
      <c r="IID5" s="344"/>
      <c r="IIE5" s="344"/>
      <c r="IIF5" s="344"/>
      <c r="IIG5" s="344"/>
      <c r="IIH5" s="344"/>
      <c r="III5" s="344"/>
      <c r="IIJ5" s="344"/>
      <c r="IIK5" s="344"/>
      <c r="IIL5" s="344"/>
      <c r="IIM5" s="344"/>
      <c r="IIN5" s="344"/>
      <c r="IIO5" s="344"/>
      <c r="IIP5" s="344"/>
      <c r="IIQ5" s="344"/>
      <c r="IIR5" s="344"/>
      <c r="IIS5" s="344"/>
      <c r="IIT5" s="344"/>
      <c r="IIU5" s="344"/>
      <c r="IIV5" s="344"/>
      <c r="IIW5" s="344"/>
      <c r="IIX5" s="344"/>
      <c r="IIY5" s="344"/>
      <c r="IIZ5" s="344"/>
      <c r="IJA5" s="344"/>
      <c r="IJB5" s="344"/>
      <c r="IJC5" s="344"/>
      <c r="IJD5" s="344"/>
      <c r="IJE5" s="344"/>
      <c r="IJF5" s="344"/>
      <c r="IJG5" s="344"/>
      <c r="IJH5" s="344"/>
      <c r="IJI5" s="344"/>
      <c r="IJJ5" s="344"/>
      <c r="IJK5" s="344"/>
      <c r="IJL5" s="344"/>
      <c r="IJM5" s="344"/>
      <c r="IJN5" s="344"/>
      <c r="IJO5" s="344"/>
      <c r="IJP5" s="344"/>
      <c r="IJQ5" s="344"/>
      <c r="IJR5" s="344"/>
      <c r="IJS5" s="344"/>
      <c r="IJT5" s="344"/>
      <c r="IJU5" s="344"/>
      <c r="IJV5" s="344"/>
      <c r="IJW5" s="344"/>
      <c r="IJX5" s="344"/>
      <c r="IJY5" s="344"/>
      <c r="IJZ5" s="344"/>
      <c r="IKA5" s="344"/>
      <c r="IKB5" s="344"/>
      <c r="IKC5" s="344"/>
      <c r="IKD5" s="344"/>
      <c r="IKE5" s="344"/>
      <c r="IKF5" s="344"/>
      <c r="IKG5" s="344"/>
      <c r="IKH5" s="344"/>
      <c r="IKI5" s="344"/>
      <c r="IKJ5" s="344"/>
      <c r="IKK5" s="344"/>
      <c r="IKL5" s="344"/>
      <c r="IKM5" s="344"/>
      <c r="IKN5" s="344"/>
      <c r="IKO5" s="344"/>
      <c r="IKP5" s="344"/>
      <c r="IKQ5" s="344"/>
      <c r="IKR5" s="344"/>
      <c r="IKS5" s="344"/>
      <c r="IKT5" s="344"/>
      <c r="IKU5" s="344"/>
      <c r="IKV5" s="344"/>
      <c r="IKW5" s="344"/>
      <c r="IKX5" s="344"/>
      <c r="IKY5" s="344"/>
      <c r="IKZ5" s="344"/>
      <c r="ILA5" s="344"/>
      <c r="ILB5" s="344"/>
      <c r="ILC5" s="344"/>
      <c r="ILD5" s="344"/>
      <c r="ILE5" s="344"/>
      <c r="ILF5" s="344"/>
      <c r="ILG5" s="344"/>
      <c r="ILH5" s="344"/>
      <c r="ILI5" s="344"/>
      <c r="ILJ5" s="344"/>
      <c r="ILK5" s="344"/>
      <c r="ILL5" s="344"/>
      <c r="ILM5" s="344"/>
      <c r="ILN5" s="344"/>
      <c r="ILO5" s="344"/>
      <c r="ILP5" s="344"/>
      <c r="ILQ5" s="344"/>
      <c r="ILR5" s="344"/>
      <c r="ILS5" s="344"/>
      <c r="ILT5" s="344"/>
      <c r="ILU5" s="344"/>
      <c r="ILV5" s="344"/>
      <c r="ILW5" s="344"/>
      <c r="ILX5" s="344"/>
      <c r="ILY5" s="344"/>
      <c r="ILZ5" s="344"/>
      <c r="IMA5" s="344"/>
      <c r="IMB5" s="344"/>
      <c r="IMC5" s="344"/>
      <c r="IMD5" s="344"/>
      <c r="IME5" s="344"/>
      <c r="IMF5" s="344"/>
      <c r="IMG5" s="344"/>
      <c r="IMH5" s="344"/>
      <c r="IMI5" s="344"/>
      <c r="IMJ5" s="344"/>
      <c r="IMK5" s="344"/>
      <c r="IML5" s="344"/>
      <c r="IMM5" s="344"/>
      <c r="IMN5" s="344"/>
      <c r="IMO5" s="344"/>
      <c r="IMP5" s="344"/>
      <c r="IMQ5" s="344"/>
      <c r="IMR5" s="344"/>
      <c r="IMS5" s="344"/>
      <c r="IMT5" s="344"/>
      <c r="IMU5" s="344"/>
      <c r="IMV5" s="344"/>
      <c r="IMW5" s="344"/>
      <c r="IMX5" s="344"/>
      <c r="IMY5" s="344"/>
      <c r="IMZ5" s="344"/>
      <c r="INA5" s="344"/>
      <c r="INB5" s="344"/>
      <c r="INC5" s="344"/>
      <c r="IND5" s="344"/>
      <c r="INE5" s="344"/>
      <c r="INF5" s="344"/>
      <c r="ING5" s="344"/>
      <c r="INH5" s="344"/>
      <c r="INI5" s="344"/>
      <c r="INJ5" s="344"/>
      <c r="INK5" s="344"/>
      <c r="INL5" s="344"/>
      <c r="INM5" s="344"/>
      <c r="INN5" s="344"/>
      <c r="INO5" s="344"/>
      <c r="INP5" s="344"/>
      <c r="INQ5" s="344"/>
      <c r="INR5" s="344"/>
      <c r="INS5" s="344"/>
      <c r="INT5" s="344"/>
      <c r="INU5" s="344"/>
      <c r="INV5" s="344"/>
      <c r="INW5" s="344"/>
      <c r="INX5" s="344"/>
      <c r="INY5" s="344"/>
      <c r="INZ5" s="344"/>
      <c r="IOA5" s="344"/>
      <c r="IOB5" s="344"/>
      <c r="IOC5" s="344"/>
      <c r="IOD5" s="344"/>
      <c r="IOE5" s="344"/>
      <c r="IOF5" s="344"/>
      <c r="IOG5" s="344"/>
      <c r="IOH5" s="344"/>
      <c r="IOI5" s="344"/>
      <c r="IOJ5" s="344"/>
      <c r="IOK5" s="344"/>
      <c r="IOL5" s="344"/>
      <c r="IOM5" s="344"/>
      <c r="ION5" s="344"/>
      <c r="IOO5" s="344"/>
      <c r="IOP5" s="344"/>
      <c r="IOQ5" s="344"/>
      <c r="IOR5" s="344"/>
      <c r="IOS5" s="344"/>
      <c r="IOT5" s="344"/>
      <c r="IOU5" s="344"/>
      <c r="IOV5" s="344"/>
      <c r="IOW5" s="344"/>
      <c r="IOX5" s="344"/>
      <c r="IOY5" s="344"/>
      <c r="IOZ5" s="344"/>
      <c r="IPA5" s="344"/>
      <c r="IPB5" s="344"/>
      <c r="IPC5" s="344"/>
      <c r="IPD5" s="344"/>
      <c r="IPE5" s="344"/>
      <c r="IPF5" s="344"/>
      <c r="IPG5" s="344"/>
      <c r="IPH5" s="344"/>
      <c r="IPI5" s="344"/>
      <c r="IPJ5" s="344"/>
      <c r="IPK5" s="344"/>
      <c r="IPL5" s="344"/>
      <c r="IPM5" s="344"/>
      <c r="IPN5" s="344"/>
      <c r="IPO5" s="344"/>
      <c r="IPP5" s="344"/>
      <c r="IPQ5" s="344"/>
      <c r="IPR5" s="344"/>
      <c r="IPS5" s="344"/>
      <c r="IPT5" s="344"/>
      <c r="IPU5" s="344"/>
      <c r="IPV5" s="344"/>
      <c r="IPW5" s="344"/>
      <c r="IPX5" s="344"/>
      <c r="IPY5" s="344"/>
      <c r="IPZ5" s="344"/>
      <c r="IQA5" s="344"/>
      <c r="IQB5" s="344"/>
      <c r="IQC5" s="344"/>
      <c r="IQD5" s="344"/>
      <c r="IQE5" s="344"/>
      <c r="IQF5" s="344"/>
      <c r="IQG5" s="344"/>
      <c r="IQH5" s="344"/>
      <c r="IQI5" s="344"/>
      <c r="IQJ5" s="344"/>
      <c r="IQK5" s="344"/>
      <c r="IQL5" s="344"/>
      <c r="IQM5" s="344"/>
      <c r="IQN5" s="344"/>
      <c r="IQO5" s="344"/>
      <c r="IQP5" s="344"/>
      <c r="IQQ5" s="344"/>
      <c r="IQR5" s="344"/>
      <c r="IQS5" s="344"/>
      <c r="IQT5" s="344"/>
      <c r="IQU5" s="344"/>
      <c r="IQV5" s="344"/>
      <c r="IQW5" s="344"/>
      <c r="IQX5" s="344"/>
      <c r="IQY5" s="344"/>
      <c r="IQZ5" s="344"/>
      <c r="IRA5" s="344"/>
      <c r="IRB5" s="344"/>
      <c r="IRC5" s="344"/>
      <c r="IRD5" s="344"/>
      <c r="IRE5" s="344"/>
      <c r="IRF5" s="344"/>
      <c r="IRG5" s="344"/>
      <c r="IRH5" s="344"/>
      <c r="IRI5" s="344"/>
      <c r="IRJ5" s="344"/>
      <c r="IRK5" s="344"/>
      <c r="IRL5" s="344"/>
      <c r="IRM5" s="344"/>
      <c r="IRN5" s="344"/>
      <c r="IRO5" s="344"/>
      <c r="IRP5" s="344"/>
      <c r="IRQ5" s="344"/>
      <c r="IRR5" s="344"/>
      <c r="IRS5" s="344"/>
      <c r="IRT5" s="344"/>
      <c r="IRU5" s="344"/>
      <c r="IRV5" s="344"/>
      <c r="IRW5" s="344"/>
      <c r="IRX5" s="344"/>
      <c r="IRY5" s="344"/>
      <c r="IRZ5" s="344"/>
      <c r="ISA5" s="344"/>
      <c r="ISB5" s="344"/>
      <c r="ISC5" s="344"/>
      <c r="ISD5" s="344"/>
      <c r="ISE5" s="344"/>
      <c r="ISF5" s="344"/>
      <c r="ISG5" s="344"/>
      <c r="ISH5" s="344"/>
      <c r="ISI5" s="344"/>
      <c r="ISJ5" s="344"/>
      <c r="ISK5" s="344"/>
      <c r="ISL5" s="344"/>
      <c r="ISM5" s="344"/>
      <c r="ISN5" s="344"/>
      <c r="ISO5" s="344"/>
      <c r="ISP5" s="344"/>
      <c r="ISQ5" s="344"/>
      <c r="ISR5" s="344"/>
      <c r="ISS5" s="344"/>
      <c r="IST5" s="344"/>
      <c r="ISU5" s="344"/>
      <c r="ISV5" s="344"/>
      <c r="ISW5" s="344"/>
      <c r="ISX5" s="344"/>
      <c r="ISY5" s="344"/>
      <c r="ISZ5" s="344"/>
      <c r="ITA5" s="344"/>
      <c r="ITB5" s="344"/>
      <c r="ITC5" s="344"/>
      <c r="ITD5" s="344"/>
      <c r="ITE5" s="344"/>
      <c r="ITF5" s="344"/>
      <c r="ITG5" s="344"/>
      <c r="ITH5" s="344"/>
      <c r="ITI5" s="344"/>
      <c r="ITJ5" s="344"/>
      <c r="ITK5" s="344"/>
      <c r="ITL5" s="344"/>
      <c r="ITM5" s="344"/>
      <c r="ITN5" s="344"/>
      <c r="ITO5" s="344"/>
      <c r="ITP5" s="344"/>
      <c r="ITQ5" s="344"/>
      <c r="ITR5" s="344"/>
      <c r="ITS5" s="344"/>
      <c r="ITT5" s="344"/>
      <c r="ITU5" s="344"/>
      <c r="ITV5" s="344"/>
      <c r="ITW5" s="344"/>
      <c r="ITX5" s="344"/>
      <c r="ITY5" s="344"/>
      <c r="ITZ5" s="344"/>
      <c r="IUA5" s="344"/>
      <c r="IUB5" s="344"/>
      <c r="IUC5" s="344"/>
      <c r="IUD5" s="344"/>
      <c r="IUE5" s="344"/>
      <c r="IUF5" s="344"/>
      <c r="IUG5" s="344"/>
      <c r="IUH5" s="344"/>
      <c r="IUI5" s="344"/>
      <c r="IUJ5" s="344"/>
      <c r="IUK5" s="344"/>
      <c r="IUL5" s="344"/>
      <c r="IUM5" s="344"/>
      <c r="IUN5" s="344"/>
      <c r="IUO5" s="344"/>
      <c r="IUP5" s="344"/>
      <c r="IUQ5" s="344"/>
      <c r="IUR5" s="344"/>
      <c r="IUS5" s="344"/>
      <c r="IUT5" s="344"/>
      <c r="IUU5" s="344"/>
      <c r="IUV5" s="344"/>
      <c r="IUW5" s="344"/>
      <c r="IUX5" s="344"/>
      <c r="IUY5" s="344"/>
      <c r="IUZ5" s="344"/>
      <c r="IVA5" s="344"/>
      <c r="IVB5" s="344"/>
      <c r="IVC5" s="344"/>
      <c r="IVD5" s="344"/>
      <c r="IVE5" s="344"/>
      <c r="IVF5" s="344"/>
      <c r="IVG5" s="344"/>
      <c r="IVH5" s="344"/>
      <c r="IVI5" s="344"/>
      <c r="IVJ5" s="344"/>
      <c r="IVK5" s="344"/>
      <c r="IVL5" s="344"/>
      <c r="IVM5" s="344"/>
      <c r="IVN5" s="344"/>
      <c r="IVO5" s="344"/>
      <c r="IVP5" s="344"/>
      <c r="IVQ5" s="344"/>
      <c r="IVR5" s="344"/>
      <c r="IVS5" s="344"/>
      <c r="IVT5" s="344"/>
      <c r="IVU5" s="344"/>
      <c r="IVV5" s="344"/>
      <c r="IVW5" s="344"/>
      <c r="IVX5" s="344"/>
      <c r="IVY5" s="344"/>
      <c r="IVZ5" s="344"/>
      <c r="IWA5" s="344"/>
      <c r="IWB5" s="344"/>
      <c r="IWC5" s="344"/>
      <c r="IWD5" s="344"/>
      <c r="IWE5" s="344"/>
      <c r="IWF5" s="344"/>
      <c r="IWG5" s="344"/>
      <c r="IWH5" s="344"/>
      <c r="IWI5" s="344"/>
      <c r="IWJ5" s="344"/>
      <c r="IWK5" s="344"/>
      <c r="IWL5" s="344"/>
      <c r="IWM5" s="344"/>
      <c r="IWN5" s="344"/>
      <c r="IWO5" s="344"/>
      <c r="IWP5" s="344"/>
      <c r="IWQ5" s="344"/>
      <c r="IWR5" s="344"/>
      <c r="IWS5" s="344"/>
      <c r="IWT5" s="344"/>
      <c r="IWU5" s="344"/>
      <c r="IWV5" s="344"/>
      <c r="IWW5" s="344"/>
      <c r="IWX5" s="344"/>
      <c r="IWY5" s="344"/>
      <c r="IWZ5" s="344"/>
      <c r="IXA5" s="344"/>
      <c r="IXB5" s="344"/>
      <c r="IXC5" s="344"/>
      <c r="IXD5" s="344"/>
      <c r="IXE5" s="344"/>
      <c r="IXF5" s="344"/>
      <c r="IXG5" s="344"/>
      <c r="IXH5" s="344"/>
      <c r="IXI5" s="344"/>
      <c r="IXJ5" s="344"/>
      <c r="IXK5" s="344"/>
      <c r="IXL5" s="344"/>
      <c r="IXM5" s="344"/>
      <c r="IXN5" s="344"/>
      <c r="IXO5" s="344"/>
      <c r="IXP5" s="344"/>
      <c r="IXQ5" s="344"/>
      <c r="IXR5" s="344"/>
      <c r="IXS5" s="344"/>
      <c r="IXT5" s="344"/>
      <c r="IXU5" s="344"/>
      <c r="IXV5" s="344"/>
      <c r="IXW5" s="344"/>
      <c r="IXX5" s="344"/>
      <c r="IXY5" s="344"/>
      <c r="IXZ5" s="344"/>
      <c r="IYA5" s="344"/>
      <c r="IYB5" s="344"/>
      <c r="IYC5" s="344"/>
      <c r="IYD5" s="344"/>
      <c r="IYE5" s="344"/>
      <c r="IYF5" s="344"/>
      <c r="IYG5" s="344"/>
      <c r="IYH5" s="344"/>
      <c r="IYI5" s="344"/>
      <c r="IYJ5" s="344"/>
      <c r="IYK5" s="344"/>
      <c r="IYL5" s="344"/>
      <c r="IYM5" s="344"/>
      <c r="IYN5" s="344"/>
      <c r="IYO5" s="344"/>
      <c r="IYP5" s="344"/>
      <c r="IYQ5" s="344"/>
      <c r="IYR5" s="344"/>
      <c r="IYS5" s="344"/>
      <c r="IYT5" s="344"/>
      <c r="IYU5" s="344"/>
      <c r="IYV5" s="344"/>
      <c r="IYW5" s="344"/>
      <c r="IYX5" s="344"/>
      <c r="IYY5" s="344"/>
      <c r="IYZ5" s="344"/>
      <c r="IZA5" s="344"/>
      <c r="IZB5" s="344"/>
      <c r="IZC5" s="344"/>
      <c r="IZD5" s="344"/>
      <c r="IZE5" s="344"/>
      <c r="IZF5" s="344"/>
      <c r="IZG5" s="344"/>
      <c r="IZH5" s="344"/>
      <c r="IZI5" s="344"/>
      <c r="IZJ5" s="344"/>
      <c r="IZK5" s="344"/>
      <c r="IZL5" s="344"/>
      <c r="IZM5" s="344"/>
      <c r="IZN5" s="344"/>
      <c r="IZO5" s="344"/>
      <c r="IZP5" s="344"/>
      <c r="IZQ5" s="344"/>
      <c r="IZR5" s="344"/>
      <c r="IZS5" s="344"/>
      <c r="IZT5" s="344"/>
      <c r="IZU5" s="344"/>
      <c r="IZV5" s="344"/>
      <c r="IZW5" s="344"/>
      <c r="IZX5" s="344"/>
      <c r="IZY5" s="344"/>
      <c r="IZZ5" s="344"/>
      <c r="JAA5" s="344"/>
      <c r="JAB5" s="344"/>
      <c r="JAC5" s="344"/>
      <c r="JAD5" s="344"/>
      <c r="JAE5" s="344"/>
      <c r="JAF5" s="344"/>
      <c r="JAG5" s="344"/>
      <c r="JAH5" s="344"/>
      <c r="JAI5" s="344"/>
      <c r="JAJ5" s="344"/>
      <c r="JAK5" s="344"/>
      <c r="JAL5" s="344"/>
      <c r="JAM5" s="344"/>
      <c r="JAN5" s="344"/>
      <c r="JAO5" s="344"/>
      <c r="JAP5" s="344"/>
      <c r="JAQ5" s="344"/>
      <c r="JAR5" s="344"/>
      <c r="JAS5" s="344"/>
      <c r="JAT5" s="344"/>
      <c r="JAU5" s="344"/>
      <c r="JAV5" s="344"/>
      <c r="JAW5" s="344"/>
      <c r="JAX5" s="344"/>
      <c r="JAY5" s="344"/>
      <c r="JAZ5" s="344"/>
      <c r="JBA5" s="344"/>
      <c r="JBB5" s="344"/>
      <c r="JBC5" s="344"/>
      <c r="JBD5" s="344"/>
      <c r="JBE5" s="344"/>
      <c r="JBF5" s="344"/>
      <c r="JBG5" s="344"/>
      <c r="JBH5" s="344"/>
      <c r="JBI5" s="344"/>
      <c r="JBJ5" s="344"/>
      <c r="JBK5" s="344"/>
      <c r="JBL5" s="344"/>
      <c r="JBM5" s="344"/>
      <c r="JBN5" s="344"/>
      <c r="JBO5" s="344"/>
      <c r="JBP5" s="344"/>
      <c r="JBQ5" s="344"/>
      <c r="JBR5" s="344"/>
      <c r="JBS5" s="344"/>
      <c r="JBT5" s="344"/>
      <c r="JBU5" s="344"/>
      <c r="JBV5" s="344"/>
      <c r="JBW5" s="344"/>
      <c r="JBX5" s="344"/>
      <c r="JBY5" s="344"/>
      <c r="JBZ5" s="344"/>
      <c r="JCA5" s="344"/>
      <c r="JCB5" s="344"/>
      <c r="JCC5" s="344"/>
      <c r="JCD5" s="344"/>
      <c r="JCE5" s="344"/>
      <c r="JCF5" s="344"/>
      <c r="JCG5" s="344"/>
      <c r="JCH5" s="344"/>
      <c r="JCI5" s="344"/>
      <c r="JCJ5" s="344"/>
      <c r="JCK5" s="344"/>
      <c r="JCL5" s="344"/>
      <c r="JCM5" s="344"/>
      <c r="JCN5" s="344"/>
      <c r="JCO5" s="344"/>
      <c r="JCP5" s="344"/>
      <c r="JCQ5" s="344"/>
      <c r="JCR5" s="344"/>
      <c r="JCS5" s="344"/>
      <c r="JCT5" s="344"/>
      <c r="JCU5" s="344"/>
      <c r="JCV5" s="344"/>
      <c r="JCW5" s="344"/>
      <c r="JCX5" s="344"/>
      <c r="JCY5" s="344"/>
      <c r="JCZ5" s="344"/>
      <c r="JDA5" s="344"/>
      <c r="JDB5" s="344"/>
      <c r="JDC5" s="344"/>
      <c r="JDD5" s="344"/>
      <c r="JDE5" s="344"/>
      <c r="JDF5" s="344"/>
      <c r="JDG5" s="344"/>
      <c r="JDH5" s="344"/>
      <c r="JDI5" s="344"/>
      <c r="JDJ5" s="344"/>
      <c r="JDK5" s="344"/>
      <c r="JDL5" s="344"/>
      <c r="JDM5" s="344"/>
      <c r="JDN5" s="344"/>
      <c r="JDO5" s="344"/>
      <c r="JDP5" s="344"/>
      <c r="JDQ5" s="344"/>
      <c r="JDR5" s="344"/>
      <c r="JDS5" s="344"/>
      <c r="JDT5" s="344"/>
      <c r="JDU5" s="344"/>
      <c r="JDV5" s="344"/>
      <c r="JDW5" s="344"/>
      <c r="JDX5" s="344"/>
      <c r="JDY5" s="344"/>
      <c r="JDZ5" s="344"/>
      <c r="JEA5" s="344"/>
      <c r="JEB5" s="344"/>
      <c r="JEC5" s="344"/>
      <c r="JED5" s="344"/>
      <c r="JEE5" s="344"/>
      <c r="JEF5" s="344"/>
      <c r="JEG5" s="344"/>
      <c r="JEH5" s="344"/>
      <c r="JEI5" s="344"/>
      <c r="JEJ5" s="344"/>
      <c r="JEK5" s="344"/>
      <c r="JEL5" s="344"/>
      <c r="JEM5" s="344"/>
      <c r="JEN5" s="344"/>
      <c r="JEO5" s="344"/>
      <c r="JEP5" s="344"/>
      <c r="JEQ5" s="344"/>
      <c r="JER5" s="344"/>
      <c r="JES5" s="344"/>
      <c r="JET5" s="344"/>
      <c r="JEU5" s="344"/>
      <c r="JEV5" s="344"/>
      <c r="JEW5" s="344"/>
      <c r="JEX5" s="344"/>
      <c r="JEY5" s="344"/>
      <c r="JEZ5" s="344"/>
      <c r="JFA5" s="344"/>
      <c r="JFB5" s="344"/>
      <c r="JFC5" s="344"/>
      <c r="JFD5" s="344"/>
      <c r="JFE5" s="344"/>
      <c r="JFF5" s="344"/>
      <c r="JFG5" s="344"/>
      <c r="JFH5" s="344"/>
      <c r="JFI5" s="344"/>
      <c r="JFJ5" s="344"/>
      <c r="JFK5" s="344"/>
      <c r="JFL5" s="344"/>
      <c r="JFM5" s="344"/>
      <c r="JFN5" s="344"/>
      <c r="JFO5" s="344"/>
      <c r="JFP5" s="344"/>
      <c r="JFQ5" s="344"/>
      <c r="JFR5" s="344"/>
      <c r="JFS5" s="344"/>
      <c r="JFT5" s="344"/>
      <c r="JFU5" s="344"/>
      <c r="JFV5" s="344"/>
      <c r="JFW5" s="344"/>
      <c r="JFX5" s="344"/>
      <c r="JFY5" s="344"/>
      <c r="JFZ5" s="344"/>
      <c r="JGA5" s="344"/>
      <c r="JGB5" s="344"/>
      <c r="JGC5" s="344"/>
      <c r="JGD5" s="344"/>
      <c r="JGE5" s="344"/>
      <c r="JGF5" s="344"/>
      <c r="JGG5" s="344"/>
      <c r="JGH5" s="344"/>
      <c r="JGI5" s="344"/>
      <c r="JGJ5" s="344"/>
      <c r="JGK5" s="344"/>
      <c r="JGL5" s="344"/>
      <c r="JGM5" s="344"/>
      <c r="JGN5" s="344"/>
      <c r="JGO5" s="344"/>
      <c r="JGP5" s="344"/>
      <c r="JGQ5" s="344"/>
      <c r="JGR5" s="344"/>
      <c r="JGS5" s="344"/>
      <c r="JGT5" s="344"/>
      <c r="JGU5" s="344"/>
      <c r="JGV5" s="344"/>
      <c r="JGW5" s="344"/>
      <c r="JGX5" s="344"/>
      <c r="JGY5" s="344"/>
      <c r="JGZ5" s="344"/>
      <c r="JHA5" s="344"/>
      <c r="JHB5" s="344"/>
      <c r="JHC5" s="344"/>
      <c r="JHD5" s="344"/>
      <c r="JHE5" s="344"/>
      <c r="JHF5" s="344"/>
      <c r="JHG5" s="344"/>
      <c r="JHH5" s="344"/>
      <c r="JHI5" s="344"/>
      <c r="JHJ5" s="344"/>
      <c r="JHK5" s="344"/>
      <c r="JHL5" s="344"/>
      <c r="JHM5" s="344"/>
      <c r="JHN5" s="344"/>
      <c r="JHO5" s="344"/>
      <c r="JHP5" s="344"/>
      <c r="JHQ5" s="344"/>
      <c r="JHR5" s="344"/>
      <c r="JHS5" s="344"/>
      <c r="JHT5" s="344"/>
      <c r="JHU5" s="344"/>
      <c r="JHV5" s="344"/>
      <c r="JHW5" s="344"/>
      <c r="JHX5" s="344"/>
      <c r="JHY5" s="344"/>
      <c r="JHZ5" s="344"/>
      <c r="JIA5" s="344"/>
      <c r="JIB5" s="344"/>
      <c r="JIC5" s="344"/>
      <c r="JID5" s="344"/>
      <c r="JIE5" s="344"/>
      <c r="JIF5" s="344"/>
      <c r="JIG5" s="344"/>
      <c r="JIH5" s="344"/>
      <c r="JII5" s="344"/>
      <c r="JIJ5" s="344"/>
      <c r="JIK5" s="344"/>
      <c r="JIL5" s="344"/>
      <c r="JIM5" s="344"/>
      <c r="JIN5" s="344"/>
      <c r="JIO5" s="344"/>
      <c r="JIP5" s="344"/>
      <c r="JIQ5" s="344"/>
      <c r="JIR5" s="344"/>
      <c r="JIS5" s="344"/>
      <c r="JIT5" s="344"/>
      <c r="JIU5" s="344"/>
      <c r="JIV5" s="344"/>
      <c r="JIW5" s="344"/>
      <c r="JIX5" s="344"/>
      <c r="JIY5" s="344"/>
      <c r="JIZ5" s="344"/>
      <c r="JJA5" s="344"/>
      <c r="JJB5" s="344"/>
      <c r="JJC5" s="344"/>
      <c r="JJD5" s="344"/>
      <c r="JJE5" s="344"/>
      <c r="JJF5" s="344"/>
      <c r="JJG5" s="344"/>
      <c r="JJH5" s="344"/>
      <c r="JJI5" s="344"/>
      <c r="JJJ5" s="344"/>
      <c r="JJK5" s="344"/>
      <c r="JJL5" s="344"/>
      <c r="JJM5" s="344"/>
      <c r="JJN5" s="344"/>
      <c r="JJO5" s="344"/>
      <c r="JJP5" s="344"/>
      <c r="JJQ5" s="344"/>
      <c r="JJR5" s="344"/>
      <c r="JJS5" s="344"/>
      <c r="JJT5" s="344"/>
      <c r="JJU5" s="344"/>
      <c r="JJV5" s="344"/>
      <c r="JJW5" s="344"/>
      <c r="JJX5" s="344"/>
      <c r="JJY5" s="344"/>
      <c r="JJZ5" s="344"/>
      <c r="JKA5" s="344"/>
      <c r="JKB5" s="344"/>
      <c r="JKC5" s="344"/>
      <c r="JKD5" s="344"/>
      <c r="JKE5" s="344"/>
      <c r="JKF5" s="344"/>
      <c r="JKG5" s="344"/>
      <c r="JKH5" s="344"/>
      <c r="JKI5" s="344"/>
      <c r="JKJ5" s="344"/>
      <c r="JKK5" s="344"/>
      <c r="JKL5" s="344"/>
      <c r="JKM5" s="344"/>
      <c r="JKN5" s="344"/>
      <c r="JKO5" s="344"/>
      <c r="JKP5" s="344"/>
      <c r="JKQ5" s="344"/>
      <c r="JKR5" s="344"/>
      <c r="JKS5" s="344"/>
      <c r="JKT5" s="344"/>
      <c r="JKU5" s="344"/>
      <c r="JKV5" s="344"/>
      <c r="JKW5" s="344"/>
      <c r="JKX5" s="344"/>
      <c r="JKY5" s="344"/>
      <c r="JKZ5" s="344"/>
      <c r="JLA5" s="344"/>
      <c r="JLB5" s="344"/>
      <c r="JLC5" s="344"/>
      <c r="JLD5" s="344"/>
      <c r="JLE5" s="344"/>
      <c r="JLF5" s="344"/>
      <c r="JLG5" s="344"/>
      <c r="JLH5" s="344"/>
      <c r="JLI5" s="344"/>
      <c r="JLJ5" s="344"/>
      <c r="JLK5" s="344"/>
      <c r="JLL5" s="344"/>
      <c r="JLM5" s="344"/>
      <c r="JLN5" s="344"/>
      <c r="JLO5" s="344"/>
      <c r="JLP5" s="344"/>
      <c r="JLQ5" s="344"/>
      <c r="JLR5" s="344"/>
      <c r="JLS5" s="344"/>
      <c r="JLT5" s="344"/>
      <c r="JLU5" s="344"/>
      <c r="JLV5" s="344"/>
      <c r="JLW5" s="344"/>
      <c r="JLX5" s="344"/>
      <c r="JLY5" s="344"/>
      <c r="JLZ5" s="344"/>
      <c r="JMA5" s="344"/>
      <c r="JMB5" s="344"/>
      <c r="JMC5" s="344"/>
      <c r="JMD5" s="344"/>
      <c r="JME5" s="344"/>
      <c r="JMF5" s="344"/>
      <c r="JMG5" s="344"/>
      <c r="JMH5" s="344"/>
      <c r="JMI5" s="344"/>
      <c r="JMJ5" s="344"/>
      <c r="JMK5" s="344"/>
      <c r="JML5" s="344"/>
      <c r="JMM5" s="344"/>
      <c r="JMN5" s="344"/>
      <c r="JMO5" s="344"/>
      <c r="JMP5" s="344"/>
      <c r="JMQ5" s="344"/>
      <c r="JMR5" s="344"/>
      <c r="JMS5" s="344"/>
      <c r="JMT5" s="344"/>
      <c r="JMU5" s="344"/>
      <c r="JMV5" s="344"/>
      <c r="JMW5" s="344"/>
      <c r="JMX5" s="344"/>
      <c r="JMY5" s="344"/>
      <c r="JMZ5" s="344"/>
      <c r="JNA5" s="344"/>
      <c r="JNB5" s="344"/>
      <c r="JNC5" s="344"/>
      <c r="JND5" s="344"/>
      <c r="JNE5" s="344"/>
      <c r="JNF5" s="344"/>
      <c r="JNG5" s="344"/>
      <c r="JNH5" s="344"/>
      <c r="JNI5" s="344"/>
      <c r="JNJ5" s="344"/>
      <c r="JNK5" s="344"/>
      <c r="JNL5" s="344"/>
      <c r="JNM5" s="344"/>
      <c r="JNN5" s="344"/>
      <c r="JNO5" s="344"/>
      <c r="JNP5" s="344"/>
      <c r="JNQ5" s="344"/>
      <c r="JNR5" s="344"/>
      <c r="JNS5" s="344"/>
      <c r="JNT5" s="344"/>
      <c r="JNU5" s="344"/>
      <c r="JNV5" s="344"/>
      <c r="JNW5" s="344"/>
      <c r="JNX5" s="344"/>
      <c r="JNY5" s="344"/>
      <c r="JNZ5" s="344"/>
      <c r="JOA5" s="344"/>
      <c r="JOB5" s="344"/>
      <c r="JOC5" s="344"/>
      <c r="JOD5" s="344"/>
      <c r="JOE5" s="344"/>
      <c r="JOF5" s="344"/>
      <c r="JOG5" s="344"/>
      <c r="JOH5" s="344"/>
      <c r="JOI5" s="344"/>
      <c r="JOJ5" s="344"/>
      <c r="JOK5" s="344"/>
      <c r="JOL5" s="344"/>
      <c r="JOM5" s="344"/>
      <c r="JON5" s="344"/>
      <c r="JOO5" s="344"/>
      <c r="JOP5" s="344"/>
      <c r="JOQ5" s="344"/>
      <c r="JOR5" s="344"/>
      <c r="JOS5" s="344"/>
      <c r="JOT5" s="344"/>
      <c r="JOU5" s="344"/>
      <c r="JOV5" s="344"/>
      <c r="JOW5" s="344"/>
      <c r="JOX5" s="344"/>
      <c r="JOY5" s="344"/>
      <c r="JOZ5" s="344"/>
      <c r="JPA5" s="344"/>
      <c r="JPB5" s="344"/>
      <c r="JPC5" s="344"/>
      <c r="JPD5" s="344"/>
      <c r="JPE5" s="344"/>
      <c r="JPF5" s="344"/>
      <c r="JPG5" s="344"/>
      <c r="JPH5" s="344"/>
      <c r="JPI5" s="344"/>
      <c r="JPJ5" s="344"/>
      <c r="JPK5" s="344"/>
      <c r="JPL5" s="344"/>
      <c r="JPM5" s="344"/>
      <c r="JPN5" s="344"/>
      <c r="JPO5" s="344"/>
      <c r="JPP5" s="344"/>
      <c r="JPQ5" s="344"/>
      <c r="JPR5" s="344"/>
      <c r="JPS5" s="344"/>
      <c r="JPT5" s="344"/>
      <c r="JPU5" s="344"/>
      <c r="JPV5" s="344"/>
      <c r="JPW5" s="344"/>
      <c r="JPX5" s="344"/>
      <c r="JPY5" s="344"/>
      <c r="JPZ5" s="344"/>
      <c r="JQA5" s="344"/>
      <c r="JQB5" s="344"/>
      <c r="JQC5" s="344"/>
      <c r="JQD5" s="344"/>
      <c r="JQE5" s="344"/>
      <c r="JQF5" s="344"/>
      <c r="JQG5" s="344"/>
      <c r="JQH5" s="344"/>
      <c r="JQI5" s="344"/>
      <c r="JQJ5" s="344"/>
      <c r="JQK5" s="344"/>
      <c r="JQL5" s="344"/>
      <c r="JQM5" s="344"/>
      <c r="JQN5" s="344"/>
      <c r="JQO5" s="344"/>
      <c r="JQP5" s="344"/>
      <c r="JQQ5" s="344"/>
      <c r="JQR5" s="344"/>
      <c r="JQS5" s="344"/>
      <c r="JQT5" s="344"/>
      <c r="JQU5" s="344"/>
      <c r="JQV5" s="344"/>
      <c r="JQW5" s="344"/>
      <c r="JQX5" s="344"/>
      <c r="JQY5" s="344"/>
      <c r="JQZ5" s="344"/>
      <c r="JRA5" s="344"/>
      <c r="JRB5" s="344"/>
      <c r="JRC5" s="344"/>
      <c r="JRD5" s="344"/>
      <c r="JRE5" s="344"/>
      <c r="JRF5" s="344"/>
      <c r="JRG5" s="344"/>
      <c r="JRH5" s="344"/>
      <c r="JRI5" s="344"/>
      <c r="JRJ5" s="344"/>
      <c r="JRK5" s="344"/>
      <c r="JRL5" s="344"/>
      <c r="JRM5" s="344"/>
      <c r="JRN5" s="344"/>
      <c r="JRO5" s="344"/>
      <c r="JRP5" s="344"/>
      <c r="JRQ5" s="344"/>
      <c r="JRR5" s="344"/>
      <c r="JRS5" s="344"/>
      <c r="JRT5" s="344"/>
      <c r="JRU5" s="344"/>
      <c r="JRV5" s="344"/>
      <c r="JRW5" s="344"/>
      <c r="JRX5" s="344"/>
      <c r="JRY5" s="344"/>
      <c r="JRZ5" s="344"/>
      <c r="JSA5" s="344"/>
      <c r="JSB5" s="344"/>
      <c r="JSC5" s="344"/>
      <c r="JSD5" s="344"/>
      <c r="JSE5" s="344"/>
      <c r="JSF5" s="344"/>
      <c r="JSG5" s="344"/>
      <c r="JSH5" s="344"/>
      <c r="JSI5" s="344"/>
      <c r="JSJ5" s="344"/>
      <c r="JSK5" s="344"/>
      <c r="JSL5" s="344"/>
      <c r="JSM5" s="344"/>
      <c r="JSN5" s="344"/>
      <c r="JSO5" s="344"/>
      <c r="JSP5" s="344"/>
      <c r="JSQ5" s="344"/>
      <c r="JSR5" s="344"/>
      <c r="JSS5" s="344"/>
      <c r="JST5" s="344"/>
      <c r="JSU5" s="344"/>
      <c r="JSV5" s="344"/>
      <c r="JSW5" s="344"/>
      <c r="JSX5" s="344"/>
      <c r="JSY5" s="344"/>
      <c r="JSZ5" s="344"/>
      <c r="JTA5" s="344"/>
      <c r="JTB5" s="344"/>
      <c r="JTC5" s="344"/>
      <c r="JTD5" s="344"/>
      <c r="JTE5" s="344"/>
      <c r="JTF5" s="344"/>
      <c r="JTG5" s="344"/>
      <c r="JTH5" s="344"/>
      <c r="JTI5" s="344"/>
      <c r="JTJ5" s="344"/>
      <c r="JTK5" s="344"/>
      <c r="JTL5" s="344"/>
      <c r="JTM5" s="344"/>
      <c r="JTN5" s="344"/>
      <c r="JTO5" s="344"/>
      <c r="JTP5" s="344"/>
      <c r="JTQ5" s="344"/>
      <c r="JTR5" s="344"/>
      <c r="JTS5" s="344"/>
      <c r="JTT5" s="344"/>
      <c r="JTU5" s="344"/>
      <c r="JTV5" s="344"/>
      <c r="JTW5" s="344"/>
      <c r="JTX5" s="344"/>
      <c r="JTY5" s="344"/>
      <c r="JTZ5" s="344"/>
      <c r="JUA5" s="344"/>
      <c r="JUB5" s="344"/>
      <c r="JUC5" s="344"/>
      <c r="JUD5" s="344"/>
      <c r="JUE5" s="344"/>
      <c r="JUF5" s="344"/>
      <c r="JUG5" s="344"/>
      <c r="JUH5" s="344"/>
      <c r="JUI5" s="344"/>
      <c r="JUJ5" s="344"/>
      <c r="JUK5" s="344"/>
      <c r="JUL5" s="344"/>
      <c r="JUM5" s="344"/>
      <c r="JUN5" s="344"/>
      <c r="JUO5" s="344"/>
      <c r="JUP5" s="344"/>
      <c r="JUQ5" s="344"/>
      <c r="JUR5" s="344"/>
      <c r="JUS5" s="344"/>
      <c r="JUT5" s="344"/>
      <c r="JUU5" s="344"/>
      <c r="JUV5" s="344"/>
      <c r="JUW5" s="344"/>
      <c r="JUX5" s="344"/>
      <c r="JUY5" s="344"/>
      <c r="JUZ5" s="344"/>
      <c r="JVA5" s="344"/>
      <c r="JVB5" s="344"/>
      <c r="JVC5" s="344"/>
      <c r="JVD5" s="344"/>
      <c r="JVE5" s="344"/>
      <c r="JVF5" s="344"/>
      <c r="JVG5" s="344"/>
      <c r="JVH5" s="344"/>
      <c r="JVI5" s="344"/>
      <c r="JVJ5" s="344"/>
      <c r="JVK5" s="344"/>
      <c r="JVL5" s="344"/>
      <c r="JVM5" s="344"/>
      <c r="JVN5" s="344"/>
      <c r="JVO5" s="344"/>
      <c r="JVP5" s="344"/>
      <c r="JVQ5" s="344"/>
      <c r="JVR5" s="344"/>
      <c r="JVS5" s="344"/>
      <c r="JVT5" s="344"/>
      <c r="JVU5" s="344"/>
      <c r="JVV5" s="344"/>
      <c r="JVW5" s="344"/>
      <c r="JVX5" s="344"/>
      <c r="JVY5" s="344"/>
      <c r="JVZ5" s="344"/>
      <c r="JWA5" s="344"/>
      <c r="JWB5" s="344"/>
      <c r="JWC5" s="344"/>
      <c r="JWD5" s="344"/>
      <c r="JWE5" s="344"/>
      <c r="JWF5" s="344"/>
      <c r="JWG5" s="344"/>
      <c r="JWH5" s="344"/>
      <c r="JWI5" s="344"/>
      <c r="JWJ5" s="344"/>
      <c r="JWK5" s="344"/>
      <c r="JWL5" s="344"/>
      <c r="JWM5" s="344"/>
      <c r="JWN5" s="344"/>
      <c r="JWO5" s="344"/>
      <c r="JWP5" s="344"/>
      <c r="JWQ5" s="344"/>
      <c r="JWR5" s="344"/>
      <c r="JWS5" s="344"/>
      <c r="JWT5" s="344"/>
      <c r="JWU5" s="344"/>
      <c r="JWV5" s="344"/>
      <c r="JWW5" s="344"/>
      <c r="JWX5" s="344"/>
      <c r="JWY5" s="344"/>
      <c r="JWZ5" s="344"/>
      <c r="JXA5" s="344"/>
      <c r="JXB5" s="344"/>
      <c r="JXC5" s="344"/>
      <c r="JXD5" s="344"/>
      <c r="JXE5" s="344"/>
      <c r="JXF5" s="344"/>
      <c r="JXG5" s="344"/>
      <c r="JXH5" s="344"/>
      <c r="JXI5" s="344"/>
      <c r="JXJ5" s="344"/>
      <c r="JXK5" s="344"/>
      <c r="JXL5" s="344"/>
      <c r="JXM5" s="344"/>
      <c r="JXN5" s="344"/>
      <c r="JXO5" s="344"/>
      <c r="JXP5" s="344"/>
      <c r="JXQ5" s="344"/>
      <c r="JXR5" s="344"/>
      <c r="JXS5" s="344"/>
      <c r="JXT5" s="344"/>
      <c r="JXU5" s="344"/>
      <c r="JXV5" s="344"/>
      <c r="JXW5" s="344"/>
      <c r="JXX5" s="344"/>
      <c r="JXY5" s="344"/>
      <c r="JXZ5" s="344"/>
      <c r="JYA5" s="344"/>
      <c r="JYB5" s="344"/>
      <c r="JYC5" s="344"/>
      <c r="JYD5" s="344"/>
      <c r="JYE5" s="344"/>
      <c r="JYF5" s="344"/>
      <c r="JYG5" s="344"/>
      <c r="JYH5" s="344"/>
      <c r="JYI5" s="344"/>
      <c r="JYJ5" s="344"/>
      <c r="JYK5" s="344"/>
      <c r="JYL5" s="344"/>
      <c r="JYM5" s="344"/>
      <c r="JYN5" s="344"/>
      <c r="JYO5" s="344"/>
      <c r="JYP5" s="344"/>
      <c r="JYQ5" s="344"/>
      <c r="JYR5" s="344"/>
      <c r="JYS5" s="344"/>
      <c r="JYT5" s="344"/>
      <c r="JYU5" s="344"/>
      <c r="JYV5" s="344"/>
      <c r="JYW5" s="344"/>
      <c r="JYX5" s="344"/>
      <c r="JYY5" s="344"/>
      <c r="JYZ5" s="344"/>
      <c r="JZA5" s="344"/>
      <c r="JZB5" s="344"/>
      <c r="JZC5" s="344"/>
      <c r="JZD5" s="344"/>
      <c r="JZE5" s="344"/>
      <c r="JZF5" s="344"/>
      <c r="JZG5" s="344"/>
      <c r="JZH5" s="344"/>
      <c r="JZI5" s="344"/>
      <c r="JZJ5" s="344"/>
      <c r="JZK5" s="344"/>
      <c r="JZL5" s="344"/>
      <c r="JZM5" s="344"/>
      <c r="JZN5" s="344"/>
      <c r="JZO5" s="344"/>
      <c r="JZP5" s="344"/>
      <c r="JZQ5" s="344"/>
      <c r="JZR5" s="344"/>
      <c r="JZS5" s="344"/>
      <c r="JZT5" s="344"/>
      <c r="JZU5" s="344"/>
      <c r="JZV5" s="344"/>
      <c r="JZW5" s="344"/>
      <c r="JZX5" s="344"/>
      <c r="JZY5" s="344"/>
      <c r="JZZ5" s="344"/>
      <c r="KAA5" s="344"/>
      <c r="KAB5" s="344"/>
      <c r="KAC5" s="344"/>
      <c r="KAD5" s="344"/>
      <c r="KAE5" s="344"/>
      <c r="KAF5" s="344"/>
      <c r="KAG5" s="344"/>
      <c r="KAH5" s="344"/>
      <c r="KAI5" s="344"/>
      <c r="KAJ5" s="344"/>
      <c r="KAK5" s="344"/>
      <c r="KAL5" s="344"/>
      <c r="KAM5" s="344"/>
      <c r="KAN5" s="344"/>
      <c r="KAO5" s="344"/>
      <c r="KAP5" s="344"/>
      <c r="KAQ5" s="344"/>
      <c r="KAR5" s="344"/>
      <c r="KAS5" s="344"/>
      <c r="KAT5" s="344"/>
      <c r="KAU5" s="344"/>
      <c r="KAV5" s="344"/>
      <c r="KAW5" s="344"/>
      <c r="KAX5" s="344"/>
      <c r="KAY5" s="344"/>
      <c r="KAZ5" s="344"/>
      <c r="KBA5" s="344"/>
      <c r="KBB5" s="344"/>
      <c r="KBC5" s="344"/>
      <c r="KBD5" s="344"/>
      <c r="KBE5" s="344"/>
      <c r="KBF5" s="344"/>
      <c r="KBG5" s="344"/>
      <c r="KBH5" s="344"/>
      <c r="KBI5" s="344"/>
      <c r="KBJ5" s="344"/>
      <c r="KBK5" s="344"/>
      <c r="KBL5" s="344"/>
      <c r="KBM5" s="344"/>
      <c r="KBN5" s="344"/>
      <c r="KBO5" s="344"/>
      <c r="KBP5" s="344"/>
      <c r="KBQ5" s="344"/>
      <c r="KBR5" s="344"/>
      <c r="KBS5" s="344"/>
      <c r="KBT5" s="344"/>
      <c r="KBU5" s="344"/>
      <c r="KBV5" s="344"/>
      <c r="KBW5" s="344"/>
      <c r="KBX5" s="344"/>
      <c r="KBY5" s="344"/>
      <c r="KBZ5" s="344"/>
      <c r="KCA5" s="344"/>
      <c r="KCB5" s="344"/>
      <c r="KCC5" s="344"/>
      <c r="KCD5" s="344"/>
      <c r="KCE5" s="344"/>
      <c r="KCF5" s="344"/>
      <c r="KCG5" s="344"/>
      <c r="KCH5" s="344"/>
      <c r="KCI5" s="344"/>
      <c r="KCJ5" s="344"/>
      <c r="KCK5" s="344"/>
      <c r="KCL5" s="344"/>
      <c r="KCM5" s="344"/>
      <c r="KCN5" s="344"/>
      <c r="KCO5" s="344"/>
      <c r="KCP5" s="344"/>
      <c r="KCQ5" s="344"/>
      <c r="KCR5" s="344"/>
      <c r="KCS5" s="344"/>
      <c r="KCT5" s="344"/>
      <c r="KCU5" s="344"/>
      <c r="KCV5" s="344"/>
      <c r="KCW5" s="344"/>
      <c r="KCX5" s="344"/>
      <c r="KCY5" s="344"/>
      <c r="KCZ5" s="344"/>
      <c r="KDA5" s="344"/>
      <c r="KDB5" s="344"/>
      <c r="KDC5" s="344"/>
      <c r="KDD5" s="344"/>
      <c r="KDE5" s="344"/>
      <c r="KDF5" s="344"/>
      <c r="KDG5" s="344"/>
      <c r="KDH5" s="344"/>
      <c r="KDI5" s="344"/>
      <c r="KDJ5" s="344"/>
      <c r="KDK5" s="344"/>
      <c r="KDL5" s="344"/>
      <c r="KDM5" s="344"/>
      <c r="KDN5" s="344"/>
      <c r="KDO5" s="344"/>
      <c r="KDP5" s="344"/>
      <c r="KDQ5" s="344"/>
      <c r="KDR5" s="344"/>
      <c r="KDS5" s="344"/>
      <c r="KDT5" s="344"/>
      <c r="KDU5" s="344"/>
      <c r="KDV5" s="344"/>
      <c r="KDW5" s="344"/>
      <c r="KDX5" s="344"/>
      <c r="KDY5" s="344"/>
      <c r="KDZ5" s="344"/>
      <c r="KEA5" s="344"/>
      <c r="KEB5" s="344"/>
      <c r="KEC5" s="344"/>
      <c r="KED5" s="344"/>
      <c r="KEE5" s="344"/>
      <c r="KEF5" s="344"/>
      <c r="KEG5" s="344"/>
      <c r="KEH5" s="344"/>
      <c r="KEI5" s="344"/>
      <c r="KEJ5" s="344"/>
      <c r="KEK5" s="344"/>
      <c r="KEL5" s="344"/>
      <c r="KEM5" s="344"/>
      <c r="KEN5" s="344"/>
      <c r="KEO5" s="344"/>
      <c r="KEP5" s="344"/>
      <c r="KEQ5" s="344"/>
      <c r="KER5" s="344"/>
      <c r="KES5" s="344"/>
      <c r="KET5" s="344"/>
      <c r="KEU5" s="344"/>
      <c r="KEV5" s="344"/>
      <c r="KEW5" s="344"/>
      <c r="KEX5" s="344"/>
      <c r="KEY5" s="344"/>
      <c r="KEZ5" s="344"/>
      <c r="KFA5" s="344"/>
      <c r="KFB5" s="344"/>
      <c r="KFC5" s="344"/>
      <c r="KFD5" s="344"/>
      <c r="KFE5" s="344"/>
      <c r="KFF5" s="344"/>
      <c r="KFG5" s="344"/>
      <c r="KFH5" s="344"/>
      <c r="KFI5" s="344"/>
      <c r="KFJ5" s="344"/>
      <c r="KFK5" s="344"/>
      <c r="KFL5" s="344"/>
      <c r="KFM5" s="344"/>
      <c r="KFN5" s="344"/>
      <c r="KFO5" s="344"/>
      <c r="KFP5" s="344"/>
      <c r="KFQ5" s="344"/>
      <c r="KFR5" s="344"/>
      <c r="KFS5" s="344"/>
      <c r="KFT5" s="344"/>
      <c r="KFU5" s="344"/>
      <c r="KFV5" s="344"/>
      <c r="KFW5" s="344"/>
      <c r="KFX5" s="344"/>
      <c r="KFY5" s="344"/>
      <c r="KFZ5" s="344"/>
      <c r="KGA5" s="344"/>
      <c r="KGB5" s="344"/>
      <c r="KGC5" s="344"/>
      <c r="KGD5" s="344"/>
      <c r="KGE5" s="344"/>
      <c r="KGF5" s="344"/>
      <c r="KGG5" s="344"/>
      <c r="KGH5" s="344"/>
      <c r="KGI5" s="344"/>
      <c r="KGJ5" s="344"/>
      <c r="KGK5" s="344"/>
      <c r="KGL5" s="344"/>
      <c r="KGM5" s="344"/>
      <c r="KGN5" s="344"/>
      <c r="KGO5" s="344"/>
      <c r="KGP5" s="344"/>
      <c r="KGQ5" s="344"/>
      <c r="KGR5" s="344"/>
      <c r="KGS5" s="344"/>
      <c r="KGT5" s="344"/>
      <c r="KGU5" s="344"/>
      <c r="KGV5" s="344"/>
      <c r="KGW5" s="344"/>
      <c r="KGX5" s="344"/>
      <c r="KGY5" s="344"/>
      <c r="KGZ5" s="344"/>
      <c r="KHA5" s="344"/>
      <c r="KHB5" s="344"/>
      <c r="KHC5" s="344"/>
      <c r="KHD5" s="344"/>
      <c r="KHE5" s="344"/>
      <c r="KHF5" s="344"/>
      <c r="KHG5" s="344"/>
      <c r="KHH5" s="344"/>
      <c r="KHI5" s="344"/>
      <c r="KHJ5" s="344"/>
      <c r="KHK5" s="344"/>
      <c r="KHL5" s="344"/>
      <c r="KHM5" s="344"/>
      <c r="KHN5" s="344"/>
      <c r="KHO5" s="344"/>
      <c r="KHP5" s="344"/>
      <c r="KHQ5" s="344"/>
      <c r="KHR5" s="344"/>
      <c r="KHS5" s="344"/>
      <c r="KHT5" s="344"/>
      <c r="KHU5" s="344"/>
      <c r="KHV5" s="344"/>
      <c r="KHW5" s="344"/>
      <c r="KHX5" s="344"/>
      <c r="KHY5" s="344"/>
      <c r="KHZ5" s="344"/>
      <c r="KIA5" s="344"/>
      <c r="KIB5" s="344"/>
      <c r="KIC5" s="344"/>
      <c r="KID5" s="344"/>
      <c r="KIE5" s="344"/>
      <c r="KIF5" s="344"/>
      <c r="KIG5" s="344"/>
      <c r="KIH5" s="344"/>
      <c r="KII5" s="344"/>
      <c r="KIJ5" s="344"/>
      <c r="KIK5" s="344"/>
      <c r="KIL5" s="344"/>
      <c r="KIM5" s="344"/>
      <c r="KIN5" s="344"/>
      <c r="KIO5" s="344"/>
      <c r="KIP5" s="344"/>
      <c r="KIQ5" s="344"/>
      <c r="KIR5" s="344"/>
      <c r="KIS5" s="344"/>
      <c r="KIT5" s="344"/>
      <c r="KIU5" s="344"/>
      <c r="KIV5" s="344"/>
      <c r="KIW5" s="344"/>
      <c r="KIX5" s="344"/>
      <c r="KIY5" s="344"/>
      <c r="KIZ5" s="344"/>
      <c r="KJA5" s="344"/>
      <c r="KJB5" s="344"/>
      <c r="KJC5" s="344"/>
      <c r="KJD5" s="344"/>
      <c r="KJE5" s="344"/>
      <c r="KJF5" s="344"/>
      <c r="KJG5" s="344"/>
      <c r="KJH5" s="344"/>
      <c r="KJI5" s="344"/>
      <c r="KJJ5" s="344"/>
      <c r="KJK5" s="344"/>
      <c r="KJL5" s="344"/>
      <c r="KJM5" s="344"/>
      <c r="KJN5" s="344"/>
      <c r="KJO5" s="344"/>
      <c r="KJP5" s="344"/>
      <c r="KJQ5" s="344"/>
      <c r="KJR5" s="344"/>
      <c r="KJS5" s="344"/>
      <c r="KJT5" s="344"/>
      <c r="KJU5" s="344"/>
      <c r="KJV5" s="344"/>
      <c r="KJW5" s="344"/>
      <c r="KJX5" s="344"/>
      <c r="KJY5" s="344"/>
      <c r="KJZ5" s="344"/>
      <c r="KKA5" s="344"/>
      <c r="KKB5" s="344"/>
      <c r="KKC5" s="344"/>
      <c r="KKD5" s="344"/>
      <c r="KKE5" s="344"/>
      <c r="KKF5" s="344"/>
      <c r="KKG5" s="344"/>
      <c r="KKH5" s="344"/>
      <c r="KKI5" s="344"/>
      <c r="KKJ5" s="344"/>
      <c r="KKK5" s="344"/>
      <c r="KKL5" s="344"/>
      <c r="KKM5" s="344"/>
      <c r="KKN5" s="344"/>
      <c r="KKO5" s="344"/>
      <c r="KKP5" s="344"/>
      <c r="KKQ5" s="344"/>
      <c r="KKR5" s="344"/>
      <c r="KKS5" s="344"/>
      <c r="KKT5" s="344"/>
      <c r="KKU5" s="344"/>
      <c r="KKV5" s="344"/>
      <c r="KKW5" s="344"/>
      <c r="KKX5" s="344"/>
      <c r="KKY5" s="344"/>
      <c r="KKZ5" s="344"/>
      <c r="KLA5" s="344"/>
      <c r="KLB5" s="344"/>
      <c r="KLC5" s="344"/>
      <c r="KLD5" s="344"/>
      <c r="KLE5" s="344"/>
      <c r="KLF5" s="344"/>
      <c r="KLG5" s="344"/>
      <c r="KLH5" s="344"/>
      <c r="KLI5" s="344"/>
      <c r="KLJ5" s="344"/>
      <c r="KLK5" s="344"/>
      <c r="KLL5" s="344"/>
      <c r="KLM5" s="344"/>
      <c r="KLN5" s="344"/>
      <c r="KLO5" s="344"/>
      <c r="KLP5" s="344"/>
      <c r="KLQ5" s="344"/>
      <c r="KLR5" s="344"/>
      <c r="KLS5" s="344"/>
      <c r="KLT5" s="344"/>
      <c r="KLU5" s="344"/>
      <c r="KLV5" s="344"/>
      <c r="KLW5" s="344"/>
      <c r="KLX5" s="344"/>
      <c r="KLY5" s="344"/>
      <c r="KLZ5" s="344"/>
      <c r="KMA5" s="344"/>
      <c r="KMB5" s="344"/>
      <c r="KMC5" s="344"/>
      <c r="KMD5" s="344"/>
      <c r="KME5" s="344"/>
      <c r="KMF5" s="344"/>
      <c r="KMG5" s="344"/>
      <c r="KMH5" s="344"/>
      <c r="KMI5" s="344"/>
      <c r="KMJ5" s="344"/>
      <c r="KMK5" s="344"/>
      <c r="KML5" s="344"/>
      <c r="KMM5" s="344"/>
      <c r="KMN5" s="344"/>
      <c r="KMO5" s="344"/>
      <c r="KMP5" s="344"/>
      <c r="KMQ5" s="344"/>
      <c r="KMR5" s="344"/>
      <c r="KMS5" s="344"/>
      <c r="KMT5" s="344"/>
      <c r="KMU5" s="344"/>
      <c r="KMV5" s="344"/>
      <c r="KMW5" s="344"/>
      <c r="KMX5" s="344"/>
      <c r="KMY5" s="344"/>
      <c r="KMZ5" s="344"/>
      <c r="KNA5" s="344"/>
      <c r="KNB5" s="344"/>
      <c r="KNC5" s="344"/>
      <c r="KND5" s="344"/>
      <c r="KNE5" s="344"/>
      <c r="KNF5" s="344"/>
      <c r="KNG5" s="344"/>
      <c r="KNH5" s="344"/>
      <c r="KNI5" s="344"/>
      <c r="KNJ5" s="344"/>
      <c r="KNK5" s="344"/>
      <c r="KNL5" s="344"/>
      <c r="KNM5" s="344"/>
      <c r="KNN5" s="344"/>
      <c r="KNO5" s="344"/>
      <c r="KNP5" s="344"/>
      <c r="KNQ5" s="344"/>
      <c r="KNR5" s="344"/>
      <c r="KNS5" s="344"/>
      <c r="KNT5" s="344"/>
      <c r="KNU5" s="344"/>
      <c r="KNV5" s="344"/>
      <c r="KNW5" s="344"/>
      <c r="KNX5" s="344"/>
      <c r="KNY5" s="344"/>
      <c r="KNZ5" s="344"/>
      <c r="KOA5" s="344"/>
      <c r="KOB5" s="344"/>
      <c r="KOC5" s="344"/>
      <c r="KOD5" s="344"/>
      <c r="KOE5" s="344"/>
      <c r="KOF5" s="344"/>
      <c r="KOG5" s="344"/>
      <c r="KOH5" s="344"/>
      <c r="KOI5" s="344"/>
      <c r="KOJ5" s="344"/>
      <c r="KOK5" s="344"/>
      <c r="KOL5" s="344"/>
      <c r="KOM5" s="344"/>
      <c r="KON5" s="344"/>
      <c r="KOO5" s="344"/>
      <c r="KOP5" s="344"/>
      <c r="KOQ5" s="344"/>
      <c r="KOR5" s="344"/>
      <c r="KOS5" s="344"/>
      <c r="KOT5" s="344"/>
      <c r="KOU5" s="344"/>
      <c r="KOV5" s="344"/>
      <c r="KOW5" s="344"/>
      <c r="KOX5" s="344"/>
      <c r="KOY5" s="344"/>
      <c r="KOZ5" s="344"/>
      <c r="KPA5" s="344"/>
      <c r="KPB5" s="344"/>
      <c r="KPC5" s="344"/>
      <c r="KPD5" s="344"/>
      <c r="KPE5" s="344"/>
      <c r="KPF5" s="344"/>
      <c r="KPG5" s="344"/>
      <c r="KPH5" s="344"/>
      <c r="KPI5" s="344"/>
      <c r="KPJ5" s="344"/>
      <c r="KPK5" s="344"/>
      <c r="KPL5" s="344"/>
      <c r="KPM5" s="344"/>
      <c r="KPN5" s="344"/>
      <c r="KPO5" s="344"/>
      <c r="KPP5" s="344"/>
      <c r="KPQ5" s="344"/>
      <c r="KPR5" s="344"/>
      <c r="KPS5" s="344"/>
      <c r="KPT5" s="344"/>
      <c r="KPU5" s="344"/>
      <c r="KPV5" s="344"/>
      <c r="KPW5" s="344"/>
      <c r="KPX5" s="344"/>
      <c r="KPY5" s="344"/>
      <c r="KPZ5" s="344"/>
      <c r="KQA5" s="344"/>
      <c r="KQB5" s="344"/>
      <c r="KQC5" s="344"/>
      <c r="KQD5" s="344"/>
      <c r="KQE5" s="344"/>
      <c r="KQF5" s="344"/>
      <c r="KQG5" s="344"/>
      <c r="KQH5" s="344"/>
      <c r="KQI5" s="344"/>
      <c r="KQJ5" s="344"/>
      <c r="KQK5" s="344"/>
      <c r="KQL5" s="344"/>
      <c r="KQM5" s="344"/>
      <c r="KQN5" s="344"/>
      <c r="KQO5" s="344"/>
      <c r="KQP5" s="344"/>
      <c r="KQQ5" s="344"/>
      <c r="KQR5" s="344"/>
      <c r="KQS5" s="344"/>
      <c r="KQT5" s="344"/>
      <c r="KQU5" s="344"/>
      <c r="KQV5" s="344"/>
      <c r="KQW5" s="344"/>
      <c r="KQX5" s="344"/>
      <c r="KQY5" s="344"/>
      <c r="KQZ5" s="344"/>
      <c r="KRA5" s="344"/>
      <c r="KRB5" s="344"/>
      <c r="KRC5" s="344"/>
      <c r="KRD5" s="344"/>
      <c r="KRE5" s="344"/>
      <c r="KRF5" s="344"/>
      <c r="KRG5" s="344"/>
      <c r="KRH5" s="344"/>
      <c r="KRI5" s="344"/>
      <c r="KRJ5" s="344"/>
      <c r="KRK5" s="344"/>
      <c r="KRL5" s="344"/>
      <c r="KRM5" s="344"/>
      <c r="KRN5" s="344"/>
      <c r="KRO5" s="344"/>
      <c r="KRP5" s="344"/>
      <c r="KRQ5" s="344"/>
      <c r="KRR5" s="344"/>
      <c r="KRS5" s="344"/>
      <c r="KRT5" s="344"/>
      <c r="KRU5" s="344"/>
      <c r="KRV5" s="344"/>
      <c r="KRW5" s="344"/>
      <c r="KRX5" s="344"/>
      <c r="KRY5" s="344"/>
      <c r="KRZ5" s="344"/>
      <c r="KSA5" s="344"/>
      <c r="KSB5" s="344"/>
      <c r="KSC5" s="344"/>
      <c r="KSD5" s="344"/>
      <c r="KSE5" s="344"/>
      <c r="KSF5" s="344"/>
      <c r="KSG5" s="344"/>
      <c r="KSH5" s="344"/>
      <c r="KSI5" s="344"/>
      <c r="KSJ5" s="344"/>
      <c r="KSK5" s="344"/>
      <c r="KSL5" s="344"/>
      <c r="KSM5" s="344"/>
      <c r="KSN5" s="344"/>
      <c r="KSO5" s="344"/>
      <c r="KSP5" s="344"/>
      <c r="KSQ5" s="344"/>
      <c r="KSR5" s="344"/>
      <c r="KSS5" s="344"/>
      <c r="KST5" s="344"/>
      <c r="KSU5" s="344"/>
      <c r="KSV5" s="344"/>
      <c r="KSW5" s="344"/>
      <c r="KSX5" s="344"/>
      <c r="KSY5" s="344"/>
      <c r="KSZ5" s="344"/>
      <c r="KTA5" s="344"/>
      <c r="KTB5" s="344"/>
      <c r="KTC5" s="344"/>
      <c r="KTD5" s="344"/>
      <c r="KTE5" s="344"/>
      <c r="KTF5" s="344"/>
      <c r="KTG5" s="344"/>
      <c r="KTH5" s="344"/>
      <c r="KTI5" s="344"/>
      <c r="KTJ5" s="344"/>
      <c r="KTK5" s="344"/>
      <c r="KTL5" s="344"/>
      <c r="KTM5" s="344"/>
      <c r="KTN5" s="344"/>
      <c r="KTO5" s="344"/>
      <c r="KTP5" s="344"/>
      <c r="KTQ5" s="344"/>
      <c r="KTR5" s="344"/>
      <c r="KTS5" s="344"/>
      <c r="KTT5" s="344"/>
      <c r="KTU5" s="344"/>
      <c r="KTV5" s="344"/>
      <c r="KTW5" s="344"/>
      <c r="KTX5" s="344"/>
      <c r="KTY5" s="344"/>
      <c r="KTZ5" s="344"/>
      <c r="KUA5" s="344"/>
      <c r="KUB5" s="344"/>
      <c r="KUC5" s="344"/>
      <c r="KUD5" s="344"/>
      <c r="KUE5" s="344"/>
      <c r="KUF5" s="344"/>
      <c r="KUG5" s="344"/>
      <c r="KUH5" s="344"/>
      <c r="KUI5" s="344"/>
      <c r="KUJ5" s="344"/>
      <c r="KUK5" s="344"/>
      <c r="KUL5" s="344"/>
      <c r="KUM5" s="344"/>
      <c r="KUN5" s="344"/>
      <c r="KUO5" s="344"/>
      <c r="KUP5" s="344"/>
      <c r="KUQ5" s="344"/>
      <c r="KUR5" s="344"/>
      <c r="KUS5" s="344"/>
      <c r="KUT5" s="344"/>
      <c r="KUU5" s="344"/>
      <c r="KUV5" s="344"/>
      <c r="KUW5" s="344"/>
      <c r="KUX5" s="344"/>
      <c r="KUY5" s="344"/>
      <c r="KUZ5" s="344"/>
      <c r="KVA5" s="344"/>
      <c r="KVB5" s="344"/>
      <c r="KVC5" s="344"/>
      <c r="KVD5" s="344"/>
      <c r="KVE5" s="344"/>
      <c r="KVF5" s="344"/>
      <c r="KVG5" s="344"/>
      <c r="KVH5" s="344"/>
      <c r="KVI5" s="344"/>
      <c r="KVJ5" s="344"/>
      <c r="KVK5" s="344"/>
      <c r="KVL5" s="344"/>
      <c r="KVM5" s="344"/>
      <c r="KVN5" s="344"/>
      <c r="KVO5" s="344"/>
      <c r="KVP5" s="344"/>
      <c r="KVQ5" s="344"/>
      <c r="KVR5" s="344"/>
      <c r="KVS5" s="344"/>
      <c r="KVT5" s="344"/>
      <c r="KVU5" s="344"/>
      <c r="KVV5" s="344"/>
      <c r="KVW5" s="344"/>
      <c r="KVX5" s="344"/>
      <c r="KVY5" s="344"/>
      <c r="KVZ5" s="344"/>
      <c r="KWA5" s="344"/>
      <c r="KWB5" s="344"/>
      <c r="KWC5" s="344"/>
      <c r="KWD5" s="344"/>
      <c r="KWE5" s="344"/>
      <c r="KWF5" s="344"/>
      <c r="KWG5" s="344"/>
      <c r="KWH5" s="344"/>
      <c r="KWI5" s="344"/>
      <c r="KWJ5" s="344"/>
      <c r="KWK5" s="344"/>
      <c r="KWL5" s="344"/>
      <c r="KWM5" s="344"/>
      <c r="KWN5" s="344"/>
      <c r="KWO5" s="344"/>
      <c r="KWP5" s="344"/>
      <c r="KWQ5" s="344"/>
      <c r="KWR5" s="344"/>
      <c r="KWS5" s="344"/>
      <c r="KWT5" s="344"/>
      <c r="KWU5" s="344"/>
      <c r="KWV5" s="344"/>
      <c r="KWW5" s="344"/>
      <c r="KWX5" s="344"/>
      <c r="KWY5" s="344"/>
      <c r="KWZ5" s="344"/>
      <c r="KXA5" s="344"/>
      <c r="KXB5" s="344"/>
      <c r="KXC5" s="344"/>
      <c r="KXD5" s="344"/>
      <c r="KXE5" s="344"/>
      <c r="KXF5" s="344"/>
      <c r="KXG5" s="344"/>
      <c r="KXH5" s="344"/>
      <c r="KXI5" s="344"/>
      <c r="KXJ5" s="344"/>
      <c r="KXK5" s="344"/>
      <c r="KXL5" s="344"/>
      <c r="KXM5" s="344"/>
      <c r="KXN5" s="344"/>
      <c r="KXO5" s="344"/>
      <c r="KXP5" s="344"/>
      <c r="KXQ5" s="344"/>
      <c r="KXR5" s="344"/>
      <c r="KXS5" s="344"/>
      <c r="KXT5" s="344"/>
      <c r="KXU5" s="344"/>
      <c r="KXV5" s="344"/>
      <c r="KXW5" s="344"/>
      <c r="KXX5" s="344"/>
      <c r="KXY5" s="344"/>
      <c r="KXZ5" s="344"/>
      <c r="KYA5" s="344"/>
      <c r="KYB5" s="344"/>
      <c r="KYC5" s="344"/>
      <c r="KYD5" s="344"/>
      <c r="KYE5" s="344"/>
      <c r="KYF5" s="344"/>
      <c r="KYG5" s="344"/>
      <c r="KYH5" s="344"/>
      <c r="KYI5" s="344"/>
      <c r="KYJ5" s="344"/>
      <c r="KYK5" s="344"/>
      <c r="KYL5" s="344"/>
      <c r="KYM5" s="344"/>
      <c r="KYN5" s="344"/>
      <c r="KYO5" s="344"/>
      <c r="KYP5" s="344"/>
      <c r="KYQ5" s="344"/>
      <c r="KYR5" s="344"/>
      <c r="KYS5" s="344"/>
      <c r="KYT5" s="344"/>
      <c r="KYU5" s="344"/>
      <c r="KYV5" s="344"/>
      <c r="KYW5" s="344"/>
      <c r="KYX5" s="344"/>
      <c r="KYY5" s="344"/>
      <c r="KYZ5" s="344"/>
      <c r="KZA5" s="344"/>
      <c r="KZB5" s="344"/>
      <c r="KZC5" s="344"/>
      <c r="KZD5" s="344"/>
      <c r="KZE5" s="344"/>
      <c r="KZF5" s="344"/>
      <c r="KZG5" s="344"/>
      <c r="KZH5" s="344"/>
      <c r="KZI5" s="344"/>
      <c r="KZJ5" s="344"/>
      <c r="KZK5" s="344"/>
      <c r="KZL5" s="344"/>
      <c r="KZM5" s="344"/>
      <c r="KZN5" s="344"/>
      <c r="KZO5" s="344"/>
      <c r="KZP5" s="344"/>
      <c r="KZQ5" s="344"/>
      <c r="KZR5" s="344"/>
      <c r="KZS5" s="344"/>
      <c r="KZT5" s="344"/>
      <c r="KZU5" s="344"/>
      <c r="KZV5" s="344"/>
      <c r="KZW5" s="344"/>
      <c r="KZX5" s="344"/>
      <c r="KZY5" s="344"/>
      <c r="KZZ5" s="344"/>
      <c r="LAA5" s="344"/>
      <c r="LAB5" s="344"/>
      <c r="LAC5" s="344"/>
      <c r="LAD5" s="344"/>
      <c r="LAE5" s="344"/>
      <c r="LAF5" s="344"/>
      <c r="LAG5" s="344"/>
      <c r="LAH5" s="344"/>
      <c r="LAI5" s="344"/>
      <c r="LAJ5" s="344"/>
      <c r="LAK5" s="344"/>
      <c r="LAL5" s="344"/>
      <c r="LAM5" s="344"/>
      <c r="LAN5" s="344"/>
      <c r="LAO5" s="344"/>
      <c r="LAP5" s="344"/>
      <c r="LAQ5" s="344"/>
      <c r="LAR5" s="344"/>
      <c r="LAS5" s="344"/>
      <c r="LAT5" s="344"/>
      <c r="LAU5" s="344"/>
      <c r="LAV5" s="344"/>
      <c r="LAW5" s="344"/>
      <c r="LAX5" s="344"/>
      <c r="LAY5" s="344"/>
      <c r="LAZ5" s="344"/>
      <c r="LBA5" s="344"/>
      <c r="LBB5" s="344"/>
      <c r="LBC5" s="344"/>
      <c r="LBD5" s="344"/>
      <c r="LBE5" s="344"/>
      <c r="LBF5" s="344"/>
      <c r="LBG5" s="344"/>
      <c r="LBH5" s="344"/>
      <c r="LBI5" s="344"/>
      <c r="LBJ5" s="344"/>
      <c r="LBK5" s="344"/>
      <c r="LBL5" s="344"/>
      <c r="LBM5" s="344"/>
      <c r="LBN5" s="344"/>
      <c r="LBO5" s="344"/>
      <c r="LBP5" s="344"/>
      <c r="LBQ5" s="344"/>
      <c r="LBR5" s="344"/>
      <c r="LBS5" s="344"/>
      <c r="LBT5" s="344"/>
      <c r="LBU5" s="344"/>
      <c r="LBV5" s="344"/>
      <c r="LBW5" s="344"/>
      <c r="LBX5" s="344"/>
      <c r="LBY5" s="344"/>
      <c r="LBZ5" s="344"/>
      <c r="LCA5" s="344"/>
      <c r="LCB5" s="344"/>
      <c r="LCC5" s="344"/>
      <c r="LCD5" s="344"/>
      <c r="LCE5" s="344"/>
      <c r="LCF5" s="344"/>
      <c r="LCG5" s="344"/>
      <c r="LCH5" s="344"/>
      <c r="LCI5" s="344"/>
      <c r="LCJ5" s="344"/>
      <c r="LCK5" s="344"/>
      <c r="LCL5" s="344"/>
      <c r="LCM5" s="344"/>
      <c r="LCN5" s="344"/>
      <c r="LCO5" s="344"/>
      <c r="LCP5" s="344"/>
      <c r="LCQ5" s="344"/>
      <c r="LCR5" s="344"/>
      <c r="LCS5" s="344"/>
      <c r="LCT5" s="344"/>
      <c r="LCU5" s="344"/>
      <c r="LCV5" s="344"/>
      <c r="LCW5" s="344"/>
      <c r="LCX5" s="344"/>
      <c r="LCY5" s="344"/>
      <c r="LCZ5" s="344"/>
      <c r="LDA5" s="344"/>
      <c r="LDB5" s="344"/>
      <c r="LDC5" s="344"/>
      <c r="LDD5" s="344"/>
      <c r="LDE5" s="344"/>
      <c r="LDF5" s="344"/>
      <c r="LDG5" s="344"/>
      <c r="LDH5" s="344"/>
      <c r="LDI5" s="344"/>
      <c r="LDJ5" s="344"/>
      <c r="LDK5" s="344"/>
      <c r="LDL5" s="344"/>
      <c r="LDM5" s="344"/>
      <c r="LDN5" s="344"/>
      <c r="LDO5" s="344"/>
      <c r="LDP5" s="344"/>
      <c r="LDQ5" s="344"/>
      <c r="LDR5" s="344"/>
      <c r="LDS5" s="344"/>
      <c r="LDT5" s="344"/>
      <c r="LDU5" s="344"/>
      <c r="LDV5" s="344"/>
      <c r="LDW5" s="344"/>
      <c r="LDX5" s="344"/>
      <c r="LDY5" s="344"/>
      <c r="LDZ5" s="344"/>
      <c r="LEA5" s="344"/>
      <c r="LEB5" s="344"/>
      <c r="LEC5" s="344"/>
      <c r="LED5" s="344"/>
      <c r="LEE5" s="344"/>
      <c r="LEF5" s="344"/>
      <c r="LEG5" s="344"/>
      <c r="LEH5" s="344"/>
      <c r="LEI5" s="344"/>
      <c r="LEJ5" s="344"/>
      <c r="LEK5" s="344"/>
      <c r="LEL5" s="344"/>
      <c r="LEM5" s="344"/>
      <c r="LEN5" s="344"/>
      <c r="LEO5" s="344"/>
      <c r="LEP5" s="344"/>
      <c r="LEQ5" s="344"/>
      <c r="LER5" s="344"/>
      <c r="LES5" s="344"/>
      <c r="LET5" s="344"/>
      <c r="LEU5" s="344"/>
      <c r="LEV5" s="344"/>
      <c r="LEW5" s="344"/>
      <c r="LEX5" s="344"/>
      <c r="LEY5" s="344"/>
      <c r="LEZ5" s="344"/>
      <c r="LFA5" s="344"/>
      <c r="LFB5" s="344"/>
      <c r="LFC5" s="344"/>
      <c r="LFD5" s="344"/>
      <c r="LFE5" s="344"/>
      <c r="LFF5" s="344"/>
      <c r="LFG5" s="344"/>
      <c r="LFH5" s="344"/>
      <c r="LFI5" s="344"/>
      <c r="LFJ5" s="344"/>
      <c r="LFK5" s="344"/>
      <c r="LFL5" s="344"/>
      <c r="LFM5" s="344"/>
      <c r="LFN5" s="344"/>
      <c r="LFO5" s="344"/>
      <c r="LFP5" s="344"/>
      <c r="LFQ5" s="344"/>
      <c r="LFR5" s="344"/>
      <c r="LFS5" s="344"/>
      <c r="LFT5" s="344"/>
      <c r="LFU5" s="344"/>
      <c r="LFV5" s="344"/>
      <c r="LFW5" s="344"/>
      <c r="LFX5" s="344"/>
      <c r="LFY5" s="344"/>
      <c r="LFZ5" s="344"/>
      <c r="LGA5" s="344"/>
      <c r="LGB5" s="344"/>
      <c r="LGC5" s="344"/>
      <c r="LGD5" s="344"/>
      <c r="LGE5" s="344"/>
      <c r="LGF5" s="344"/>
      <c r="LGG5" s="344"/>
      <c r="LGH5" s="344"/>
      <c r="LGI5" s="344"/>
      <c r="LGJ5" s="344"/>
      <c r="LGK5" s="344"/>
      <c r="LGL5" s="344"/>
      <c r="LGM5" s="344"/>
      <c r="LGN5" s="344"/>
      <c r="LGO5" s="344"/>
      <c r="LGP5" s="344"/>
      <c r="LGQ5" s="344"/>
      <c r="LGR5" s="344"/>
      <c r="LGS5" s="344"/>
      <c r="LGT5" s="344"/>
      <c r="LGU5" s="344"/>
      <c r="LGV5" s="344"/>
      <c r="LGW5" s="344"/>
      <c r="LGX5" s="344"/>
      <c r="LGY5" s="344"/>
      <c r="LGZ5" s="344"/>
      <c r="LHA5" s="344"/>
      <c r="LHB5" s="344"/>
      <c r="LHC5" s="344"/>
      <c r="LHD5" s="344"/>
      <c r="LHE5" s="344"/>
      <c r="LHF5" s="344"/>
      <c r="LHG5" s="344"/>
      <c r="LHH5" s="344"/>
      <c r="LHI5" s="344"/>
      <c r="LHJ5" s="344"/>
      <c r="LHK5" s="344"/>
      <c r="LHL5" s="344"/>
      <c r="LHM5" s="344"/>
      <c r="LHN5" s="344"/>
      <c r="LHO5" s="344"/>
      <c r="LHP5" s="344"/>
      <c r="LHQ5" s="344"/>
      <c r="LHR5" s="344"/>
      <c r="LHS5" s="344"/>
      <c r="LHT5" s="344"/>
      <c r="LHU5" s="344"/>
      <c r="LHV5" s="344"/>
      <c r="LHW5" s="344"/>
      <c r="LHX5" s="344"/>
      <c r="LHY5" s="344"/>
      <c r="LHZ5" s="344"/>
      <c r="LIA5" s="344"/>
      <c r="LIB5" s="344"/>
      <c r="LIC5" s="344"/>
      <c r="LID5" s="344"/>
      <c r="LIE5" s="344"/>
      <c r="LIF5" s="344"/>
      <c r="LIG5" s="344"/>
      <c r="LIH5" s="344"/>
      <c r="LII5" s="344"/>
      <c r="LIJ5" s="344"/>
      <c r="LIK5" s="344"/>
      <c r="LIL5" s="344"/>
      <c r="LIM5" s="344"/>
      <c r="LIN5" s="344"/>
      <c r="LIO5" s="344"/>
      <c r="LIP5" s="344"/>
      <c r="LIQ5" s="344"/>
      <c r="LIR5" s="344"/>
      <c r="LIS5" s="344"/>
      <c r="LIT5" s="344"/>
      <c r="LIU5" s="344"/>
      <c r="LIV5" s="344"/>
      <c r="LIW5" s="344"/>
      <c r="LIX5" s="344"/>
      <c r="LIY5" s="344"/>
      <c r="LIZ5" s="344"/>
      <c r="LJA5" s="344"/>
      <c r="LJB5" s="344"/>
      <c r="LJC5" s="344"/>
      <c r="LJD5" s="344"/>
      <c r="LJE5" s="344"/>
      <c r="LJF5" s="344"/>
      <c r="LJG5" s="344"/>
      <c r="LJH5" s="344"/>
      <c r="LJI5" s="344"/>
      <c r="LJJ5" s="344"/>
      <c r="LJK5" s="344"/>
      <c r="LJL5" s="344"/>
      <c r="LJM5" s="344"/>
      <c r="LJN5" s="344"/>
      <c r="LJO5" s="344"/>
      <c r="LJP5" s="344"/>
      <c r="LJQ5" s="344"/>
      <c r="LJR5" s="344"/>
      <c r="LJS5" s="344"/>
      <c r="LJT5" s="344"/>
      <c r="LJU5" s="344"/>
      <c r="LJV5" s="344"/>
      <c r="LJW5" s="344"/>
      <c r="LJX5" s="344"/>
      <c r="LJY5" s="344"/>
      <c r="LJZ5" s="344"/>
      <c r="LKA5" s="344"/>
      <c r="LKB5" s="344"/>
      <c r="LKC5" s="344"/>
      <c r="LKD5" s="344"/>
      <c r="LKE5" s="344"/>
      <c r="LKF5" s="344"/>
      <c r="LKG5" s="344"/>
      <c r="LKH5" s="344"/>
      <c r="LKI5" s="344"/>
      <c r="LKJ5" s="344"/>
      <c r="LKK5" s="344"/>
      <c r="LKL5" s="344"/>
      <c r="LKM5" s="344"/>
      <c r="LKN5" s="344"/>
      <c r="LKO5" s="344"/>
      <c r="LKP5" s="344"/>
      <c r="LKQ5" s="344"/>
      <c r="LKR5" s="344"/>
      <c r="LKS5" s="344"/>
      <c r="LKT5" s="344"/>
      <c r="LKU5" s="344"/>
      <c r="LKV5" s="344"/>
      <c r="LKW5" s="344"/>
      <c r="LKX5" s="344"/>
      <c r="LKY5" s="344"/>
      <c r="LKZ5" s="344"/>
      <c r="LLA5" s="344"/>
      <c r="LLB5" s="344"/>
      <c r="LLC5" s="344"/>
      <c r="LLD5" s="344"/>
      <c r="LLE5" s="344"/>
      <c r="LLF5" s="344"/>
      <c r="LLG5" s="344"/>
      <c r="LLH5" s="344"/>
      <c r="LLI5" s="344"/>
      <c r="LLJ5" s="344"/>
      <c r="LLK5" s="344"/>
      <c r="LLL5" s="344"/>
      <c r="LLM5" s="344"/>
      <c r="LLN5" s="344"/>
      <c r="LLO5" s="344"/>
      <c r="LLP5" s="344"/>
      <c r="LLQ5" s="344"/>
      <c r="LLR5" s="344"/>
      <c r="LLS5" s="344"/>
      <c r="LLT5" s="344"/>
      <c r="LLU5" s="344"/>
      <c r="LLV5" s="344"/>
      <c r="LLW5" s="344"/>
      <c r="LLX5" s="344"/>
      <c r="LLY5" s="344"/>
      <c r="LLZ5" s="344"/>
      <c r="LMA5" s="344"/>
      <c r="LMB5" s="344"/>
      <c r="LMC5" s="344"/>
      <c r="LMD5" s="344"/>
      <c r="LME5" s="344"/>
      <c r="LMF5" s="344"/>
      <c r="LMG5" s="344"/>
      <c r="LMH5" s="344"/>
      <c r="LMI5" s="344"/>
      <c r="LMJ5" s="344"/>
      <c r="LMK5" s="344"/>
      <c r="LML5" s="344"/>
      <c r="LMM5" s="344"/>
      <c r="LMN5" s="344"/>
      <c r="LMO5" s="344"/>
      <c r="LMP5" s="344"/>
      <c r="LMQ5" s="344"/>
      <c r="LMR5" s="344"/>
      <c r="LMS5" s="344"/>
      <c r="LMT5" s="344"/>
      <c r="LMU5" s="344"/>
      <c r="LMV5" s="344"/>
      <c r="LMW5" s="344"/>
      <c r="LMX5" s="344"/>
      <c r="LMY5" s="344"/>
      <c r="LMZ5" s="344"/>
      <c r="LNA5" s="344"/>
      <c r="LNB5" s="344"/>
      <c r="LNC5" s="344"/>
      <c r="LND5" s="344"/>
      <c r="LNE5" s="344"/>
      <c r="LNF5" s="344"/>
      <c r="LNG5" s="344"/>
      <c r="LNH5" s="344"/>
      <c r="LNI5" s="344"/>
      <c r="LNJ5" s="344"/>
      <c r="LNK5" s="344"/>
      <c r="LNL5" s="344"/>
      <c r="LNM5" s="344"/>
      <c r="LNN5" s="344"/>
      <c r="LNO5" s="344"/>
      <c r="LNP5" s="344"/>
      <c r="LNQ5" s="344"/>
      <c r="LNR5" s="344"/>
      <c r="LNS5" s="344"/>
      <c r="LNT5" s="344"/>
      <c r="LNU5" s="344"/>
      <c r="LNV5" s="344"/>
      <c r="LNW5" s="344"/>
      <c r="LNX5" s="344"/>
      <c r="LNY5" s="344"/>
      <c r="LNZ5" s="344"/>
      <c r="LOA5" s="344"/>
      <c r="LOB5" s="344"/>
      <c r="LOC5" s="344"/>
      <c r="LOD5" s="344"/>
      <c r="LOE5" s="344"/>
      <c r="LOF5" s="344"/>
      <c r="LOG5" s="344"/>
      <c r="LOH5" s="344"/>
      <c r="LOI5" s="344"/>
      <c r="LOJ5" s="344"/>
      <c r="LOK5" s="344"/>
      <c r="LOL5" s="344"/>
      <c r="LOM5" s="344"/>
      <c r="LON5" s="344"/>
      <c r="LOO5" s="344"/>
      <c r="LOP5" s="344"/>
      <c r="LOQ5" s="344"/>
      <c r="LOR5" s="344"/>
      <c r="LOS5" s="344"/>
      <c r="LOT5" s="344"/>
      <c r="LOU5" s="344"/>
      <c r="LOV5" s="344"/>
      <c r="LOW5" s="344"/>
      <c r="LOX5" s="344"/>
      <c r="LOY5" s="344"/>
      <c r="LOZ5" s="344"/>
      <c r="LPA5" s="344"/>
      <c r="LPB5" s="344"/>
      <c r="LPC5" s="344"/>
      <c r="LPD5" s="344"/>
      <c r="LPE5" s="344"/>
      <c r="LPF5" s="344"/>
      <c r="LPG5" s="344"/>
      <c r="LPH5" s="344"/>
      <c r="LPI5" s="344"/>
      <c r="LPJ5" s="344"/>
      <c r="LPK5" s="344"/>
      <c r="LPL5" s="344"/>
      <c r="LPM5" s="344"/>
      <c r="LPN5" s="344"/>
      <c r="LPO5" s="344"/>
      <c r="LPP5" s="344"/>
      <c r="LPQ5" s="344"/>
      <c r="LPR5" s="344"/>
      <c r="LPS5" s="344"/>
      <c r="LPT5" s="344"/>
      <c r="LPU5" s="344"/>
      <c r="LPV5" s="344"/>
      <c r="LPW5" s="344"/>
      <c r="LPX5" s="344"/>
      <c r="LPY5" s="344"/>
      <c r="LPZ5" s="344"/>
      <c r="LQA5" s="344"/>
      <c r="LQB5" s="344"/>
      <c r="LQC5" s="344"/>
      <c r="LQD5" s="344"/>
      <c r="LQE5" s="344"/>
      <c r="LQF5" s="344"/>
      <c r="LQG5" s="344"/>
      <c r="LQH5" s="344"/>
      <c r="LQI5" s="344"/>
      <c r="LQJ5" s="344"/>
      <c r="LQK5" s="344"/>
      <c r="LQL5" s="344"/>
      <c r="LQM5" s="344"/>
      <c r="LQN5" s="344"/>
      <c r="LQO5" s="344"/>
      <c r="LQP5" s="344"/>
      <c r="LQQ5" s="344"/>
      <c r="LQR5" s="344"/>
      <c r="LQS5" s="344"/>
      <c r="LQT5" s="344"/>
      <c r="LQU5" s="344"/>
      <c r="LQV5" s="344"/>
      <c r="LQW5" s="344"/>
      <c r="LQX5" s="344"/>
      <c r="LQY5" s="344"/>
      <c r="LQZ5" s="344"/>
      <c r="LRA5" s="344"/>
      <c r="LRB5" s="344"/>
      <c r="LRC5" s="344"/>
      <c r="LRD5" s="344"/>
      <c r="LRE5" s="344"/>
      <c r="LRF5" s="344"/>
      <c r="LRG5" s="344"/>
      <c r="LRH5" s="344"/>
      <c r="LRI5" s="344"/>
      <c r="LRJ5" s="344"/>
      <c r="LRK5" s="344"/>
      <c r="LRL5" s="344"/>
      <c r="LRM5" s="344"/>
      <c r="LRN5" s="344"/>
      <c r="LRO5" s="344"/>
      <c r="LRP5" s="344"/>
      <c r="LRQ5" s="344"/>
      <c r="LRR5" s="344"/>
      <c r="LRS5" s="344"/>
      <c r="LRT5" s="344"/>
      <c r="LRU5" s="344"/>
      <c r="LRV5" s="344"/>
      <c r="LRW5" s="344"/>
      <c r="LRX5" s="344"/>
      <c r="LRY5" s="344"/>
      <c r="LRZ5" s="344"/>
      <c r="LSA5" s="344"/>
      <c r="LSB5" s="344"/>
      <c r="LSC5" s="344"/>
      <c r="LSD5" s="344"/>
      <c r="LSE5" s="344"/>
      <c r="LSF5" s="344"/>
      <c r="LSG5" s="344"/>
      <c r="LSH5" s="344"/>
      <c r="LSI5" s="344"/>
      <c r="LSJ5" s="344"/>
      <c r="LSK5" s="344"/>
      <c r="LSL5" s="344"/>
      <c r="LSM5" s="344"/>
      <c r="LSN5" s="344"/>
      <c r="LSO5" s="344"/>
      <c r="LSP5" s="344"/>
      <c r="LSQ5" s="344"/>
      <c r="LSR5" s="344"/>
      <c r="LSS5" s="344"/>
      <c r="LST5" s="344"/>
      <c r="LSU5" s="344"/>
      <c r="LSV5" s="344"/>
      <c r="LSW5" s="344"/>
      <c r="LSX5" s="344"/>
      <c r="LSY5" s="344"/>
      <c r="LSZ5" s="344"/>
      <c r="LTA5" s="344"/>
      <c r="LTB5" s="344"/>
      <c r="LTC5" s="344"/>
      <c r="LTD5" s="344"/>
      <c r="LTE5" s="344"/>
      <c r="LTF5" s="344"/>
      <c r="LTG5" s="344"/>
      <c r="LTH5" s="344"/>
      <c r="LTI5" s="344"/>
      <c r="LTJ5" s="344"/>
      <c r="LTK5" s="344"/>
      <c r="LTL5" s="344"/>
      <c r="LTM5" s="344"/>
      <c r="LTN5" s="344"/>
      <c r="LTO5" s="344"/>
      <c r="LTP5" s="344"/>
      <c r="LTQ5" s="344"/>
      <c r="LTR5" s="344"/>
      <c r="LTS5" s="344"/>
      <c r="LTT5" s="344"/>
      <c r="LTU5" s="344"/>
      <c r="LTV5" s="344"/>
      <c r="LTW5" s="344"/>
      <c r="LTX5" s="344"/>
      <c r="LTY5" s="344"/>
      <c r="LTZ5" s="344"/>
      <c r="LUA5" s="344"/>
      <c r="LUB5" s="344"/>
      <c r="LUC5" s="344"/>
      <c r="LUD5" s="344"/>
      <c r="LUE5" s="344"/>
      <c r="LUF5" s="344"/>
      <c r="LUG5" s="344"/>
      <c r="LUH5" s="344"/>
      <c r="LUI5" s="344"/>
      <c r="LUJ5" s="344"/>
      <c r="LUK5" s="344"/>
      <c r="LUL5" s="344"/>
      <c r="LUM5" s="344"/>
      <c r="LUN5" s="344"/>
      <c r="LUO5" s="344"/>
      <c r="LUP5" s="344"/>
      <c r="LUQ5" s="344"/>
      <c r="LUR5" s="344"/>
      <c r="LUS5" s="344"/>
      <c r="LUT5" s="344"/>
      <c r="LUU5" s="344"/>
      <c r="LUV5" s="344"/>
      <c r="LUW5" s="344"/>
      <c r="LUX5" s="344"/>
      <c r="LUY5" s="344"/>
      <c r="LUZ5" s="344"/>
      <c r="LVA5" s="344"/>
      <c r="LVB5" s="344"/>
      <c r="LVC5" s="344"/>
      <c r="LVD5" s="344"/>
      <c r="LVE5" s="344"/>
      <c r="LVF5" s="344"/>
      <c r="LVG5" s="344"/>
      <c r="LVH5" s="344"/>
      <c r="LVI5" s="344"/>
      <c r="LVJ5" s="344"/>
      <c r="LVK5" s="344"/>
      <c r="LVL5" s="344"/>
      <c r="LVM5" s="344"/>
      <c r="LVN5" s="344"/>
      <c r="LVO5" s="344"/>
      <c r="LVP5" s="344"/>
      <c r="LVQ5" s="344"/>
      <c r="LVR5" s="344"/>
      <c r="LVS5" s="344"/>
      <c r="LVT5" s="344"/>
      <c r="LVU5" s="344"/>
      <c r="LVV5" s="344"/>
      <c r="LVW5" s="344"/>
      <c r="LVX5" s="344"/>
      <c r="LVY5" s="344"/>
      <c r="LVZ5" s="344"/>
      <c r="LWA5" s="344"/>
      <c r="LWB5" s="344"/>
      <c r="LWC5" s="344"/>
      <c r="LWD5" s="344"/>
      <c r="LWE5" s="344"/>
      <c r="LWF5" s="344"/>
      <c r="LWG5" s="344"/>
      <c r="LWH5" s="344"/>
      <c r="LWI5" s="344"/>
      <c r="LWJ5" s="344"/>
      <c r="LWK5" s="344"/>
      <c r="LWL5" s="344"/>
      <c r="LWM5" s="344"/>
      <c r="LWN5" s="344"/>
      <c r="LWO5" s="344"/>
      <c r="LWP5" s="344"/>
      <c r="LWQ5" s="344"/>
      <c r="LWR5" s="344"/>
      <c r="LWS5" s="344"/>
      <c r="LWT5" s="344"/>
      <c r="LWU5" s="344"/>
      <c r="LWV5" s="344"/>
      <c r="LWW5" s="344"/>
      <c r="LWX5" s="344"/>
      <c r="LWY5" s="344"/>
      <c r="LWZ5" s="344"/>
      <c r="LXA5" s="344"/>
      <c r="LXB5" s="344"/>
      <c r="LXC5" s="344"/>
      <c r="LXD5" s="344"/>
      <c r="LXE5" s="344"/>
      <c r="LXF5" s="344"/>
      <c r="LXG5" s="344"/>
      <c r="LXH5" s="344"/>
      <c r="LXI5" s="344"/>
      <c r="LXJ5" s="344"/>
      <c r="LXK5" s="344"/>
      <c r="LXL5" s="344"/>
      <c r="LXM5" s="344"/>
      <c r="LXN5" s="344"/>
      <c r="LXO5" s="344"/>
      <c r="LXP5" s="344"/>
      <c r="LXQ5" s="344"/>
      <c r="LXR5" s="344"/>
      <c r="LXS5" s="344"/>
      <c r="LXT5" s="344"/>
      <c r="LXU5" s="344"/>
      <c r="LXV5" s="344"/>
      <c r="LXW5" s="344"/>
      <c r="LXX5" s="344"/>
      <c r="LXY5" s="344"/>
      <c r="LXZ5" s="344"/>
      <c r="LYA5" s="344"/>
      <c r="LYB5" s="344"/>
      <c r="LYC5" s="344"/>
      <c r="LYD5" s="344"/>
      <c r="LYE5" s="344"/>
      <c r="LYF5" s="344"/>
      <c r="LYG5" s="344"/>
      <c r="LYH5" s="344"/>
      <c r="LYI5" s="344"/>
      <c r="LYJ5" s="344"/>
      <c r="LYK5" s="344"/>
      <c r="LYL5" s="344"/>
      <c r="LYM5" s="344"/>
      <c r="LYN5" s="344"/>
      <c r="LYO5" s="344"/>
      <c r="LYP5" s="344"/>
      <c r="LYQ5" s="344"/>
      <c r="LYR5" s="344"/>
      <c r="LYS5" s="344"/>
      <c r="LYT5" s="344"/>
      <c r="LYU5" s="344"/>
      <c r="LYV5" s="344"/>
      <c r="LYW5" s="344"/>
      <c r="LYX5" s="344"/>
      <c r="LYY5" s="344"/>
      <c r="LYZ5" s="344"/>
      <c r="LZA5" s="344"/>
      <c r="LZB5" s="344"/>
      <c r="LZC5" s="344"/>
      <c r="LZD5" s="344"/>
      <c r="LZE5" s="344"/>
      <c r="LZF5" s="344"/>
      <c r="LZG5" s="344"/>
      <c r="LZH5" s="344"/>
      <c r="LZI5" s="344"/>
      <c r="LZJ5" s="344"/>
      <c r="LZK5" s="344"/>
      <c r="LZL5" s="344"/>
      <c r="LZM5" s="344"/>
      <c r="LZN5" s="344"/>
      <c r="LZO5" s="344"/>
      <c r="LZP5" s="344"/>
      <c r="LZQ5" s="344"/>
      <c r="LZR5" s="344"/>
      <c r="LZS5" s="344"/>
      <c r="LZT5" s="344"/>
      <c r="LZU5" s="344"/>
      <c r="LZV5" s="344"/>
      <c r="LZW5" s="344"/>
      <c r="LZX5" s="344"/>
      <c r="LZY5" s="344"/>
      <c r="LZZ5" s="344"/>
      <c r="MAA5" s="344"/>
      <c r="MAB5" s="344"/>
      <c r="MAC5" s="344"/>
      <c r="MAD5" s="344"/>
      <c r="MAE5" s="344"/>
      <c r="MAF5" s="344"/>
      <c r="MAG5" s="344"/>
      <c r="MAH5" s="344"/>
      <c r="MAI5" s="344"/>
      <c r="MAJ5" s="344"/>
      <c r="MAK5" s="344"/>
      <c r="MAL5" s="344"/>
      <c r="MAM5" s="344"/>
      <c r="MAN5" s="344"/>
      <c r="MAO5" s="344"/>
      <c r="MAP5" s="344"/>
      <c r="MAQ5" s="344"/>
      <c r="MAR5" s="344"/>
      <c r="MAS5" s="344"/>
      <c r="MAT5" s="344"/>
      <c r="MAU5" s="344"/>
      <c r="MAV5" s="344"/>
      <c r="MAW5" s="344"/>
      <c r="MAX5" s="344"/>
      <c r="MAY5" s="344"/>
      <c r="MAZ5" s="344"/>
      <c r="MBA5" s="344"/>
      <c r="MBB5" s="344"/>
      <c r="MBC5" s="344"/>
      <c r="MBD5" s="344"/>
      <c r="MBE5" s="344"/>
      <c r="MBF5" s="344"/>
      <c r="MBG5" s="344"/>
      <c r="MBH5" s="344"/>
      <c r="MBI5" s="344"/>
      <c r="MBJ5" s="344"/>
      <c r="MBK5" s="344"/>
      <c r="MBL5" s="344"/>
      <c r="MBM5" s="344"/>
      <c r="MBN5" s="344"/>
      <c r="MBO5" s="344"/>
      <c r="MBP5" s="344"/>
      <c r="MBQ5" s="344"/>
      <c r="MBR5" s="344"/>
      <c r="MBS5" s="344"/>
      <c r="MBT5" s="344"/>
      <c r="MBU5" s="344"/>
      <c r="MBV5" s="344"/>
      <c r="MBW5" s="344"/>
      <c r="MBX5" s="344"/>
      <c r="MBY5" s="344"/>
      <c r="MBZ5" s="344"/>
      <c r="MCA5" s="344"/>
      <c r="MCB5" s="344"/>
      <c r="MCC5" s="344"/>
      <c r="MCD5" s="344"/>
      <c r="MCE5" s="344"/>
      <c r="MCF5" s="344"/>
      <c r="MCG5" s="344"/>
      <c r="MCH5" s="344"/>
      <c r="MCI5" s="344"/>
      <c r="MCJ5" s="344"/>
      <c r="MCK5" s="344"/>
      <c r="MCL5" s="344"/>
      <c r="MCM5" s="344"/>
      <c r="MCN5" s="344"/>
      <c r="MCO5" s="344"/>
      <c r="MCP5" s="344"/>
      <c r="MCQ5" s="344"/>
      <c r="MCR5" s="344"/>
      <c r="MCS5" s="344"/>
      <c r="MCT5" s="344"/>
      <c r="MCU5" s="344"/>
      <c r="MCV5" s="344"/>
      <c r="MCW5" s="344"/>
      <c r="MCX5" s="344"/>
      <c r="MCY5" s="344"/>
      <c r="MCZ5" s="344"/>
      <c r="MDA5" s="344"/>
      <c r="MDB5" s="344"/>
      <c r="MDC5" s="344"/>
      <c r="MDD5" s="344"/>
      <c r="MDE5" s="344"/>
      <c r="MDF5" s="344"/>
      <c r="MDG5" s="344"/>
      <c r="MDH5" s="344"/>
      <c r="MDI5" s="344"/>
      <c r="MDJ5" s="344"/>
      <c r="MDK5" s="344"/>
      <c r="MDL5" s="344"/>
      <c r="MDM5" s="344"/>
      <c r="MDN5" s="344"/>
      <c r="MDO5" s="344"/>
      <c r="MDP5" s="344"/>
      <c r="MDQ5" s="344"/>
      <c r="MDR5" s="344"/>
      <c r="MDS5" s="344"/>
      <c r="MDT5" s="344"/>
      <c r="MDU5" s="344"/>
      <c r="MDV5" s="344"/>
      <c r="MDW5" s="344"/>
      <c r="MDX5" s="344"/>
      <c r="MDY5" s="344"/>
      <c r="MDZ5" s="344"/>
      <c r="MEA5" s="344"/>
      <c r="MEB5" s="344"/>
      <c r="MEC5" s="344"/>
      <c r="MED5" s="344"/>
      <c r="MEE5" s="344"/>
      <c r="MEF5" s="344"/>
      <c r="MEG5" s="344"/>
      <c r="MEH5" s="344"/>
      <c r="MEI5" s="344"/>
      <c r="MEJ5" s="344"/>
      <c r="MEK5" s="344"/>
      <c r="MEL5" s="344"/>
      <c r="MEM5" s="344"/>
      <c r="MEN5" s="344"/>
      <c r="MEO5" s="344"/>
      <c r="MEP5" s="344"/>
      <c r="MEQ5" s="344"/>
      <c r="MER5" s="344"/>
      <c r="MES5" s="344"/>
      <c r="MET5" s="344"/>
      <c r="MEU5" s="344"/>
      <c r="MEV5" s="344"/>
      <c r="MEW5" s="344"/>
      <c r="MEX5" s="344"/>
      <c r="MEY5" s="344"/>
      <c r="MEZ5" s="344"/>
      <c r="MFA5" s="344"/>
      <c r="MFB5" s="344"/>
      <c r="MFC5" s="344"/>
      <c r="MFD5" s="344"/>
      <c r="MFE5" s="344"/>
      <c r="MFF5" s="344"/>
      <c r="MFG5" s="344"/>
      <c r="MFH5" s="344"/>
      <c r="MFI5" s="344"/>
      <c r="MFJ5" s="344"/>
      <c r="MFK5" s="344"/>
      <c r="MFL5" s="344"/>
      <c r="MFM5" s="344"/>
      <c r="MFN5" s="344"/>
      <c r="MFO5" s="344"/>
      <c r="MFP5" s="344"/>
      <c r="MFQ5" s="344"/>
      <c r="MFR5" s="344"/>
      <c r="MFS5" s="344"/>
      <c r="MFT5" s="344"/>
      <c r="MFU5" s="344"/>
      <c r="MFV5" s="344"/>
      <c r="MFW5" s="344"/>
      <c r="MFX5" s="344"/>
      <c r="MFY5" s="344"/>
      <c r="MFZ5" s="344"/>
      <c r="MGA5" s="344"/>
      <c r="MGB5" s="344"/>
      <c r="MGC5" s="344"/>
      <c r="MGD5" s="344"/>
      <c r="MGE5" s="344"/>
      <c r="MGF5" s="344"/>
      <c r="MGG5" s="344"/>
      <c r="MGH5" s="344"/>
      <c r="MGI5" s="344"/>
      <c r="MGJ5" s="344"/>
      <c r="MGK5" s="344"/>
      <c r="MGL5" s="344"/>
      <c r="MGM5" s="344"/>
      <c r="MGN5" s="344"/>
      <c r="MGO5" s="344"/>
      <c r="MGP5" s="344"/>
      <c r="MGQ5" s="344"/>
      <c r="MGR5" s="344"/>
      <c r="MGS5" s="344"/>
      <c r="MGT5" s="344"/>
      <c r="MGU5" s="344"/>
      <c r="MGV5" s="344"/>
      <c r="MGW5" s="344"/>
      <c r="MGX5" s="344"/>
      <c r="MGY5" s="344"/>
      <c r="MGZ5" s="344"/>
      <c r="MHA5" s="344"/>
      <c r="MHB5" s="344"/>
      <c r="MHC5" s="344"/>
      <c r="MHD5" s="344"/>
      <c r="MHE5" s="344"/>
      <c r="MHF5" s="344"/>
      <c r="MHG5" s="344"/>
      <c r="MHH5" s="344"/>
      <c r="MHI5" s="344"/>
      <c r="MHJ5" s="344"/>
      <c r="MHK5" s="344"/>
      <c r="MHL5" s="344"/>
      <c r="MHM5" s="344"/>
      <c r="MHN5" s="344"/>
      <c r="MHO5" s="344"/>
      <c r="MHP5" s="344"/>
      <c r="MHQ5" s="344"/>
      <c r="MHR5" s="344"/>
      <c r="MHS5" s="344"/>
      <c r="MHT5" s="344"/>
      <c r="MHU5" s="344"/>
      <c r="MHV5" s="344"/>
      <c r="MHW5" s="344"/>
      <c r="MHX5" s="344"/>
      <c r="MHY5" s="344"/>
      <c r="MHZ5" s="344"/>
      <c r="MIA5" s="344"/>
      <c r="MIB5" s="344"/>
      <c r="MIC5" s="344"/>
      <c r="MID5" s="344"/>
      <c r="MIE5" s="344"/>
      <c r="MIF5" s="344"/>
      <c r="MIG5" s="344"/>
      <c r="MIH5" s="344"/>
      <c r="MII5" s="344"/>
      <c r="MIJ5" s="344"/>
      <c r="MIK5" s="344"/>
      <c r="MIL5" s="344"/>
      <c r="MIM5" s="344"/>
      <c r="MIN5" s="344"/>
      <c r="MIO5" s="344"/>
      <c r="MIP5" s="344"/>
      <c r="MIQ5" s="344"/>
      <c r="MIR5" s="344"/>
      <c r="MIS5" s="344"/>
      <c r="MIT5" s="344"/>
      <c r="MIU5" s="344"/>
      <c r="MIV5" s="344"/>
      <c r="MIW5" s="344"/>
      <c r="MIX5" s="344"/>
      <c r="MIY5" s="344"/>
      <c r="MIZ5" s="344"/>
      <c r="MJA5" s="344"/>
      <c r="MJB5" s="344"/>
      <c r="MJC5" s="344"/>
      <c r="MJD5" s="344"/>
      <c r="MJE5" s="344"/>
      <c r="MJF5" s="344"/>
      <c r="MJG5" s="344"/>
      <c r="MJH5" s="344"/>
      <c r="MJI5" s="344"/>
      <c r="MJJ5" s="344"/>
      <c r="MJK5" s="344"/>
      <c r="MJL5" s="344"/>
      <c r="MJM5" s="344"/>
      <c r="MJN5" s="344"/>
      <c r="MJO5" s="344"/>
      <c r="MJP5" s="344"/>
      <c r="MJQ5" s="344"/>
      <c r="MJR5" s="344"/>
      <c r="MJS5" s="344"/>
      <c r="MJT5" s="344"/>
      <c r="MJU5" s="344"/>
      <c r="MJV5" s="344"/>
      <c r="MJW5" s="344"/>
      <c r="MJX5" s="344"/>
      <c r="MJY5" s="344"/>
      <c r="MJZ5" s="344"/>
      <c r="MKA5" s="344"/>
      <c r="MKB5" s="344"/>
      <c r="MKC5" s="344"/>
      <c r="MKD5" s="344"/>
      <c r="MKE5" s="344"/>
      <c r="MKF5" s="344"/>
      <c r="MKG5" s="344"/>
      <c r="MKH5" s="344"/>
      <c r="MKI5" s="344"/>
      <c r="MKJ5" s="344"/>
      <c r="MKK5" s="344"/>
      <c r="MKL5" s="344"/>
      <c r="MKM5" s="344"/>
      <c r="MKN5" s="344"/>
      <c r="MKO5" s="344"/>
      <c r="MKP5" s="344"/>
      <c r="MKQ5" s="344"/>
      <c r="MKR5" s="344"/>
      <c r="MKS5" s="344"/>
      <c r="MKT5" s="344"/>
      <c r="MKU5" s="344"/>
      <c r="MKV5" s="344"/>
      <c r="MKW5" s="344"/>
      <c r="MKX5" s="344"/>
      <c r="MKY5" s="344"/>
      <c r="MKZ5" s="344"/>
      <c r="MLA5" s="344"/>
      <c r="MLB5" s="344"/>
      <c r="MLC5" s="344"/>
      <c r="MLD5" s="344"/>
      <c r="MLE5" s="344"/>
      <c r="MLF5" s="344"/>
      <c r="MLG5" s="344"/>
      <c r="MLH5" s="344"/>
      <c r="MLI5" s="344"/>
      <c r="MLJ5" s="344"/>
      <c r="MLK5" s="344"/>
      <c r="MLL5" s="344"/>
      <c r="MLM5" s="344"/>
      <c r="MLN5" s="344"/>
      <c r="MLO5" s="344"/>
      <c r="MLP5" s="344"/>
      <c r="MLQ5" s="344"/>
      <c r="MLR5" s="344"/>
      <c r="MLS5" s="344"/>
      <c r="MLT5" s="344"/>
      <c r="MLU5" s="344"/>
      <c r="MLV5" s="344"/>
      <c r="MLW5" s="344"/>
      <c r="MLX5" s="344"/>
      <c r="MLY5" s="344"/>
      <c r="MLZ5" s="344"/>
      <c r="MMA5" s="344"/>
      <c r="MMB5" s="344"/>
      <c r="MMC5" s="344"/>
      <c r="MMD5" s="344"/>
      <c r="MME5" s="344"/>
      <c r="MMF5" s="344"/>
      <c r="MMG5" s="344"/>
      <c r="MMH5" s="344"/>
      <c r="MMI5" s="344"/>
      <c r="MMJ5" s="344"/>
      <c r="MMK5" s="344"/>
      <c r="MML5" s="344"/>
      <c r="MMM5" s="344"/>
      <c r="MMN5" s="344"/>
      <c r="MMO5" s="344"/>
      <c r="MMP5" s="344"/>
      <c r="MMQ5" s="344"/>
      <c r="MMR5" s="344"/>
      <c r="MMS5" s="344"/>
      <c r="MMT5" s="344"/>
      <c r="MMU5" s="344"/>
      <c r="MMV5" s="344"/>
      <c r="MMW5" s="344"/>
      <c r="MMX5" s="344"/>
      <c r="MMY5" s="344"/>
      <c r="MMZ5" s="344"/>
      <c r="MNA5" s="344"/>
      <c r="MNB5" s="344"/>
      <c r="MNC5" s="344"/>
      <c r="MND5" s="344"/>
      <c r="MNE5" s="344"/>
      <c r="MNF5" s="344"/>
      <c r="MNG5" s="344"/>
      <c r="MNH5" s="344"/>
      <c r="MNI5" s="344"/>
      <c r="MNJ5" s="344"/>
      <c r="MNK5" s="344"/>
      <c r="MNL5" s="344"/>
      <c r="MNM5" s="344"/>
      <c r="MNN5" s="344"/>
      <c r="MNO5" s="344"/>
      <c r="MNP5" s="344"/>
      <c r="MNQ5" s="344"/>
      <c r="MNR5" s="344"/>
      <c r="MNS5" s="344"/>
      <c r="MNT5" s="344"/>
      <c r="MNU5" s="344"/>
      <c r="MNV5" s="344"/>
      <c r="MNW5" s="344"/>
      <c r="MNX5" s="344"/>
      <c r="MNY5" s="344"/>
      <c r="MNZ5" s="344"/>
      <c r="MOA5" s="344"/>
      <c r="MOB5" s="344"/>
      <c r="MOC5" s="344"/>
      <c r="MOD5" s="344"/>
      <c r="MOE5" s="344"/>
      <c r="MOF5" s="344"/>
      <c r="MOG5" s="344"/>
      <c r="MOH5" s="344"/>
      <c r="MOI5" s="344"/>
      <c r="MOJ5" s="344"/>
      <c r="MOK5" s="344"/>
      <c r="MOL5" s="344"/>
      <c r="MOM5" s="344"/>
      <c r="MON5" s="344"/>
      <c r="MOO5" s="344"/>
      <c r="MOP5" s="344"/>
      <c r="MOQ5" s="344"/>
      <c r="MOR5" s="344"/>
      <c r="MOS5" s="344"/>
      <c r="MOT5" s="344"/>
      <c r="MOU5" s="344"/>
      <c r="MOV5" s="344"/>
      <c r="MOW5" s="344"/>
      <c r="MOX5" s="344"/>
      <c r="MOY5" s="344"/>
      <c r="MOZ5" s="344"/>
      <c r="MPA5" s="344"/>
      <c r="MPB5" s="344"/>
      <c r="MPC5" s="344"/>
      <c r="MPD5" s="344"/>
      <c r="MPE5" s="344"/>
      <c r="MPF5" s="344"/>
      <c r="MPG5" s="344"/>
      <c r="MPH5" s="344"/>
      <c r="MPI5" s="344"/>
      <c r="MPJ5" s="344"/>
      <c r="MPK5" s="344"/>
      <c r="MPL5" s="344"/>
      <c r="MPM5" s="344"/>
      <c r="MPN5" s="344"/>
      <c r="MPO5" s="344"/>
      <c r="MPP5" s="344"/>
      <c r="MPQ5" s="344"/>
      <c r="MPR5" s="344"/>
      <c r="MPS5" s="344"/>
      <c r="MPT5" s="344"/>
      <c r="MPU5" s="344"/>
      <c r="MPV5" s="344"/>
      <c r="MPW5" s="344"/>
      <c r="MPX5" s="344"/>
      <c r="MPY5" s="344"/>
      <c r="MPZ5" s="344"/>
      <c r="MQA5" s="344"/>
      <c r="MQB5" s="344"/>
      <c r="MQC5" s="344"/>
      <c r="MQD5" s="344"/>
      <c r="MQE5" s="344"/>
      <c r="MQF5" s="344"/>
      <c r="MQG5" s="344"/>
      <c r="MQH5" s="344"/>
      <c r="MQI5" s="344"/>
      <c r="MQJ5" s="344"/>
      <c r="MQK5" s="344"/>
      <c r="MQL5" s="344"/>
      <c r="MQM5" s="344"/>
      <c r="MQN5" s="344"/>
      <c r="MQO5" s="344"/>
      <c r="MQP5" s="344"/>
      <c r="MQQ5" s="344"/>
      <c r="MQR5" s="344"/>
      <c r="MQS5" s="344"/>
      <c r="MQT5" s="344"/>
      <c r="MQU5" s="344"/>
      <c r="MQV5" s="344"/>
      <c r="MQW5" s="344"/>
      <c r="MQX5" s="344"/>
      <c r="MQY5" s="344"/>
      <c r="MQZ5" s="344"/>
      <c r="MRA5" s="344"/>
      <c r="MRB5" s="344"/>
      <c r="MRC5" s="344"/>
      <c r="MRD5" s="344"/>
      <c r="MRE5" s="344"/>
      <c r="MRF5" s="344"/>
      <c r="MRG5" s="344"/>
      <c r="MRH5" s="344"/>
      <c r="MRI5" s="344"/>
      <c r="MRJ5" s="344"/>
      <c r="MRK5" s="344"/>
      <c r="MRL5" s="344"/>
      <c r="MRM5" s="344"/>
      <c r="MRN5" s="344"/>
      <c r="MRO5" s="344"/>
      <c r="MRP5" s="344"/>
      <c r="MRQ5" s="344"/>
      <c r="MRR5" s="344"/>
      <c r="MRS5" s="344"/>
      <c r="MRT5" s="344"/>
      <c r="MRU5" s="344"/>
      <c r="MRV5" s="344"/>
      <c r="MRW5" s="344"/>
      <c r="MRX5" s="344"/>
      <c r="MRY5" s="344"/>
      <c r="MRZ5" s="344"/>
      <c r="MSA5" s="344"/>
      <c r="MSB5" s="344"/>
      <c r="MSC5" s="344"/>
      <c r="MSD5" s="344"/>
      <c r="MSE5" s="344"/>
      <c r="MSF5" s="344"/>
      <c r="MSG5" s="344"/>
      <c r="MSH5" s="344"/>
      <c r="MSI5" s="344"/>
      <c r="MSJ5" s="344"/>
      <c r="MSK5" s="344"/>
      <c r="MSL5" s="344"/>
      <c r="MSM5" s="344"/>
      <c r="MSN5" s="344"/>
      <c r="MSO5" s="344"/>
      <c r="MSP5" s="344"/>
      <c r="MSQ5" s="344"/>
      <c r="MSR5" s="344"/>
      <c r="MSS5" s="344"/>
      <c r="MST5" s="344"/>
      <c r="MSU5" s="344"/>
      <c r="MSV5" s="344"/>
      <c r="MSW5" s="344"/>
      <c r="MSX5" s="344"/>
      <c r="MSY5" s="344"/>
      <c r="MSZ5" s="344"/>
      <c r="MTA5" s="344"/>
      <c r="MTB5" s="344"/>
      <c r="MTC5" s="344"/>
      <c r="MTD5" s="344"/>
      <c r="MTE5" s="344"/>
      <c r="MTF5" s="344"/>
      <c r="MTG5" s="344"/>
      <c r="MTH5" s="344"/>
      <c r="MTI5" s="344"/>
      <c r="MTJ5" s="344"/>
      <c r="MTK5" s="344"/>
      <c r="MTL5" s="344"/>
      <c r="MTM5" s="344"/>
      <c r="MTN5" s="344"/>
      <c r="MTO5" s="344"/>
      <c r="MTP5" s="344"/>
      <c r="MTQ5" s="344"/>
      <c r="MTR5" s="344"/>
      <c r="MTS5" s="344"/>
      <c r="MTT5" s="344"/>
      <c r="MTU5" s="344"/>
      <c r="MTV5" s="344"/>
      <c r="MTW5" s="344"/>
      <c r="MTX5" s="344"/>
      <c r="MTY5" s="344"/>
      <c r="MTZ5" s="344"/>
      <c r="MUA5" s="344"/>
      <c r="MUB5" s="344"/>
      <c r="MUC5" s="344"/>
      <c r="MUD5" s="344"/>
      <c r="MUE5" s="344"/>
      <c r="MUF5" s="344"/>
      <c r="MUG5" s="344"/>
      <c r="MUH5" s="344"/>
      <c r="MUI5" s="344"/>
      <c r="MUJ5" s="344"/>
      <c r="MUK5" s="344"/>
      <c r="MUL5" s="344"/>
      <c r="MUM5" s="344"/>
      <c r="MUN5" s="344"/>
      <c r="MUO5" s="344"/>
      <c r="MUP5" s="344"/>
      <c r="MUQ5" s="344"/>
      <c r="MUR5" s="344"/>
      <c r="MUS5" s="344"/>
      <c r="MUT5" s="344"/>
      <c r="MUU5" s="344"/>
      <c r="MUV5" s="344"/>
      <c r="MUW5" s="344"/>
      <c r="MUX5" s="344"/>
      <c r="MUY5" s="344"/>
      <c r="MUZ5" s="344"/>
      <c r="MVA5" s="344"/>
      <c r="MVB5" s="344"/>
      <c r="MVC5" s="344"/>
      <c r="MVD5" s="344"/>
      <c r="MVE5" s="344"/>
      <c r="MVF5" s="344"/>
      <c r="MVG5" s="344"/>
      <c r="MVH5" s="344"/>
      <c r="MVI5" s="344"/>
      <c r="MVJ5" s="344"/>
      <c r="MVK5" s="344"/>
      <c r="MVL5" s="344"/>
      <c r="MVM5" s="344"/>
      <c r="MVN5" s="344"/>
      <c r="MVO5" s="344"/>
      <c r="MVP5" s="344"/>
      <c r="MVQ5" s="344"/>
      <c r="MVR5" s="344"/>
      <c r="MVS5" s="344"/>
      <c r="MVT5" s="344"/>
      <c r="MVU5" s="344"/>
      <c r="MVV5" s="344"/>
      <c r="MVW5" s="344"/>
      <c r="MVX5" s="344"/>
      <c r="MVY5" s="344"/>
      <c r="MVZ5" s="344"/>
      <c r="MWA5" s="344"/>
      <c r="MWB5" s="344"/>
      <c r="MWC5" s="344"/>
      <c r="MWD5" s="344"/>
      <c r="MWE5" s="344"/>
      <c r="MWF5" s="344"/>
      <c r="MWG5" s="344"/>
      <c r="MWH5" s="344"/>
      <c r="MWI5" s="344"/>
      <c r="MWJ5" s="344"/>
      <c r="MWK5" s="344"/>
      <c r="MWL5" s="344"/>
      <c r="MWM5" s="344"/>
      <c r="MWN5" s="344"/>
      <c r="MWO5" s="344"/>
      <c r="MWP5" s="344"/>
      <c r="MWQ5" s="344"/>
      <c r="MWR5" s="344"/>
      <c r="MWS5" s="344"/>
      <c r="MWT5" s="344"/>
      <c r="MWU5" s="344"/>
      <c r="MWV5" s="344"/>
      <c r="MWW5" s="344"/>
      <c r="MWX5" s="344"/>
      <c r="MWY5" s="344"/>
      <c r="MWZ5" s="344"/>
      <c r="MXA5" s="344"/>
      <c r="MXB5" s="344"/>
      <c r="MXC5" s="344"/>
      <c r="MXD5" s="344"/>
      <c r="MXE5" s="344"/>
      <c r="MXF5" s="344"/>
      <c r="MXG5" s="344"/>
      <c r="MXH5" s="344"/>
      <c r="MXI5" s="344"/>
      <c r="MXJ5" s="344"/>
      <c r="MXK5" s="344"/>
      <c r="MXL5" s="344"/>
      <c r="MXM5" s="344"/>
      <c r="MXN5" s="344"/>
      <c r="MXO5" s="344"/>
      <c r="MXP5" s="344"/>
      <c r="MXQ5" s="344"/>
      <c r="MXR5" s="344"/>
      <c r="MXS5" s="344"/>
      <c r="MXT5" s="344"/>
      <c r="MXU5" s="344"/>
      <c r="MXV5" s="344"/>
      <c r="MXW5" s="344"/>
      <c r="MXX5" s="344"/>
      <c r="MXY5" s="344"/>
      <c r="MXZ5" s="344"/>
      <c r="MYA5" s="344"/>
      <c r="MYB5" s="344"/>
      <c r="MYC5" s="344"/>
      <c r="MYD5" s="344"/>
      <c r="MYE5" s="344"/>
      <c r="MYF5" s="344"/>
      <c r="MYG5" s="344"/>
      <c r="MYH5" s="344"/>
      <c r="MYI5" s="344"/>
      <c r="MYJ5" s="344"/>
      <c r="MYK5" s="344"/>
      <c r="MYL5" s="344"/>
      <c r="MYM5" s="344"/>
      <c r="MYN5" s="344"/>
      <c r="MYO5" s="344"/>
      <c r="MYP5" s="344"/>
      <c r="MYQ5" s="344"/>
      <c r="MYR5" s="344"/>
      <c r="MYS5" s="344"/>
      <c r="MYT5" s="344"/>
      <c r="MYU5" s="344"/>
      <c r="MYV5" s="344"/>
      <c r="MYW5" s="344"/>
      <c r="MYX5" s="344"/>
      <c r="MYY5" s="344"/>
      <c r="MYZ5" s="344"/>
      <c r="MZA5" s="344"/>
      <c r="MZB5" s="344"/>
      <c r="MZC5" s="344"/>
      <c r="MZD5" s="344"/>
      <c r="MZE5" s="344"/>
      <c r="MZF5" s="344"/>
      <c r="MZG5" s="344"/>
      <c r="MZH5" s="344"/>
      <c r="MZI5" s="344"/>
      <c r="MZJ5" s="344"/>
      <c r="MZK5" s="344"/>
      <c r="MZL5" s="344"/>
      <c r="MZM5" s="344"/>
      <c r="MZN5" s="344"/>
      <c r="MZO5" s="344"/>
      <c r="MZP5" s="344"/>
      <c r="MZQ5" s="344"/>
      <c r="MZR5" s="344"/>
      <c r="MZS5" s="344"/>
      <c r="MZT5" s="344"/>
      <c r="MZU5" s="344"/>
      <c r="MZV5" s="344"/>
      <c r="MZW5" s="344"/>
      <c r="MZX5" s="344"/>
      <c r="MZY5" s="344"/>
      <c r="MZZ5" s="344"/>
      <c r="NAA5" s="344"/>
      <c r="NAB5" s="344"/>
      <c r="NAC5" s="344"/>
      <c r="NAD5" s="344"/>
      <c r="NAE5" s="344"/>
      <c r="NAF5" s="344"/>
      <c r="NAG5" s="344"/>
      <c r="NAH5" s="344"/>
      <c r="NAI5" s="344"/>
      <c r="NAJ5" s="344"/>
      <c r="NAK5" s="344"/>
      <c r="NAL5" s="344"/>
      <c r="NAM5" s="344"/>
      <c r="NAN5" s="344"/>
      <c r="NAO5" s="344"/>
      <c r="NAP5" s="344"/>
      <c r="NAQ5" s="344"/>
      <c r="NAR5" s="344"/>
      <c r="NAS5" s="344"/>
      <c r="NAT5" s="344"/>
      <c r="NAU5" s="344"/>
      <c r="NAV5" s="344"/>
      <c r="NAW5" s="344"/>
      <c r="NAX5" s="344"/>
      <c r="NAY5" s="344"/>
      <c r="NAZ5" s="344"/>
      <c r="NBA5" s="344"/>
      <c r="NBB5" s="344"/>
      <c r="NBC5" s="344"/>
      <c r="NBD5" s="344"/>
      <c r="NBE5" s="344"/>
      <c r="NBF5" s="344"/>
      <c r="NBG5" s="344"/>
      <c r="NBH5" s="344"/>
      <c r="NBI5" s="344"/>
      <c r="NBJ5" s="344"/>
      <c r="NBK5" s="344"/>
      <c r="NBL5" s="344"/>
      <c r="NBM5" s="344"/>
      <c r="NBN5" s="344"/>
      <c r="NBO5" s="344"/>
      <c r="NBP5" s="344"/>
      <c r="NBQ5" s="344"/>
      <c r="NBR5" s="344"/>
      <c r="NBS5" s="344"/>
      <c r="NBT5" s="344"/>
      <c r="NBU5" s="344"/>
      <c r="NBV5" s="344"/>
      <c r="NBW5" s="344"/>
      <c r="NBX5" s="344"/>
      <c r="NBY5" s="344"/>
      <c r="NBZ5" s="344"/>
      <c r="NCA5" s="344"/>
      <c r="NCB5" s="344"/>
      <c r="NCC5" s="344"/>
      <c r="NCD5" s="344"/>
      <c r="NCE5" s="344"/>
      <c r="NCF5" s="344"/>
      <c r="NCG5" s="344"/>
      <c r="NCH5" s="344"/>
      <c r="NCI5" s="344"/>
      <c r="NCJ5" s="344"/>
      <c r="NCK5" s="344"/>
      <c r="NCL5" s="344"/>
      <c r="NCM5" s="344"/>
      <c r="NCN5" s="344"/>
      <c r="NCO5" s="344"/>
      <c r="NCP5" s="344"/>
      <c r="NCQ5" s="344"/>
      <c r="NCR5" s="344"/>
      <c r="NCS5" s="344"/>
      <c r="NCT5" s="344"/>
      <c r="NCU5" s="344"/>
      <c r="NCV5" s="344"/>
      <c r="NCW5" s="344"/>
      <c r="NCX5" s="344"/>
      <c r="NCY5" s="344"/>
      <c r="NCZ5" s="344"/>
      <c r="NDA5" s="344"/>
      <c r="NDB5" s="344"/>
      <c r="NDC5" s="344"/>
      <c r="NDD5" s="344"/>
      <c r="NDE5" s="344"/>
      <c r="NDF5" s="344"/>
      <c r="NDG5" s="344"/>
      <c r="NDH5" s="344"/>
      <c r="NDI5" s="344"/>
      <c r="NDJ5" s="344"/>
      <c r="NDK5" s="344"/>
      <c r="NDL5" s="344"/>
      <c r="NDM5" s="344"/>
      <c r="NDN5" s="344"/>
      <c r="NDO5" s="344"/>
      <c r="NDP5" s="344"/>
      <c r="NDQ5" s="344"/>
      <c r="NDR5" s="344"/>
      <c r="NDS5" s="344"/>
      <c r="NDT5" s="344"/>
      <c r="NDU5" s="344"/>
      <c r="NDV5" s="344"/>
      <c r="NDW5" s="344"/>
      <c r="NDX5" s="344"/>
      <c r="NDY5" s="344"/>
      <c r="NDZ5" s="344"/>
      <c r="NEA5" s="344"/>
      <c r="NEB5" s="344"/>
      <c r="NEC5" s="344"/>
      <c r="NED5" s="344"/>
      <c r="NEE5" s="344"/>
      <c r="NEF5" s="344"/>
      <c r="NEG5" s="344"/>
      <c r="NEH5" s="344"/>
      <c r="NEI5" s="344"/>
      <c r="NEJ5" s="344"/>
      <c r="NEK5" s="344"/>
      <c r="NEL5" s="344"/>
      <c r="NEM5" s="344"/>
      <c r="NEN5" s="344"/>
      <c r="NEO5" s="344"/>
      <c r="NEP5" s="344"/>
      <c r="NEQ5" s="344"/>
      <c r="NER5" s="344"/>
      <c r="NES5" s="344"/>
      <c r="NET5" s="344"/>
      <c r="NEU5" s="344"/>
      <c r="NEV5" s="344"/>
      <c r="NEW5" s="344"/>
      <c r="NEX5" s="344"/>
      <c r="NEY5" s="344"/>
      <c r="NEZ5" s="344"/>
      <c r="NFA5" s="344"/>
      <c r="NFB5" s="344"/>
      <c r="NFC5" s="344"/>
      <c r="NFD5" s="344"/>
      <c r="NFE5" s="344"/>
      <c r="NFF5" s="344"/>
      <c r="NFG5" s="344"/>
      <c r="NFH5" s="344"/>
      <c r="NFI5" s="344"/>
      <c r="NFJ5" s="344"/>
      <c r="NFK5" s="344"/>
      <c r="NFL5" s="344"/>
      <c r="NFM5" s="344"/>
      <c r="NFN5" s="344"/>
      <c r="NFO5" s="344"/>
      <c r="NFP5" s="344"/>
      <c r="NFQ5" s="344"/>
      <c r="NFR5" s="344"/>
      <c r="NFS5" s="344"/>
      <c r="NFT5" s="344"/>
      <c r="NFU5" s="344"/>
      <c r="NFV5" s="344"/>
      <c r="NFW5" s="344"/>
      <c r="NFX5" s="344"/>
      <c r="NFY5" s="344"/>
      <c r="NFZ5" s="344"/>
      <c r="NGA5" s="344"/>
      <c r="NGB5" s="344"/>
      <c r="NGC5" s="344"/>
      <c r="NGD5" s="344"/>
      <c r="NGE5" s="344"/>
      <c r="NGF5" s="344"/>
      <c r="NGG5" s="344"/>
      <c r="NGH5" s="344"/>
      <c r="NGI5" s="344"/>
      <c r="NGJ5" s="344"/>
      <c r="NGK5" s="344"/>
      <c r="NGL5" s="344"/>
      <c r="NGM5" s="344"/>
      <c r="NGN5" s="344"/>
      <c r="NGO5" s="344"/>
      <c r="NGP5" s="344"/>
      <c r="NGQ5" s="344"/>
      <c r="NGR5" s="344"/>
      <c r="NGS5" s="344"/>
      <c r="NGT5" s="344"/>
      <c r="NGU5" s="344"/>
      <c r="NGV5" s="344"/>
      <c r="NGW5" s="344"/>
      <c r="NGX5" s="344"/>
      <c r="NGY5" s="344"/>
      <c r="NGZ5" s="344"/>
      <c r="NHA5" s="344"/>
      <c r="NHB5" s="344"/>
      <c r="NHC5" s="344"/>
      <c r="NHD5" s="344"/>
      <c r="NHE5" s="344"/>
      <c r="NHF5" s="344"/>
      <c r="NHG5" s="344"/>
      <c r="NHH5" s="344"/>
      <c r="NHI5" s="344"/>
      <c r="NHJ5" s="344"/>
      <c r="NHK5" s="344"/>
      <c r="NHL5" s="344"/>
      <c r="NHM5" s="344"/>
      <c r="NHN5" s="344"/>
      <c r="NHO5" s="344"/>
      <c r="NHP5" s="344"/>
      <c r="NHQ5" s="344"/>
      <c r="NHR5" s="344"/>
      <c r="NHS5" s="344"/>
      <c r="NHT5" s="344"/>
      <c r="NHU5" s="344"/>
      <c r="NHV5" s="344"/>
      <c r="NHW5" s="344"/>
      <c r="NHX5" s="344"/>
      <c r="NHY5" s="344"/>
      <c r="NHZ5" s="344"/>
      <c r="NIA5" s="344"/>
      <c r="NIB5" s="344"/>
      <c r="NIC5" s="344"/>
      <c r="NID5" s="344"/>
      <c r="NIE5" s="344"/>
      <c r="NIF5" s="344"/>
      <c r="NIG5" s="344"/>
      <c r="NIH5" s="344"/>
      <c r="NII5" s="344"/>
      <c r="NIJ5" s="344"/>
      <c r="NIK5" s="344"/>
      <c r="NIL5" s="344"/>
      <c r="NIM5" s="344"/>
      <c r="NIN5" s="344"/>
      <c r="NIO5" s="344"/>
      <c r="NIP5" s="344"/>
      <c r="NIQ5" s="344"/>
      <c r="NIR5" s="344"/>
      <c r="NIS5" s="344"/>
      <c r="NIT5" s="344"/>
      <c r="NIU5" s="344"/>
      <c r="NIV5" s="344"/>
      <c r="NIW5" s="344"/>
      <c r="NIX5" s="344"/>
      <c r="NIY5" s="344"/>
      <c r="NIZ5" s="344"/>
      <c r="NJA5" s="344"/>
      <c r="NJB5" s="344"/>
      <c r="NJC5" s="344"/>
      <c r="NJD5" s="344"/>
      <c r="NJE5" s="344"/>
      <c r="NJF5" s="344"/>
      <c r="NJG5" s="344"/>
      <c r="NJH5" s="344"/>
      <c r="NJI5" s="344"/>
      <c r="NJJ5" s="344"/>
      <c r="NJK5" s="344"/>
      <c r="NJL5" s="344"/>
      <c r="NJM5" s="344"/>
      <c r="NJN5" s="344"/>
      <c r="NJO5" s="344"/>
      <c r="NJP5" s="344"/>
      <c r="NJQ5" s="344"/>
      <c r="NJR5" s="344"/>
      <c r="NJS5" s="344"/>
      <c r="NJT5" s="344"/>
      <c r="NJU5" s="344"/>
      <c r="NJV5" s="344"/>
      <c r="NJW5" s="344"/>
      <c r="NJX5" s="344"/>
      <c r="NJY5" s="344"/>
      <c r="NJZ5" s="344"/>
      <c r="NKA5" s="344"/>
      <c r="NKB5" s="344"/>
      <c r="NKC5" s="344"/>
      <c r="NKD5" s="344"/>
      <c r="NKE5" s="344"/>
      <c r="NKF5" s="344"/>
      <c r="NKG5" s="344"/>
      <c r="NKH5" s="344"/>
      <c r="NKI5" s="344"/>
      <c r="NKJ5" s="344"/>
      <c r="NKK5" s="344"/>
      <c r="NKL5" s="344"/>
      <c r="NKM5" s="344"/>
      <c r="NKN5" s="344"/>
      <c r="NKO5" s="344"/>
      <c r="NKP5" s="344"/>
      <c r="NKQ5" s="344"/>
      <c r="NKR5" s="344"/>
      <c r="NKS5" s="344"/>
      <c r="NKT5" s="344"/>
      <c r="NKU5" s="344"/>
      <c r="NKV5" s="344"/>
      <c r="NKW5" s="344"/>
      <c r="NKX5" s="344"/>
      <c r="NKY5" s="344"/>
      <c r="NKZ5" s="344"/>
      <c r="NLA5" s="344"/>
      <c r="NLB5" s="344"/>
      <c r="NLC5" s="344"/>
      <c r="NLD5" s="344"/>
      <c r="NLE5" s="344"/>
      <c r="NLF5" s="344"/>
      <c r="NLG5" s="344"/>
      <c r="NLH5" s="344"/>
      <c r="NLI5" s="344"/>
      <c r="NLJ5" s="344"/>
      <c r="NLK5" s="344"/>
      <c r="NLL5" s="344"/>
      <c r="NLM5" s="344"/>
      <c r="NLN5" s="344"/>
      <c r="NLO5" s="344"/>
      <c r="NLP5" s="344"/>
      <c r="NLQ5" s="344"/>
      <c r="NLR5" s="344"/>
      <c r="NLS5" s="344"/>
      <c r="NLT5" s="344"/>
      <c r="NLU5" s="344"/>
      <c r="NLV5" s="344"/>
      <c r="NLW5" s="344"/>
      <c r="NLX5" s="344"/>
      <c r="NLY5" s="344"/>
      <c r="NLZ5" s="344"/>
      <c r="NMA5" s="344"/>
      <c r="NMB5" s="344"/>
      <c r="NMC5" s="344"/>
      <c r="NMD5" s="344"/>
      <c r="NME5" s="344"/>
      <c r="NMF5" s="344"/>
      <c r="NMG5" s="344"/>
      <c r="NMH5" s="344"/>
      <c r="NMI5" s="344"/>
      <c r="NMJ5" s="344"/>
      <c r="NMK5" s="344"/>
      <c r="NML5" s="344"/>
      <c r="NMM5" s="344"/>
      <c r="NMN5" s="344"/>
      <c r="NMO5" s="344"/>
      <c r="NMP5" s="344"/>
      <c r="NMQ5" s="344"/>
      <c r="NMR5" s="344"/>
      <c r="NMS5" s="344"/>
      <c r="NMT5" s="344"/>
      <c r="NMU5" s="344"/>
      <c r="NMV5" s="344"/>
      <c r="NMW5" s="344"/>
      <c r="NMX5" s="344"/>
      <c r="NMY5" s="344"/>
      <c r="NMZ5" s="344"/>
      <c r="NNA5" s="344"/>
      <c r="NNB5" s="344"/>
      <c r="NNC5" s="344"/>
      <c r="NND5" s="344"/>
      <c r="NNE5" s="344"/>
      <c r="NNF5" s="344"/>
      <c r="NNG5" s="344"/>
      <c r="NNH5" s="344"/>
      <c r="NNI5" s="344"/>
      <c r="NNJ5" s="344"/>
      <c r="NNK5" s="344"/>
      <c r="NNL5" s="344"/>
      <c r="NNM5" s="344"/>
      <c r="NNN5" s="344"/>
      <c r="NNO5" s="344"/>
      <c r="NNP5" s="344"/>
      <c r="NNQ5" s="344"/>
      <c r="NNR5" s="344"/>
      <c r="NNS5" s="344"/>
      <c r="NNT5" s="344"/>
      <c r="NNU5" s="344"/>
      <c r="NNV5" s="344"/>
      <c r="NNW5" s="344"/>
      <c r="NNX5" s="344"/>
      <c r="NNY5" s="344"/>
      <c r="NNZ5" s="344"/>
      <c r="NOA5" s="344"/>
      <c r="NOB5" s="344"/>
      <c r="NOC5" s="344"/>
      <c r="NOD5" s="344"/>
      <c r="NOE5" s="344"/>
      <c r="NOF5" s="344"/>
      <c r="NOG5" s="344"/>
      <c r="NOH5" s="344"/>
      <c r="NOI5" s="344"/>
      <c r="NOJ5" s="344"/>
      <c r="NOK5" s="344"/>
      <c r="NOL5" s="344"/>
      <c r="NOM5" s="344"/>
      <c r="NON5" s="344"/>
      <c r="NOO5" s="344"/>
      <c r="NOP5" s="344"/>
      <c r="NOQ5" s="344"/>
      <c r="NOR5" s="344"/>
      <c r="NOS5" s="344"/>
      <c r="NOT5" s="344"/>
      <c r="NOU5" s="344"/>
      <c r="NOV5" s="344"/>
      <c r="NOW5" s="344"/>
      <c r="NOX5" s="344"/>
      <c r="NOY5" s="344"/>
      <c r="NOZ5" s="344"/>
      <c r="NPA5" s="344"/>
      <c r="NPB5" s="344"/>
      <c r="NPC5" s="344"/>
      <c r="NPD5" s="344"/>
      <c r="NPE5" s="344"/>
      <c r="NPF5" s="344"/>
      <c r="NPG5" s="344"/>
      <c r="NPH5" s="344"/>
      <c r="NPI5" s="344"/>
      <c r="NPJ5" s="344"/>
      <c r="NPK5" s="344"/>
      <c r="NPL5" s="344"/>
      <c r="NPM5" s="344"/>
      <c r="NPN5" s="344"/>
      <c r="NPO5" s="344"/>
      <c r="NPP5" s="344"/>
      <c r="NPQ5" s="344"/>
      <c r="NPR5" s="344"/>
      <c r="NPS5" s="344"/>
      <c r="NPT5" s="344"/>
      <c r="NPU5" s="344"/>
      <c r="NPV5" s="344"/>
      <c r="NPW5" s="344"/>
      <c r="NPX5" s="344"/>
      <c r="NPY5" s="344"/>
      <c r="NPZ5" s="344"/>
      <c r="NQA5" s="344"/>
      <c r="NQB5" s="344"/>
      <c r="NQC5" s="344"/>
      <c r="NQD5" s="344"/>
      <c r="NQE5" s="344"/>
      <c r="NQF5" s="344"/>
      <c r="NQG5" s="344"/>
      <c r="NQH5" s="344"/>
      <c r="NQI5" s="344"/>
      <c r="NQJ5" s="344"/>
      <c r="NQK5" s="344"/>
      <c r="NQL5" s="344"/>
      <c r="NQM5" s="344"/>
      <c r="NQN5" s="344"/>
      <c r="NQO5" s="344"/>
      <c r="NQP5" s="344"/>
      <c r="NQQ5" s="344"/>
      <c r="NQR5" s="344"/>
      <c r="NQS5" s="344"/>
      <c r="NQT5" s="344"/>
      <c r="NQU5" s="344"/>
      <c r="NQV5" s="344"/>
      <c r="NQW5" s="344"/>
      <c r="NQX5" s="344"/>
      <c r="NQY5" s="344"/>
      <c r="NQZ5" s="344"/>
      <c r="NRA5" s="344"/>
      <c r="NRB5" s="344"/>
      <c r="NRC5" s="344"/>
      <c r="NRD5" s="344"/>
      <c r="NRE5" s="344"/>
      <c r="NRF5" s="344"/>
      <c r="NRG5" s="344"/>
      <c r="NRH5" s="344"/>
      <c r="NRI5" s="344"/>
      <c r="NRJ5" s="344"/>
      <c r="NRK5" s="344"/>
      <c r="NRL5" s="344"/>
      <c r="NRM5" s="344"/>
      <c r="NRN5" s="344"/>
      <c r="NRO5" s="344"/>
      <c r="NRP5" s="344"/>
      <c r="NRQ5" s="344"/>
      <c r="NRR5" s="344"/>
      <c r="NRS5" s="344"/>
      <c r="NRT5" s="344"/>
      <c r="NRU5" s="344"/>
      <c r="NRV5" s="344"/>
      <c r="NRW5" s="344"/>
      <c r="NRX5" s="344"/>
      <c r="NRY5" s="344"/>
      <c r="NRZ5" s="344"/>
      <c r="NSA5" s="344"/>
      <c r="NSB5" s="344"/>
      <c r="NSC5" s="344"/>
      <c r="NSD5" s="344"/>
      <c r="NSE5" s="344"/>
      <c r="NSF5" s="344"/>
      <c r="NSG5" s="344"/>
      <c r="NSH5" s="344"/>
      <c r="NSI5" s="344"/>
      <c r="NSJ5" s="344"/>
      <c r="NSK5" s="344"/>
      <c r="NSL5" s="344"/>
      <c r="NSM5" s="344"/>
      <c r="NSN5" s="344"/>
      <c r="NSO5" s="344"/>
      <c r="NSP5" s="344"/>
      <c r="NSQ5" s="344"/>
      <c r="NSR5" s="344"/>
      <c r="NSS5" s="344"/>
      <c r="NST5" s="344"/>
      <c r="NSU5" s="344"/>
      <c r="NSV5" s="344"/>
      <c r="NSW5" s="344"/>
      <c r="NSX5" s="344"/>
      <c r="NSY5" s="344"/>
      <c r="NSZ5" s="344"/>
      <c r="NTA5" s="344"/>
      <c r="NTB5" s="344"/>
      <c r="NTC5" s="344"/>
      <c r="NTD5" s="344"/>
      <c r="NTE5" s="344"/>
      <c r="NTF5" s="344"/>
      <c r="NTG5" s="344"/>
      <c r="NTH5" s="344"/>
      <c r="NTI5" s="344"/>
      <c r="NTJ5" s="344"/>
      <c r="NTK5" s="344"/>
      <c r="NTL5" s="344"/>
      <c r="NTM5" s="344"/>
      <c r="NTN5" s="344"/>
      <c r="NTO5" s="344"/>
      <c r="NTP5" s="344"/>
      <c r="NTQ5" s="344"/>
      <c r="NTR5" s="344"/>
      <c r="NTS5" s="344"/>
      <c r="NTT5" s="344"/>
      <c r="NTU5" s="344"/>
      <c r="NTV5" s="344"/>
      <c r="NTW5" s="344"/>
      <c r="NTX5" s="344"/>
      <c r="NTY5" s="344"/>
      <c r="NTZ5" s="344"/>
      <c r="NUA5" s="344"/>
      <c r="NUB5" s="344"/>
      <c r="NUC5" s="344"/>
      <c r="NUD5" s="344"/>
      <c r="NUE5" s="344"/>
      <c r="NUF5" s="344"/>
      <c r="NUG5" s="344"/>
      <c r="NUH5" s="344"/>
      <c r="NUI5" s="344"/>
      <c r="NUJ5" s="344"/>
      <c r="NUK5" s="344"/>
      <c r="NUL5" s="344"/>
      <c r="NUM5" s="344"/>
      <c r="NUN5" s="344"/>
      <c r="NUO5" s="344"/>
      <c r="NUP5" s="344"/>
      <c r="NUQ5" s="344"/>
      <c r="NUR5" s="344"/>
      <c r="NUS5" s="344"/>
      <c r="NUT5" s="344"/>
      <c r="NUU5" s="344"/>
      <c r="NUV5" s="344"/>
      <c r="NUW5" s="344"/>
      <c r="NUX5" s="344"/>
      <c r="NUY5" s="344"/>
      <c r="NUZ5" s="344"/>
      <c r="NVA5" s="344"/>
      <c r="NVB5" s="344"/>
      <c r="NVC5" s="344"/>
      <c r="NVD5" s="344"/>
      <c r="NVE5" s="344"/>
      <c r="NVF5" s="344"/>
      <c r="NVG5" s="344"/>
      <c r="NVH5" s="344"/>
      <c r="NVI5" s="344"/>
      <c r="NVJ5" s="344"/>
      <c r="NVK5" s="344"/>
      <c r="NVL5" s="344"/>
      <c r="NVM5" s="344"/>
      <c r="NVN5" s="344"/>
      <c r="NVO5" s="344"/>
      <c r="NVP5" s="344"/>
      <c r="NVQ5" s="344"/>
      <c r="NVR5" s="344"/>
      <c r="NVS5" s="344"/>
      <c r="NVT5" s="344"/>
      <c r="NVU5" s="344"/>
      <c r="NVV5" s="344"/>
      <c r="NVW5" s="344"/>
      <c r="NVX5" s="344"/>
      <c r="NVY5" s="344"/>
      <c r="NVZ5" s="344"/>
      <c r="NWA5" s="344"/>
      <c r="NWB5" s="344"/>
      <c r="NWC5" s="344"/>
      <c r="NWD5" s="344"/>
      <c r="NWE5" s="344"/>
      <c r="NWF5" s="344"/>
      <c r="NWG5" s="344"/>
      <c r="NWH5" s="344"/>
      <c r="NWI5" s="344"/>
      <c r="NWJ5" s="344"/>
      <c r="NWK5" s="344"/>
      <c r="NWL5" s="344"/>
      <c r="NWM5" s="344"/>
      <c r="NWN5" s="344"/>
      <c r="NWO5" s="344"/>
      <c r="NWP5" s="344"/>
      <c r="NWQ5" s="344"/>
      <c r="NWR5" s="344"/>
      <c r="NWS5" s="344"/>
      <c r="NWT5" s="344"/>
      <c r="NWU5" s="344"/>
      <c r="NWV5" s="344"/>
      <c r="NWW5" s="344"/>
      <c r="NWX5" s="344"/>
      <c r="NWY5" s="344"/>
      <c r="NWZ5" s="344"/>
      <c r="NXA5" s="344"/>
      <c r="NXB5" s="344"/>
      <c r="NXC5" s="344"/>
      <c r="NXD5" s="344"/>
      <c r="NXE5" s="344"/>
      <c r="NXF5" s="344"/>
      <c r="NXG5" s="344"/>
      <c r="NXH5" s="344"/>
      <c r="NXI5" s="344"/>
      <c r="NXJ5" s="344"/>
      <c r="NXK5" s="344"/>
      <c r="NXL5" s="344"/>
      <c r="NXM5" s="344"/>
      <c r="NXN5" s="344"/>
      <c r="NXO5" s="344"/>
      <c r="NXP5" s="344"/>
      <c r="NXQ5" s="344"/>
      <c r="NXR5" s="344"/>
      <c r="NXS5" s="344"/>
      <c r="NXT5" s="344"/>
      <c r="NXU5" s="344"/>
      <c r="NXV5" s="344"/>
      <c r="NXW5" s="344"/>
      <c r="NXX5" s="344"/>
      <c r="NXY5" s="344"/>
      <c r="NXZ5" s="344"/>
      <c r="NYA5" s="344"/>
      <c r="NYB5" s="344"/>
      <c r="NYC5" s="344"/>
      <c r="NYD5" s="344"/>
      <c r="NYE5" s="344"/>
      <c r="NYF5" s="344"/>
      <c r="NYG5" s="344"/>
      <c r="NYH5" s="344"/>
      <c r="NYI5" s="344"/>
      <c r="NYJ5" s="344"/>
      <c r="NYK5" s="344"/>
      <c r="NYL5" s="344"/>
      <c r="NYM5" s="344"/>
      <c r="NYN5" s="344"/>
      <c r="NYO5" s="344"/>
      <c r="NYP5" s="344"/>
      <c r="NYQ5" s="344"/>
      <c r="NYR5" s="344"/>
      <c r="NYS5" s="344"/>
      <c r="NYT5" s="344"/>
      <c r="NYU5" s="344"/>
      <c r="NYV5" s="344"/>
      <c r="NYW5" s="344"/>
      <c r="NYX5" s="344"/>
      <c r="NYY5" s="344"/>
      <c r="NYZ5" s="344"/>
      <c r="NZA5" s="344"/>
      <c r="NZB5" s="344"/>
      <c r="NZC5" s="344"/>
      <c r="NZD5" s="344"/>
      <c r="NZE5" s="344"/>
      <c r="NZF5" s="344"/>
      <c r="NZG5" s="344"/>
      <c r="NZH5" s="344"/>
      <c r="NZI5" s="344"/>
      <c r="NZJ5" s="344"/>
      <c r="NZK5" s="344"/>
      <c r="NZL5" s="344"/>
      <c r="NZM5" s="344"/>
      <c r="NZN5" s="344"/>
      <c r="NZO5" s="344"/>
      <c r="NZP5" s="344"/>
      <c r="NZQ5" s="344"/>
      <c r="NZR5" s="344"/>
      <c r="NZS5" s="344"/>
      <c r="NZT5" s="344"/>
      <c r="NZU5" s="344"/>
      <c r="NZV5" s="344"/>
      <c r="NZW5" s="344"/>
      <c r="NZX5" s="344"/>
      <c r="NZY5" s="344"/>
      <c r="NZZ5" s="344"/>
      <c r="OAA5" s="344"/>
      <c r="OAB5" s="344"/>
      <c r="OAC5" s="344"/>
      <c r="OAD5" s="344"/>
      <c r="OAE5" s="344"/>
      <c r="OAF5" s="344"/>
      <c r="OAG5" s="344"/>
      <c r="OAH5" s="344"/>
      <c r="OAI5" s="344"/>
      <c r="OAJ5" s="344"/>
      <c r="OAK5" s="344"/>
      <c r="OAL5" s="344"/>
      <c r="OAM5" s="344"/>
      <c r="OAN5" s="344"/>
      <c r="OAO5" s="344"/>
      <c r="OAP5" s="344"/>
      <c r="OAQ5" s="344"/>
      <c r="OAR5" s="344"/>
      <c r="OAS5" s="344"/>
      <c r="OAT5" s="344"/>
      <c r="OAU5" s="344"/>
      <c r="OAV5" s="344"/>
      <c r="OAW5" s="344"/>
      <c r="OAX5" s="344"/>
      <c r="OAY5" s="344"/>
      <c r="OAZ5" s="344"/>
      <c r="OBA5" s="344"/>
      <c r="OBB5" s="344"/>
      <c r="OBC5" s="344"/>
      <c r="OBD5" s="344"/>
      <c r="OBE5" s="344"/>
      <c r="OBF5" s="344"/>
      <c r="OBG5" s="344"/>
      <c r="OBH5" s="344"/>
      <c r="OBI5" s="344"/>
      <c r="OBJ5" s="344"/>
      <c r="OBK5" s="344"/>
      <c r="OBL5" s="344"/>
      <c r="OBM5" s="344"/>
      <c r="OBN5" s="344"/>
      <c r="OBO5" s="344"/>
      <c r="OBP5" s="344"/>
      <c r="OBQ5" s="344"/>
      <c r="OBR5" s="344"/>
      <c r="OBS5" s="344"/>
      <c r="OBT5" s="344"/>
      <c r="OBU5" s="344"/>
      <c r="OBV5" s="344"/>
      <c r="OBW5" s="344"/>
      <c r="OBX5" s="344"/>
      <c r="OBY5" s="344"/>
      <c r="OBZ5" s="344"/>
      <c r="OCA5" s="344"/>
      <c r="OCB5" s="344"/>
      <c r="OCC5" s="344"/>
      <c r="OCD5" s="344"/>
      <c r="OCE5" s="344"/>
      <c r="OCF5" s="344"/>
      <c r="OCG5" s="344"/>
      <c r="OCH5" s="344"/>
      <c r="OCI5" s="344"/>
      <c r="OCJ5" s="344"/>
      <c r="OCK5" s="344"/>
      <c r="OCL5" s="344"/>
      <c r="OCM5" s="344"/>
      <c r="OCN5" s="344"/>
      <c r="OCO5" s="344"/>
      <c r="OCP5" s="344"/>
      <c r="OCQ5" s="344"/>
      <c r="OCR5" s="344"/>
      <c r="OCS5" s="344"/>
      <c r="OCT5" s="344"/>
      <c r="OCU5" s="344"/>
      <c r="OCV5" s="344"/>
      <c r="OCW5" s="344"/>
      <c r="OCX5" s="344"/>
      <c r="OCY5" s="344"/>
      <c r="OCZ5" s="344"/>
      <c r="ODA5" s="344"/>
      <c r="ODB5" s="344"/>
      <c r="ODC5" s="344"/>
      <c r="ODD5" s="344"/>
      <c r="ODE5" s="344"/>
      <c r="ODF5" s="344"/>
      <c r="ODG5" s="344"/>
      <c r="ODH5" s="344"/>
      <c r="ODI5" s="344"/>
      <c r="ODJ5" s="344"/>
      <c r="ODK5" s="344"/>
      <c r="ODL5" s="344"/>
      <c r="ODM5" s="344"/>
      <c r="ODN5" s="344"/>
      <c r="ODO5" s="344"/>
      <c r="ODP5" s="344"/>
      <c r="ODQ5" s="344"/>
      <c r="ODR5" s="344"/>
      <c r="ODS5" s="344"/>
      <c r="ODT5" s="344"/>
      <c r="ODU5" s="344"/>
      <c r="ODV5" s="344"/>
      <c r="ODW5" s="344"/>
      <c r="ODX5" s="344"/>
      <c r="ODY5" s="344"/>
      <c r="ODZ5" s="344"/>
      <c r="OEA5" s="344"/>
      <c r="OEB5" s="344"/>
      <c r="OEC5" s="344"/>
      <c r="OED5" s="344"/>
      <c r="OEE5" s="344"/>
      <c r="OEF5" s="344"/>
      <c r="OEG5" s="344"/>
      <c r="OEH5" s="344"/>
      <c r="OEI5" s="344"/>
      <c r="OEJ5" s="344"/>
      <c r="OEK5" s="344"/>
      <c r="OEL5" s="344"/>
      <c r="OEM5" s="344"/>
      <c r="OEN5" s="344"/>
      <c r="OEO5" s="344"/>
      <c r="OEP5" s="344"/>
      <c r="OEQ5" s="344"/>
      <c r="OER5" s="344"/>
      <c r="OES5" s="344"/>
      <c r="OET5" s="344"/>
      <c r="OEU5" s="344"/>
      <c r="OEV5" s="344"/>
      <c r="OEW5" s="344"/>
      <c r="OEX5" s="344"/>
      <c r="OEY5" s="344"/>
      <c r="OEZ5" s="344"/>
      <c r="OFA5" s="344"/>
      <c r="OFB5" s="344"/>
      <c r="OFC5" s="344"/>
      <c r="OFD5" s="344"/>
      <c r="OFE5" s="344"/>
      <c r="OFF5" s="344"/>
      <c r="OFG5" s="344"/>
      <c r="OFH5" s="344"/>
      <c r="OFI5" s="344"/>
      <c r="OFJ5" s="344"/>
      <c r="OFK5" s="344"/>
      <c r="OFL5" s="344"/>
      <c r="OFM5" s="344"/>
      <c r="OFN5" s="344"/>
      <c r="OFO5" s="344"/>
      <c r="OFP5" s="344"/>
      <c r="OFQ5" s="344"/>
      <c r="OFR5" s="344"/>
      <c r="OFS5" s="344"/>
      <c r="OFT5" s="344"/>
      <c r="OFU5" s="344"/>
      <c r="OFV5" s="344"/>
      <c r="OFW5" s="344"/>
      <c r="OFX5" s="344"/>
      <c r="OFY5" s="344"/>
      <c r="OFZ5" s="344"/>
      <c r="OGA5" s="344"/>
      <c r="OGB5" s="344"/>
      <c r="OGC5" s="344"/>
      <c r="OGD5" s="344"/>
      <c r="OGE5" s="344"/>
      <c r="OGF5" s="344"/>
      <c r="OGG5" s="344"/>
      <c r="OGH5" s="344"/>
      <c r="OGI5" s="344"/>
      <c r="OGJ5" s="344"/>
      <c r="OGK5" s="344"/>
      <c r="OGL5" s="344"/>
      <c r="OGM5" s="344"/>
      <c r="OGN5" s="344"/>
      <c r="OGO5" s="344"/>
      <c r="OGP5" s="344"/>
      <c r="OGQ5" s="344"/>
      <c r="OGR5" s="344"/>
      <c r="OGS5" s="344"/>
      <c r="OGT5" s="344"/>
      <c r="OGU5" s="344"/>
      <c r="OGV5" s="344"/>
      <c r="OGW5" s="344"/>
      <c r="OGX5" s="344"/>
      <c r="OGY5" s="344"/>
      <c r="OGZ5" s="344"/>
      <c r="OHA5" s="344"/>
      <c r="OHB5" s="344"/>
      <c r="OHC5" s="344"/>
      <c r="OHD5" s="344"/>
      <c r="OHE5" s="344"/>
      <c r="OHF5" s="344"/>
      <c r="OHG5" s="344"/>
      <c r="OHH5" s="344"/>
      <c r="OHI5" s="344"/>
      <c r="OHJ5" s="344"/>
      <c r="OHK5" s="344"/>
      <c r="OHL5" s="344"/>
      <c r="OHM5" s="344"/>
      <c r="OHN5" s="344"/>
      <c r="OHO5" s="344"/>
      <c r="OHP5" s="344"/>
      <c r="OHQ5" s="344"/>
      <c r="OHR5" s="344"/>
      <c r="OHS5" s="344"/>
      <c r="OHT5" s="344"/>
      <c r="OHU5" s="344"/>
      <c r="OHV5" s="344"/>
      <c r="OHW5" s="344"/>
      <c r="OHX5" s="344"/>
      <c r="OHY5" s="344"/>
      <c r="OHZ5" s="344"/>
      <c r="OIA5" s="344"/>
      <c r="OIB5" s="344"/>
      <c r="OIC5" s="344"/>
      <c r="OID5" s="344"/>
      <c r="OIE5" s="344"/>
      <c r="OIF5" s="344"/>
      <c r="OIG5" s="344"/>
      <c r="OIH5" s="344"/>
      <c r="OII5" s="344"/>
      <c r="OIJ5" s="344"/>
      <c r="OIK5" s="344"/>
      <c r="OIL5" s="344"/>
      <c r="OIM5" s="344"/>
      <c r="OIN5" s="344"/>
      <c r="OIO5" s="344"/>
      <c r="OIP5" s="344"/>
      <c r="OIQ5" s="344"/>
      <c r="OIR5" s="344"/>
      <c r="OIS5" s="344"/>
      <c r="OIT5" s="344"/>
      <c r="OIU5" s="344"/>
      <c r="OIV5" s="344"/>
      <c r="OIW5" s="344"/>
      <c r="OIX5" s="344"/>
      <c r="OIY5" s="344"/>
      <c r="OIZ5" s="344"/>
      <c r="OJA5" s="344"/>
      <c r="OJB5" s="344"/>
      <c r="OJC5" s="344"/>
      <c r="OJD5" s="344"/>
      <c r="OJE5" s="344"/>
      <c r="OJF5" s="344"/>
      <c r="OJG5" s="344"/>
      <c r="OJH5" s="344"/>
      <c r="OJI5" s="344"/>
      <c r="OJJ5" s="344"/>
      <c r="OJK5" s="344"/>
      <c r="OJL5" s="344"/>
      <c r="OJM5" s="344"/>
      <c r="OJN5" s="344"/>
      <c r="OJO5" s="344"/>
      <c r="OJP5" s="344"/>
      <c r="OJQ5" s="344"/>
      <c r="OJR5" s="344"/>
      <c r="OJS5" s="344"/>
      <c r="OJT5" s="344"/>
      <c r="OJU5" s="344"/>
      <c r="OJV5" s="344"/>
      <c r="OJW5" s="344"/>
      <c r="OJX5" s="344"/>
      <c r="OJY5" s="344"/>
      <c r="OJZ5" s="344"/>
      <c r="OKA5" s="344"/>
      <c r="OKB5" s="344"/>
      <c r="OKC5" s="344"/>
      <c r="OKD5" s="344"/>
      <c r="OKE5" s="344"/>
      <c r="OKF5" s="344"/>
      <c r="OKG5" s="344"/>
      <c r="OKH5" s="344"/>
      <c r="OKI5" s="344"/>
      <c r="OKJ5" s="344"/>
      <c r="OKK5" s="344"/>
      <c r="OKL5" s="344"/>
      <c r="OKM5" s="344"/>
      <c r="OKN5" s="344"/>
      <c r="OKO5" s="344"/>
      <c r="OKP5" s="344"/>
      <c r="OKQ5" s="344"/>
      <c r="OKR5" s="344"/>
      <c r="OKS5" s="344"/>
      <c r="OKT5" s="344"/>
      <c r="OKU5" s="344"/>
      <c r="OKV5" s="344"/>
      <c r="OKW5" s="344"/>
      <c r="OKX5" s="344"/>
      <c r="OKY5" s="344"/>
      <c r="OKZ5" s="344"/>
      <c r="OLA5" s="344"/>
      <c r="OLB5" s="344"/>
      <c r="OLC5" s="344"/>
      <c r="OLD5" s="344"/>
      <c r="OLE5" s="344"/>
      <c r="OLF5" s="344"/>
      <c r="OLG5" s="344"/>
      <c r="OLH5" s="344"/>
      <c r="OLI5" s="344"/>
      <c r="OLJ5" s="344"/>
      <c r="OLK5" s="344"/>
      <c r="OLL5" s="344"/>
      <c r="OLM5" s="344"/>
      <c r="OLN5" s="344"/>
      <c r="OLO5" s="344"/>
      <c r="OLP5" s="344"/>
      <c r="OLQ5" s="344"/>
      <c r="OLR5" s="344"/>
      <c r="OLS5" s="344"/>
      <c r="OLT5" s="344"/>
      <c r="OLU5" s="344"/>
      <c r="OLV5" s="344"/>
      <c r="OLW5" s="344"/>
      <c r="OLX5" s="344"/>
      <c r="OLY5" s="344"/>
      <c r="OLZ5" s="344"/>
      <c r="OMA5" s="344"/>
      <c r="OMB5" s="344"/>
      <c r="OMC5" s="344"/>
      <c r="OMD5" s="344"/>
      <c r="OME5" s="344"/>
      <c r="OMF5" s="344"/>
      <c r="OMG5" s="344"/>
      <c r="OMH5" s="344"/>
      <c r="OMI5" s="344"/>
      <c r="OMJ5" s="344"/>
      <c r="OMK5" s="344"/>
      <c r="OML5" s="344"/>
      <c r="OMM5" s="344"/>
      <c r="OMN5" s="344"/>
      <c r="OMO5" s="344"/>
      <c r="OMP5" s="344"/>
      <c r="OMQ5" s="344"/>
      <c r="OMR5" s="344"/>
      <c r="OMS5" s="344"/>
      <c r="OMT5" s="344"/>
      <c r="OMU5" s="344"/>
      <c r="OMV5" s="344"/>
      <c r="OMW5" s="344"/>
      <c r="OMX5" s="344"/>
      <c r="OMY5" s="344"/>
      <c r="OMZ5" s="344"/>
      <c r="ONA5" s="344"/>
      <c r="ONB5" s="344"/>
      <c r="ONC5" s="344"/>
      <c r="OND5" s="344"/>
      <c r="ONE5" s="344"/>
      <c r="ONF5" s="344"/>
      <c r="ONG5" s="344"/>
      <c r="ONH5" s="344"/>
      <c r="ONI5" s="344"/>
      <c r="ONJ5" s="344"/>
      <c r="ONK5" s="344"/>
      <c r="ONL5" s="344"/>
      <c r="ONM5" s="344"/>
      <c r="ONN5" s="344"/>
      <c r="ONO5" s="344"/>
      <c r="ONP5" s="344"/>
      <c r="ONQ5" s="344"/>
      <c r="ONR5" s="344"/>
      <c r="ONS5" s="344"/>
      <c r="ONT5" s="344"/>
      <c r="ONU5" s="344"/>
      <c r="ONV5" s="344"/>
      <c r="ONW5" s="344"/>
      <c r="ONX5" s="344"/>
      <c r="ONY5" s="344"/>
      <c r="ONZ5" s="344"/>
      <c r="OOA5" s="344"/>
      <c r="OOB5" s="344"/>
      <c r="OOC5" s="344"/>
      <c r="OOD5" s="344"/>
      <c r="OOE5" s="344"/>
      <c r="OOF5" s="344"/>
      <c r="OOG5" s="344"/>
      <c r="OOH5" s="344"/>
      <c r="OOI5" s="344"/>
      <c r="OOJ5" s="344"/>
      <c r="OOK5" s="344"/>
      <c r="OOL5" s="344"/>
      <c r="OOM5" s="344"/>
      <c r="OON5" s="344"/>
      <c r="OOO5" s="344"/>
      <c r="OOP5" s="344"/>
      <c r="OOQ5" s="344"/>
      <c r="OOR5" s="344"/>
      <c r="OOS5" s="344"/>
      <c r="OOT5" s="344"/>
      <c r="OOU5" s="344"/>
      <c r="OOV5" s="344"/>
      <c r="OOW5" s="344"/>
      <c r="OOX5" s="344"/>
      <c r="OOY5" s="344"/>
      <c r="OOZ5" s="344"/>
      <c r="OPA5" s="344"/>
      <c r="OPB5" s="344"/>
      <c r="OPC5" s="344"/>
      <c r="OPD5" s="344"/>
      <c r="OPE5" s="344"/>
      <c r="OPF5" s="344"/>
      <c r="OPG5" s="344"/>
      <c r="OPH5" s="344"/>
      <c r="OPI5" s="344"/>
      <c r="OPJ5" s="344"/>
      <c r="OPK5" s="344"/>
      <c r="OPL5" s="344"/>
      <c r="OPM5" s="344"/>
      <c r="OPN5" s="344"/>
      <c r="OPO5" s="344"/>
      <c r="OPP5" s="344"/>
      <c r="OPQ5" s="344"/>
      <c r="OPR5" s="344"/>
      <c r="OPS5" s="344"/>
      <c r="OPT5" s="344"/>
      <c r="OPU5" s="344"/>
      <c r="OPV5" s="344"/>
      <c r="OPW5" s="344"/>
      <c r="OPX5" s="344"/>
      <c r="OPY5" s="344"/>
      <c r="OPZ5" s="344"/>
      <c r="OQA5" s="344"/>
      <c r="OQB5" s="344"/>
      <c r="OQC5" s="344"/>
      <c r="OQD5" s="344"/>
      <c r="OQE5" s="344"/>
      <c r="OQF5" s="344"/>
      <c r="OQG5" s="344"/>
      <c r="OQH5" s="344"/>
      <c r="OQI5" s="344"/>
      <c r="OQJ5" s="344"/>
      <c r="OQK5" s="344"/>
      <c r="OQL5" s="344"/>
      <c r="OQM5" s="344"/>
      <c r="OQN5" s="344"/>
      <c r="OQO5" s="344"/>
      <c r="OQP5" s="344"/>
      <c r="OQQ5" s="344"/>
      <c r="OQR5" s="344"/>
      <c r="OQS5" s="344"/>
      <c r="OQT5" s="344"/>
      <c r="OQU5" s="344"/>
      <c r="OQV5" s="344"/>
      <c r="OQW5" s="344"/>
      <c r="OQX5" s="344"/>
      <c r="OQY5" s="344"/>
      <c r="OQZ5" s="344"/>
      <c r="ORA5" s="344"/>
      <c r="ORB5" s="344"/>
      <c r="ORC5" s="344"/>
      <c r="ORD5" s="344"/>
      <c r="ORE5" s="344"/>
      <c r="ORF5" s="344"/>
      <c r="ORG5" s="344"/>
      <c r="ORH5" s="344"/>
      <c r="ORI5" s="344"/>
      <c r="ORJ5" s="344"/>
      <c r="ORK5" s="344"/>
      <c r="ORL5" s="344"/>
      <c r="ORM5" s="344"/>
      <c r="ORN5" s="344"/>
      <c r="ORO5" s="344"/>
      <c r="ORP5" s="344"/>
      <c r="ORQ5" s="344"/>
      <c r="ORR5" s="344"/>
      <c r="ORS5" s="344"/>
      <c r="ORT5" s="344"/>
      <c r="ORU5" s="344"/>
      <c r="ORV5" s="344"/>
      <c r="ORW5" s="344"/>
      <c r="ORX5" s="344"/>
      <c r="ORY5" s="344"/>
      <c r="ORZ5" s="344"/>
      <c r="OSA5" s="344"/>
      <c r="OSB5" s="344"/>
      <c r="OSC5" s="344"/>
      <c r="OSD5" s="344"/>
      <c r="OSE5" s="344"/>
      <c r="OSF5" s="344"/>
      <c r="OSG5" s="344"/>
      <c r="OSH5" s="344"/>
      <c r="OSI5" s="344"/>
      <c r="OSJ5" s="344"/>
      <c r="OSK5" s="344"/>
      <c r="OSL5" s="344"/>
      <c r="OSM5" s="344"/>
      <c r="OSN5" s="344"/>
      <c r="OSO5" s="344"/>
      <c r="OSP5" s="344"/>
      <c r="OSQ5" s="344"/>
      <c r="OSR5" s="344"/>
      <c r="OSS5" s="344"/>
      <c r="OST5" s="344"/>
      <c r="OSU5" s="344"/>
      <c r="OSV5" s="344"/>
      <c r="OSW5" s="344"/>
      <c r="OSX5" s="344"/>
      <c r="OSY5" s="344"/>
      <c r="OSZ5" s="344"/>
      <c r="OTA5" s="344"/>
      <c r="OTB5" s="344"/>
      <c r="OTC5" s="344"/>
      <c r="OTD5" s="344"/>
      <c r="OTE5" s="344"/>
      <c r="OTF5" s="344"/>
      <c r="OTG5" s="344"/>
      <c r="OTH5" s="344"/>
      <c r="OTI5" s="344"/>
      <c r="OTJ5" s="344"/>
      <c r="OTK5" s="344"/>
      <c r="OTL5" s="344"/>
      <c r="OTM5" s="344"/>
      <c r="OTN5" s="344"/>
      <c r="OTO5" s="344"/>
      <c r="OTP5" s="344"/>
      <c r="OTQ5" s="344"/>
      <c r="OTR5" s="344"/>
      <c r="OTS5" s="344"/>
      <c r="OTT5" s="344"/>
      <c r="OTU5" s="344"/>
      <c r="OTV5" s="344"/>
      <c r="OTW5" s="344"/>
      <c r="OTX5" s="344"/>
      <c r="OTY5" s="344"/>
      <c r="OTZ5" s="344"/>
      <c r="OUA5" s="344"/>
      <c r="OUB5" s="344"/>
      <c r="OUC5" s="344"/>
      <c r="OUD5" s="344"/>
      <c r="OUE5" s="344"/>
      <c r="OUF5" s="344"/>
      <c r="OUG5" s="344"/>
      <c r="OUH5" s="344"/>
      <c r="OUI5" s="344"/>
      <c r="OUJ5" s="344"/>
      <c r="OUK5" s="344"/>
      <c r="OUL5" s="344"/>
      <c r="OUM5" s="344"/>
      <c r="OUN5" s="344"/>
      <c r="OUO5" s="344"/>
      <c r="OUP5" s="344"/>
      <c r="OUQ5" s="344"/>
      <c r="OUR5" s="344"/>
      <c r="OUS5" s="344"/>
      <c r="OUT5" s="344"/>
      <c r="OUU5" s="344"/>
      <c r="OUV5" s="344"/>
      <c r="OUW5" s="344"/>
      <c r="OUX5" s="344"/>
      <c r="OUY5" s="344"/>
      <c r="OUZ5" s="344"/>
      <c r="OVA5" s="344"/>
      <c r="OVB5" s="344"/>
      <c r="OVC5" s="344"/>
      <c r="OVD5" s="344"/>
      <c r="OVE5" s="344"/>
      <c r="OVF5" s="344"/>
      <c r="OVG5" s="344"/>
      <c r="OVH5" s="344"/>
      <c r="OVI5" s="344"/>
      <c r="OVJ5" s="344"/>
      <c r="OVK5" s="344"/>
      <c r="OVL5" s="344"/>
      <c r="OVM5" s="344"/>
      <c r="OVN5" s="344"/>
      <c r="OVO5" s="344"/>
      <c r="OVP5" s="344"/>
      <c r="OVQ5" s="344"/>
      <c r="OVR5" s="344"/>
      <c r="OVS5" s="344"/>
      <c r="OVT5" s="344"/>
      <c r="OVU5" s="344"/>
      <c r="OVV5" s="344"/>
      <c r="OVW5" s="344"/>
      <c r="OVX5" s="344"/>
      <c r="OVY5" s="344"/>
      <c r="OVZ5" s="344"/>
      <c r="OWA5" s="344"/>
      <c r="OWB5" s="344"/>
      <c r="OWC5" s="344"/>
      <c r="OWD5" s="344"/>
      <c r="OWE5" s="344"/>
      <c r="OWF5" s="344"/>
      <c r="OWG5" s="344"/>
      <c r="OWH5" s="344"/>
      <c r="OWI5" s="344"/>
      <c r="OWJ5" s="344"/>
      <c r="OWK5" s="344"/>
      <c r="OWL5" s="344"/>
      <c r="OWM5" s="344"/>
      <c r="OWN5" s="344"/>
      <c r="OWO5" s="344"/>
      <c r="OWP5" s="344"/>
      <c r="OWQ5" s="344"/>
      <c r="OWR5" s="344"/>
      <c r="OWS5" s="344"/>
      <c r="OWT5" s="344"/>
      <c r="OWU5" s="344"/>
      <c r="OWV5" s="344"/>
      <c r="OWW5" s="344"/>
      <c r="OWX5" s="344"/>
      <c r="OWY5" s="344"/>
      <c r="OWZ5" s="344"/>
      <c r="OXA5" s="344"/>
      <c r="OXB5" s="344"/>
      <c r="OXC5" s="344"/>
      <c r="OXD5" s="344"/>
      <c r="OXE5" s="344"/>
      <c r="OXF5" s="344"/>
      <c r="OXG5" s="344"/>
      <c r="OXH5" s="344"/>
      <c r="OXI5" s="344"/>
      <c r="OXJ5" s="344"/>
      <c r="OXK5" s="344"/>
      <c r="OXL5" s="344"/>
      <c r="OXM5" s="344"/>
      <c r="OXN5" s="344"/>
      <c r="OXO5" s="344"/>
      <c r="OXP5" s="344"/>
      <c r="OXQ5" s="344"/>
      <c r="OXR5" s="344"/>
      <c r="OXS5" s="344"/>
      <c r="OXT5" s="344"/>
      <c r="OXU5" s="344"/>
      <c r="OXV5" s="344"/>
      <c r="OXW5" s="344"/>
      <c r="OXX5" s="344"/>
      <c r="OXY5" s="344"/>
      <c r="OXZ5" s="344"/>
      <c r="OYA5" s="344"/>
      <c r="OYB5" s="344"/>
      <c r="OYC5" s="344"/>
      <c r="OYD5" s="344"/>
      <c r="OYE5" s="344"/>
      <c r="OYF5" s="344"/>
      <c r="OYG5" s="344"/>
      <c r="OYH5" s="344"/>
      <c r="OYI5" s="344"/>
      <c r="OYJ5" s="344"/>
      <c r="OYK5" s="344"/>
      <c r="OYL5" s="344"/>
      <c r="OYM5" s="344"/>
      <c r="OYN5" s="344"/>
      <c r="OYO5" s="344"/>
      <c r="OYP5" s="344"/>
      <c r="OYQ5" s="344"/>
      <c r="OYR5" s="344"/>
      <c r="OYS5" s="344"/>
      <c r="OYT5" s="344"/>
      <c r="OYU5" s="344"/>
      <c r="OYV5" s="344"/>
      <c r="OYW5" s="344"/>
      <c r="OYX5" s="344"/>
      <c r="OYY5" s="344"/>
      <c r="OYZ5" s="344"/>
      <c r="OZA5" s="344"/>
      <c r="OZB5" s="344"/>
      <c r="OZC5" s="344"/>
      <c r="OZD5" s="344"/>
      <c r="OZE5" s="344"/>
      <c r="OZF5" s="344"/>
      <c r="OZG5" s="344"/>
      <c r="OZH5" s="344"/>
      <c r="OZI5" s="344"/>
      <c r="OZJ5" s="344"/>
      <c r="OZK5" s="344"/>
      <c r="OZL5" s="344"/>
      <c r="OZM5" s="344"/>
      <c r="OZN5" s="344"/>
      <c r="OZO5" s="344"/>
      <c r="OZP5" s="344"/>
      <c r="OZQ5" s="344"/>
      <c r="OZR5" s="344"/>
      <c r="OZS5" s="344"/>
      <c r="OZT5" s="344"/>
      <c r="OZU5" s="344"/>
      <c r="OZV5" s="344"/>
      <c r="OZW5" s="344"/>
      <c r="OZX5" s="344"/>
      <c r="OZY5" s="344"/>
      <c r="OZZ5" s="344"/>
      <c r="PAA5" s="344"/>
      <c r="PAB5" s="344"/>
      <c r="PAC5" s="344"/>
      <c r="PAD5" s="344"/>
      <c r="PAE5" s="344"/>
      <c r="PAF5" s="344"/>
      <c r="PAG5" s="344"/>
      <c r="PAH5" s="344"/>
      <c r="PAI5" s="344"/>
      <c r="PAJ5" s="344"/>
      <c r="PAK5" s="344"/>
      <c r="PAL5" s="344"/>
      <c r="PAM5" s="344"/>
      <c r="PAN5" s="344"/>
      <c r="PAO5" s="344"/>
      <c r="PAP5" s="344"/>
      <c r="PAQ5" s="344"/>
      <c r="PAR5" s="344"/>
      <c r="PAS5" s="344"/>
      <c r="PAT5" s="344"/>
      <c r="PAU5" s="344"/>
      <c r="PAV5" s="344"/>
      <c r="PAW5" s="344"/>
      <c r="PAX5" s="344"/>
      <c r="PAY5" s="344"/>
      <c r="PAZ5" s="344"/>
      <c r="PBA5" s="344"/>
      <c r="PBB5" s="344"/>
      <c r="PBC5" s="344"/>
      <c r="PBD5" s="344"/>
      <c r="PBE5" s="344"/>
      <c r="PBF5" s="344"/>
      <c r="PBG5" s="344"/>
      <c r="PBH5" s="344"/>
      <c r="PBI5" s="344"/>
      <c r="PBJ5" s="344"/>
      <c r="PBK5" s="344"/>
      <c r="PBL5" s="344"/>
      <c r="PBM5" s="344"/>
      <c r="PBN5" s="344"/>
      <c r="PBO5" s="344"/>
      <c r="PBP5" s="344"/>
      <c r="PBQ5" s="344"/>
      <c r="PBR5" s="344"/>
      <c r="PBS5" s="344"/>
      <c r="PBT5" s="344"/>
      <c r="PBU5" s="344"/>
      <c r="PBV5" s="344"/>
      <c r="PBW5" s="344"/>
      <c r="PBX5" s="344"/>
      <c r="PBY5" s="344"/>
      <c r="PBZ5" s="344"/>
      <c r="PCA5" s="344"/>
      <c r="PCB5" s="344"/>
      <c r="PCC5" s="344"/>
      <c r="PCD5" s="344"/>
      <c r="PCE5" s="344"/>
      <c r="PCF5" s="344"/>
      <c r="PCG5" s="344"/>
      <c r="PCH5" s="344"/>
      <c r="PCI5" s="344"/>
      <c r="PCJ5" s="344"/>
      <c r="PCK5" s="344"/>
      <c r="PCL5" s="344"/>
      <c r="PCM5" s="344"/>
      <c r="PCN5" s="344"/>
      <c r="PCO5" s="344"/>
      <c r="PCP5" s="344"/>
      <c r="PCQ5" s="344"/>
      <c r="PCR5" s="344"/>
      <c r="PCS5" s="344"/>
      <c r="PCT5" s="344"/>
      <c r="PCU5" s="344"/>
      <c r="PCV5" s="344"/>
      <c r="PCW5" s="344"/>
      <c r="PCX5" s="344"/>
      <c r="PCY5" s="344"/>
      <c r="PCZ5" s="344"/>
      <c r="PDA5" s="344"/>
      <c r="PDB5" s="344"/>
      <c r="PDC5" s="344"/>
      <c r="PDD5" s="344"/>
      <c r="PDE5" s="344"/>
      <c r="PDF5" s="344"/>
      <c r="PDG5" s="344"/>
      <c r="PDH5" s="344"/>
      <c r="PDI5" s="344"/>
      <c r="PDJ5" s="344"/>
      <c r="PDK5" s="344"/>
      <c r="PDL5" s="344"/>
      <c r="PDM5" s="344"/>
      <c r="PDN5" s="344"/>
      <c r="PDO5" s="344"/>
      <c r="PDP5" s="344"/>
      <c r="PDQ5" s="344"/>
      <c r="PDR5" s="344"/>
      <c r="PDS5" s="344"/>
      <c r="PDT5" s="344"/>
      <c r="PDU5" s="344"/>
      <c r="PDV5" s="344"/>
      <c r="PDW5" s="344"/>
      <c r="PDX5" s="344"/>
      <c r="PDY5" s="344"/>
      <c r="PDZ5" s="344"/>
      <c r="PEA5" s="344"/>
      <c r="PEB5" s="344"/>
      <c r="PEC5" s="344"/>
      <c r="PED5" s="344"/>
      <c r="PEE5" s="344"/>
      <c r="PEF5" s="344"/>
      <c r="PEG5" s="344"/>
      <c r="PEH5" s="344"/>
      <c r="PEI5" s="344"/>
      <c r="PEJ5" s="344"/>
      <c r="PEK5" s="344"/>
      <c r="PEL5" s="344"/>
      <c r="PEM5" s="344"/>
      <c r="PEN5" s="344"/>
      <c r="PEO5" s="344"/>
      <c r="PEP5" s="344"/>
      <c r="PEQ5" s="344"/>
      <c r="PER5" s="344"/>
      <c r="PES5" s="344"/>
      <c r="PET5" s="344"/>
      <c r="PEU5" s="344"/>
      <c r="PEV5" s="344"/>
      <c r="PEW5" s="344"/>
      <c r="PEX5" s="344"/>
      <c r="PEY5" s="344"/>
      <c r="PEZ5" s="344"/>
      <c r="PFA5" s="344"/>
      <c r="PFB5" s="344"/>
      <c r="PFC5" s="344"/>
      <c r="PFD5" s="344"/>
      <c r="PFE5" s="344"/>
      <c r="PFF5" s="344"/>
      <c r="PFG5" s="344"/>
      <c r="PFH5" s="344"/>
      <c r="PFI5" s="344"/>
      <c r="PFJ5" s="344"/>
      <c r="PFK5" s="344"/>
      <c r="PFL5" s="344"/>
      <c r="PFM5" s="344"/>
      <c r="PFN5" s="344"/>
      <c r="PFO5" s="344"/>
      <c r="PFP5" s="344"/>
      <c r="PFQ5" s="344"/>
      <c r="PFR5" s="344"/>
      <c r="PFS5" s="344"/>
      <c r="PFT5" s="344"/>
      <c r="PFU5" s="344"/>
      <c r="PFV5" s="344"/>
      <c r="PFW5" s="344"/>
      <c r="PFX5" s="344"/>
      <c r="PFY5" s="344"/>
      <c r="PFZ5" s="344"/>
      <c r="PGA5" s="344"/>
      <c r="PGB5" s="344"/>
      <c r="PGC5" s="344"/>
      <c r="PGD5" s="344"/>
      <c r="PGE5" s="344"/>
      <c r="PGF5" s="344"/>
      <c r="PGG5" s="344"/>
      <c r="PGH5" s="344"/>
      <c r="PGI5" s="344"/>
      <c r="PGJ5" s="344"/>
      <c r="PGK5" s="344"/>
      <c r="PGL5" s="344"/>
      <c r="PGM5" s="344"/>
      <c r="PGN5" s="344"/>
      <c r="PGO5" s="344"/>
      <c r="PGP5" s="344"/>
      <c r="PGQ5" s="344"/>
      <c r="PGR5" s="344"/>
      <c r="PGS5" s="344"/>
      <c r="PGT5" s="344"/>
      <c r="PGU5" s="344"/>
      <c r="PGV5" s="344"/>
      <c r="PGW5" s="344"/>
      <c r="PGX5" s="344"/>
      <c r="PGY5" s="344"/>
      <c r="PGZ5" s="344"/>
      <c r="PHA5" s="344"/>
      <c r="PHB5" s="344"/>
      <c r="PHC5" s="344"/>
      <c r="PHD5" s="344"/>
      <c r="PHE5" s="344"/>
      <c r="PHF5" s="344"/>
      <c r="PHG5" s="344"/>
      <c r="PHH5" s="344"/>
      <c r="PHI5" s="344"/>
      <c r="PHJ5" s="344"/>
      <c r="PHK5" s="344"/>
      <c r="PHL5" s="344"/>
      <c r="PHM5" s="344"/>
      <c r="PHN5" s="344"/>
      <c r="PHO5" s="344"/>
      <c r="PHP5" s="344"/>
      <c r="PHQ5" s="344"/>
      <c r="PHR5" s="344"/>
      <c r="PHS5" s="344"/>
      <c r="PHT5" s="344"/>
      <c r="PHU5" s="344"/>
      <c r="PHV5" s="344"/>
      <c r="PHW5" s="344"/>
      <c r="PHX5" s="344"/>
      <c r="PHY5" s="344"/>
      <c r="PHZ5" s="344"/>
      <c r="PIA5" s="344"/>
      <c r="PIB5" s="344"/>
      <c r="PIC5" s="344"/>
      <c r="PID5" s="344"/>
      <c r="PIE5" s="344"/>
      <c r="PIF5" s="344"/>
      <c r="PIG5" s="344"/>
      <c r="PIH5" s="344"/>
      <c r="PII5" s="344"/>
      <c r="PIJ5" s="344"/>
      <c r="PIK5" s="344"/>
      <c r="PIL5" s="344"/>
      <c r="PIM5" s="344"/>
      <c r="PIN5" s="344"/>
      <c r="PIO5" s="344"/>
      <c r="PIP5" s="344"/>
      <c r="PIQ5" s="344"/>
      <c r="PIR5" s="344"/>
      <c r="PIS5" s="344"/>
      <c r="PIT5" s="344"/>
      <c r="PIU5" s="344"/>
      <c r="PIV5" s="344"/>
      <c r="PIW5" s="344"/>
      <c r="PIX5" s="344"/>
      <c r="PIY5" s="344"/>
      <c r="PIZ5" s="344"/>
      <c r="PJA5" s="344"/>
      <c r="PJB5" s="344"/>
      <c r="PJC5" s="344"/>
      <c r="PJD5" s="344"/>
      <c r="PJE5" s="344"/>
      <c r="PJF5" s="344"/>
      <c r="PJG5" s="344"/>
      <c r="PJH5" s="344"/>
      <c r="PJI5" s="344"/>
      <c r="PJJ5" s="344"/>
      <c r="PJK5" s="344"/>
      <c r="PJL5" s="344"/>
      <c r="PJM5" s="344"/>
      <c r="PJN5" s="344"/>
      <c r="PJO5" s="344"/>
      <c r="PJP5" s="344"/>
      <c r="PJQ5" s="344"/>
      <c r="PJR5" s="344"/>
      <c r="PJS5" s="344"/>
      <c r="PJT5" s="344"/>
      <c r="PJU5" s="344"/>
      <c r="PJV5" s="344"/>
      <c r="PJW5" s="344"/>
      <c r="PJX5" s="344"/>
      <c r="PJY5" s="344"/>
      <c r="PJZ5" s="344"/>
      <c r="PKA5" s="344"/>
      <c r="PKB5" s="344"/>
      <c r="PKC5" s="344"/>
      <c r="PKD5" s="344"/>
      <c r="PKE5" s="344"/>
      <c r="PKF5" s="344"/>
      <c r="PKG5" s="344"/>
      <c r="PKH5" s="344"/>
      <c r="PKI5" s="344"/>
      <c r="PKJ5" s="344"/>
      <c r="PKK5" s="344"/>
      <c r="PKL5" s="344"/>
      <c r="PKM5" s="344"/>
      <c r="PKN5" s="344"/>
      <c r="PKO5" s="344"/>
      <c r="PKP5" s="344"/>
      <c r="PKQ5" s="344"/>
      <c r="PKR5" s="344"/>
      <c r="PKS5" s="344"/>
      <c r="PKT5" s="344"/>
      <c r="PKU5" s="344"/>
      <c r="PKV5" s="344"/>
      <c r="PKW5" s="344"/>
      <c r="PKX5" s="344"/>
      <c r="PKY5" s="344"/>
      <c r="PKZ5" s="344"/>
      <c r="PLA5" s="344"/>
      <c r="PLB5" s="344"/>
      <c r="PLC5" s="344"/>
      <c r="PLD5" s="344"/>
      <c r="PLE5" s="344"/>
      <c r="PLF5" s="344"/>
      <c r="PLG5" s="344"/>
      <c r="PLH5" s="344"/>
      <c r="PLI5" s="344"/>
      <c r="PLJ5" s="344"/>
      <c r="PLK5" s="344"/>
      <c r="PLL5" s="344"/>
      <c r="PLM5" s="344"/>
      <c r="PLN5" s="344"/>
      <c r="PLO5" s="344"/>
      <c r="PLP5" s="344"/>
      <c r="PLQ5" s="344"/>
      <c r="PLR5" s="344"/>
      <c r="PLS5" s="344"/>
      <c r="PLT5" s="344"/>
      <c r="PLU5" s="344"/>
      <c r="PLV5" s="344"/>
      <c r="PLW5" s="344"/>
      <c r="PLX5" s="344"/>
      <c r="PLY5" s="344"/>
      <c r="PLZ5" s="344"/>
      <c r="PMA5" s="344"/>
      <c r="PMB5" s="344"/>
      <c r="PMC5" s="344"/>
      <c r="PMD5" s="344"/>
      <c r="PME5" s="344"/>
      <c r="PMF5" s="344"/>
      <c r="PMG5" s="344"/>
      <c r="PMH5" s="344"/>
      <c r="PMI5" s="344"/>
      <c r="PMJ5" s="344"/>
      <c r="PMK5" s="344"/>
      <c r="PML5" s="344"/>
      <c r="PMM5" s="344"/>
      <c r="PMN5" s="344"/>
      <c r="PMO5" s="344"/>
      <c r="PMP5" s="344"/>
      <c r="PMQ5" s="344"/>
      <c r="PMR5" s="344"/>
      <c r="PMS5" s="344"/>
      <c r="PMT5" s="344"/>
      <c r="PMU5" s="344"/>
      <c r="PMV5" s="344"/>
      <c r="PMW5" s="344"/>
      <c r="PMX5" s="344"/>
      <c r="PMY5" s="344"/>
      <c r="PMZ5" s="344"/>
      <c r="PNA5" s="344"/>
      <c r="PNB5" s="344"/>
      <c r="PNC5" s="344"/>
      <c r="PND5" s="344"/>
      <c r="PNE5" s="344"/>
      <c r="PNF5" s="344"/>
      <c r="PNG5" s="344"/>
      <c r="PNH5" s="344"/>
      <c r="PNI5" s="344"/>
      <c r="PNJ5" s="344"/>
      <c r="PNK5" s="344"/>
      <c r="PNL5" s="344"/>
      <c r="PNM5" s="344"/>
      <c r="PNN5" s="344"/>
      <c r="PNO5" s="344"/>
      <c r="PNP5" s="344"/>
      <c r="PNQ5" s="344"/>
      <c r="PNR5" s="344"/>
      <c r="PNS5" s="344"/>
      <c r="PNT5" s="344"/>
      <c r="PNU5" s="344"/>
      <c r="PNV5" s="344"/>
      <c r="PNW5" s="344"/>
      <c r="PNX5" s="344"/>
      <c r="PNY5" s="344"/>
      <c r="PNZ5" s="344"/>
      <c r="POA5" s="344"/>
      <c r="POB5" s="344"/>
      <c r="POC5" s="344"/>
      <c r="POD5" s="344"/>
      <c r="POE5" s="344"/>
      <c r="POF5" s="344"/>
      <c r="POG5" s="344"/>
      <c r="POH5" s="344"/>
      <c r="POI5" s="344"/>
      <c r="POJ5" s="344"/>
      <c r="POK5" s="344"/>
      <c r="POL5" s="344"/>
      <c r="POM5" s="344"/>
      <c r="PON5" s="344"/>
      <c r="POO5" s="344"/>
      <c r="POP5" s="344"/>
      <c r="POQ5" s="344"/>
      <c r="POR5" s="344"/>
      <c r="POS5" s="344"/>
      <c r="POT5" s="344"/>
      <c r="POU5" s="344"/>
      <c r="POV5" s="344"/>
      <c r="POW5" s="344"/>
      <c r="POX5" s="344"/>
      <c r="POY5" s="344"/>
      <c r="POZ5" s="344"/>
      <c r="PPA5" s="344"/>
      <c r="PPB5" s="344"/>
      <c r="PPC5" s="344"/>
      <c r="PPD5" s="344"/>
      <c r="PPE5" s="344"/>
      <c r="PPF5" s="344"/>
      <c r="PPG5" s="344"/>
      <c r="PPH5" s="344"/>
      <c r="PPI5" s="344"/>
      <c r="PPJ5" s="344"/>
      <c r="PPK5" s="344"/>
      <c r="PPL5" s="344"/>
      <c r="PPM5" s="344"/>
      <c r="PPN5" s="344"/>
      <c r="PPO5" s="344"/>
      <c r="PPP5" s="344"/>
      <c r="PPQ5" s="344"/>
      <c r="PPR5" s="344"/>
      <c r="PPS5" s="344"/>
      <c r="PPT5" s="344"/>
      <c r="PPU5" s="344"/>
      <c r="PPV5" s="344"/>
      <c r="PPW5" s="344"/>
      <c r="PPX5" s="344"/>
      <c r="PPY5" s="344"/>
      <c r="PPZ5" s="344"/>
      <c r="PQA5" s="344"/>
      <c r="PQB5" s="344"/>
      <c r="PQC5" s="344"/>
      <c r="PQD5" s="344"/>
      <c r="PQE5" s="344"/>
      <c r="PQF5" s="344"/>
      <c r="PQG5" s="344"/>
      <c r="PQH5" s="344"/>
      <c r="PQI5" s="344"/>
      <c r="PQJ5" s="344"/>
      <c r="PQK5" s="344"/>
      <c r="PQL5" s="344"/>
      <c r="PQM5" s="344"/>
      <c r="PQN5" s="344"/>
      <c r="PQO5" s="344"/>
      <c r="PQP5" s="344"/>
      <c r="PQQ5" s="344"/>
      <c r="PQR5" s="344"/>
      <c r="PQS5" s="344"/>
      <c r="PQT5" s="344"/>
      <c r="PQU5" s="344"/>
      <c r="PQV5" s="344"/>
      <c r="PQW5" s="344"/>
      <c r="PQX5" s="344"/>
      <c r="PQY5" s="344"/>
      <c r="PQZ5" s="344"/>
      <c r="PRA5" s="344"/>
      <c r="PRB5" s="344"/>
      <c r="PRC5" s="344"/>
      <c r="PRD5" s="344"/>
      <c r="PRE5" s="344"/>
      <c r="PRF5" s="344"/>
      <c r="PRG5" s="344"/>
      <c r="PRH5" s="344"/>
      <c r="PRI5" s="344"/>
      <c r="PRJ5" s="344"/>
      <c r="PRK5" s="344"/>
      <c r="PRL5" s="344"/>
      <c r="PRM5" s="344"/>
      <c r="PRN5" s="344"/>
      <c r="PRO5" s="344"/>
      <c r="PRP5" s="344"/>
      <c r="PRQ5" s="344"/>
      <c r="PRR5" s="344"/>
      <c r="PRS5" s="344"/>
      <c r="PRT5" s="344"/>
      <c r="PRU5" s="344"/>
      <c r="PRV5" s="344"/>
      <c r="PRW5" s="344"/>
      <c r="PRX5" s="344"/>
      <c r="PRY5" s="344"/>
      <c r="PRZ5" s="344"/>
      <c r="PSA5" s="344"/>
      <c r="PSB5" s="344"/>
      <c r="PSC5" s="344"/>
      <c r="PSD5" s="344"/>
      <c r="PSE5" s="344"/>
      <c r="PSF5" s="344"/>
      <c r="PSG5" s="344"/>
      <c r="PSH5" s="344"/>
      <c r="PSI5" s="344"/>
      <c r="PSJ5" s="344"/>
      <c r="PSK5" s="344"/>
      <c r="PSL5" s="344"/>
      <c r="PSM5" s="344"/>
      <c r="PSN5" s="344"/>
      <c r="PSO5" s="344"/>
      <c r="PSP5" s="344"/>
      <c r="PSQ5" s="344"/>
      <c r="PSR5" s="344"/>
      <c r="PSS5" s="344"/>
      <c r="PST5" s="344"/>
      <c r="PSU5" s="344"/>
      <c r="PSV5" s="344"/>
      <c r="PSW5" s="344"/>
      <c r="PSX5" s="344"/>
      <c r="PSY5" s="344"/>
      <c r="PSZ5" s="344"/>
      <c r="PTA5" s="344"/>
      <c r="PTB5" s="344"/>
      <c r="PTC5" s="344"/>
      <c r="PTD5" s="344"/>
      <c r="PTE5" s="344"/>
      <c r="PTF5" s="344"/>
      <c r="PTG5" s="344"/>
      <c r="PTH5" s="344"/>
      <c r="PTI5" s="344"/>
      <c r="PTJ5" s="344"/>
      <c r="PTK5" s="344"/>
      <c r="PTL5" s="344"/>
      <c r="PTM5" s="344"/>
      <c r="PTN5" s="344"/>
      <c r="PTO5" s="344"/>
      <c r="PTP5" s="344"/>
      <c r="PTQ5" s="344"/>
      <c r="PTR5" s="344"/>
      <c r="PTS5" s="344"/>
      <c r="PTT5" s="344"/>
      <c r="PTU5" s="344"/>
      <c r="PTV5" s="344"/>
      <c r="PTW5" s="344"/>
      <c r="PTX5" s="344"/>
      <c r="PTY5" s="344"/>
      <c r="PTZ5" s="344"/>
      <c r="PUA5" s="344"/>
      <c r="PUB5" s="344"/>
      <c r="PUC5" s="344"/>
      <c r="PUD5" s="344"/>
      <c r="PUE5" s="344"/>
      <c r="PUF5" s="344"/>
      <c r="PUG5" s="344"/>
      <c r="PUH5" s="344"/>
      <c r="PUI5" s="344"/>
      <c r="PUJ5" s="344"/>
      <c r="PUK5" s="344"/>
      <c r="PUL5" s="344"/>
      <c r="PUM5" s="344"/>
      <c r="PUN5" s="344"/>
      <c r="PUO5" s="344"/>
      <c r="PUP5" s="344"/>
      <c r="PUQ5" s="344"/>
      <c r="PUR5" s="344"/>
      <c r="PUS5" s="344"/>
      <c r="PUT5" s="344"/>
      <c r="PUU5" s="344"/>
      <c r="PUV5" s="344"/>
      <c r="PUW5" s="344"/>
      <c r="PUX5" s="344"/>
      <c r="PUY5" s="344"/>
      <c r="PUZ5" s="344"/>
      <c r="PVA5" s="344"/>
      <c r="PVB5" s="344"/>
      <c r="PVC5" s="344"/>
      <c r="PVD5" s="344"/>
      <c r="PVE5" s="344"/>
      <c r="PVF5" s="344"/>
      <c r="PVG5" s="344"/>
      <c r="PVH5" s="344"/>
      <c r="PVI5" s="344"/>
      <c r="PVJ5" s="344"/>
      <c r="PVK5" s="344"/>
      <c r="PVL5" s="344"/>
      <c r="PVM5" s="344"/>
      <c r="PVN5" s="344"/>
      <c r="PVO5" s="344"/>
      <c r="PVP5" s="344"/>
      <c r="PVQ5" s="344"/>
      <c r="PVR5" s="344"/>
      <c r="PVS5" s="344"/>
      <c r="PVT5" s="344"/>
      <c r="PVU5" s="344"/>
      <c r="PVV5" s="344"/>
      <c r="PVW5" s="344"/>
      <c r="PVX5" s="344"/>
      <c r="PVY5" s="344"/>
      <c r="PVZ5" s="344"/>
      <c r="PWA5" s="344"/>
      <c r="PWB5" s="344"/>
      <c r="PWC5" s="344"/>
      <c r="PWD5" s="344"/>
      <c r="PWE5" s="344"/>
      <c r="PWF5" s="344"/>
      <c r="PWG5" s="344"/>
      <c r="PWH5" s="344"/>
      <c r="PWI5" s="344"/>
      <c r="PWJ5" s="344"/>
      <c r="PWK5" s="344"/>
      <c r="PWL5" s="344"/>
      <c r="PWM5" s="344"/>
      <c r="PWN5" s="344"/>
      <c r="PWO5" s="344"/>
      <c r="PWP5" s="344"/>
      <c r="PWQ5" s="344"/>
      <c r="PWR5" s="344"/>
      <c r="PWS5" s="344"/>
      <c r="PWT5" s="344"/>
      <c r="PWU5" s="344"/>
      <c r="PWV5" s="344"/>
      <c r="PWW5" s="344"/>
      <c r="PWX5" s="344"/>
      <c r="PWY5" s="344"/>
      <c r="PWZ5" s="344"/>
      <c r="PXA5" s="344"/>
      <c r="PXB5" s="344"/>
      <c r="PXC5" s="344"/>
      <c r="PXD5" s="344"/>
      <c r="PXE5" s="344"/>
      <c r="PXF5" s="344"/>
      <c r="PXG5" s="344"/>
      <c r="PXH5" s="344"/>
      <c r="PXI5" s="344"/>
      <c r="PXJ5" s="344"/>
      <c r="PXK5" s="344"/>
      <c r="PXL5" s="344"/>
      <c r="PXM5" s="344"/>
      <c r="PXN5" s="344"/>
      <c r="PXO5" s="344"/>
      <c r="PXP5" s="344"/>
      <c r="PXQ5" s="344"/>
      <c r="PXR5" s="344"/>
      <c r="PXS5" s="344"/>
      <c r="PXT5" s="344"/>
      <c r="PXU5" s="344"/>
      <c r="PXV5" s="344"/>
      <c r="PXW5" s="344"/>
      <c r="PXX5" s="344"/>
      <c r="PXY5" s="344"/>
      <c r="PXZ5" s="344"/>
      <c r="PYA5" s="344"/>
      <c r="PYB5" s="344"/>
      <c r="PYC5" s="344"/>
      <c r="PYD5" s="344"/>
      <c r="PYE5" s="344"/>
      <c r="PYF5" s="344"/>
      <c r="PYG5" s="344"/>
      <c r="PYH5" s="344"/>
      <c r="PYI5" s="344"/>
      <c r="PYJ5" s="344"/>
      <c r="PYK5" s="344"/>
      <c r="PYL5" s="344"/>
      <c r="PYM5" s="344"/>
      <c r="PYN5" s="344"/>
      <c r="PYO5" s="344"/>
      <c r="PYP5" s="344"/>
      <c r="PYQ5" s="344"/>
      <c r="PYR5" s="344"/>
      <c r="PYS5" s="344"/>
      <c r="PYT5" s="344"/>
      <c r="PYU5" s="344"/>
      <c r="PYV5" s="344"/>
      <c r="PYW5" s="344"/>
      <c r="PYX5" s="344"/>
      <c r="PYY5" s="344"/>
      <c r="PYZ5" s="344"/>
      <c r="PZA5" s="344"/>
      <c r="PZB5" s="344"/>
      <c r="PZC5" s="344"/>
      <c r="PZD5" s="344"/>
      <c r="PZE5" s="344"/>
      <c r="PZF5" s="344"/>
      <c r="PZG5" s="344"/>
      <c r="PZH5" s="344"/>
      <c r="PZI5" s="344"/>
      <c r="PZJ5" s="344"/>
      <c r="PZK5" s="344"/>
      <c r="PZL5" s="344"/>
      <c r="PZM5" s="344"/>
      <c r="PZN5" s="344"/>
      <c r="PZO5" s="344"/>
      <c r="PZP5" s="344"/>
      <c r="PZQ5" s="344"/>
      <c r="PZR5" s="344"/>
      <c r="PZS5" s="344"/>
      <c r="PZT5" s="344"/>
      <c r="PZU5" s="344"/>
      <c r="PZV5" s="344"/>
      <c r="PZW5" s="344"/>
      <c r="PZX5" s="344"/>
      <c r="PZY5" s="344"/>
      <c r="PZZ5" s="344"/>
      <c r="QAA5" s="344"/>
      <c r="QAB5" s="344"/>
      <c r="QAC5" s="344"/>
      <c r="QAD5" s="344"/>
      <c r="QAE5" s="344"/>
      <c r="QAF5" s="344"/>
      <c r="QAG5" s="344"/>
      <c r="QAH5" s="344"/>
      <c r="QAI5" s="344"/>
      <c r="QAJ5" s="344"/>
      <c r="QAK5" s="344"/>
      <c r="QAL5" s="344"/>
      <c r="QAM5" s="344"/>
      <c r="QAN5" s="344"/>
      <c r="QAO5" s="344"/>
      <c r="QAP5" s="344"/>
      <c r="QAQ5" s="344"/>
      <c r="QAR5" s="344"/>
      <c r="QAS5" s="344"/>
      <c r="QAT5" s="344"/>
      <c r="QAU5" s="344"/>
      <c r="QAV5" s="344"/>
      <c r="QAW5" s="344"/>
      <c r="QAX5" s="344"/>
      <c r="QAY5" s="344"/>
      <c r="QAZ5" s="344"/>
      <c r="QBA5" s="344"/>
      <c r="QBB5" s="344"/>
      <c r="QBC5" s="344"/>
      <c r="QBD5" s="344"/>
      <c r="QBE5" s="344"/>
      <c r="QBF5" s="344"/>
      <c r="QBG5" s="344"/>
      <c r="QBH5" s="344"/>
      <c r="QBI5" s="344"/>
      <c r="QBJ5" s="344"/>
      <c r="QBK5" s="344"/>
      <c r="QBL5" s="344"/>
      <c r="QBM5" s="344"/>
      <c r="QBN5" s="344"/>
      <c r="QBO5" s="344"/>
      <c r="QBP5" s="344"/>
      <c r="QBQ5" s="344"/>
      <c r="QBR5" s="344"/>
      <c r="QBS5" s="344"/>
      <c r="QBT5" s="344"/>
      <c r="QBU5" s="344"/>
      <c r="QBV5" s="344"/>
      <c r="QBW5" s="344"/>
      <c r="QBX5" s="344"/>
      <c r="QBY5" s="344"/>
      <c r="QBZ5" s="344"/>
      <c r="QCA5" s="344"/>
      <c r="QCB5" s="344"/>
      <c r="QCC5" s="344"/>
      <c r="QCD5" s="344"/>
      <c r="QCE5" s="344"/>
      <c r="QCF5" s="344"/>
      <c r="QCG5" s="344"/>
      <c r="QCH5" s="344"/>
      <c r="QCI5" s="344"/>
      <c r="QCJ5" s="344"/>
      <c r="QCK5" s="344"/>
      <c r="QCL5" s="344"/>
      <c r="QCM5" s="344"/>
      <c r="QCN5" s="344"/>
      <c r="QCO5" s="344"/>
      <c r="QCP5" s="344"/>
      <c r="QCQ5" s="344"/>
      <c r="QCR5" s="344"/>
      <c r="QCS5" s="344"/>
      <c r="QCT5" s="344"/>
      <c r="QCU5" s="344"/>
      <c r="QCV5" s="344"/>
      <c r="QCW5" s="344"/>
      <c r="QCX5" s="344"/>
      <c r="QCY5" s="344"/>
      <c r="QCZ5" s="344"/>
      <c r="QDA5" s="344"/>
      <c r="QDB5" s="344"/>
      <c r="QDC5" s="344"/>
      <c r="QDD5" s="344"/>
      <c r="QDE5" s="344"/>
      <c r="QDF5" s="344"/>
      <c r="QDG5" s="344"/>
      <c r="QDH5" s="344"/>
      <c r="QDI5" s="344"/>
      <c r="QDJ5" s="344"/>
      <c r="QDK5" s="344"/>
      <c r="QDL5" s="344"/>
      <c r="QDM5" s="344"/>
      <c r="QDN5" s="344"/>
      <c r="QDO5" s="344"/>
      <c r="QDP5" s="344"/>
      <c r="QDQ5" s="344"/>
      <c r="QDR5" s="344"/>
      <c r="QDS5" s="344"/>
      <c r="QDT5" s="344"/>
      <c r="QDU5" s="344"/>
      <c r="QDV5" s="344"/>
      <c r="QDW5" s="344"/>
      <c r="QDX5" s="344"/>
      <c r="QDY5" s="344"/>
      <c r="QDZ5" s="344"/>
      <c r="QEA5" s="344"/>
      <c r="QEB5" s="344"/>
      <c r="QEC5" s="344"/>
      <c r="QED5" s="344"/>
      <c r="QEE5" s="344"/>
      <c r="QEF5" s="344"/>
      <c r="QEG5" s="344"/>
      <c r="QEH5" s="344"/>
      <c r="QEI5" s="344"/>
      <c r="QEJ5" s="344"/>
      <c r="QEK5" s="344"/>
      <c r="QEL5" s="344"/>
      <c r="QEM5" s="344"/>
      <c r="QEN5" s="344"/>
      <c r="QEO5" s="344"/>
      <c r="QEP5" s="344"/>
      <c r="QEQ5" s="344"/>
      <c r="QER5" s="344"/>
      <c r="QES5" s="344"/>
      <c r="QET5" s="344"/>
      <c r="QEU5" s="344"/>
      <c r="QEV5" s="344"/>
      <c r="QEW5" s="344"/>
      <c r="QEX5" s="344"/>
      <c r="QEY5" s="344"/>
      <c r="QEZ5" s="344"/>
      <c r="QFA5" s="344"/>
      <c r="QFB5" s="344"/>
      <c r="QFC5" s="344"/>
      <c r="QFD5" s="344"/>
      <c r="QFE5" s="344"/>
      <c r="QFF5" s="344"/>
      <c r="QFG5" s="344"/>
      <c r="QFH5" s="344"/>
      <c r="QFI5" s="344"/>
      <c r="QFJ5" s="344"/>
      <c r="QFK5" s="344"/>
      <c r="QFL5" s="344"/>
      <c r="QFM5" s="344"/>
      <c r="QFN5" s="344"/>
      <c r="QFO5" s="344"/>
      <c r="QFP5" s="344"/>
      <c r="QFQ5" s="344"/>
      <c r="QFR5" s="344"/>
      <c r="QFS5" s="344"/>
      <c r="QFT5" s="344"/>
      <c r="QFU5" s="344"/>
      <c r="QFV5" s="344"/>
      <c r="QFW5" s="344"/>
      <c r="QFX5" s="344"/>
      <c r="QFY5" s="344"/>
      <c r="QFZ5" s="344"/>
      <c r="QGA5" s="344"/>
      <c r="QGB5" s="344"/>
      <c r="QGC5" s="344"/>
      <c r="QGD5" s="344"/>
      <c r="QGE5" s="344"/>
      <c r="QGF5" s="344"/>
      <c r="QGG5" s="344"/>
      <c r="QGH5" s="344"/>
      <c r="QGI5" s="344"/>
      <c r="QGJ5" s="344"/>
      <c r="QGK5" s="344"/>
      <c r="QGL5" s="344"/>
      <c r="QGM5" s="344"/>
      <c r="QGN5" s="344"/>
      <c r="QGO5" s="344"/>
      <c r="QGP5" s="344"/>
      <c r="QGQ5" s="344"/>
      <c r="QGR5" s="344"/>
      <c r="QGS5" s="344"/>
      <c r="QGT5" s="344"/>
      <c r="QGU5" s="344"/>
      <c r="QGV5" s="344"/>
      <c r="QGW5" s="344"/>
      <c r="QGX5" s="344"/>
      <c r="QGY5" s="344"/>
      <c r="QGZ5" s="344"/>
      <c r="QHA5" s="344"/>
      <c r="QHB5" s="344"/>
      <c r="QHC5" s="344"/>
      <c r="QHD5" s="344"/>
      <c r="QHE5" s="344"/>
      <c r="QHF5" s="344"/>
      <c r="QHG5" s="344"/>
      <c r="QHH5" s="344"/>
      <c r="QHI5" s="344"/>
      <c r="QHJ5" s="344"/>
      <c r="QHK5" s="344"/>
      <c r="QHL5" s="344"/>
      <c r="QHM5" s="344"/>
      <c r="QHN5" s="344"/>
      <c r="QHO5" s="344"/>
      <c r="QHP5" s="344"/>
      <c r="QHQ5" s="344"/>
      <c r="QHR5" s="344"/>
      <c r="QHS5" s="344"/>
      <c r="QHT5" s="344"/>
      <c r="QHU5" s="344"/>
      <c r="QHV5" s="344"/>
      <c r="QHW5" s="344"/>
      <c r="QHX5" s="344"/>
      <c r="QHY5" s="344"/>
      <c r="QHZ5" s="344"/>
      <c r="QIA5" s="344"/>
      <c r="QIB5" s="344"/>
      <c r="QIC5" s="344"/>
      <c r="QID5" s="344"/>
      <c r="QIE5" s="344"/>
      <c r="QIF5" s="344"/>
      <c r="QIG5" s="344"/>
      <c r="QIH5" s="344"/>
      <c r="QII5" s="344"/>
      <c r="QIJ5" s="344"/>
      <c r="QIK5" s="344"/>
      <c r="QIL5" s="344"/>
      <c r="QIM5" s="344"/>
      <c r="QIN5" s="344"/>
      <c r="QIO5" s="344"/>
      <c r="QIP5" s="344"/>
      <c r="QIQ5" s="344"/>
      <c r="QIR5" s="344"/>
      <c r="QIS5" s="344"/>
      <c r="QIT5" s="344"/>
      <c r="QIU5" s="344"/>
      <c r="QIV5" s="344"/>
      <c r="QIW5" s="344"/>
      <c r="QIX5" s="344"/>
      <c r="QIY5" s="344"/>
      <c r="QIZ5" s="344"/>
      <c r="QJA5" s="344"/>
      <c r="QJB5" s="344"/>
      <c r="QJC5" s="344"/>
      <c r="QJD5" s="344"/>
      <c r="QJE5" s="344"/>
      <c r="QJF5" s="344"/>
      <c r="QJG5" s="344"/>
      <c r="QJH5" s="344"/>
      <c r="QJI5" s="344"/>
      <c r="QJJ5" s="344"/>
      <c r="QJK5" s="344"/>
      <c r="QJL5" s="344"/>
      <c r="QJM5" s="344"/>
      <c r="QJN5" s="344"/>
      <c r="QJO5" s="344"/>
      <c r="QJP5" s="344"/>
      <c r="QJQ5" s="344"/>
      <c r="QJR5" s="344"/>
      <c r="QJS5" s="344"/>
      <c r="QJT5" s="344"/>
      <c r="QJU5" s="344"/>
      <c r="QJV5" s="344"/>
      <c r="QJW5" s="344"/>
      <c r="QJX5" s="344"/>
      <c r="QJY5" s="344"/>
      <c r="QJZ5" s="344"/>
      <c r="QKA5" s="344"/>
      <c r="QKB5" s="344"/>
      <c r="QKC5" s="344"/>
      <c r="QKD5" s="344"/>
      <c r="QKE5" s="344"/>
      <c r="QKF5" s="344"/>
      <c r="QKG5" s="344"/>
      <c r="QKH5" s="344"/>
      <c r="QKI5" s="344"/>
      <c r="QKJ5" s="344"/>
      <c r="QKK5" s="344"/>
      <c r="QKL5" s="344"/>
      <c r="QKM5" s="344"/>
      <c r="QKN5" s="344"/>
      <c r="QKO5" s="344"/>
      <c r="QKP5" s="344"/>
      <c r="QKQ5" s="344"/>
      <c r="QKR5" s="344"/>
      <c r="QKS5" s="344"/>
      <c r="QKT5" s="344"/>
      <c r="QKU5" s="344"/>
      <c r="QKV5" s="344"/>
      <c r="QKW5" s="344"/>
      <c r="QKX5" s="344"/>
      <c r="QKY5" s="344"/>
      <c r="QKZ5" s="344"/>
      <c r="QLA5" s="344"/>
      <c r="QLB5" s="344"/>
      <c r="QLC5" s="344"/>
      <c r="QLD5" s="344"/>
      <c r="QLE5" s="344"/>
      <c r="QLF5" s="344"/>
      <c r="QLG5" s="344"/>
      <c r="QLH5" s="344"/>
      <c r="QLI5" s="344"/>
      <c r="QLJ5" s="344"/>
      <c r="QLK5" s="344"/>
      <c r="QLL5" s="344"/>
      <c r="QLM5" s="344"/>
      <c r="QLN5" s="344"/>
      <c r="QLO5" s="344"/>
      <c r="QLP5" s="344"/>
      <c r="QLQ5" s="344"/>
      <c r="QLR5" s="344"/>
      <c r="QLS5" s="344"/>
      <c r="QLT5" s="344"/>
      <c r="QLU5" s="344"/>
      <c r="QLV5" s="344"/>
      <c r="QLW5" s="344"/>
      <c r="QLX5" s="344"/>
      <c r="QLY5" s="344"/>
      <c r="QLZ5" s="344"/>
      <c r="QMA5" s="344"/>
      <c r="QMB5" s="344"/>
      <c r="QMC5" s="344"/>
      <c r="QMD5" s="344"/>
      <c r="QME5" s="344"/>
      <c r="QMF5" s="344"/>
      <c r="QMG5" s="344"/>
      <c r="QMH5" s="344"/>
      <c r="QMI5" s="344"/>
      <c r="QMJ5" s="344"/>
      <c r="QMK5" s="344"/>
      <c r="QML5" s="344"/>
      <c r="QMM5" s="344"/>
      <c r="QMN5" s="344"/>
      <c r="QMO5" s="344"/>
      <c r="QMP5" s="344"/>
      <c r="QMQ5" s="344"/>
      <c r="QMR5" s="344"/>
      <c r="QMS5" s="344"/>
      <c r="QMT5" s="344"/>
      <c r="QMU5" s="344"/>
      <c r="QMV5" s="344"/>
      <c r="QMW5" s="344"/>
      <c r="QMX5" s="344"/>
      <c r="QMY5" s="344"/>
      <c r="QMZ5" s="344"/>
      <c r="QNA5" s="344"/>
      <c r="QNB5" s="344"/>
      <c r="QNC5" s="344"/>
      <c r="QND5" s="344"/>
      <c r="QNE5" s="344"/>
      <c r="QNF5" s="344"/>
      <c r="QNG5" s="344"/>
      <c r="QNH5" s="344"/>
      <c r="QNI5" s="344"/>
      <c r="QNJ5" s="344"/>
      <c r="QNK5" s="344"/>
      <c r="QNL5" s="344"/>
      <c r="QNM5" s="344"/>
      <c r="QNN5" s="344"/>
      <c r="QNO5" s="344"/>
      <c r="QNP5" s="344"/>
      <c r="QNQ5" s="344"/>
      <c r="QNR5" s="344"/>
      <c r="QNS5" s="344"/>
      <c r="QNT5" s="344"/>
      <c r="QNU5" s="344"/>
      <c r="QNV5" s="344"/>
      <c r="QNW5" s="344"/>
      <c r="QNX5" s="344"/>
      <c r="QNY5" s="344"/>
      <c r="QNZ5" s="344"/>
      <c r="QOA5" s="344"/>
      <c r="QOB5" s="344"/>
      <c r="QOC5" s="344"/>
      <c r="QOD5" s="344"/>
      <c r="QOE5" s="344"/>
      <c r="QOF5" s="344"/>
      <c r="QOG5" s="344"/>
      <c r="QOH5" s="344"/>
      <c r="QOI5" s="344"/>
      <c r="QOJ5" s="344"/>
      <c r="QOK5" s="344"/>
      <c r="QOL5" s="344"/>
      <c r="QOM5" s="344"/>
      <c r="QON5" s="344"/>
      <c r="QOO5" s="344"/>
      <c r="QOP5" s="344"/>
      <c r="QOQ5" s="344"/>
      <c r="QOR5" s="344"/>
      <c r="QOS5" s="344"/>
      <c r="QOT5" s="344"/>
      <c r="QOU5" s="344"/>
      <c r="QOV5" s="344"/>
      <c r="QOW5" s="344"/>
      <c r="QOX5" s="344"/>
      <c r="QOY5" s="344"/>
      <c r="QOZ5" s="344"/>
      <c r="QPA5" s="344"/>
      <c r="QPB5" s="344"/>
      <c r="QPC5" s="344"/>
      <c r="QPD5" s="344"/>
      <c r="QPE5" s="344"/>
      <c r="QPF5" s="344"/>
      <c r="QPG5" s="344"/>
      <c r="QPH5" s="344"/>
      <c r="QPI5" s="344"/>
      <c r="QPJ5" s="344"/>
      <c r="QPK5" s="344"/>
      <c r="QPL5" s="344"/>
      <c r="QPM5" s="344"/>
      <c r="QPN5" s="344"/>
      <c r="QPO5" s="344"/>
      <c r="QPP5" s="344"/>
      <c r="QPQ5" s="344"/>
      <c r="QPR5" s="344"/>
      <c r="QPS5" s="344"/>
      <c r="QPT5" s="344"/>
      <c r="QPU5" s="344"/>
      <c r="QPV5" s="344"/>
      <c r="QPW5" s="344"/>
      <c r="QPX5" s="344"/>
      <c r="QPY5" s="344"/>
      <c r="QPZ5" s="344"/>
      <c r="QQA5" s="344"/>
      <c r="QQB5" s="344"/>
      <c r="QQC5" s="344"/>
      <c r="QQD5" s="344"/>
      <c r="QQE5" s="344"/>
      <c r="QQF5" s="344"/>
      <c r="QQG5" s="344"/>
      <c r="QQH5" s="344"/>
      <c r="QQI5" s="344"/>
      <c r="QQJ5" s="344"/>
      <c r="QQK5" s="344"/>
      <c r="QQL5" s="344"/>
      <c r="QQM5" s="344"/>
      <c r="QQN5" s="344"/>
      <c r="QQO5" s="344"/>
      <c r="QQP5" s="344"/>
      <c r="QQQ5" s="344"/>
      <c r="QQR5" s="344"/>
      <c r="QQS5" s="344"/>
      <c r="QQT5" s="344"/>
      <c r="QQU5" s="344"/>
      <c r="QQV5" s="344"/>
      <c r="QQW5" s="344"/>
      <c r="QQX5" s="344"/>
      <c r="QQY5" s="344"/>
      <c r="QQZ5" s="344"/>
      <c r="QRA5" s="344"/>
      <c r="QRB5" s="344"/>
      <c r="QRC5" s="344"/>
      <c r="QRD5" s="344"/>
      <c r="QRE5" s="344"/>
      <c r="QRF5" s="344"/>
      <c r="QRG5" s="344"/>
      <c r="QRH5" s="344"/>
      <c r="QRI5" s="344"/>
      <c r="QRJ5" s="344"/>
      <c r="QRK5" s="344"/>
      <c r="QRL5" s="344"/>
      <c r="QRM5" s="344"/>
      <c r="QRN5" s="344"/>
      <c r="QRO5" s="344"/>
      <c r="QRP5" s="344"/>
      <c r="QRQ5" s="344"/>
      <c r="QRR5" s="344"/>
      <c r="QRS5" s="344"/>
      <c r="QRT5" s="344"/>
      <c r="QRU5" s="344"/>
      <c r="QRV5" s="344"/>
      <c r="QRW5" s="344"/>
      <c r="QRX5" s="344"/>
      <c r="QRY5" s="344"/>
      <c r="QRZ5" s="344"/>
      <c r="QSA5" s="344"/>
      <c r="QSB5" s="344"/>
      <c r="QSC5" s="344"/>
      <c r="QSD5" s="344"/>
      <c r="QSE5" s="344"/>
      <c r="QSF5" s="344"/>
      <c r="QSG5" s="344"/>
      <c r="QSH5" s="344"/>
      <c r="QSI5" s="344"/>
      <c r="QSJ5" s="344"/>
      <c r="QSK5" s="344"/>
      <c r="QSL5" s="344"/>
      <c r="QSM5" s="344"/>
      <c r="QSN5" s="344"/>
      <c r="QSO5" s="344"/>
      <c r="QSP5" s="344"/>
      <c r="QSQ5" s="344"/>
      <c r="QSR5" s="344"/>
      <c r="QSS5" s="344"/>
      <c r="QST5" s="344"/>
      <c r="QSU5" s="344"/>
      <c r="QSV5" s="344"/>
      <c r="QSW5" s="344"/>
      <c r="QSX5" s="344"/>
      <c r="QSY5" s="344"/>
      <c r="QSZ5" s="344"/>
      <c r="QTA5" s="344"/>
      <c r="QTB5" s="344"/>
      <c r="QTC5" s="344"/>
      <c r="QTD5" s="344"/>
      <c r="QTE5" s="344"/>
      <c r="QTF5" s="344"/>
      <c r="QTG5" s="344"/>
      <c r="QTH5" s="344"/>
      <c r="QTI5" s="344"/>
      <c r="QTJ5" s="344"/>
      <c r="QTK5" s="344"/>
      <c r="QTL5" s="344"/>
      <c r="QTM5" s="344"/>
      <c r="QTN5" s="344"/>
      <c r="QTO5" s="344"/>
      <c r="QTP5" s="344"/>
      <c r="QTQ5" s="344"/>
      <c r="QTR5" s="344"/>
      <c r="QTS5" s="344"/>
      <c r="QTT5" s="344"/>
      <c r="QTU5" s="344"/>
      <c r="QTV5" s="344"/>
      <c r="QTW5" s="344"/>
      <c r="QTX5" s="344"/>
      <c r="QTY5" s="344"/>
      <c r="QTZ5" s="344"/>
      <c r="QUA5" s="344"/>
      <c r="QUB5" s="344"/>
      <c r="QUC5" s="344"/>
      <c r="QUD5" s="344"/>
      <c r="QUE5" s="344"/>
      <c r="QUF5" s="344"/>
      <c r="QUG5" s="344"/>
      <c r="QUH5" s="344"/>
      <c r="QUI5" s="344"/>
      <c r="QUJ5" s="344"/>
      <c r="QUK5" s="344"/>
      <c r="QUL5" s="344"/>
      <c r="QUM5" s="344"/>
      <c r="QUN5" s="344"/>
      <c r="QUO5" s="344"/>
      <c r="QUP5" s="344"/>
      <c r="QUQ5" s="344"/>
      <c r="QUR5" s="344"/>
      <c r="QUS5" s="344"/>
      <c r="QUT5" s="344"/>
      <c r="QUU5" s="344"/>
      <c r="QUV5" s="344"/>
      <c r="QUW5" s="344"/>
      <c r="QUX5" s="344"/>
      <c r="QUY5" s="344"/>
      <c r="QUZ5" s="344"/>
      <c r="QVA5" s="344"/>
      <c r="QVB5" s="344"/>
      <c r="QVC5" s="344"/>
      <c r="QVD5" s="344"/>
      <c r="QVE5" s="344"/>
      <c r="QVF5" s="344"/>
      <c r="QVG5" s="344"/>
      <c r="QVH5" s="344"/>
      <c r="QVI5" s="344"/>
      <c r="QVJ5" s="344"/>
      <c r="QVK5" s="344"/>
      <c r="QVL5" s="344"/>
      <c r="QVM5" s="344"/>
      <c r="QVN5" s="344"/>
      <c r="QVO5" s="344"/>
      <c r="QVP5" s="344"/>
      <c r="QVQ5" s="344"/>
      <c r="QVR5" s="344"/>
      <c r="QVS5" s="344"/>
      <c r="QVT5" s="344"/>
      <c r="QVU5" s="344"/>
      <c r="QVV5" s="344"/>
      <c r="QVW5" s="344"/>
      <c r="QVX5" s="344"/>
      <c r="QVY5" s="344"/>
      <c r="QVZ5" s="344"/>
      <c r="QWA5" s="344"/>
      <c r="QWB5" s="344"/>
      <c r="QWC5" s="344"/>
      <c r="QWD5" s="344"/>
      <c r="QWE5" s="344"/>
      <c r="QWF5" s="344"/>
      <c r="QWG5" s="344"/>
      <c r="QWH5" s="344"/>
      <c r="QWI5" s="344"/>
      <c r="QWJ5" s="344"/>
      <c r="QWK5" s="344"/>
      <c r="QWL5" s="344"/>
      <c r="QWM5" s="344"/>
      <c r="QWN5" s="344"/>
      <c r="QWO5" s="344"/>
      <c r="QWP5" s="344"/>
      <c r="QWQ5" s="344"/>
      <c r="QWR5" s="344"/>
      <c r="QWS5" s="344"/>
      <c r="QWT5" s="344"/>
      <c r="QWU5" s="344"/>
      <c r="QWV5" s="344"/>
      <c r="QWW5" s="344"/>
      <c r="QWX5" s="344"/>
      <c r="QWY5" s="344"/>
      <c r="QWZ5" s="344"/>
      <c r="QXA5" s="344"/>
      <c r="QXB5" s="344"/>
      <c r="QXC5" s="344"/>
      <c r="QXD5" s="344"/>
      <c r="QXE5" s="344"/>
      <c r="QXF5" s="344"/>
      <c r="QXG5" s="344"/>
      <c r="QXH5" s="344"/>
      <c r="QXI5" s="344"/>
      <c r="QXJ5" s="344"/>
      <c r="QXK5" s="344"/>
      <c r="QXL5" s="344"/>
      <c r="QXM5" s="344"/>
      <c r="QXN5" s="344"/>
      <c r="QXO5" s="344"/>
      <c r="QXP5" s="344"/>
      <c r="QXQ5" s="344"/>
      <c r="QXR5" s="344"/>
      <c r="QXS5" s="344"/>
      <c r="QXT5" s="344"/>
      <c r="QXU5" s="344"/>
      <c r="QXV5" s="344"/>
      <c r="QXW5" s="344"/>
      <c r="QXX5" s="344"/>
      <c r="QXY5" s="344"/>
      <c r="QXZ5" s="344"/>
      <c r="QYA5" s="344"/>
      <c r="QYB5" s="344"/>
      <c r="QYC5" s="344"/>
      <c r="QYD5" s="344"/>
      <c r="QYE5" s="344"/>
      <c r="QYF5" s="344"/>
      <c r="QYG5" s="344"/>
      <c r="QYH5" s="344"/>
      <c r="QYI5" s="344"/>
      <c r="QYJ5" s="344"/>
      <c r="QYK5" s="344"/>
      <c r="QYL5" s="344"/>
      <c r="QYM5" s="344"/>
      <c r="QYN5" s="344"/>
      <c r="QYO5" s="344"/>
      <c r="QYP5" s="344"/>
      <c r="QYQ5" s="344"/>
      <c r="QYR5" s="344"/>
      <c r="QYS5" s="344"/>
      <c r="QYT5" s="344"/>
      <c r="QYU5" s="344"/>
      <c r="QYV5" s="344"/>
      <c r="QYW5" s="344"/>
      <c r="QYX5" s="344"/>
      <c r="QYY5" s="344"/>
      <c r="QYZ5" s="344"/>
      <c r="QZA5" s="344"/>
      <c r="QZB5" s="344"/>
      <c r="QZC5" s="344"/>
      <c r="QZD5" s="344"/>
      <c r="QZE5" s="344"/>
      <c r="QZF5" s="344"/>
      <c r="QZG5" s="344"/>
      <c r="QZH5" s="344"/>
      <c r="QZI5" s="344"/>
      <c r="QZJ5" s="344"/>
      <c r="QZK5" s="344"/>
      <c r="QZL5" s="344"/>
      <c r="QZM5" s="344"/>
      <c r="QZN5" s="344"/>
      <c r="QZO5" s="344"/>
      <c r="QZP5" s="344"/>
      <c r="QZQ5" s="344"/>
      <c r="QZR5" s="344"/>
      <c r="QZS5" s="344"/>
      <c r="QZT5" s="344"/>
      <c r="QZU5" s="344"/>
      <c r="QZV5" s="344"/>
      <c r="QZW5" s="344"/>
      <c r="QZX5" s="344"/>
      <c r="QZY5" s="344"/>
      <c r="QZZ5" s="344"/>
      <c r="RAA5" s="344"/>
      <c r="RAB5" s="344"/>
      <c r="RAC5" s="344"/>
      <c r="RAD5" s="344"/>
      <c r="RAE5" s="344"/>
      <c r="RAF5" s="344"/>
      <c r="RAG5" s="344"/>
      <c r="RAH5" s="344"/>
      <c r="RAI5" s="344"/>
      <c r="RAJ5" s="344"/>
      <c r="RAK5" s="344"/>
      <c r="RAL5" s="344"/>
      <c r="RAM5" s="344"/>
      <c r="RAN5" s="344"/>
      <c r="RAO5" s="344"/>
      <c r="RAP5" s="344"/>
      <c r="RAQ5" s="344"/>
      <c r="RAR5" s="344"/>
      <c r="RAS5" s="344"/>
      <c r="RAT5" s="344"/>
      <c r="RAU5" s="344"/>
      <c r="RAV5" s="344"/>
      <c r="RAW5" s="344"/>
      <c r="RAX5" s="344"/>
      <c r="RAY5" s="344"/>
      <c r="RAZ5" s="344"/>
      <c r="RBA5" s="344"/>
      <c r="RBB5" s="344"/>
      <c r="RBC5" s="344"/>
      <c r="RBD5" s="344"/>
      <c r="RBE5" s="344"/>
      <c r="RBF5" s="344"/>
      <c r="RBG5" s="344"/>
      <c r="RBH5" s="344"/>
      <c r="RBI5" s="344"/>
      <c r="RBJ5" s="344"/>
      <c r="RBK5" s="344"/>
      <c r="RBL5" s="344"/>
      <c r="RBM5" s="344"/>
      <c r="RBN5" s="344"/>
      <c r="RBO5" s="344"/>
      <c r="RBP5" s="344"/>
      <c r="RBQ5" s="344"/>
      <c r="RBR5" s="344"/>
      <c r="RBS5" s="344"/>
      <c r="RBT5" s="344"/>
      <c r="RBU5" s="344"/>
      <c r="RBV5" s="344"/>
      <c r="RBW5" s="344"/>
      <c r="RBX5" s="344"/>
      <c r="RBY5" s="344"/>
      <c r="RBZ5" s="344"/>
      <c r="RCA5" s="344"/>
      <c r="RCB5" s="344"/>
      <c r="RCC5" s="344"/>
      <c r="RCD5" s="344"/>
      <c r="RCE5" s="344"/>
      <c r="RCF5" s="344"/>
      <c r="RCG5" s="344"/>
      <c r="RCH5" s="344"/>
      <c r="RCI5" s="344"/>
      <c r="RCJ5" s="344"/>
      <c r="RCK5" s="344"/>
      <c r="RCL5" s="344"/>
      <c r="RCM5" s="344"/>
      <c r="RCN5" s="344"/>
      <c r="RCO5" s="344"/>
      <c r="RCP5" s="344"/>
      <c r="RCQ5" s="344"/>
      <c r="RCR5" s="344"/>
      <c r="RCS5" s="344"/>
      <c r="RCT5" s="344"/>
      <c r="RCU5" s="344"/>
      <c r="RCV5" s="344"/>
      <c r="RCW5" s="344"/>
      <c r="RCX5" s="344"/>
      <c r="RCY5" s="344"/>
      <c r="RCZ5" s="344"/>
      <c r="RDA5" s="344"/>
      <c r="RDB5" s="344"/>
      <c r="RDC5" s="344"/>
      <c r="RDD5" s="344"/>
      <c r="RDE5" s="344"/>
      <c r="RDF5" s="344"/>
      <c r="RDG5" s="344"/>
      <c r="RDH5" s="344"/>
      <c r="RDI5" s="344"/>
      <c r="RDJ5" s="344"/>
      <c r="RDK5" s="344"/>
      <c r="RDL5" s="344"/>
      <c r="RDM5" s="344"/>
      <c r="RDN5" s="344"/>
      <c r="RDO5" s="344"/>
      <c r="RDP5" s="344"/>
      <c r="RDQ5" s="344"/>
      <c r="RDR5" s="344"/>
      <c r="RDS5" s="344"/>
      <c r="RDT5" s="344"/>
      <c r="RDU5" s="344"/>
      <c r="RDV5" s="344"/>
      <c r="RDW5" s="344"/>
      <c r="RDX5" s="344"/>
      <c r="RDY5" s="344"/>
      <c r="RDZ5" s="344"/>
      <c r="REA5" s="344"/>
      <c r="REB5" s="344"/>
      <c r="REC5" s="344"/>
      <c r="RED5" s="344"/>
      <c r="REE5" s="344"/>
      <c r="REF5" s="344"/>
      <c r="REG5" s="344"/>
      <c r="REH5" s="344"/>
      <c r="REI5" s="344"/>
      <c r="REJ5" s="344"/>
      <c r="REK5" s="344"/>
      <c r="REL5" s="344"/>
      <c r="REM5" s="344"/>
      <c r="REN5" s="344"/>
      <c r="REO5" s="344"/>
      <c r="REP5" s="344"/>
      <c r="REQ5" s="344"/>
      <c r="RER5" s="344"/>
      <c r="RES5" s="344"/>
      <c r="RET5" s="344"/>
      <c r="REU5" s="344"/>
      <c r="REV5" s="344"/>
      <c r="REW5" s="344"/>
      <c r="REX5" s="344"/>
      <c r="REY5" s="344"/>
      <c r="REZ5" s="344"/>
      <c r="RFA5" s="344"/>
      <c r="RFB5" s="344"/>
      <c r="RFC5" s="344"/>
      <c r="RFD5" s="344"/>
      <c r="RFE5" s="344"/>
      <c r="RFF5" s="344"/>
      <c r="RFG5" s="344"/>
      <c r="RFH5" s="344"/>
      <c r="RFI5" s="344"/>
      <c r="RFJ5" s="344"/>
      <c r="RFK5" s="344"/>
      <c r="RFL5" s="344"/>
      <c r="RFM5" s="344"/>
      <c r="RFN5" s="344"/>
      <c r="RFO5" s="344"/>
      <c r="RFP5" s="344"/>
      <c r="RFQ5" s="344"/>
      <c r="RFR5" s="344"/>
      <c r="RFS5" s="344"/>
      <c r="RFT5" s="344"/>
      <c r="RFU5" s="344"/>
      <c r="RFV5" s="344"/>
      <c r="RFW5" s="344"/>
      <c r="RFX5" s="344"/>
      <c r="RFY5" s="344"/>
      <c r="RFZ5" s="344"/>
      <c r="RGA5" s="344"/>
      <c r="RGB5" s="344"/>
      <c r="RGC5" s="344"/>
      <c r="RGD5" s="344"/>
      <c r="RGE5" s="344"/>
      <c r="RGF5" s="344"/>
      <c r="RGG5" s="344"/>
      <c r="RGH5" s="344"/>
      <c r="RGI5" s="344"/>
      <c r="RGJ5" s="344"/>
      <c r="RGK5" s="344"/>
      <c r="RGL5" s="344"/>
      <c r="RGM5" s="344"/>
      <c r="RGN5" s="344"/>
      <c r="RGO5" s="344"/>
      <c r="RGP5" s="344"/>
      <c r="RGQ5" s="344"/>
      <c r="RGR5" s="344"/>
      <c r="RGS5" s="344"/>
      <c r="RGT5" s="344"/>
      <c r="RGU5" s="344"/>
      <c r="RGV5" s="344"/>
      <c r="RGW5" s="344"/>
      <c r="RGX5" s="344"/>
      <c r="RGY5" s="344"/>
      <c r="RGZ5" s="344"/>
      <c r="RHA5" s="344"/>
      <c r="RHB5" s="344"/>
      <c r="RHC5" s="344"/>
      <c r="RHD5" s="344"/>
      <c r="RHE5" s="344"/>
      <c r="RHF5" s="344"/>
      <c r="RHG5" s="344"/>
      <c r="RHH5" s="344"/>
      <c r="RHI5" s="344"/>
      <c r="RHJ5" s="344"/>
      <c r="RHK5" s="344"/>
      <c r="RHL5" s="344"/>
      <c r="RHM5" s="344"/>
      <c r="RHN5" s="344"/>
      <c r="RHO5" s="344"/>
      <c r="RHP5" s="344"/>
      <c r="RHQ5" s="344"/>
      <c r="RHR5" s="344"/>
      <c r="RHS5" s="344"/>
      <c r="RHT5" s="344"/>
      <c r="RHU5" s="344"/>
      <c r="RHV5" s="344"/>
      <c r="RHW5" s="344"/>
      <c r="RHX5" s="344"/>
      <c r="RHY5" s="344"/>
      <c r="RHZ5" s="344"/>
      <c r="RIA5" s="344"/>
      <c r="RIB5" s="344"/>
      <c r="RIC5" s="344"/>
      <c r="RID5" s="344"/>
      <c r="RIE5" s="344"/>
      <c r="RIF5" s="344"/>
      <c r="RIG5" s="344"/>
      <c r="RIH5" s="344"/>
      <c r="RII5" s="344"/>
      <c r="RIJ5" s="344"/>
      <c r="RIK5" s="344"/>
      <c r="RIL5" s="344"/>
      <c r="RIM5" s="344"/>
      <c r="RIN5" s="344"/>
      <c r="RIO5" s="344"/>
      <c r="RIP5" s="344"/>
      <c r="RIQ5" s="344"/>
      <c r="RIR5" s="344"/>
      <c r="RIS5" s="344"/>
      <c r="RIT5" s="344"/>
      <c r="RIU5" s="344"/>
      <c r="RIV5" s="344"/>
      <c r="RIW5" s="344"/>
      <c r="RIX5" s="344"/>
      <c r="RIY5" s="344"/>
      <c r="RIZ5" s="344"/>
      <c r="RJA5" s="344"/>
      <c r="RJB5" s="344"/>
      <c r="RJC5" s="344"/>
      <c r="RJD5" s="344"/>
      <c r="RJE5" s="344"/>
      <c r="RJF5" s="344"/>
      <c r="RJG5" s="344"/>
      <c r="RJH5" s="344"/>
      <c r="RJI5" s="344"/>
      <c r="RJJ5" s="344"/>
      <c r="RJK5" s="344"/>
      <c r="RJL5" s="344"/>
      <c r="RJM5" s="344"/>
      <c r="RJN5" s="344"/>
      <c r="RJO5" s="344"/>
      <c r="RJP5" s="344"/>
      <c r="RJQ5" s="344"/>
      <c r="RJR5" s="344"/>
      <c r="RJS5" s="344"/>
      <c r="RJT5" s="344"/>
      <c r="RJU5" s="344"/>
      <c r="RJV5" s="344"/>
      <c r="RJW5" s="344"/>
      <c r="RJX5" s="344"/>
      <c r="RJY5" s="344"/>
      <c r="RJZ5" s="344"/>
      <c r="RKA5" s="344"/>
      <c r="RKB5" s="344"/>
      <c r="RKC5" s="344"/>
      <c r="RKD5" s="344"/>
      <c r="RKE5" s="344"/>
      <c r="RKF5" s="344"/>
      <c r="RKG5" s="344"/>
      <c r="RKH5" s="344"/>
      <c r="RKI5" s="344"/>
      <c r="RKJ5" s="344"/>
      <c r="RKK5" s="344"/>
      <c r="RKL5" s="344"/>
      <c r="RKM5" s="344"/>
      <c r="RKN5" s="344"/>
      <c r="RKO5" s="344"/>
      <c r="RKP5" s="344"/>
      <c r="RKQ5" s="344"/>
      <c r="RKR5" s="344"/>
      <c r="RKS5" s="344"/>
      <c r="RKT5" s="344"/>
      <c r="RKU5" s="344"/>
      <c r="RKV5" s="344"/>
      <c r="RKW5" s="344"/>
      <c r="RKX5" s="344"/>
      <c r="RKY5" s="344"/>
      <c r="RKZ5" s="344"/>
      <c r="RLA5" s="344"/>
      <c r="RLB5" s="344"/>
      <c r="RLC5" s="344"/>
      <c r="RLD5" s="344"/>
      <c r="RLE5" s="344"/>
      <c r="RLF5" s="344"/>
      <c r="RLG5" s="344"/>
      <c r="RLH5" s="344"/>
      <c r="RLI5" s="344"/>
      <c r="RLJ5" s="344"/>
      <c r="RLK5" s="344"/>
      <c r="RLL5" s="344"/>
      <c r="RLM5" s="344"/>
      <c r="RLN5" s="344"/>
      <c r="RLO5" s="344"/>
      <c r="RLP5" s="344"/>
      <c r="RLQ5" s="344"/>
      <c r="RLR5" s="344"/>
      <c r="RLS5" s="344"/>
      <c r="RLT5" s="344"/>
      <c r="RLU5" s="344"/>
      <c r="RLV5" s="344"/>
      <c r="RLW5" s="344"/>
      <c r="RLX5" s="344"/>
      <c r="RLY5" s="344"/>
      <c r="RLZ5" s="344"/>
      <c r="RMA5" s="344"/>
      <c r="RMB5" s="344"/>
      <c r="RMC5" s="344"/>
      <c r="RMD5" s="344"/>
      <c r="RME5" s="344"/>
      <c r="RMF5" s="344"/>
      <c r="RMG5" s="344"/>
      <c r="RMH5" s="344"/>
      <c r="RMI5" s="344"/>
      <c r="RMJ5" s="344"/>
      <c r="RMK5" s="344"/>
      <c r="RML5" s="344"/>
      <c r="RMM5" s="344"/>
      <c r="RMN5" s="344"/>
      <c r="RMO5" s="344"/>
      <c r="RMP5" s="344"/>
      <c r="RMQ5" s="344"/>
      <c r="RMR5" s="344"/>
      <c r="RMS5" s="344"/>
      <c r="RMT5" s="344"/>
      <c r="RMU5" s="344"/>
      <c r="RMV5" s="344"/>
      <c r="RMW5" s="344"/>
      <c r="RMX5" s="344"/>
      <c r="RMY5" s="344"/>
      <c r="RMZ5" s="344"/>
      <c r="RNA5" s="344"/>
      <c r="RNB5" s="344"/>
      <c r="RNC5" s="344"/>
      <c r="RND5" s="344"/>
      <c r="RNE5" s="344"/>
      <c r="RNF5" s="344"/>
      <c r="RNG5" s="344"/>
      <c r="RNH5" s="344"/>
      <c r="RNI5" s="344"/>
      <c r="RNJ5" s="344"/>
      <c r="RNK5" s="344"/>
      <c r="RNL5" s="344"/>
      <c r="RNM5" s="344"/>
      <c r="RNN5" s="344"/>
      <c r="RNO5" s="344"/>
      <c r="RNP5" s="344"/>
      <c r="RNQ5" s="344"/>
      <c r="RNR5" s="344"/>
      <c r="RNS5" s="344"/>
      <c r="RNT5" s="344"/>
      <c r="RNU5" s="344"/>
      <c r="RNV5" s="344"/>
      <c r="RNW5" s="344"/>
      <c r="RNX5" s="344"/>
      <c r="RNY5" s="344"/>
      <c r="RNZ5" s="344"/>
      <c r="ROA5" s="344"/>
      <c r="ROB5" s="344"/>
      <c r="ROC5" s="344"/>
      <c r="ROD5" s="344"/>
      <c r="ROE5" s="344"/>
      <c r="ROF5" s="344"/>
      <c r="ROG5" s="344"/>
      <c r="ROH5" s="344"/>
      <c r="ROI5" s="344"/>
      <c r="ROJ5" s="344"/>
      <c r="ROK5" s="344"/>
      <c r="ROL5" s="344"/>
      <c r="ROM5" s="344"/>
      <c r="RON5" s="344"/>
      <c r="ROO5" s="344"/>
      <c r="ROP5" s="344"/>
      <c r="ROQ5" s="344"/>
      <c r="ROR5" s="344"/>
      <c r="ROS5" s="344"/>
      <c r="ROT5" s="344"/>
      <c r="ROU5" s="344"/>
      <c r="ROV5" s="344"/>
      <c r="ROW5" s="344"/>
      <c r="ROX5" s="344"/>
      <c r="ROY5" s="344"/>
      <c r="ROZ5" s="344"/>
      <c r="RPA5" s="344"/>
      <c r="RPB5" s="344"/>
      <c r="RPC5" s="344"/>
      <c r="RPD5" s="344"/>
      <c r="RPE5" s="344"/>
      <c r="RPF5" s="344"/>
      <c r="RPG5" s="344"/>
      <c r="RPH5" s="344"/>
      <c r="RPI5" s="344"/>
      <c r="RPJ5" s="344"/>
      <c r="RPK5" s="344"/>
      <c r="RPL5" s="344"/>
      <c r="RPM5" s="344"/>
      <c r="RPN5" s="344"/>
      <c r="RPO5" s="344"/>
      <c r="RPP5" s="344"/>
      <c r="RPQ5" s="344"/>
      <c r="RPR5" s="344"/>
      <c r="RPS5" s="344"/>
      <c r="RPT5" s="344"/>
      <c r="RPU5" s="344"/>
      <c r="RPV5" s="344"/>
      <c r="RPW5" s="344"/>
      <c r="RPX5" s="344"/>
      <c r="RPY5" s="344"/>
      <c r="RPZ5" s="344"/>
      <c r="RQA5" s="344"/>
      <c r="RQB5" s="344"/>
      <c r="RQC5" s="344"/>
      <c r="RQD5" s="344"/>
      <c r="RQE5" s="344"/>
      <c r="RQF5" s="344"/>
      <c r="RQG5" s="344"/>
      <c r="RQH5" s="344"/>
      <c r="RQI5" s="344"/>
      <c r="RQJ5" s="344"/>
      <c r="RQK5" s="344"/>
      <c r="RQL5" s="344"/>
      <c r="RQM5" s="344"/>
      <c r="RQN5" s="344"/>
      <c r="RQO5" s="344"/>
      <c r="RQP5" s="344"/>
      <c r="RQQ5" s="344"/>
      <c r="RQR5" s="344"/>
      <c r="RQS5" s="344"/>
      <c r="RQT5" s="344"/>
      <c r="RQU5" s="344"/>
      <c r="RQV5" s="344"/>
      <c r="RQW5" s="344"/>
      <c r="RQX5" s="344"/>
      <c r="RQY5" s="344"/>
      <c r="RQZ5" s="344"/>
      <c r="RRA5" s="344"/>
      <c r="RRB5" s="344"/>
      <c r="RRC5" s="344"/>
      <c r="RRD5" s="344"/>
      <c r="RRE5" s="344"/>
      <c r="RRF5" s="344"/>
      <c r="RRG5" s="344"/>
      <c r="RRH5" s="344"/>
      <c r="RRI5" s="344"/>
      <c r="RRJ5" s="344"/>
      <c r="RRK5" s="344"/>
      <c r="RRL5" s="344"/>
      <c r="RRM5" s="344"/>
      <c r="RRN5" s="344"/>
      <c r="RRO5" s="344"/>
      <c r="RRP5" s="344"/>
      <c r="RRQ5" s="344"/>
      <c r="RRR5" s="344"/>
      <c r="RRS5" s="344"/>
      <c r="RRT5" s="344"/>
      <c r="RRU5" s="344"/>
      <c r="RRV5" s="344"/>
      <c r="RRW5" s="344"/>
      <c r="RRX5" s="344"/>
      <c r="RRY5" s="344"/>
      <c r="RRZ5" s="344"/>
      <c r="RSA5" s="344"/>
      <c r="RSB5" s="344"/>
      <c r="RSC5" s="344"/>
      <c r="RSD5" s="344"/>
      <c r="RSE5" s="344"/>
      <c r="RSF5" s="344"/>
      <c r="RSG5" s="344"/>
      <c r="RSH5" s="344"/>
      <c r="RSI5" s="344"/>
      <c r="RSJ5" s="344"/>
      <c r="RSK5" s="344"/>
      <c r="RSL5" s="344"/>
      <c r="RSM5" s="344"/>
      <c r="RSN5" s="344"/>
      <c r="RSO5" s="344"/>
      <c r="RSP5" s="344"/>
      <c r="RSQ5" s="344"/>
      <c r="RSR5" s="344"/>
      <c r="RSS5" s="344"/>
      <c r="RST5" s="344"/>
      <c r="RSU5" s="344"/>
      <c r="RSV5" s="344"/>
      <c r="RSW5" s="344"/>
      <c r="RSX5" s="344"/>
      <c r="RSY5" s="344"/>
      <c r="RSZ5" s="344"/>
      <c r="RTA5" s="344"/>
      <c r="RTB5" s="344"/>
      <c r="RTC5" s="344"/>
      <c r="RTD5" s="344"/>
      <c r="RTE5" s="344"/>
      <c r="RTF5" s="344"/>
      <c r="RTG5" s="344"/>
      <c r="RTH5" s="344"/>
      <c r="RTI5" s="344"/>
      <c r="RTJ5" s="344"/>
      <c r="RTK5" s="344"/>
      <c r="RTL5" s="344"/>
      <c r="RTM5" s="344"/>
      <c r="RTN5" s="344"/>
      <c r="RTO5" s="344"/>
      <c r="RTP5" s="344"/>
      <c r="RTQ5" s="344"/>
      <c r="RTR5" s="344"/>
      <c r="RTS5" s="344"/>
      <c r="RTT5" s="344"/>
      <c r="RTU5" s="344"/>
      <c r="RTV5" s="344"/>
      <c r="RTW5" s="344"/>
      <c r="RTX5" s="344"/>
      <c r="RTY5" s="344"/>
      <c r="RTZ5" s="344"/>
      <c r="RUA5" s="344"/>
      <c r="RUB5" s="344"/>
      <c r="RUC5" s="344"/>
      <c r="RUD5" s="344"/>
      <c r="RUE5" s="344"/>
      <c r="RUF5" s="344"/>
      <c r="RUG5" s="344"/>
      <c r="RUH5" s="344"/>
      <c r="RUI5" s="344"/>
      <c r="RUJ5" s="344"/>
      <c r="RUK5" s="344"/>
      <c r="RUL5" s="344"/>
      <c r="RUM5" s="344"/>
      <c r="RUN5" s="344"/>
      <c r="RUO5" s="344"/>
      <c r="RUP5" s="344"/>
      <c r="RUQ5" s="344"/>
      <c r="RUR5" s="344"/>
      <c r="RUS5" s="344"/>
      <c r="RUT5" s="344"/>
      <c r="RUU5" s="344"/>
      <c r="RUV5" s="344"/>
      <c r="RUW5" s="344"/>
      <c r="RUX5" s="344"/>
      <c r="RUY5" s="344"/>
      <c r="RUZ5" s="344"/>
      <c r="RVA5" s="344"/>
      <c r="RVB5" s="344"/>
      <c r="RVC5" s="344"/>
      <c r="RVD5" s="344"/>
      <c r="RVE5" s="344"/>
      <c r="RVF5" s="344"/>
      <c r="RVG5" s="344"/>
      <c r="RVH5" s="344"/>
      <c r="RVI5" s="344"/>
      <c r="RVJ5" s="344"/>
      <c r="RVK5" s="344"/>
      <c r="RVL5" s="344"/>
      <c r="RVM5" s="344"/>
      <c r="RVN5" s="344"/>
      <c r="RVO5" s="344"/>
      <c r="RVP5" s="344"/>
      <c r="RVQ5" s="344"/>
      <c r="RVR5" s="344"/>
      <c r="RVS5" s="344"/>
      <c r="RVT5" s="344"/>
      <c r="RVU5" s="344"/>
      <c r="RVV5" s="344"/>
      <c r="RVW5" s="344"/>
      <c r="RVX5" s="344"/>
      <c r="RVY5" s="344"/>
      <c r="RVZ5" s="344"/>
      <c r="RWA5" s="344"/>
      <c r="RWB5" s="344"/>
      <c r="RWC5" s="344"/>
      <c r="RWD5" s="344"/>
      <c r="RWE5" s="344"/>
      <c r="RWF5" s="344"/>
      <c r="RWG5" s="344"/>
      <c r="RWH5" s="344"/>
      <c r="RWI5" s="344"/>
      <c r="RWJ5" s="344"/>
      <c r="RWK5" s="344"/>
      <c r="RWL5" s="344"/>
      <c r="RWM5" s="344"/>
      <c r="RWN5" s="344"/>
      <c r="RWO5" s="344"/>
      <c r="RWP5" s="344"/>
      <c r="RWQ5" s="344"/>
      <c r="RWR5" s="344"/>
      <c r="RWS5" s="344"/>
      <c r="RWT5" s="344"/>
      <c r="RWU5" s="344"/>
      <c r="RWV5" s="344"/>
      <c r="RWW5" s="344"/>
      <c r="RWX5" s="344"/>
      <c r="RWY5" s="344"/>
      <c r="RWZ5" s="344"/>
      <c r="RXA5" s="344"/>
      <c r="RXB5" s="344"/>
      <c r="RXC5" s="344"/>
      <c r="RXD5" s="344"/>
      <c r="RXE5" s="344"/>
      <c r="RXF5" s="344"/>
      <c r="RXG5" s="344"/>
      <c r="RXH5" s="344"/>
      <c r="RXI5" s="344"/>
      <c r="RXJ5" s="344"/>
      <c r="RXK5" s="344"/>
      <c r="RXL5" s="344"/>
      <c r="RXM5" s="344"/>
      <c r="RXN5" s="344"/>
      <c r="RXO5" s="344"/>
      <c r="RXP5" s="344"/>
      <c r="RXQ5" s="344"/>
      <c r="RXR5" s="344"/>
      <c r="RXS5" s="344"/>
      <c r="RXT5" s="344"/>
      <c r="RXU5" s="344"/>
      <c r="RXV5" s="344"/>
      <c r="RXW5" s="344"/>
      <c r="RXX5" s="344"/>
      <c r="RXY5" s="344"/>
      <c r="RXZ5" s="344"/>
      <c r="RYA5" s="344"/>
      <c r="RYB5" s="344"/>
      <c r="RYC5" s="344"/>
      <c r="RYD5" s="344"/>
      <c r="RYE5" s="344"/>
      <c r="RYF5" s="344"/>
      <c r="RYG5" s="344"/>
      <c r="RYH5" s="344"/>
      <c r="RYI5" s="344"/>
      <c r="RYJ5" s="344"/>
      <c r="RYK5" s="344"/>
      <c r="RYL5" s="344"/>
      <c r="RYM5" s="344"/>
      <c r="RYN5" s="344"/>
      <c r="RYO5" s="344"/>
      <c r="RYP5" s="344"/>
      <c r="RYQ5" s="344"/>
      <c r="RYR5" s="344"/>
      <c r="RYS5" s="344"/>
      <c r="RYT5" s="344"/>
      <c r="RYU5" s="344"/>
      <c r="RYV5" s="344"/>
      <c r="RYW5" s="344"/>
      <c r="RYX5" s="344"/>
      <c r="RYY5" s="344"/>
      <c r="RYZ5" s="344"/>
      <c r="RZA5" s="344"/>
      <c r="RZB5" s="344"/>
      <c r="RZC5" s="344"/>
      <c r="RZD5" s="344"/>
      <c r="RZE5" s="344"/>
      <c r="RZF5" s="344"/>
      <c r="RZG5" s="344"/>
      <c r="RZH5" s="344"/>
      <c r="RZI5" s="344"/>
      <c r="RZJ5" s="344"/>
      <c r="RZK5" s="344"/>
      <c r="RZL5" s="344"/>
      <c r="RZM5" s="344"/>
      <c r="RZN5" s="344"/>
      <c r="RZO5" s="344"/>
      <c r="RZP5" s="344"/>
      <c r="RZQ5" s="344"/>
      <c r="RZR5" s="344"/>
      <c r="RZS5" s="344"/>
      <c r="RZT5" s="344"/>
      <c r="RZU5" s="344"/>
      <c r="RZV5" s="344"/>
      <c r="RZW5" s="344"/>
      <c r="RZX5" s="344"/>
      <c r="RZY5" s="344"/>
      <c r="RZZ5" s="344"/>
      <c r="SAA5" s="344"/>
      <c r="SAB5" s="344"/>
      <c r="SAC5" s="344"/>
      <c r="SAD5" s="344"/>
      <c r="SAE5" s="344"/>
      <c r="SAF5" s="344"/>
      <c r="SAG5" s="344"/>
      <c r="SAH5" s="344"/>
      <c r="SAI5" s="344"/>
      <c r="SAJ5" s="344"/>
      <c r="SAK5" s="344"/>
      <c r="SAL5" s="344"/>
      <c r="SAM5" s="344"/>
      <c r="SAN5" s="344"/>
      <c r="SAO5" s="344"/>
      <c r="SAP5" s="344"/>
      <c r="SAQ5" s="344"/>
      <c r="SAR5" s="344"/>
      <c r="SAS5" s="344"/>
      <c r="SAT5" s="344"/>
      <c r="SAU5" s="344"/>
      <c r="SAV5" s="344"/>
      <c r="SAW5" s="344"/>
      <c r="SAX5" s="344"/>
      <c r="SAY5" s="344"/>
      <c r="SAZ5" s="344"/>
      <c r="SBA5" s="344"/>
      <c r="SBB5" s="344"/>
      <c r="SBC5" s="344"/>
      <c r="SBD5" s="344"/>
      <c r="SBE5" s="344"/>
      <c r="SBF5" s="344"/>
      <c r="SBG5" s="344"/>
      <c r="SBH5" s="344"/>
      <c r="SBI5" s="344"/>
      <c r="SBJ5" s="344"/>
      <c r="SBK5" s="344"/>
      <c r="SBL5" s="344"/>
      <c r="SBM5" s="344"/>
      <c r="SBN5" s="344"/>
      <c r="SBO5" s="344"/>
      <c r="SBP5" s="344"/>
      <c r="SBQ5" s="344"/>
      <c r="SBR5" s="344"/>
      <c r="SBS5" s="344"/>
      <c r="SBT5" s="344"/>
      <c r="SBU5" s="344"/>
      <c r="SBV5" s="344"/>
      <c r="SBW5" s="344"/>
      <c r="SBX5" s="344"/>
      <c r="SBY5" s="344"/>
      <c r="SBZ5" s="344"/>
      <c r="SCA5" s="344"/>
      <c r="SCB5" s="344"/>
      <c r="SCC5" s="344"/>
      <c r="SCD5" s="344"/>
      <c r="SCE5" s="344"/>
      <c r="SCF5" s="344"/>
      <c r="SCG5" s="344"/>
      <c r="SCH5" s="344"/>
      <c r="SCI5" s="344"/>
      <c r="SCJ5" s="344"/>
      <c r="SCK5" s="344"/>
      <c r="SCL5" s="344"/>
      <c r="SCM5" s="344"/>
      <c r="SCN5" s="344"/>
      <c r="SCO5" s="344"/>
      <c r="SCP5" s="344"/>
      <c r="SCQ5" s="344"/>
      <c r="SCR5" s="344"/>
      <c r="SCS5" s="344"/>
      <c r="SCT5" s="344"/>
      <c r="SCU5" s="344"/>
      <c r="SCV5" s="344"/>
      <c r="SCW5" s="344"/>
      <c r="SCX5" s="344"/>
      <c r="SCY5" s="344"/>
      <c r="SCZ5" s="344"/>
      <c r="SDA5" s="344"/>
      <c r="SDB5" s="344"/>
      <c r="SDC5" s="344"/>
      <c r="SDD5" s="344"/>
      <c r="SDE5" s="344"/>
      <c r="SDF5" s="344"/>
      <c r="SDG5" s="344"/>
      <c r="SDH5" s="344"/>
      <c r="SDI5" s="344"/>
      <c r="SDJ5" s="344"/>
      <c r="SDK5" s="344"/>
      <c r="SDL5" s="344"/>
      <c r="SDM5" s="344"/>
      <c r="SDN5" s="344"/>
      <c r="SDO5" s="344"/>
      <c r="SDP5" s="344"/>
      <c r="SDQ5" s="344"/>
      <c r="SDR5" s="344"/>
      <c r="SDS5" s="344"/>
      <c r="SDT5" s="344"/>
      <c r="SDU5" s="344"/>
      <c r="SDV5" s="344"/>
      <c r="SDW5" s="344"/>
      <c r="SDX5" s="344"/>
      <c r="SDY5" s="344"/>
      <c r="SDZ5" s="344"/>
      <c r="SEA5" s="344"/>
      <c r="SEB5" s="344"/>
      <c r="SEC5" s="344"/>
      <c r="SED5" s="344"/>
      <c r="SEE5" s="344"/>
      <c r="SEF5" s="344"/>
      <c r="SEG5" s="344"/>
      <c r="SEH5" s="344"/>
      <c r="SEI5" s="344"/>
      <c r="SEJ5" s="344"/>
      <c r="SEK5" s="344"/>
      <c r="SEL5" s="344"/>
      <c r="SEM5" s="344"/>
      <c r="SEN5" s="344"/>
      <c r="SEO5" s="344"/>
      <c r="SEP5" s="344"/>
      <c r="SEQ5" s="344"/>
      <c r="SER5" s="344"/>
      <c r="SES5" s="344"/>
      <c r="SET5" s="344"/>
      <c r="SEU5" s="344"/>
      <c r="SEV5" s="344"/>
      <c r="SEW5" s="344"/>
      <c r="SEX5" s="344"/>
      <c r="SEY5" s="344"/>
      <c r="SEZ5" s="344"/>
      <c r="SFA5" s="344"/>
      <c r="SFB5" s="344"/>
      <c r="SFC5" s="344"/>
      <c r="SFD5" s="344"/>
      <c r="SFE5" s="344"/>
      <c r="SFF5" s="344"/>
      <c r="SFG5" s="344"/>
      <c r="SFH5" s="344"/>
      <c r="SFI5" s="344"/>
      <c r="SFJ5" s="344"/>
      <c r="SFK5" s="344"/>
      <c r="SFL5" s="344"/>
      <c r="SFM5" s="344"/>
      <c r="SFN5" s="344"/>
      <c r="SFO5" s="344"/>
      <c r="SFP5" s="344"/>
      <c r="SFQ5" s="344"/>
      <c r="SFR5" s="344"/>
      <c r="SFS5" s="344"/>
      <c r="SFT5" s="344"/>
      <c r="SFU5" s="344"/>
      <c r="SFV5" s="344"/>
      <c r="SFW5" s="344"/>
      <c r="SFX5" s="344"/>
      <c r="SFY5" s="344"/>
      <c r="SFZ5" s="344"/>
      <c r="SGA5" s="344"/>
      <c r="SGB5" s="344"/>
      <c r="SGC5" s="344"/>
      <c r="SGD5" s="344"/>
      <c r="SGE5" s="344"/>
      <c r="SGF5" s="344"/>
      <c r="SGG5" s="344"/>
      <c r="SGH5" s="344"/>
      <c r="SGI5" s="344"/>
      <c r="SGJ5" s="344"/>
      <c r="SGK5" s="344"/>
      <c r="SGL5" s="344"/>
      <c r="SGM5" s="344"/>
      <c r="SGN5" s="344"/>
      <c r="SGO5" s="344"/>
      <c r="SGP5" s="344"/>
      <c r="SGQ5" s="344"/>
      <c r="SGR5" s="344"/>
      <c r="SGS5" s="344"/>
      <c r="SGT5" s="344"/>
      <c r="SGU5" s="344"/>
      <c r="SGV5" s="344"/>
      <c r="SGW5" s="344"/>
      <c r="SGX5" s="344"/>
      <c r="SGY5" s="344"/>
      <c r="SGZ5" s="344"/>
      <c r="SHA5" s="344"/>
      <c r="SHB5" s="344"/>
      <c r="SHC5" s="344"/>
      <c r="SHD5" s="344"/>
      <c r="SHE5" s="344"/>
      <c r="SHF5" s="344"/>
      <c r="SHG5" s="344"/>
      <c r="SHH5" s="344"/>
      <c r="SHI5" s="344"/>
      <c r="SHJ5" s="344"/>
      <c r="SHK5" s="344"/>
      <c r="SHL5" s="344"/>
      <c r="SHM5" s="344"/>
      <c r="SHN5" s="344"/>
      <c r="SHO5" s="344"/>
      <c r="SHP5" s="344"/>
      <c r="SHQ5" s="344"/>
      <c r="SHR5" s="344"/>
      <c r="SHS5" s="344"/>
      <c r="SHT5" s="344"/>
      <c r="SHU5" s="344"/>
      <c r="SHV5" s="344"/>
      <c r="SHW5" s="344"/>
      <c r="SHX5" s="344"/>
      <c r="SHY5" s="344"/>
      <c r="SHZ5" s="344"/>
      <c r="SIA5" s="344"/>
      <c r="SIB5" s="344"/>
      <c r="SIC5" s="344"/>
      <c r="SID5" s="344"/>
      <c r="SIE5" s="344"/>
      <c r="SIF5" s="344"/>
      <c r="SIG5" s="344"/>
      <c r="SIH5" s="344"/>
      <c r="SII5" s="344"/>
      <c r="SIJ5" s="344"/>
      <c r="SIK5" s="344"/>
      <c r="SIL5" s="344"/>
      <c r="SIM5" s="344"/>
      <c r="SIN5" s="344"/>
      <c r="SIO5" s="344"/>
      <c r="SIP5" s="344"/>
      <c r="SIQ5" s="344"/>
      <c r="SIR5" s="344"/>
      <c r="SIS5" s="344"/>
      <c r="SIT5" s="344"/>
      <c r="SIU5" s="344"/>
      <c r="SIV5" s="344"/>
      <c r="SIW5" s="344"/>
      <c r="SIX5" s="344"/>
      <c r="SIY5" s="344"/>
      <c r="SIZ5" s="344"/>
      <c r="SJA5" s="344"/>
      <c r="SJB5" s="344"/>
      <c r="SJC5" s="344"/>
      <c r="SJD5" s="344"/>
      <c r="SJE5" s="344"/>
      <c r="SJF5" s="344"/>
      <c r="SJG5" s="344"/>
      <c r="SJH5" s="344"/>
      <c r="SJI5" s="344"/>
      <c r="SJJ5" s="344"/>
      <c r="SJK5" s="344"/>
      <c r="SJL5" s="344"/>
      <c r="SJM5" s="344"/>
      <c r="SJN5" s="344"/>
      <c r="SJO5" s="344"/>
      <c r="SJP5" s="344"/>
      <c r="SJQ5" s="344"/>
      <c r="SJR5" s="344"/>
      <c r="SJS5" s="344"/>
      <c r="SJT5" s="344"/>
      <c r="SJU5" s="344"/>
      <c r="SJV5" s="344"/>
      <c r="SJW5" s="344"/>
      <c r="SJX5" s="344"/>
      <c r="SJY5" s="344"/>
      <c r="SJZ5" s="344"/>
      <c r="SKA5" s="344"/>
      <c r="SKB5" s="344"/>
      <c r="SKC5" s="344"/>
      <c r="SKD5" s="344"/>
      <c r="SKE5" s="344"/>
      <c r="SKF5" s="344"/>
      <c r="SKG5" s="344"/>
      <c r="SKH5" s="344"/>
      <c r="SKI5" s="344"/>
      <c r="SKJ5" s="344"/>
      <c r="SKK5" s="344"/>
      <c r="SKL5" s="344"/>
      <c r="SKM5" s="344"/>
      <c r="SKN5" s="344"/>
      <c r="SKO5" s="344"/>
      <c r="SKP5" s="344"/>
      <c r="SKQ5" s="344"/>
      <c r="SKR5" s="344"/>
      <c r="SKS5" s="344"/>
      <c r="SKT5" s="344"/>
      <c r="SKU5" s="344"/>
      <c r="SKV5" s="344"/>
      <c r="SKW5" s="344"/>
      <c r="SKX5" s="344"/>
      <c r="SKY5" s="344"/>
      <c r="SKZ5" s="344"/>
      <c r="SLA5" s="344"/>
      <c r="SLB5" s="344"/>
      <c r="SLC5" s="344"/>
      <c r="SLD5" s="344"/>
      <c r="SLE5" s="344"/>
      <c r="SLF5" s="344"/>
      <c r="SLG5" s="344"/>
      <c r="SLH5" s="344"/>
      <c r="SLI5" s="344"/>
      <c r="SLJ5" s="344"/>
      <c r="SLK5" s="344"/>
      <c r="SLL5" s="344"/>
      <c r="SLM5" s="344"/>
      <c r="SLN5" s="344"/>
      <c r="SLO5" s="344"/>
      <c r="SLP5" s="344"/>
      <c r="SLQ5" s="344"/>
      <c r="SLR5" s="344"/>
      <c r="SLS5" s="344"/>
      <c r="SLT5" s="344"/>
      <c r="SLU5" s="344"/>
      <c r="SLV5" s="344"/>
      <c r="SLW5" s="344"/>
      <c r="SLX5" s="344"/>
      <c r="SLY5" s="344"/>
      <c r="SLZ5" s="344"/>
      <c r="SMA5" s="344"/>
      <c r="SMB5" s="344"/>
      <c r="SMC5" s="344"/>
      <c r="SMD5" s="344"/>
      <c r="SME5" s="344"/>
      <c r="SMF5" s="344"/>
      <c r="SMG5" s="344"/>
      <c r="SMH5" s="344"/>
      <c r="SMI5" s="344"/>
      <c r="SMJ5" s="344"/>
      <c r="SMK5" s="344"/>
      <c r="SML5" s="344"/>
      <c r="SMM5" s="344"/>
      <c r="SMN5" s="344"/>
      <c r="SMO5" s="344"/>
      <c r="SMP5" s="344"/>
      <c r="SMQ5" s="344"/>
      <c r="SMR5" s="344"/>
      <c r="SMS5" s="344"/>
      <c r="SMT5" s="344"/>
      <c r="SMU5" s="344"/>
      <c r="SMV5" s="344"/>
      <c r="SMW5" s="344"/>
      <c r="SMX5" s="344"/>
      <c r="SMY5" s="344"/>
      <c r="SMZ5" s="344"/>
      <c r="SNA5" s="344"/>
      <c r="SNB5" s="344"/>
      <c r="SNC5" s="344"/>
      <c r="SND5" s="344"/>
      <c r="SNE5" s="344"/>
      <c r="SNF5" s="344"/>
      <c r="SNG5" s="344"/>
      <c r="SNH5" s="344"/>
      <c r="SNI5" s="344"/>
      <c r="SNJ5" s="344"/>
      <c r="SNK5" s="344"/>
      <c r="SNL5" s="344"/>
      <c r="SNM5" s="344"/>
      <c r="SNN5" s="344"/>
      <c r="SNO5" s="344"/>
      <c r="SNP5" s="344"/>
      <c r="SNQ5" s="344"/>
      <c r="SNR5" s="344"/>
      <c r="SNS5" s="344"/>
      <c r="SNT5" s="344"/>
      <c r="SNU5" s="344"/>
      <c r="SNV5" s="344"/>
      <c r="SNW5" s="344"/>
      <c r="SNX5" s="344"/>
      <c r="SNY5" s="344"/>
      <c r="SNZ5" s="344"/>
      <c r="SOA5" s="344"/>
      <c r="SOB5" s="344"/>
      <c r="SOC5" s="344"/>
      <c r="SOD5" s="344"/>
      <c r="SOE5" s="344"/>
      <c r="SOF5" s="344"/>
      <c r="SOG5" s="344"/>
      <c r="SOH5" s="344"/>
      <c r="SOI5" s="344"/>
      <c r="SOJ5" s="344"/>
      <c r="SOK5" s="344"/>
      <c r="SOL5" s="344"/>
      <c r="SOM5" s="344"/>
      <c r="SON5" s="344"/>
      <c r="SOO5" s="344"/>
      <c r="SOP5" s="344"/>
      <c r="SOQ5" s="344"/>
      <c r="SOR5" s="344"/>
      <c r="SOS5" s="344"/>
      <c r="SOT5" s="344"/>
      <c r="SOU5" s="344"/>
      <c r="SOV5" s="344"/>
      <c r="SOW5" s="344"/>
      <c r="SOX5" s="344"/>
      <c r="SOY5" s="344"/>
      <c r="SOZ5" s="344"/>
      <c r="SPA5" s="344"/>
      <c r="SPB5" s="344"/>
      <c r="SPC5" s="344"/>
      <c r="SPD5" s="344"/>
      <c r="SPE5" s="344"/>
      <c r="SPF5" s="344"/>
      <c r="SPG5" s="344"/>
      <c r="SPH5" s="344"/>
      <c r="SPI5" s="344"/>
      <c r="SPJ5" s="344"/>
      <c r="SPK5" s="344"/>
      <c r="SPL5" s="344"/>
      <c r="SPM5" s="344"/>
      <c r="SPN5" s="344"/>
      <c r="SPO5" s="344"/>
      <c r="SPP5" s="344"/>
      <c r="SPQ5" s="344"/>
      <c r="SPR5" s="344"/>
      <c r="SPS5" s="344"/>
      <c r="SPT5" s="344"/>
      <c r="SPU5" s="344"/>
      <c r="SPV5" s="344"/>
      <c r="SPW5" s="344"/>
      <c r="SPX5" s="344"/>
      <c r="SPY5" s="344"/>
      <c r="SPZ5" s="344"/>
      <c r="SQA5" s="344"/>
      <c r="SQB5" s="344"/>
      <c r="SQC5" s="344"/>
      <c r="SQD5" s="344"/>
      <c r="SQE5" s="344"/>
      <c r="SQF5" s="344"/>
      <c r="SQG5" s="344"/>
      <c r="SQH5" s="344"/>
      <c r="SQI5" s="344"/>
      <c r="SQJ5" s="344"/>
      <c r="SQK5" s="344"/>
      <c r="SQL5" s="344"/>
      <c r="SQM5" s="344"/>
      <c r="SQN5" s="344"/>
      <c r="SQO5" s="344"/>
      <c r="SQP5" s="344"/>
      <c r="SQQ5" s="344"/>
      <c r="SQR5" s="344"/>
      <c r="SQS5" s="344"/>
      <c r="SQT5" s="344"/>
      <c r="SQU5" s="344"/>
      <c r="SQV5" s="344"/>
      <c r="SQW5" s="344"/>
      <c r="SQX5" s="344"/>
      <c r="SQY5" s="344"/>
      <c r="SQZ5" s="344"/>
      <c r="SRA5" s="344"/>
      <c r="SRB5" s="344"/>
      <c r="SRC5" s="344"/>
      <c r="SRD5" s="344"/>
      <c r="SRE5" s="344"/>
      <c r="SRF5" s="344"/>
      <c r="SRG5" s="344"/>
      <c r="SRH5" s="344"/>
      <c r="SRI5" s="344"/>
      <c r="SRJ5" s="344"/>
      <c r="SRK5" s="344"/>
      <c r="SRL5" s="344"/>
      <c r="SRM5" s="344"/>
      <c r="SRN5" s="344"/>
      <c r="SRO5" s="344"/>
      <c r="SRP5" s="344"/>
      <c r="SRQ5" s="344"/>
      <c r="SRR5" s="344"/>
      <c r="SRS5" s="344"/>
      <c r="SRT5" s="344"/>
      <c r="SRU5" s="344"/>
      <c r="SRV5" s="344"/>
      <c r="SRW5" s="344"/>
      <c r="SRX5" s="344"/>
      <c r="SRY5" s="344"/>
      <c r="SRZ5" s="344"/>
      <c r="SSA5" s="344"/>
      <c r="SSB5" s="344"/>
      <c r="SSC5" s="344"/>
      <c r="SSD5" s="344"/>
      <c r="SSE5" s="344"/>
      <c r="SSF5" s="344"/>
      <c r="SSG5" s="344"/>
      <c r="SSH5" s="344"/>
      <c r="SSI5" s="344"/>
      <c r="SSJ5" s="344"/>
      <c r="SSK5" s="344"/>
      <c r="SSL5" s="344"/>
      <c r="SSM5" s="344"/>
      <c r="SSN5" s="344"/>
      <c r="SSO5" s="344"/>
      <c r="SSP5" s="344"/>
      <c r="SSQ5" s="344"/>
      <c r="SSR5" s="344"/>
      <c r="SSS5" s="344"/>
      <c r="SST5" s="344"/>
      <c r="SSU5" s="344"/>
      <c r="SSV5" s="344"/>
      <c r="SSW5" s="344"/>
      <c r="SSX5" s="344"/>
      <c r="SSY5" s="344"/>
      <c r="SSZ5" s="344"/>
      <c r="STA5" s="344"/>
      <c r="STB5" s="344"/>
      <c r="STC5" s="344"/>
      <c r="STD5" s="344"/>
      <c r="STE5" s="344"/>
      <c r="STF5" s="344"/>
      <c r="STG5" s="344"/>
      <c r="STH5" s="344"/>
      <c r="STI5" s="344"/>
      <c r="STJ5" s="344"/>
      <c r="STK5" s="344"/>
      <c r="STL5" s="344"/>
      <c r="STM5" s="344"/>
      <c r="STN5" s="344"/>
      <c r="STO5" s="344"/>
      <c r="STP5" s="344"/>
      <c r="STQ5" s="344"/>
      <c r="STR5" s="344"/>
      <c r="STS5" s="344"/>
      <c r="STT5" s="344"/>
      <c r="STU5" s="344"/>
      <c r="STV5" s="344"/>
      <c r="STW5" s="344"/>
      <c r="STX5" s="344"/>
      <c r="STY5" s="344"/>
      <c r="STZ5" s="344"/>
      <c r="SUA5" s="344"/>
      <c r="SUB5" s="344"/>
      <c r="SUC5" s="344"/>
      <c r="SUD5" s="344"/>
      <c r="SUE5" s="344"/>
      <c r="SUF5" s="344"/>
      <c r="SUG5" s="344"/>
      <c r="SUH5" s="344"/>
      <c r="SUI5" s="344"/>
      <c r="SUJ5" s="344"/>
      <c r="SUK5" s="344"/>
      <c r="SUL5" s="344"/>
      <c r="SUM5" s="344"/>
      <c r="SUN5" s="344"/>
      <c r="SUO5" s="344"/>
      <c r="SUP5" s="344"/>
      <c r="SUQ5" s="344"/>
      <c r="SUR5" s="344"/>
      <c r="SUS5" s="344"/>
      <c r="SUT5" s="344"/>
      <c r="SUU5" s="344"/>
      <c r="SUV5" s="344"/>
      <c r="SUW5" s="344"/>
      <c r="SUX5" s="344"/>
      <c r="SUY5" s="344"/>
      <c r="SUZ5" s="344"/>
      <c r="SVA5" s="344"/>
      <c r="SVB5" s="344"/>
      <c r="SVC5" s="344"/>
      <c r="SVD5" s="344"/>
      <c r="SVE5" s="344"/>
      <c r="SVF5" s="344"/>
      <c r="SVG5" s="344"/>
      <c r="SVH5" s="344"/>
      <c r="SVI5" s="344"/>
      <c r="SVJ5" s="344"/>
      <c r="SVK5" s="344"/>
      <c r="SVL5" s="344"/>
      <c r="SVM5" s="344"/>
      <c r="SVN5" s="344"/>
      <c r="SVO5" s="344"/>
      <c r="SVP5" s="344"/>
      <c r="SVQ5" s="344"/>
      <c r="SVR5" s="344"/>
      <c r="SVS5" s="344"/>
      <c r="SVT5" s="344"/>
      <c r="SVU5" s="344"/>
      <c r="SVV5" s="344"/>
      <c r="SVW5" s="344"/>
      <c r="SVX5" s="344"/>
      <c r="SVY5" s="344"/>
      <c r="SVZ5" s="344"/>
      <c r="SWA5" s="344"/>
      <c r="SWB5" s="344"/>
      <c r="SWC5" s="344"/>
      <c r="SWD5" s="344"/>
      <c r="SWE5" s="344"/>
      <c r="SWF5" s="344"/>
      <c r="SWG5" s="344"/>
      <c r="SWH5" s="344"/>
      <c r="SWI5" s="344"/>
      <c r="SWJ5" s="344"/>
      <c r="SWK5" s="344"/>
      <c r="SWL5" s="344"/>
      <c r="SWM5" s="344"/>
      <c r="SWN5" s="344"/>
      <c r="SWO5" s="344"/>
      <c r="SWP5" s="344"/>
      <c r="SWQ5" s="344"/>
      <c r="SWR5" s="344"/>
      <c r="SWS5" s="344"/>
      <c r="SWT5" s="344"/>
      <c r="SWU5" s="344"/>
      <c r="SWV5" s="344"/>
      <c r="SWW5" s="344"/>
      <c r="SWX5" s="344"/>
      <c r="SWY5" s="344"/>
      <c r="SWZ5" s="344"/>
      <c r="SXA5" s="344"/>
      <c r="SXB5" s="344"/>
      <c r="SXC5" s="344"/>
      <c r="SXD5" s="344"/>
      <c r="SXE5" s="344"/>
      <c r="SXF5" s="344"/>
      <c r="SXG5" s="344"/>
      <c r="SXH5" s="344"/>
      <c r="SXI5" s="344"/>
      <c r="SXJ5" s="344"/>
      <c r="SXK5" s="344"/>
      <c r="SXL5" s="344"/>
      <c r="SXM5" s="344"/>
      <c r="SXN5" s="344"/>
      <c r="SXO5" s="344"/>
      <c r="SXP5" s="344"/>
      <c r="SXQ5" s="344"/>
      <c r="SXR5" s="344"/>
      <c r="SXS5" s="344"/>
      <c r="SXT5" s="344"/>
      <c r="SXU5" s="344"/>
      <c r="SXV5" s="344"/>
      <c r="SXW5" s="344"/>
      <c r="SXX5" s="344"/>
      <c r="SXY5" s="344"/>
      <c r="SXZ5" s="344"/>
      <c r="SYA5" s="344"/>
      <c r="SYB5" s="344"/>
      <c r="SYC5" s="344"/>
      <c r="SYD5" s="344"/>
      <c r="SYE5" s="344"/>
      <c r="SYF5" s="344"/>
      <c r="SYG5" s="344"/>
      <c r="SYH5" s="344"/>
      <c r="SYI5" s="344"/>
      <c r="SYJ5" s="344"/>
      <c r="SYK5" s="344"/>
      <c r="SYL5" s="344"/>
      <c r="SYM5" s="344"/>
      <c r="SYN5" s="344"/>
      <c r="SYO5" s="344"/>
      <c r="SYP5" s="344"/>
      <c r="SYQ5" s="344"/>
      <c r="SYR5" s="344"/>
      <c r="SYS5" s="344"/>
      <c r="SYT5" s="344"/>
      <c r="SYU5" s="344"/>
      <c r="SYV5" s="344"/>
      <c r="SYW5" s="344"/>
      <c r="SYX5" s="344"/>
      <c r="SYY5" s="344"/>
      <c r="SYZ5" s="344"/>
      <c r="SZA5" s="344"/>
      <c r="SZB5" s="344"/>
      <c r="SZC5" s="344"/>
      <c r="SZD5" s="344"/>
      <c r="SZE5" s="344"/>
      <c r="SZF5" s="344"/>
      <c r="SZG5" s="344"/>
      <c r="SZH5" s="344"/>
      <c r="SZI5" s="344"/>
      <c r="SZJ5" s="344"/>
      <c r="SZK5" s="344"/>
      <c r="SZL5" s="344"/>
      <c r="SZM5" s="344"/>
      <c r="SZN5" s="344"/>
      <c r="SZO5" s="344"/>
      <c r="SZP5" s="344"/>
      <c r="SZQ5" s="344"/>
      <c r="SZR5" s="344"/>
      <c r="SZS5" s="344"/>
      <c r="SZT5" s="344"/>
      <c r="SZU5" s="344"/>
      <c r="SZV5" s="344"/>
      <c r="SZW5" s="344"/>
      <c r="SZX5" s="344"/>
      <c r="SZY5" s="344"/>
      <c r="SZZ5" s="344"/>
      <c r="TAA5" s="344"/>
      <c r="TAB5" s="344"/>
      <c r="TAC5" s="344"/>
      <c r="TAD5" s="344"/>
      <c r="TAE5" s="344"/>
      <c r="TAF5" s="344"/>
      <c r="TAG5" s="344"/>
      <c r="TAH5" s="344"/>
      <c r="TAI5" s="344"/>
      <c r="TAJ5" s="344"/>
      <c r="TAK5" s="344"/>
      <c r="TAL5" s="344"/>
      <c r="TAM5" s="344"/>
      <c r="TAN5" s="344"/>
      <c r="TAO5" s="344"/>
      <c r="TAP5" s="344"/>
      <c r="TAQ5" s="344"/>
      <c r="TAR5" s="344"/>
      <c r="TAS5" s="344"/>
      <c r="TAT5" s="344"/>
      <c r="TAU5" s="344"/>
      <c r="TAV5" s="344"/>
      <c r="TAW5" s="344"/>
      <c r="TAX5" s="344"/>
      <c r="TAY5" s="344"/>
      <c r="TAZ5" s="344"/>
      <c r="TBA5" s="344"/>
      <c r="TBB5" s="344"/>
      <c r="TBC5" s="344"/>
      <c r="TBD5" s="344"/>
      <c r="TBE5" s="344"/>
      <c r="TBF5" s="344"/>
      <c r="TBG5" s="344"/>
      <c r="TBH5" s="344"/>
      <c r="TBI5" s="344"/>
      <c r="TBJ5" s="344"/>
      <c r="TBK5" s="344"/>
      <c r="TBL5" s="344"/>
      <c r="TBM5" s="344"/>
      <c r="TBN5" s="344"/>
      <c r="TBO5" s="344"/>
      <c r="TBP5" s="344"/>
      <c r="TBQ5" s="344"/>
      <c r="TBR5" s="344"/>
      <c r="TBS5" s="344"/>
      <c r="TBT5" s="344"/>
      <c r="TBU5" s="344"/>
      <c r="TBV5" s="344"/>
      <c r="TBW5" s="344"/>
      <c r="TBX5" s="344"/>
      <c r="TBY5" s="344"/>
      <c r="TBZ5" s="344"/>
      <c r="TCA5" s="344"/>
      <c r="TCB5" s="344"/>
      <c r="TCC5" s="344"/>
      <c r="TCD5" s="344"/>
      <c r="TCE5" s="344"/>
      <c r="TCF5" s="344"/>
      <c r="TCG5" s="344"/>
      <c r="TCH5" s="344"/>
      <c r="TCI5" s="344"/>
      <c r="TCJ5" s="344"/>
      <c r="TCK5" s="344"/>
      <c r="TCL5" s="344"/>
      <c r="TCM5" s="344"/>
      <c r="TCN5" s="344"/>
      <c r="TCO5" s="344"/>
      <c r="TCP5" s="344"/>
      <c r="TCQ5" s="344"/>
      <c r="TCR5" s="344"/>
      <c r="TCS5" s="344"/>
      <c r="TCT5" s="344"/>
      <c r="TCU5" s="344"/>
      <c r="TCV5" s="344"/>
      <c r="TCW5" s="344"/>
      <c r="TCX5" s="344"/>
      <c r="TCY5" s="344"/>
      <c r="TCZ5" s="344"/>
      <c r="TDA5" s="344"/>
      <c r="TDB5" s="344"/>
      <c r="TDC5" s="344"/>
      <c r="TDD5" s="344"/>
      <c r="TDE5" s="344"/>
      <c r="TDF5" s="344"/>
      <c r="TDG5" s="344"/>
      <c r="TDH5" s="344"/>
      <c r="TDI5" s="344"/>
      <c r="TDJ5" s="344"/>
      <c r="TDK5" s="344"/>
      <c r="TDL5" s="344"/>
      <c r="TDM5" s="344"/>
      <c r="TDN5" s="344"/>
      <c r="TDO5" s="344"/>
      <c r="TDP5" s="344"/>
      <c r="TDQ5" s="344"/>
      <c r="TDR5" s="344"/>
      <c r="TDS5" s="344"/>
      <c r="TDT5" s="344"/>
      <c r="TDU5" s="344"/>
      <c r="TDV5" s="344"/>
      <c r="TDW5" s="344"/>
      <c r="TDX5" s="344"/>
      <c r="TDY5" s="344"/>
      <c r="TDZ5" s="344"/>
      <c r="TEA5" s="344"/>
      <c r="TEB5" s="344"/>
      <c r="TEC5" s="344"/>
      <c r="TED5" s="344"/>
      <c r="TEE5" s="344"/>
      <c r="TEF5" s="344"/>
      <c r="TEG5" s="344"/>
      <c r="TEH5" s="344"/>
      <c r="TEI5" s="344"/>
      <c r="TEJ5" s="344"/>
      <c r="TEK5" s="344"/>
      <c r="TEL5" s="344"/>
      <c r="TEM5" s="344"/>
      <c r="TEN5" s="344"/>
      <c r="TEO5" s="344"/>
      <c r="TEP5" s="344"/>
      <c r="TEQ5" s="344"/>
      <c r="TER5" s="344"/>
      <c r="TES5" s="344"/>
      <c r="TET5" s="344"/>
      <c r="TEU5" s="344"/>
      <c r="TEV5" s="344"/>
      <c r="TEW5" s="344"/>
      <c r="TEX5" s="344"/>
      <c r="TEY5" s="344"/>
      <c r="TEZ5" s="344"/>
      <c r="TFA5" s="344"/>
      <c r="TFB5" s="344"/>
      <c r="TFC5" s="344"/>
      <c r="TFD5" s="344"/>
      <c r="TFE5" s="344"/>
      <c r="TFF5" s="344"/>
      <c r="TFG5" s="344"/>
      <c r="TFH5" s="344"/>
      <c r="TFI5" s="344"/>
      <c r="TFJ5" s="344"/>
      <c r="TFK5" s="344"/>
      <c r="TFL5" s="344"/>
      <c r="TFM5" s="344"/>
      <c r="TFN5" s="344"/>
      <c r="TFO5" s="344"/>
      <c r="TFP5" s="344"/>
      <c r="TFQ5" s="344"/>
      <c r="TFR5" s="344"/>
      <c r="TFS5" s="344"/>
      <c r="TFT5" s="344"/>
      <c r="TFU5" s="344"/>
      <c r="TFV5" s="344"/>
      <c r="TFW5" s="344"/>
      <c r="TFX5" s="344"/>
      <c r="TFY5" s="344"/>
      <c r="TFZ5" s="344"/>
      <c r="TGA5" s="344"/>
      <c r="TGB5" s="344"/>
      <c r="TGC5" s="344"/>
      <c r="TGD5" s="344"/>
      <c r="TGE5" s="344"/>
      <c r="TGF5" s="344"/>
      <c r="TGG5" s="344"/>
      <c r="TGH5" s="344"/>
      <c r="TGI5" s="344"/>
      <c r="TGJ5" s="344"/>
      <c r="TGK5" s="344"/>
      <c r="TGL5" s="344"/>
      <c r="TGM5" s="344"/>
      <c r="TGN5" s="344"/>
      <c r="TGO5" s="344"/>
      <c r="TGP5" s="344"/>
      <c r="TGQ5" s="344"/>
      <c r="TGR5" s="344"/>
      <c r="TGS5" s="344"/>
      <c r="TGT5" s="344"/>
      <c r="TGU5" s="344"/>
      <c r="TGV5" s="344"/>
      <c r="TGW5" s="344"/>
      <c r="TGX5" s="344"/>
      <c r="TGY5" s="344"/>
      <c r="TGZ5" s="344"/>
      <c r="THA5" s="344"/>
      <c r="THB5" s="344"/>
      <c r="THC5" s="344"/>
      <c r="THD5" s="344"/>
      <c r="THE5" s="344"/>
      <c r="THF5" s="344"/>
      <c r="THG5" s="344"/>
      <c r="THH5" s="344"/>
      <c r="THI5" s="344"/>
      <c r="THJ5" s="344"/>
      <c r="THK5" s="344"/>
      <c r="THL5" s="344"/>
      <c r="THM5" s="344"/>
      <c r="THN5" s="344"/>
      <c r="THO5" s="344"/>
      <c r="THP5" s="344"/>
      <c r="THQ5" s="344"/>
      <c r="THR5" s="344"/>
      <c r="THS5" s="344"/>
      <c r="THT5" s="344"/>
      <c r="THU5" s="344"/>
      <c r="THV5" s="344"/>
      <c r="THW5" s="344"/>
      <c r="THX5" s="344"/>
      <c r="THY5" s="344"/>
      <c r="THZ5" s="344"/>
      <c r="TIA5" s="344"/>
      <c r="TIB5" s="344"/>
      <c r="TIC5" s="344"/>
      <c r="TID5" s="344"/>
      <c r="TIE5" s="344"/>
      <c r="TIF5" s="344"/>
      <c r="TIG5" s="344"/>
      <c r="TIH5" s="344"/>
      <c r="TII5" s="344"/>
      <c r="TIJ5" s="344"/>
      <c r="TIK5" s="344"/>
      <c r="TIL5" s="344"/>
      <c r="TIM5" s="344"/>
      <c r="TIN5" s="344"/>
      <c r="TIO5" s="344"/>
      <c r="TIP5" s="344"/>
      <c r="TIQ5" s="344"/>
      <c r="TIR5" s="344"/>
      <c r="TIS5" s="344"/>
      <c r="TIT5" s="344"/>
      <c r="TIU5" s="344"/>
      <c r="TIV5" s="344"/>
      <c r="TIW5" s="344"/>
      <c r="TIX5" s="344"/>
      <c r="TIY5" s="344"/>
      <c r="TIZ5" s="344"/>
      <c r="TJA5" s="344"/>
      <c r="TJB5" s="344"/>
      <c r="TJC5" s="344"/>
      <c r="TJD5" s="344"/>
      <c r="TJE5" s="344"/>
      <c r="TJF5" s="344"/>
      <c r="TJG5" s="344"/>
      <c r="TJH5" s="344"/>
      <c r="TJI5" s="344"/>
      <c r="TJJ5" s="344"/>
      <c r="TJK5" s="344"/>
      <c r="TJL5" s="344"/>
      <c r="TJM5" s="344"/>
      <c r="TJN5" s="344"/>
      <c r="TJO5" s="344"/>
      <c r="TJP5" s="344"/>
      <c r="TJQ5" s="344"/>
      <c r="TJR5" s="344"/>
      <c r="TJS5" s="344"/>
      <c r="TJT5" s="344"/>
      <c r="TJU5" s="344"/>
      <c r="TJV5" s="344"/>
      <c r="TJW5" s="344"/>
      <c r="TJX5" s="344"/>
      <c r="TJY5" s="344"/>
      <c r="TJZ5" s="344"/>
      <c r="TKA5" s="344"/>
      <c r="TKB5" s="344"/>
      <c r="TKC5" s="344"/>
      <c r="TKD5" s="344"/>
      <c r="TKE5" s="344"/>
      <c r="TKF5" s="344"/>
      <c r="TKG5" s="344"/>
      <c r="TKH5" s="344"/>
      <c r="TKI5" s="344"/>
      <c r="TKJ5" s="344"/>
      <c r="TKK5" s="344"/>
      <c r="TKL5" s="344"/>
      <c r="TKM5" s="344"/>
      <c r="TKN5" s="344"/>
      <c r="TKO5" s="344"/>
      <c r="TKP5" s="344"/>
      <c r="TKQ5" s="344"/>
      <c r="TKR5" s="344"/>
      <c r="TKS5" s="344"/>
      <c r="TKT5" s="344"/>
      <c r="TKU5" s="344"/>
      <c r="TKV5" s="344"/>
      <c r="TKW5" s="344"/>
      <c r="TKX5" s="344"/>
      <c r="TKY5" s="344"/>
      <c r="TKZ5" s="344"/>
      <c r="TLA5" s="344"/>
      <c r="TLB5" s="344"/>
      <c r="TLC5" s="344"/>
      <c r="TLD5" s="344"/>
      <c r="TLE5" s="344"/>
      <c r="TLF5" s="344"/>
      <c r="TLG5" s="344"/>
      <c r="TLH5" s="344"/>
      <c r="TLI5" s="344"/>
      <c r="TLJ5" s="344"/>
      <c r="TLK5" s="344"/>
      <c r="TLL5" s="344"/>
      <c r="TLM5" s="344"/>
      <c r="TLN5" s="344"/>
      <c r="TLO5" s="344"/>
      <c r="TLP5" s="344"/>
      <c r="TLQ5" s="344"/>
      <c r="TLR5" s="344"/>
      <c r="TLS5" s="344"/>
      <c r="TLT5" s="344"/>
      <c r="TLU5" s="344"/>
      <c r="TLV5" s="344"/>
      <c r="TLW5" s="344"/>
      <c r="TLX5" s="344"/>
      <c r="TLY5" s="344"/>
      <c r="TLZ5" s="344"/>
      <c r="TMA5" s="344"/>
      <c r="TMB5" s="344"/>
      <c r="TMC5" s="344"/>
      <c r="TMD5" s="344"/>
      <c r="TME5" s="344"/>
      <c r="TMF5" s="344"/>
      <c r="TMG5" s="344"/>
      <c r="TMH5" s="344"/>
      <c r="TMI5" s="344"/>
      <c r="TMJ5" s="344"/>
      <c r="TMK5" s="344"/>
      <c r="TML5" s="344"/>
      <c r="TMM5" s="344"/>
      <c r="TMN5" s="344"/>
      <c r="TMO5" s="344"/>
      <c r="TMP5" s="344"/>
      <c r="TMQ5" s="344"/>
      <c r="TMR5" s="344"/>
      <c r="TMS5" s="344"/>
      <c r="TMT5" s="344"/>
      <c r="TMU5" s="344"/>
      <c r="TMV5" s="344"/>
      <c r="TMW5" s="344"/>
      <c r="TMX5" s="344"/>
      <c r="TMY5" s="344"/>
      <c r="TMZ5" s="344"/>
      <c r="TNA5" s="344"/>
      <c r="TNB5" s="344"/>
      <c r="TNC5" s="344"/>
      <c r="TND5" s="344"/>
      <c r="TNE5" s="344"/>
      <c r="TNF5" s="344"/>
      <c r="TNG5" s="344"/>
      <c r="TNH5" s="344"/>
      <c r="TNI5" s="344"/>
      <c r="TNJ5" s="344"/>
      <c r="TNK5" s="344"/>
      <c r="TNL5" s="344"/>
      <c r="TNM5" s="344"/>
      <c r="TNN5" s="344"/>
      <c r="TNO5" s="344"/>
      <c r="TNP5" s="344"/>
      <c r="TNQ5" s="344"/>
      <c r="TNR5" s="344"/>
      <c r="TNS5" s="344"/>
      <c r="TNT5" s="344"/>
      <c r="TNU5" s="344"/>
      <c r="TNV5" s="344"/>
      <c r="TNW5" s="344"/>
      <c r="TNX5" s="344"/>
      <c r="TNY5" s="344"/>
      <c r="TNZ5" s="344"/>
      <c r="TOA5" s="344"/>
      <c r="TOB5" s="344"/>
      <c r="TOC5" s="344"/>
      <c r="TOD5" s="344"/>
      <c r="TOE5" s="344"/>
      <c r="TOF5" s="344"/>
      <c r="TOG5" s="344"/>
      <c r="TOH5" s="344"/>
      <c r="TOI5" s="344"/>
      <c r="TOJ5" s="344"/>
      <c r="TOK5" s="344"/>
      <c r="TOL5" s="344"/>
      <c r="TOM5" s="344"/>
      <c r="TON5" s="344"/>
      <c r="TOO5" s="344"/>
      <c r="TOP5" s="344"/>
      <c r="TOQ5" s="344"/>
      <c r="TOR5" s="344"/>
      <c r="TOS5" s="344"/>
      <c r="TOT5" s="344"/>
      <c r="TOU5" s="344"/>
      <c r="TOV5" s="344"/>
      <c r="TOW5" s="344"/>
      <c r="TOX5" s="344"/>
      <c r="TOY5" s="344"/>
      <c r="TOZ5" s="344"/>
      <c r="TPA5" s="344"/>
      <c r="TPB5" s="344"/>
      <c r="TPC5" s="344"/>
      <c r="TPD5" s="344"/>
      <c r="TPE5" s="344"/>
      <c r="TPF5" s="344"/>
      <c r="TPG5" s="344"/>
      <c r="TPH5" s="344"/>
      <c r="TPI5" s="344"/>
      <c r="TPJ5" s="344"/>
      <c r="TPK5" s="344"/>
      <c r="TPL5" s="344"/>
      <c r="TPM5" s="344"/>
      <c r="TPN5" s="344"/>
      <c r="TPO5" s="344"/>
      <c r="TPP5" s="344"/>
      <c r="TPQ5" s="344"/>
      <c r="TPR5" s="344"/>
      <c r="TPS5" s="344"/>
      <c r="TPT5" s="344"/>
      <c r="TPU5" s="344"/>
      <c r="TPV5" s="344"/>
      <c r="TPW5" s="344"/>
      <c r="TPX5" s="344"/>
      <c r="TPY5" s="344"/>
      <c r="TPZ5" s="344"/>
      <c r="TQA5" s="344"/>
      <c r="TQB5" s="344"/>
      <c r="TQC5" s="344"/>
      <c r="TQD5" s="344"/>
      <c r="TQE5" s="344"/>
      <c r="TQF5" s="344"/>
      <c r="TQG5" s="344"/>
      <c r="TQH5" s="344"/>
      <c r="TQI5" s="344"/>
      <c r="TQJ5" s="344"/>
      <c r="TQK5" s="344"/>
      <c r="TQL5" s="344"/>
      <c r="TQM5" s="344"/>
      <c r="TQN5" s="344"/>
      <c r="TQO5" s="344"/>
      <c r="TQP5" s="344"/>
      <c r="TQQ5" s="344"/>
      <c r="TQR5" s="344"/>
      <c r="TQS5" s="344"/>
      <c r="TQT5" s="344"/>
      <c r="TQU5" s="344"/>
      <c r="TQV5" s="344"/>
      <c r="TQW5" s="344"/>
      <c r="TQX5" s="344"/>
      <c r="TQY5" s="344"/>
      <c r="TQZ5" s="344"/>
      <c r="TRA5" s="344"/>
      <c r="TRB5" s="344"/>
      <c r="TRC5" s="344"/>
      <c r="TRD5" s="344"/>
      <c r="TRE5" s="344"/>
      <c r="TRF5" s="344"/>
      <c r="TRG5" s="344"/>
      <c r="TRH5" s="344"/>
      <c r="TRI5" s="344"/>
      <c r="TRJ5" s="344"/>
      <c r="TRK5" s="344"/>
      <c r="TRL5" s="344"/>
      <c r="TRM5" s="344"/>
      <c r="TRN5" s="344"/>
      <c r="TRO5" s="344"/>
      <c r="TRP5" s="344"/>
      <c r="TRQ5" s="344"/>
      <c r="TRR5" s="344"/>
      <c r="TRS5" s="344"/>
      <c r="TRT5" s="344"/>
      <c r="TRU5" s="344"/>
      <c r="TRV5" s="344"/>
      <c r="TRW5" s="344"/>
      <c r="TRX5" s="344"/>
      <c r="TRY5" s="344"/>
      <c r="TRZ5" s="344"/>
      <c r="TSA5" s="344"/>
      <c r="TSB5" s="344"/>
      <c r="TSC5" s="344"/>
      <c r="TSD5" s="344"/>
      <c r="TSE5" s="344"/>
      <c r="TSF5" s="344"/>
      <c r="TSG5" s="344"/>
      <c r="TSH5" s="344"/>
      <c r="TSI5" s="344"/>
      <c r="TSJ5" s="344"/>
      <c r="TSK5" s="344"/>
      <c r="TSL5" s="344"/>
      <c r="TSM5" s="344"/>
      <c r="TSN5" s="344"/>
      <c r="TSO5" s="344"/>
      <c r="TSP5" s="344"/>
      <c r="TSQ5" s="344"/>
      <c r="TSR5" s="344"/>
      <c r="TSS5" s="344"/>
      <c r="TST5" s="344"/>
      <c r="TSU5" s="344"/>
      <c r="TSV5" s="344"/>
      <c r="TSW5" s="344"/>
      <c r="TSX5" s="344"/>
      <c r="TSY5" s="344"/>
      <c r="TSZ5" s="344"/>
      <c r="TTA5" s="344"/>
      <c r="TTB5" s="344"/>
      <c r="TTC5" s="344"/>
      <c r="TTD5" s="344"/>
      <c r="TTE5" s="344"/>
      <c r="TTF5" s="344"/>
      <c r="TTG5" s="344"/>
      <c r="TTH5" s="344"/>
      <c r="TTI5" s="344"/>
      <c r="TTJ5" s="344"/>
      <c r="TTK5" s="344"/>
      <c r="TTL5" s="344"/>
      <c r="TTM5" s="344"/>
      <c r="TTN5" s="344"/>
      <c r="TTO5" s="344"/>
      <c r="TTP5" s="344"/>
      <c r="TTQ5" s="344"/>
      <c r="TTR5" s="344"/>
      <c r="TTS5" s="344"/>
      <c r="TTT5" s="344"/>
      <c r="TTU5" s="344"/>
      <c r="TTV5" s="344"/>
      <c r="TTW5" s="344"/>
      <c r="TTX5" s="344"/>
      <c r="TTY5" s="344"/>
      <c r="TTZ5" s="344"/>
      <c r="TUA5" s="344"/>
      <c r="TUB5" s="344"/>
      <c r="TUC5" s="344"/>
      <c r="TUD5" s="344"/>
      <c r="TUE5" s="344"/>
      <c r="TUF5" s="344"/>
      <c r="TUG5" s="344"/>
      <c r="TUH5" s="344"/>
      <c r="TUI5" s="344"/>
      <c r="TUJ5" s="344"/>
      <c r="TUK5" s="344"/>
      <c r="TUL5" s="344"/>
      <c r="TUM5" s="344"/>
      <c r="TUN5" s="344"/>
      <c r="TUO5" s="344"/>
      <c r="TUP5" s="344"/>
      <c r="TUQ5" s="344"/>
      <c r="TUR5" s="344"/>
      <c r="TUS5" s="344"/>
      <c r="TUT5" s="344"/>
      <c r="TUU5" s="344"/>
      <c r="TUV5" s="344"/>
      <c r="TUW5" s="344"/>
      <c r="TUX5" s="344"/>
      <c r="TUY5" s="344"/>
      <c r="TUZ5" s="344"/>
      <c r="TVA5" s="344"/>
      <c r="TVB5" s="344"/>
      <c r="TVC5" s="344"/>
      <c r="TVD5" s="344"/>
      <c r="TVE5" s="344"/>
      <c r="TVF5" s="344"/>
      <c r="TVG5" s="344"/>
      <c r="TVH5" s="344"/>
      <c r="TVI5" s="344"/>
      <c r="TVJ5" s="344"/>
      <c r="TVK5" s="344"/>
      <c r="TVL5" s="344"/>
      <c r="TVM5" s="344"/>
      <c r="TVN5" s="344"/>
      <c r="TVO5" s="344"/>
      <c r="TVP5" s="344"/>
      <c r="TVQ5" s="344"/>
      <c r="TVR5" s="344"/>
      <c r="TVS5" s="344"/>
      <c r="TVT5" s="344"/>
      <c r="TVU5" s="344"/>
      <c r="TVV5" s="344"/>
      <c r="TVW5" s="344"/>
      <c r="TVX5" s="344"/>
      <c r="TVY5" s="344"/>
      <c r="TVZ5" s="344"/>
      <c r="TWA5" s="344"/>
      <c r="TWB5" s="344"/>
      <c r="TWC5" s="344"/>
      <c r="TWD5" s="344"/>
      <c r="TWE5" s="344"/>
      <c r="TWF5" s="344"/>
      <c r="TWG5" s="344"/>
      <c r="TWH5" s="344"/>
      <c r="TWI5" s="344"/>
      <c r="TWJ5" s="344"/>
      <c r="TWK5" s="344"/>
      <c r="TWL5" s="344"/>
      <c r="TWM5" s="344"/>
      <c r="TWN5" s="344"/>
      <c r="TWO5" s="344"/>
      <c r="TWP5" s="344"/>
      <c r="TWQ5" s="344"/>
      <c r="TWR5" s="344"/>
      <c r="TWS5" s="344"/>
      <c r="TWT5" s="344"/>
      <c r="TWU5" s="344"/>
      <c r="TWV5" s="344"/>
      <c r="TWW5" s="344"/>
      <c r="TWX5" s="344"/>
      <c r="TWY5" s="344"/>
      <c r="TWZ5" s="344"/>
      <c r="TXA5" s="344"/>
      <c r="TXB5" s="344"/>
      <c r="TXC5" s="344"/>
      <c r="TXD5" s="344"/>
      <c r="TXE5" s="344"/>
      <c r="TXF5" s="344"/>
      <c r="TXG5" s="344"/>
      <c r="TXH5" s="344"/>
      <c r="TXI5" s="344"/>
      <c r="TXJ5" s="344"/>
      <c r="TXK5" s="344"/>
      <c r="TXL5" s="344"/>
      <c r="TXM5" s="344"/>
      <c r="TXN5" s="344"/>
      <c r="TXO5" s="344"/>
      <c r="TXP5" s="344"/>
      <c r="TXQ5" s="344"/>
      <c r="TXR5" s="344"/>
      <c r="TXS5" s="344"/>
      <c r="TXT5" s="344"/>
      <c r="TXU5" s="344"/>
      <c r="TXV5" s="344"/>
      <c r="TXW5" s="344"/>
      <c r="TXX5" s="344"/>
      <c r="TXY5" s="344"/>
      <c r="TXZ5" s="344"/>
      <c r="TYA5" s="344"/>
      <c r="TYB5" s="344"/>
      <c r="TYC5" s="344"/>
      <c r="TYD5" s="344"/>
      <c r="TYE5" s="344"/>
      <c r="TYF5" s="344"/>
      <c r="TYG5" s="344"/>
      <c r="TYH5" s="344"/>
      <c r="TYI5" s="344"/>
      <c r="TYJ5" s="344"/>
      <c r="TYK5" s="344"/>
      <c r="TYL5" s="344"/>
      <c r="TYM5" s="344"/>
      <c r="TYN5" s="344"/>
      <c r="TYO5" s="344"/>
      <c r="TYP5" s="344"/>
      <c r="TYQ5" s="344"/>
      <c r="TYR5" s="344"/>
      <c r="TYS5" s="344"/>
      <c r="TYT5" s="344"/>
      <c r="TYU5" s="344"/>
      <c r="TYV5" s="344"/>
      <c r="TYW5" s="344"/>
      <c r="TYX5" s="344"/>
      <c r="TYY5" s="344"/>
      <c r="TYZ5" s="344"/>
      <c r="TZA5" s="344"/>
      <c r="TZB5" s="344"/>
      <c r="TZC5" s="344"/>
      <c r="TZD5" s="344"/>
      <c r="TZE5" s="344"/>
      <c r="TZF5" s="344"/>
      <c r="TZG5" s="344"/>
      <c r="TZH5" s="344"/>
      <c r="TZI5" s="344"/>
      <c r="TZJ5" s="344"/>
      <c r="TZK5" s="344"/>
      <c r="TZL5" s="344"/>
      <c r="TZM5" s="344"/>
      <c r="TZN5" s="344"/>
      <c r="TZO5" s="344"/>
      <c r="TZP5" s="344"/>
      <c r="TZQ5" s="344"/>
      <c r="TZR5" s="344"/>
      <c r="TZS5" s="344"/>
      <c r="TZT5" s="344"/>
      <c r="TZU5" s="344"/>
      <c r="TZV5" s="344"/>
      <c r="TZW5" s="344"/>
      <c r="TZX5" s="344"/>
      <c r="TZY5" s="344"/>
      <c r="TZZ5" s="344"/>
      <c r="UAA5" s="344"/>
      <c r="UAB5" s="344"/>
      <c r="UAC5" s="344"/>
      <c r="UAD5" s="344"/>
      <c r="UAE5" s="344"/>
      <c r="UAF5" s="344"/>
      <c r="UAG5" s="344"/>
      <c r="UAH5" s="344"/>
      <c r="UAI5" s="344"/>
      <c r="UAJ5" s="344"/>
      <c r="UAK5" s="344"/>
      <c r="UAL5" s="344"/>
      <c r="UAM5" s="344"/>
      <c r="UAN5" s="344"/>
      <c r="UAO5" s="344"/>
      <c r="UAP5" s="344"/>
      <c r="UAQ5" s="344"/>
      <c r="UAR5" s="344"/>
      <c r="UAS5" s="344"/>
      <c r="UAT5" s="344"/>
      <c r="UAU5" s="344"/>
      <c r="UAV5" s="344"/>
      <c r="UAW5" s="344"/>
      <c r="UAX5" s="344"/>
      <c r="UAY5" s="344"/>
      <c r="UAZ5" s="344"/>
      <c r="UBA5" s="344"/>
      <c r="UBB5" s="344"/>
      <c r="UBC5" s="344"/>
      <c r="UBD5" s="344"/>
      <c r="UBE5" s="344"/>
      <c r="UBF5" s="344"/>
      <c r="UBG5" s="344"/>
      <c r="UBH5" s="344"/>
      <c r="UBI5" s="344"/>
      <c r="UBJ5" s="344"/>
      <c r="UBK5" s="344"/>
      <c r="UBL5" s="344"/>
      <c r="UBM5" s="344"/>
      <c r="UBN5" s="344"/>
      <c r="UBO5" s="344"/>
      <c r="UBP5" s="344"/>
      <c r="UBQ5" s="344"/>
      <c r="UBR5" s="344"/>
      <c r="UBS5" s="344"/>
      <c r="UBT5" s="344"/>
      <c r="UBU5" s="344"/>
      <c r="UBV5" s="344"/>
      <c r="UBW5" s="344"/>
      <c r="UBX5" s="344"/>
      <c r="UBY5" s="344"/>
      <c r="UBZ5" s="344"/>
      <c r="UCA5" s="344"/>
      <c r="UCB5" s="344"/>
      <c r="UCC5" s="344"/>
      <c r="UCD5" s="344"/>
      <c r="UCE5" s="344"/>
      <c r="UCF5" s="344"/>
      <c r="UCG5" s="344"/>
      <c r="UCH5" s="344"/>
      <c r="UCI5" s="344"/>
      <c r="UCJ5" s="344"/>
      <c r="UCK5" s="344"/>
      <c r="UCL5" s="344"/>
      <c r="UCM5" s="344"/>
      <c r="UCN5" s="344"/>
      <c r="UCO5" s="344"/>
      <c r="UCP5" s="344"/>
      <c r="UCQ5" s="344"/>
      <c r="UCR5" s="344"/>
      <c r="UCS5" s="344"/>
      <c r="UCT5" s="344"/>
      <c r="UCU5" s="344"/>
      <c r="UCV5" s="344"/>
      <c r="UCW5" s="344"/>
      <c r="UCX5" s="344"/>
      <c r="UCY5" s="344"/>
      <c r="UCZ5" s="344"/>
      <c r="UDA5" s="344"/>
      <c r="UDB5" s="344"/>
      <c r="UDC5" s="344"/>
      <c r="UDD5" s="344"/>
      <c r="UDE5" s="344"/>
      <c r="UDF5" s="344"/>
      <c r="UDG5" s="344"/>
      <c r="UDH5" s="344"/>
      <c r="UDI5" s="344"/>
      <c r="UDJ5" s="344"/>
      <c r="UDK5" s="344"/>
      <c r="UDL5" s="344"/>
      <c r="UDM5" s="344"/>
      <c r="UDN5" s="344"/>
      <c r="UDO5" s="344"/>
      <c r="UDP5" s="344"/>
      <c r="UDQ5" s="344"/>
      <c r="UDR5" s="344"/>
      <c r="UDS5" s="344"/>
      <c r="UDT5" s="344"/>
      <c r="UDU5" s="344"/>
      <c r="UDV5" s="344"/>
      <c r="UDW5" s="344"/>
      <c r="UDX5" s="344"/>
      <c r="UDY5" s="344"/>
      <c r="UDZ5" s="344"/>
      <c r="UEA5" s="344"/>
      <c r="UEB5" s="344"/>
      <c r="UEC5" s="344"/>
      <c r="UED5" s="344"/>
      <c r="UEE5" s="344"/>
      <c r="UEF5" s="344"/>
      <c r="UEG5" s="344"/>
      <c r="UEH5" s="344"/>
      <c r="UEI5" s="344"/>
      <c r="UEJ5" s="344"/>
      <c r="UEK5" s="344"/>
      <c r="UEL5" s="344"/>
      <c r="UEM5" s="344"/>
      <c r="UEN5" s="344"/>
      <c r="UEO5" s="344"/>
      <c r="UEP5" s="344"/>
      <c r="UEQ5" s="344"/>
      <c r="UER5" s="344"/>
      <c r="UES5" s="344"/>
      <c r="UET5" s="344"/>
      <c r="UEU5" s="344"/>
      <c r="UEV5" s="344"/>
      <c r="UEW5" s="344"/>
      <c r="UEX5" s="344"/>
      <c r="UEY5" s="344"/>
      <c r="UEZ5" s="344"/>
      <c r="UFA5" s="344"/>
      <c r="UFB5" s="344"/>
      <c r="UFC5" s="344"/>
      <c r="UFD5" s="344"/>
      <c r="UFE5" s="344"/>
      <c r="UFF5" s="344"/>
      <c r="UFG5" s="344"/>
      <c r="UFH5" s="344"/>
      <c r="UFI5" s="344"/>
      <c r="UFJ5" s="344"/>
      <c r="UFK5" s="344"/>
      <c r="UFL5" s="344"/>
      <c r="UFM5" s="344"/>
      <c r="UFN5" s="344"/>
      <c r="UFO5" s="344"/>
      <c r="UFP5" s="344"/>
      <c r="UFQ5" s="344"/>
      <c r="UFR5" s="344"/>
      <c r="UFS5" s="344"/>
      <c r="UFT5" s="344"/>
      <c r="UFU5" s="344"/>
      <c r="UFV5" s="344"/>
      <c r="UFW5" s="344"/>
      <c r="UFX5" s="344"/>
      <c r="UFY5" s="344"/>
      <c r="UFZ5" s="344"/>
      <c r="UGA5" s="344"/>
      <c r="UGB5" s="344"/>
      <c r="UGC5" s="344"/>
      <c r="UGD5" s="344"/>
      <c r="UGE5" s="344"/>
      <c r="UGF5" s="344"/>
      <c r="UGG5" s="344"/>
      <c r="UGH5" s="344"/>
      <c r="UGI5" s="344"/>
      <c r="UGJ5" s="344"/>
      <c r="UGK5" s="344"/>
      <c r="UGL5" s="344"/>
      <c r="UGM5" s="344"/>
      <c r="UGN5" s="344"/>
      <c r="UGO5" s="344"/>
      <c r="UGP5" s="344"/>
      <c r="UGQ5" s="344"/>
      <c r="UGR5" s="344"/>
      <c r="UGS5" s="344"/>
      <c r="UGT5" s="344"/>
      <c r="UGU5" s="344"/>
      <c r="UGV5" s="344"/>
      <c r="UGW5" s="344"/>
      <c r="UGX5" s="344"/>
      <c r="UGY5" s="344"/>
      <c r="UGZ5" s="344"/>
      <c r="UHA5" s="344"/>
      <c r="UHB5" s="344"/>
      <c r="UHC5" s="344"/>
      <c r="UHD5" s="344"/>
      <c r="UHE5" s="344"/>
      <c r="UHF5" s="344"/>
      <c r="UHG5" s="344"/>
      <c r="UHH5" s="344"/>
      <c r="UHI5" s="344"/>
      <c r="UHJ5" s="344"/>
      <c r="UHK5" s="344"/>
      <c r="UHL5" s="344"/>
      <c r="UHM5" s="344"/>
      <c r="UHN5" s="344"/>
      <c r="UHO5" s="344"/>
      <c r="UHP5" s="344"/>
      <c r="UHQ5" s="344"/>
      <c r="UHR5" s="344"/>
      <c r="UHS5" s="344"/>
      <c r="UHT5" s="344"/>
      <c r="UHU5" s="344"/>
      <c r="UHV5" s="344"/>
      <c r="UHW5" s="344"/>
      <c r="UHX5" s="344"/>
      <c r="UHY5" s="344"/>
      <c r="UHZ5" s="344"/>
      <c r="UIA5" s="344"/>
      <c r="UIB5" s="344"/>
      <c r="UIC5" s="344"/>
      <c r="UID5" s="344"/>
      <c r="UIE5" s="344"/>
      <c r="UIF5" s="344"/>
      <c r="UIG5" s="344"/>
      <c r="UIH5" s="344"/>
      <c r="UII5" s="344"/>
      <c r="UIJ5" s="344"/>
      <c r="UIK5" s="344"/>
      <c r="UIL5" s="344"/>
      <c r="UIM5" s="344"/>
      <c r="UIN5" s="344"/>
      <c r="UIO5" s="344"/>
      <c r="UIP5" s="344"/>
      <c r="UIQ5" s="344"/>
      <c r="UIR5" s="344"/>
      <c r="UIS5" s="344"/>
      <c r="UIT5" s="344"/>
      <c r="UIU5" s="344"/>
      <c r="UIV5" s="344"/>
      <c r="UIW5" s="344"/>
      <c r="UIX5" s="344"/>
      <c r="UIY5" s="344"/>
      <c r="UIZ5" s="344"/>
      <c r="UJA5" s="344"/>
      <c r="UJB5" s="344"/>
      <c r="UJC5" s="344"/>
      <c r="UJD5" s="344"/>
      <c r="UJE5" s="344"/>
      <c r="UJF5" s="344"/>
      <c r="UJG5" s="344"/>
      <c r="UJH5" s="344"/>
      <c r="UJI5" s="344"/>
      <c r="UJJ5" s="344"/>
      <c r="UJK5" s="344"/>
      <c r="UJL5" s="344"/>
      <c r="UJM5" s="344"/>
      <c r="UJN5" s="344"/>
      <c r="UJO5" s="344"/>
      <c r="UJP5" s="344"/>
      <c r="UJQ5" s="344"/>
      <c r="UJR5" s="344"/>
      <c r="UJS5" s="344"/>
      <c r="UJT5" s="344"/>
      <c r="UJU5" s="344"/>
      <c r="UJV5" s="344"/>
      <c r="UJW5" s="344"/>
      <c r="UJX5" s="344"/>
      <c r="UJY5" s="344"/>
      <c r="UJZ5" s="344"/>
      <c r="UKA5" s="344"/>
      <c r="UKB5" s="344"/>
      <c r="UKC5" s="344"/>
      <c r="UKD5" s="344"/>
      <c r="UKE5" s="344"/>
      <c r="UKF5" s="344"/>
      <c r="UKG5" s="344"/>
      <c r="UKH5" s="344"/>
      <c r="UKI5" s="344"/>
      <c r="UKJ5" s="344"/>
      <c r="UKK5" s="344"/>
      <c r="UKL5" s="344"/>
      <c r="UKM5" s="344"/>
      <c r="UKN5" s="344"/>
      <c r="UKO5" s="344"/>
      <c r="UKP5" s="344"/>
      <c r="UKQ5" s="344"/>
      <c r="UKR5" s="344"/>
      <c r="UKS5" s="344"/>
      <c r="UKT5" s="344"/>
      <c r="UKU5" s="344"/>
      <c r="UKV5" s="344"/>
      <c r="UKW5" s="344"/>
      <c r="UKX5" s="344"/>
      <c r="UKY5" s="344"/>
      <c r="UKZ5" s="344"/>
      <c r="ULA5" s="344"/>
      <c r="ULB5" s="344"/>
      <c r="ULC5" s="344"/>
      <c r="ULD5" s="344"/>
      <c r="ULE5" s="344"/>
      <c r="ULF5" s="344"/>
      <c r="ULG5" s="344"/>
      <c r="ULH5" s="344"/>
      <c r="ULI5" s="344"/>
      <c r="ULJ5" s="344"/>
      <c r="ULK5" s="344"/>
      <c r="ULL5" s="344"/>
      <c r="ULM5" s="344"/>
      <c r="ULN5" s="344"/>
      <c r="ULO5" s="344"/>
      <c r="ULP5" s="344"/>
      <c r="ULQ5" s="344"/>
      <c r="ULR5" s="344"/>
      <c r="ULS5" s="344"/>
      <c r="ULT5" s="344"/>
      <c r="ULU5" s="344"/>
      <c r="ULV5" s="344"/>
      <c r="ULW5" s="344"/>
      <c r="ULX5" s="344"/>
      <c r="ULY5" s="344"/>
      <c r="ULZ5" s="344"/>
      <c r="UMA5" s="344"/>
      <c r="UMB5" s="344"/>
      <c r="UMC5" s="344"/>
      <c r="UMD5" s="344"/>
      <c r="UME5" s="344"/>
      <c r="UMF5" s="344"/>
      <c r="UMG5" s="344"/>
      <c r="UMH5" s="344"/>
      <c r="UMI5" s="344"/>
      <c r="UMJ5" s="344"/>
      <c r="UMK5" s="344"/>
      <c r="UML5" s="344"/>
      <c r="UMM5" s="344"/>
      <c r="UMN5" s="344"/>
      <c r="UMO5" s="344"/>
      <c r="UMP5" s="344"/>
      <c r="UMQ5" s="344"/>
      <c r="UMR5" s="344"/>
      <c r="UMS5" s="344"/>
      <c r="UMT5" s="344"/>
      <c r="UMU5" s="344"/>
      <c r="UMV5" s="344"/>
      <c r="UMW5" s="344"/>
      <c r="UMX5" s="344"/>
      <c r="UMY5" s="344"/>
      <c r="UMZ5" s="344"/>
      <c r="UNA5" s="344"/>
      <c r="UNB5" s="344"/>
      <c r="UNC5" s="344"/>
      <c r="UND5" s="344"/>
      <c r="UNE5" s="344"/>
      <c r="UNF5" s="344"/>
      <c r="UNG5" s="344"/>
      <c r="UNH5" s="344"/>
      <c r="UNI5" s="344"/>
      <c r="UNJ5" s="344"/>
      <c r="UNK5" s="344"/>
      <c r="UNL5" s="344"/>
      <c r="UNM5" s="344"/>
      <c r="UNN5" s="344"/>
      <c r="UNO5" s="344"/>
      <c r="UNP5" s="344"/>
      <c r="UNQ5" s="344"/>
      <c r="UNR5" s="344"/>
      <c r="UNS5" s="344"/>
      <c r="UNT5" s="344"/>
      <c r="UNU5" s="344"/>
      <c r="UNV5" s="344"/>
      <c r="UNW5" s="344"/>
      <c r="UNX5" s="344"/>
      <c r="UNY5" s="344"/>
      <c r="UNZ5" s="344"/>
      <c r="UOA5" s="344"/>
      <c r="UOB5" s="344"/>
      <c r="UOC5" s="344"/>
      <c r="UOD5" s="344"/>
      <c r="UOE5" s="344"/>
      <c r="UOF5" s="344"/>
      <c r="UOG5" s="344"/>
      <c r="UOH5" s="344"/>
      <c r="UOI5" s="344"/>
      <c r="UOJ5" s="344"/>
      <c r="UOK5" s="344"/>
      <c r="UOL5" s="344"/>
      <c r="UOM5" s="344"/>
      <c r="UON5" s="344"/>
      <c r="UOO5" s="344"/>
      <c r="UOP5" s="344"/>
      <c r="UOQ5" s="344"/>
      <c r="UOR5" s="344"/>
      <c r="UOS5" s="344"/>
      <c r="UOT5" s="344"/>
      <c r="UOU5" s="344"/>
      <c r="UOV5" s="344"/>
      <c r="UOW5" s="344"/>
      <c r="UOX5" s="344"/>
      <c r="UOY5" s="344"/>
      <c r="UOZ5" s="344"/>
      <c r="UPA5" s="344"/>
      <c r="UPB5" s="344"/>
      <c r="UPC5" s="344"/>
      <c r="UPD5" s="344"/>
      <c r="UPE5" s="344"/>
      <c r="UPF5" s="344"/>
      <c r="UPG5" s="344"/>
      <c r="UPH5" s="344"/>
      <c r="UPI5" s="344"/>
      <c r="UPJ5" s="344"/>
      <c r="UPK5" s="344"/>
      <c r="UPL5" s="344"/>
      <c r="UPM5" s="344"/>
      <c r="UPN5" s="344"/>
      <c r="UPO5" s="344"/>
      <c r="UPP5" s="344"/>
      <c r="UPQ5" s="344"/>
      <c r="UPR5" s="344"/>
      <c r="UPS5" s="344"/>
      <c r="UPT5" s="344"/>
      <c r="UPU5" s="344"/>
      <c r="UPV5" s="344"/>
      <c r="UPW5" s="344"/>
      <c r="UPX5" s="344"/>
      <c r="UPY5" s="344"/>
      <c r="UPZ5" s="344"/>
      <c r="UQA5" s="344"/>
      <c r="UQB5" s="344"/>
      <c r="UQC5" s="344"/>
      <c r="UQD5" s="344"/>
      <c r="UQE5" s="344"/>
      <c r="UQF5" s="344"/>
      <c r="UQG5" s="344"/>
      <c r="UQH5" s="344"/>
      <c r="UQI5" s="344"/>
      <c r="UQJ5" s="344"/>
      <c r="UQK5" s="344"/>
      <c r="UQL5" s="344"/>
      <c r="UQM5" s="344"/>
      <c r="UQN5" s="344"/>
      <c r="UQO5" s="344"/>
      <c r="UQP5" s="344"/>
      <c r="UQQ5" s="344"/>
      <c r="UQR5" s="344"/>
      <c r="UQS5" s="344"/>
      <c r="UQT5" s="344"/>
      <c r="UQU5" s="344"/>
      <c r="UQV5" s="344"/>
      <c r="UQW5" s="344"/>
      <c r="UQX5" s="344"/>
      <c r="UQY5" s="344"/>
      <c r="UQZ5" s="344"/>
      <c r="URA5" s="344"/>
      <c r="URB5" s="344"/>
      <c r="URC5" s="344"/>
      <c r="URD5" s="344"/>
      <c r="URE5" s="344"/>
      <c r="URF5" s="344"/>
      <c r="URG5" s="344"/>
      <c r="URH5" s="344"/>
      <c r="URI5" s="344"/>
      <c r="URJ5" s="344"/>
      <c r="URK5" s="344"/>
      <c r="URL5" s="344"/>
      <c r="URM5" s="344"/>
      <c r="URN5" s="344"/>
      <c r="URO5" s="344"/>
      <c r="URP5" s="344"/>
      <c r="URQ5" s="344"/>
      <c r="URR5" s="344"/>
      <c r="URS5" s="344"/>
      <c r="URT5" s="344"/>
      <c r="URU5" s="344"/>
      <c r="URV5" s="344"/>
      <c r="URW5" s="344"/>
      <c r="URX5" s="344"/>
      <c r="URY5" s="344"/>
      <c r="URZ5" s="344"/>
      <c r="USA5" s="344"/>
      <c r="USB5" s="344"/>
      <c r="USC5" s="344"/>
      <c r="USD5" s="344"/>
      <c r="USE5" s="344"/>
      <c r="USF5" s="344"/>
      <c r="USG5" s="344"/>
      <c r="USH5" s="344"/>
      <c r="USI5" s="344"/>
      <c r="USJ5" s="344"/>
      <c r="USK5" s="344"/>
      <c r="USL5" s="344"/>
      <c r="USM5" s="344"/>
      <c r="USN5" s="344"/>
      <c r="USO5" s="344"/>
      <c r="USP5" s="344"/>
      <c r="USQ5" s="344"/>
      <c r="USR5" s="344"/>
      <c r="USS5" s="344"/>
      <c r="UST5" s="344"/>
      <c r="USU5" s="344"/>
      <c r="USV5" s="344"/>
      <c r="USW5" s="344"/>
      <c r="USX5" s="344"/>
      <c r="USY5" s="344"/>
      <c r="USZ5" s="344"/>
      <c r="UTA5" s="344"/>
      <c r="UTB5" s="344"/>
      <c r="UTC5" s="344"/>
      <c r="UTD5" s="344"/>
      <c r="UTE5" s="344"/>
      <c r="UTF5" s="344"/>
      <c r="UTG5" s="344"/>
      <c r="UTH5" s="344"/>
      <c r="UTI5" s="344"/>
      <c r="UTJ5" s="344"/>
      <c r="UTK5" s="344"/>
      <c r="UTL5" s="344"/>
      <c r="UTM5" s="344"/>
      <c r="UTN5" s="344"/>
      <c r="UTO5" s="344"/>
      <c r="UTP5" s="344"/>
      <c r="UTQ5" s="344"/>
      <c r="UTR5" s="344"/>
      <c r="UTS5" s="344"/>
      <c r="UTT5" s="344"/>
      <c r="UTU5" s="344"/>
      <c r="UTV5" s="344"/>
      <c r="UTW5" s="344"/>
      <c r="UTX5" s="344"/>
      <c r="UTY5" s="344"/>
      <c r="UTZ5" s="344"/>
      <c r="UUA5" s="344"/>
      <c r="UUB5" s="344"/>
      <c r="UUC5" s="344"/>
      <c r="UUD5" s="344"/>
      <c r="UUE5" s="344"/>
      <c r="UUF5" s="344"/>
      <c r="UUG5" s="344"/>
      <c r="UUH5" s="344"/>
      <c r="UUI5" s="344"/>
      <c r="UUJ5" s="344"/>
      <c r="UUK5" s="344"/>
      <c r="UUL5" s="344"/>
      <c r="UUM5" s="344"/>
      <c r="UUN5" s="344"/>
      <c r="UUO5" s="344"/>
      <c r="UUP5" s="344"/>
      <c r="UUQ5" s="344"/>
      <c r="UUR5" s="344"/>
      <c r="UUS5" s="344"/>
      <c r="UUT5" s="344"/>
      <c r="UUU5" s="344"/>
      <c r="UUV5" s="344"/>
      <c r="UUW5" s="344"/>
      <c r="UUX5" s="344"/>
      <c r="UUY5" s="344"/>
      <c r="UUZ5" s="344"/>
      <c r="UVA5" s="344"/>
      <c r="UVB5" s="344"/>
      <c r="UVC5" s="344"/>
      <c r="UVD5" s="344"/>
      <c r="UVE5" s="344"/>
      <c r="UVF5" s="344"/>
      <c r="UVG5" s="344"/>
      <c r="UVH5" s="344"/>
      <c r="UVI5" s="344"/>
      <c r="UVJ5" s="344"/>
      <c r="UVK5" s="344"/>
      <c r="UVL5" s="344"/>
      <c r="UVM5" s="344"/>
      <c r="UVN5" s="344"/>
      <c r="UVO5" s="344"/>
      <c r="UVP5" s="344"/>
      <c r="UVQ5" s="344"/>
      <c r="UVR5" s="344"/>
      <c r="UVS5" s="344"/>
      <c r="UVT5" s="344"/>
      <c r="UVU5" s="344"/>
      <c r="UVV5" s="344"/>
      <c r="UVW5" s="344"/>
      <c r="UVX5" s="344"/>
      <c r="UVY5" s="344"/>
      <c r="UVZ5" s="344"/>
      <c r="UWA5" s="344"/>
      <c r="UWB5" s="344"/>
      <c r="UWC5" s="344"/>
      <c r="UWD5" s="344"/>
      <c r="UWE5" s="344"/>
      <c r="UWF5" s="344"/>
      <c r="UWG5" s="344"/>
      <c r="UWH5" s="344"/>
      <c r="UWI5" s="344"/>
      <c r="UWJ5" s="344"/>
      <c r="UWK5" s="344"/>
      <c r="UWL5" s="344"/>
      <c r="UWM5" s="344"/>
      <c r="UWN5" s="344"/>
      <c r="UWO5" s="344"/>
      <c r="UWP5" s="344"/>
      <c r="UWQ5" s="344"/>
      <c r="UWR5" s="344"/>
      <c r="UWS5" s="344"/>
      <c r="UWT5" s="344"/>
      <c r="UWU5" s="344"/>
      <c r="UWV5" s="344"/>
      <c r="UWW5" s="344"/>
      <c r="UWX5" s="344"/>
      <c r="UWY5" s="344"/>
      <c r="UWZ5" s="344"/>
      <c r="UXA5" s="344"/>
      <c r="UXB5" s="344"/>
      <c r="UXC5" s="344"/>
      <c r="UXD5" s="344"/>
      <c r="UXE5" s="344"/>
      <c r="UXF5" s="344"/>
      <c r="UXG5" s="344"/>
      <c r="UXH5" s="344"/>
      <c r="UXI5" s="344"/>
      <c r="UXJ5" s="344"/>
      <c r="UXK5" s="344"/>
      <c r="UXL5" s="344"/>
      <c r="UXM5" s="344"/>
      <c r="UXN5" s="344"/>
      <c r="UXO5" s="344"/>
      <c r="UXP5" s="344"/>
      <c r="UXQ5" s="344"/>
      <c r="UXR5" s="344"/>
      <c r="UXS5" s="344"/>
      <c r="UXT5" s="344"/>
      <c r="UXU5" s="344"/>
      <c r="UXV5" s="344"/>
      <c r="UXW5" s="344"/>
      <c r="UXX5" s="344"/>
      <c r="UXY5" s="344"/>
      <c r="UXZ5" s="344"/>
      <c r="UYA5" s="344"/>
      <c r="UYB5" s="344"/>
      <c r="UYC5" s="344"/>
      <c r="UYD5" s="344"/>
      <c r="UYE5" s="344"/>
      <c r="UYF5" s="344"/>
      <c r="UYG5" s="344"/>
      <c r="UYH5" s="344"/>
      <c r="UYI5" s="344"/>
      <c r="UYJ5" s="344"/>
      <c r="UYK5" s="344"/>
      <c r="UYL5" s="344"/>
      <c r="UYM5" s="344"/>
      <c r="UYN5" s="344"/>
      <c r="UYO5" s="344"/>
      <c r="UYP5" s="344"/>
      <c r="UYQ5" s="344"/>
      <c r="UYR5" s="344"/>
      <c r="UYS5" s="344"/>
      <c r="UYT5" s="344"/>
      <c r="UYU5" s="344"/>
      <c r="UYV5" s="344"/>
      <c r="UYW5" s="344"/>
      <c r="UYX5" s="344"/>
      <c r="UYY5" s="344"/>
      <c r="UYZ5" s="344"/>
      <c r="UZA5" s="344"/>
      <c r="UZB5" s="344"/>
      <c r="UZC5" s="344"/>
      <c r="UZD5" s="344"/>
      <c r="UZE5" s="344"/>
      <c r="UZF5" s="344"/>
      <c r="UZG5" s="344"/>
      <c r="UZH5" s="344"/>
      <c r="UZI5" s="344"/>
      <c r="UZJ5" s="344"/>
      <c r="UZK5" s="344"/>
      <c r="UZL5" s="344"/>
      <c r="UZM5" s="344"/>
      <c r="UZN5" s="344"/>
      <c r="UZO5" s="344"/>
      <c r="UZP5" s="344"/>
      <c r="UZQ5" s="344"/>
      <c r="UZR5" s="344"/>
      <c r="UZS5" s="344"/>
      <c r="UZT5" s="344"/>
      <c r="UZU5" s="344"/>
      <c r="UZV5" s="344"/>
      <c r="UZW5" s="344"/>
      <c r="UZX5" s="344"/>
      <c r="UZY5" s="344"/>
      <c r="UZZ5" s="344"/>
      <c r="VAA5" s="344"/>
      <c r="VAB5" s="344"/>
      <c r="VAC5" s="344"/>
      <c r="VAD5" s="344"/>
      <c r="VAE5" s="344"/>
      <c r="VAF5" s="344"/>
      <c r="VAG5" s="344"/>
      <c r="VAH5" s="344"/>
      <c r="VAI5" s="344"/>
      <c r="VAJ5" s="344"/>
      <c r="VAK5" s="344"/>
      <c r="VAL5" s="344"/>
      <c r="VAM5" s="344"/>
      <c r="VAN5" s="344"/>
      <c r="VAO5" s="344"/>
      <c r="VAP5" s="344"/>
      <c r="VAQ5" s="344"/>
      <c r="VAR5" s="344"/>
      <c r="VAS5" s="344"/>
      <c r="VAT5" s="344"/>
      <c r="VAU5" s="344"/>
      <c r="VAV5" s="344"/>
      <c r="VAW5" s="344"/>
      <c r="VAX5" s="344"/>
      <c r="VAY5" s="344"/>
      <c r="VAZ5" s="344"/>
      <c r="VBA5" s="344"/>
      <c r="VBB5" s="344"/>
      <c r="VBC5" s="344"/>
      <c r="VBD5" s="344"/>
      <c r="VBE5" s="344"/>
      <c r="VBF5" s="344"/>
      <c r="VBG5" s="344"/>
      <c r="VBH5" s="344"/>
      <c r="VBI5" s="344"/>
      <c r="VBJ5" s="344"/>
      <c r="VBK5" s="344"/>
      <c r="VBL5" s="344"/>
      <c r="VBM5" s="344"/>
      <c r="VBN5" s="344"/>
      <c r="VBO5" s="344"/>
      <c r="VBP5" s="344"/>
      <c r="VBQ5" s="344"/>
      <c r="VBR5" s="344"/>
      <c r="VBS5" s="344"/>
      <c r="VBT5" s="344"/>
      <c r="VBU5" s="344"/>
      <c r="VBV5" s="344"/>
      <c r="VBW5" s="344"/>
      <c r="VBX5" s="344"/>
      <c r="VBY5" s="344"/>
      <c r="VBZ5" s="344"/>
      <c r="VCA5" s="344"/>
      <c r="VCB5" s="344"/>
      <c r="VCC5" s="344"/>
      <c r="VCD5" s="344"/>
      <c r="VCE5" s="344"/>
      <c r="VCF5" s="344"/>
      <c r="VCG5" s="344"/>
      <c r="VCH5" s="344"/>
      <c r="VCI5" s="344"/>
      <c r="VCJ5" s="344"/>
      <c r="VCK5" s="344"/>
      <c r="VCL5" s="344"/>
      <c r="VCM5" s="344"/>
      <c r="VCN5" s="344"/>
      <c r="VCO5" s="344"/>
      <c r="VCP5" s="344"/>
      <c r="VCQ5" s="344"/>
      <c r="VCR5" s="344"/>
      <c r="VCS5" s="344"/>
      <c r="VCT5" s="344"/>
      <c r="VCU5" s="344"/>
      <c r="VCV5" s="344"/>
      <c r="VCW5" s="344"/>
      <c r="VCX5" s="344"/>
      <c r="VCY5" s="344"/>
      <c r="VCZ5" s="344"/>
      <c r="VDA5" s="344"/>
      <c r="VDB5" s="344"/>
      <c r="VDC5" s="344"/>
      <c r="VDD5" s="344"/>
      <c r="VDE5" s="344"/>
      <c r="VDF5" s="344"/>
      <c r="VDG5" s="344"/>
      <c r="VDH5" s="344"/>
      <c r="VDI5" s="344"/>
      <c r="VDJ5" s="344"/>
      <c r="VDK5" s="344"/>
      <c r="VDL5" s="344"/>
      <c r="VDM5" s="344"/>
      <c r="VDN5" s="344"/>
      <c r="VDO5" s="344"/>
      <c r="VDP5" s="344"/>
      <c r="VDQ5" s="344"/>
      <c r="VDR5" s="344"/>
      <c r="VDS5" s="344"/>
      <c r="VDT5" s="344"/>
      <c r="VDU5" s="344"/>
      <c r="VDV5" s="344"/>
      <c r="VDW5" s="344"/>
      <c r="VDX5" s="344"/>
      <c r="VDY5" s="344"/>
      <c r="VDZ5" s="344"/>
      <c r="VEA5" s="344"/>
      <c r="VEB5" s="344"/>
      <c r="VEC5" s="344"/>
      <c r="VED5" s="344"/>
      <c r="VEE5" s="344"/>
      <c r="VEF5" s="344"/>
      <c r="VEG5" s="344"/>
      <c r="VEH5" s="344"/>
      <c r="VEI5" s="344"/>
      <c r="VEJ5" s="344"/>
      <c r="VEK5" s="344"/>
      <c r="VEL5" s="344"/>
      <c r="VEM5" s="344"/>
      <c r="VEN5" s="344"/>
      <c r="VEO5" s="344"/>
      <c r="VEP5" s="344"/>
      <c r="VEQ5" s="344"/>
      <c r="VER5" s="344"/>
      <c r="VES5" s="344"/>
      <c r="VET5" s="344"/>
      <c r="VEU5" s="344"/>
      <c r="VEV5" s="344"/>
      <c r="VEW5" s="344"/>
      <c r="VEX5" s="344"/>
      <c r="VEY5" s="344"/>
      <c r="VEZ5" s="344"/>
      <c r="VFA5" s="344"/>
      <c r="VFB5" s="344"/>
      <c r="VFC5" s="344"/>
      <c r="VFD5" s="344"/>
      <c r="VFE5" s="344"/>
      <c r="VFF5" s="344"/>
      <c r="VFG5" s="344"/>
      <c r="VFH5" s="344"/>
      <c r="VFI5" s="344"/>
      <c r="VFJ5" s="344"/>
      <c r="VFK5" s="344"/>
      <c r="VFL5" s="344"/>
      <c r="VFM5" s="344"/>
      <c r="VFN5" s="344"/>
      <c r="VFO5" s="344"/>
      <c r="VFP5" s="344"/>
      <c r="VFQ5" s="344"/>
      <c r="VFR5" s="344"/>
      <c r="VFS5" s="344"/>
      <c r="VFT5" s="344"/>
      <c r="VFU5" s="344"/>
      <c r="VFV5" s="344"/>
      <c r="VFW5" s="344"/>
      <c r="VFX5" s="344"/>
      <c r="VFY5" s="344"/>
      <c r="VFZ5" s="344"/>
      <c r="VGA5" s="344"/>
      <c r="VGB5" s="344"/>
      <c r="VGC5" s="344"/>
      <c r="VGD5" s="344"/>
      <c r="VGE5" s="344"/>
      <c r="VGF5" s="344"/>
      <c r="VGG5" s="344"/>
      <c r="VGH5" s="344"/>
      <c r="VGI5" s="344"/>
      <c r="VGJ5" s="344"/>
      <c r="VGK5" s="344"/>
      <c r="VGL5" s="344"/>
      <c r="VGM5" s="344"/>
      <c r="VGN5" s="344"/>
      <c r="VGO5" s="344"/>
      <c r="VGP5" s="344"/>
      <c r="VGQ5" s="344"/>
      <c r="VGR5" s="344"/>
      <c r="VGS5" s="344"/>
      <c r="VGT5" s="344"/>
      <c r="VGU5" s="344"/>
      <c r="VGV5" s="344"/>
      <c r="VGW5" s="344"/>
      <c r="VGX5" s="344"/>
      <c r="VGY5" s="344"/>
      <c r="VGZ5" s="344"/>
      <c r="VHA5" s="344"/>
      <c r="VHB5" s="344"/>
      <c r="VHC5" s="344"/>
      <c r="VHD5" s="344"/>
      <c r="VHE5" s="344"/>
      <c r="VHF5" s="344"/>
      <c r="VHG5" s="344"/>
      <c r="VHH5" s="344"/>
      <c r="VHI5" s="344"/>
      <c r="VHJ5" s="344"/>
      <c r="VHK5" s="344"/>
      <c r="VHL5" s="344"/>
      <c r="VHM5" s="344"/>
      <c r="VHN5" s="344"/>
      <c r="VHO5" s="344"/>
      <c r="VHP5" s="344"/>
      <c r="VHQ5" s="344"/>
      <c r="VHR5" s="344"/>
      <c r="VHS5" s="344"/>
      <c r="VHT5" s="344"/>
      <c r="VHU5" s="344"/>
      <c r="VHV5" s="344"/>
      <c r="VHW5" s="344"/>
      <c r="VHX5" s="344"/>
      <c r="VHY5" s="344"/>
      <c r="VHZ5" s="344"/>
      <c r="VIA5" s="344"/>
      <c r="VIB5" s="344"/>
      <c r="VIC5" s="344"/>
      <c r="VID5" s="344"/>
      <c r="VIE5" s="344"/>
      <c r="VIF5" s="344"/>
      <c r="VIG5" s="344"/>
      <c r="VIH5" s="344"/>
      <c r="VII5" s="344"/>
      <c r="VIJ5" s="344"/>
      <c r="VIK5" s="344"/>
      <c r="VIL5" s="344"/>
      <c r="VIM5" s="344"/>
      <c r="VIN5" s="344"/>
      <c r="VIO5" s="344"/>
      <c r="VIP5" s="344"/>
      <c r="VIQ5" s="344"/>
      <c r="VIR5" s="344"/>
      <c r="VIS5" s="344"/>
      <c r="VIT5" s="344"/>
      <c r="VIU5" s="344"/>
      <c r="VIV5" s="344"/>
      <c r="VIW5" s="344"/>
      <c r="VIX5" s="344"/>
      <c r="VIY5" s="344"/>
      <c r="VIZ5" s="344"/>
      <c r="VJA5" s="344"/>
      <c r="VJB5" s="344"/>
      <c r="VJC5" s="344"/>
      <c r="VJD5" s="344"/>
      <c r="VJE5" s="344"/>
      <c r="VJF5" s="344"/>
      <c r="VJG5" s="344"/>
      <c r="VJH5" s="344"/>
      <c r="VJI5" s="344"/>
      <c r="VJJ5" s="344"/>
      <c r="VJK5" s="344"/>
      <c r="VJL5" s="344"/>
      <c r="VJM5" s="344"/>
      <c r="VJN5" s="344"/>
      <c r="VJO5" s="344"/>
      <c r="VJP5" s="344"/>
      <c r="VJQ5" s="344"/>
      <c r="VJR5" s="344"/>
      <c r="VJS5" s="344"/>
      <c r="VJT5" s="344"/>
      <c r="VJU5" s="344"/>
      <c r="VJV5" s="344"/>
      <c r="VJW5" s="344"/>
      <c r="VJX5" s="344"/>
      <c r="VJY5" s="344"/>
      <c r="VJZ5" s="344"/>
      <c r="VKA5" s="344"/>
      <c r="VKB5" s="344"/>
      <c r="VKC5" s="344"/>
      <c r="VKD5" s="344"/>
      <c r="VKE5" s="344"/>
      <c r="VKF5" s="344"/>
      <c r="VKG5" s="344"/>
      <c r="VKH5" s="344"/>
      <c r="VKI5" s="344"/>
      <c r="VKJ5" s="344"/>
      <c r="VKK5" s="344"/>
      <c r="VKL5" s="344"/>
      <c r="VKM5" s="344"/>
      <c r="VKN5" s="344"/>
      <c r="VKO5" s="344"/>
      <c r="VKP5" s="344"/>
      <c r="VKQ5" s="344"/>
      <c r="VKR5" s="344"/>
      <c r="VKS5" s="344"/>
      <c r="VKT5" s="344"/>
      <c r="VKU5" s="344"/>
      <c r="VKV5" s="344"/>
      <c r="VKW5" s="344"/>
      <c r="VKX5" s="344"/>
      <c r="VKY5" s="344"/>
      <c r="VKZ5" s="344"/>
      <c r="VLA5" s="344"/>
      <c r="VLB5" s="344"/>
      <c r="VLC5" s="344"/>
      <c r="VLD5" s="344"/>
      <c r="VLE5" s="344"/>
      <c r="VLF5" s="344"/>
      <c r="VLG5" s="344"/>
      <c r="VLH5" s="344"/>
      <c r="VLI5" s="344"/>
      <c r="VLJ5" s="344"/>
      <c r="VLK5" s="344"/>
      <c r="VLL5" s="344"/>
      <c r="VLM5" s="344"/>
      <c r="VLN5" s="344"/>
      <c r="VLO5" s="344"/>
      <c r="VLP5" s="344"/>
      <c r="VLQ5" s="344"/>
      <c r="VLR5" s="344"/>
      <c r="VLS5" s="344"/>
      <c r="VLT5" s="344"/>
      <c r="VLU5" s="344"/>
      <c r="VLV5" s="344"/>
      <c r="VLW5" s="344"/>
      <c r="VLX5" s="344"/>
      <c r="VLY5" s="344"/>
      <c r="VLZ5" s="344"/>
      <c r="VMA5" s="344"/>
      <c r="VMB5" s="344"/>
      <c r="VMC5" s="344"/>
      <c r="VMD5" s="344"/>
      <c r="VME5" s="344"/>
      <c r="VMF5" s="344"/>
      <c r="VMG5" s="344"/>
      <c r="VMH5" s="344"/>
      <c r="VMI5" s="344"/>
      <c r="VMJ5" s="344"/>
      <c r="VMK5" s="344"/>
      <c r="VML5" s="344"/>
      <c r="VMM5" s="344"/>
      <c r="VMN5" s="344"/>
      <c r="VMO5" s="344"/>
      <c r="VMP5" s="344"/>
      <c r="VMQ5" s="344"/>
      <c r="VMR5" s="344"/>
      <c r="VMS5" s="344"/>
      <c r="VMT5" s="344"/>
      <c r="VMU5" s="344"/>
      <c r="VMV5" s="344"/>
      <c r="VMW5" s="344"/>
      <c r="VMX5" s="344"/>
      <c r="VMY5" s="344"/>
      <c r="VMZ5" s="344"/>
      <c r="VNA5" s="344"/>
      <c r="VNB5" s="344"/>
      <c r="VNC5" s="344"/>
      <c r="VND5" s="344"/>
      <c r="VNE5" s="344"/>
      <c r="VNF5" s="344"/>
      <c r="VNG5" s="344"/>
      <c r="VNH5" s="344"/>
      <c r="VNI5" s="344"/>
      <c r="VNJ5" s="344"/>
      <c r="VNK5" s="344"/>
      <c r="VNL5" s="344"/>
      <c r="VNM5" s="344"/>
      <c r="VNN5" s="344"/>
      <c r="VNO5" s="344"/>
      <c r="VNP5" s="344"/>
      <c r="VNQ5" s="344"/>
      <c r="VNR5" s="344"/>
      <c r="VNS5" s="344"/>
      <c r="VNT5" s="344"/>
      <c r="VNU5" s="344"/>
      <c r="VNV5" s="344"/>
      <c r="VNW5" s="344"/>
      <c r="VNX5" s="344"/>
      <c r="VNY5" s="344"/>
      <c r="VNZ5" s="344"/>
      <c r="VOA5" s="344"/>
      <c r="VOB5" s="344"/>
      <c r="VOC5" s="344"/>
      <c r="VOD5" s="344"/>
      <c r="VOE5" s="344"/>
      <c r="VOF5" s="344"/>
      <c r="VOG5" s="344"/>
      <c r="VOH5" s="344"/>
      <c r="VOI5" s="344"/>
      <c r="VOJ5" s="344"/>
      <c r="VOK5" s="344"/>
      <c r="VOL5" s="344"/>
      <c r="VOM5" s="344"/>
      <c r="VON5" s="344"/>
      <c r="VOO5" s="344"/>
      <c r="VOP5" s="344"/>
      <c r="VOQ5" s="344"/>
      <c r="VOR5" s="344"/>
      <c r="VOS5" s="344"/>
      <c r="VOT5" s="344"/>
      <c r="VOU5" s="344"/>
      <c r="VOV5" s="344"/>
      <c r="VOW5" s="344"/>
      <c r="VOX5" s="344"/>
      <c r="VOY5" s="344"/>
      <c r="VOZ5" s="344"/>
      <c r="VPA5" s="344"/>
      <c r="VPB5" s="344"/>
      <c r="VPC5" s="344"/>
      <c r="VPD5" s="344"/>
      <c r="VPE5" s="344"/>
      <c r="VPF5" s="344"/>
      <c r="VPG5" s="344"/>
      <c r="VPH5" s="344"/>
      <c r="VPI5" s="344"/>
      <c r="VPJ5" s="344"/>
      <c r="VPK5" s="344"/>
      <c r="VPL5" s="344"/>
      <c r="VPM5" s="344"/>
      <c r="VPN5" s="344"/>
      <c r="VPO5" s="344"/>
      <c r="VPP5" s="344"/>
      <c r="VPQ5" s="344"/>
      <c r="VPR5" s="344"/>
      <c r="VPS5" s="344"/>
      <c r="VPT5" s="344"/>
      <c r="VPU5" s="344"/>
      <c r="VPV5" s="344"/>
      <c r="VPW5" s="344"/>
      <c r="VPX5" s="344"/>
      <c r="VPY5" s="344"/>
      <c r="VPZ5" s="344"/>
      <c r="VQA5" s="344"/>
      <c r="VQB5" s="344"/>
      <c r="VQC5" s="344"/>
      <c r="VQD5" s="344"/>
      <c r="VQE5" s="344"/>
      <c r="VQF5" s="344"/>
      <c r="VQG5" s="344"/>
      <c r="VQH5" s="344"/>
      <c r="VQI5" s="344"/>
      <c r="VQJ5" s="344"/>
      <c r="VQK5" s="344"/>
      <c r="VQL5" s="344"/>
      <c r="VQM5" s="344"/>
      <c r="VQN5" s="344"/>
      <c r="VQO5" s="344"/>
      <c r="VQP5" s="344"/>
      <c r="VQQ5" s="344"/>
      <c r="VQR5" s="344"/>
      <c r="VQS5" s="344"/>
      <c r="VQT5" s="344"/>
      <c r="VQU5" s="344"/>
      <c r="VQV5" s="344"/>
      <c r="VQW5" s="344"/>
      <c r="VQX5" s="344"/>
      <c r="VQY5" s="344"/>
      <c r="VQZ5" s="344"/>
      <c r="VRA5" s="344"/>
      <c r="VRB5" s="344"/>
      <c r="VRC5" s="344"/>
      <c r="VRD5" s="344"/>
      <c r="VRE5" s="344"/>
      <c r="VRF5" s="344"/>
      <c r="VRG5" s="344"/>
      <c r="VRH5" s="344"/>
      <c r="VRI5" s="344"/>
      <c r="VRJ5" s="344"/>
      <c r="VRK5" s="344"/>
      <c r="VRL5" s="344"/>
      <c r="VRM5" s="344"/>
      <c r="VRN5" s="344"/>
      <c r="VRO5" s="344"/>
      <c r="VRP5" s="344"/>
      <c r="VRQ5" s="344"/>
      <c r="VRR5" s="344"/>
      <c r="VRS5" s="344"/>
      <c r="VRT5" s="344"/>
      <c r="VRU5" s="344"/>
      <c r="VRV5" s="344"/>
      <c r="VRW5" s="344"/>
      <c r="VRX5" s="344"/>
      <c r="VRY5" s="344"/>
      <c r="VRZ5" s="344"/>
      <c r="VSA5" s="344"/>
      <c r="VSB5" s="344"/>
      <c r="VSC5" s="344"/>
      <c r="VSD5" s="344"/>
      <c r="VSE5" s="344"/>
      <c r="VSF5" s="344"/>
      <c r="VSG5" s="344"/>
      <c r="VSH5" s="344"/>
      <c r="VSI5" s="344"/>
      <c r="VSJ5" s="344"/>
      <c r="VSK5" s="344"/>
      <c r="VSL5" s="344"/>
      <c r="VSM5" s="344"/>
      <c r="VSN5" s="344"/>
      <c r="VSO5" s="344"/>
      <c r="VSP5" s="344"/>
      <c r="VSQ5" s="344"/>
      <c r="VSR5" s="344"/>
      <c r="VSS5" s="344"/>
      <c r="VST5" s="344"/>
      <c r="VSU5" s="344"/>
      <c r="VSV5" s="344"/>
      <c r="VSW5" s="344"/>
      <c r="VSX5" s="344"/>
      <c r="VSY5" s="344"/>
      <c r="VSZ5" s="344"/>
      <c r="VTA5" s="344"/>
      <c r="VTB5" s="344"/>
      <c r="VTC5" s="344"/>
      <c r="VTD5" s="344"/>
      <c r="VTE5" s="344"/>
      <c r="VTF5" s="344"/>
      <c r="VTG5" s="344"/>
      <c r="VTH5" s="344"/>
      <c r="VTI5" s="344"/>
      <c r="VTJ5" s="344"/>
      <c r="VTK5" s="344"/>
      <c r="VTL5" s="344"/>
      <c r="VTM5" s="344"/>
      <c r="VTN5" s="344"/>
      <c r="VTO5" s="344"/>
      <c r="VTP5" s="344"/>
      <c r="VTQ5" s="344"/>
      <c r="VTR5" s="344"/>
      <c r="VTS5" s="344"/>
      <c r="VTT5" s="344"/>
      <c r="VTU5" s="344"/>
      <c r="VTV5" s="344"/>
      <c r="VTW5" s="344"/>
      <c r="VTX5" s="344"/>
      <c r="VTY5" s="344"/>
      <c r="VTZ5" s="344"/>
      <c r="VUA5" s="344"/>
      <c r="VUB5" s="344"/>
      <c r="VUC5" s="344"/>
      <c r="VUD5" s="344"/>
      <c r="VUE5" s="344"/>
      <c r="VUF5" s="344"/>
      <c r="VUG5" s="344"/>
      <c r="VUH5" s="344"/>
      <c r="VUI5" s="344"/>
      <c r="VUJ5" s="344"/>
      <c r="VUK5" s="344"/>
      <c r="VUL5" s="344"/>
      <c r="VUM5" s="344"/>
      <c r="VUN5" s="344"/>
      <c r="VUO5" s="344"/>
      <c r="VUP5" s="344"/>
      <c r="VUQ5" s="344"/>
      <c r="VUR5" s="344"/>
      <c r="VUS5" s="344"/>
      <c r="VUT5" s="344"/>
      <c r="VUU5" s="344"/>
      <c r="VUV5" s="344"/>
      <c r="VUW5" s="344"/>
      <c r="VUX5" s="344"/>
      <c r="VUY5" s="344"/>
      <c r="VUZ5" s="344"/>
      <c r="VVA5" s="344"/>
      <c r="VVB5" s="344"/>
      <c r="VVC5" s="344"/>
      <c r="VVD5" s="344"/>
      <c r="VVE5" s="344"/>
      <c r="VVF5" s="344"/>
      <c r="VVG5" s="344"/>
      <c r="VVH5" s="344"/>
      <c r="VVI5" s="344"/>
      <c r="VVJ5" s="344"/>
      <c r="VVK5" s="344"/>
      <c r="VVL5" s="344"/>
      <c r="VVM5" s="344"/>
      <c r="VVN5" s="344"/>
      <c r="VVO5" s="344"/>
      <c r="VVP5" s="344"/>
      <c r="VVQ5" s="344"/>
      <c r="VVR5" s="344"/>
      <c r="VVS5" s="344"/>
      <c r="VVT5" s="344"/>
      <c r="VVU5" s="344"/>
      <c r="VVV5" s="344"/>
      <c r="VVW5" s="344"/>
      <c r="VVX5" s="344"/>
      <c r="VVY5" s="344"/>
      <c r="VVZ5" s="344"/>
      <c r="VWA5" s="344"/>
      <c r="VWB5" s="344"/>
      <c r="VWC5" s="344"/>
      <c r="VWD5" s="344"/>
      <c r="VWE5" s="344"/>
      <c r="VWF5" s="344"/>
      <c r="VWG5" s="344"/>
      <c r="VWH5" s="344"/>
      <c r="VWI5" s="344"/>
      <c r="VWJ5" s="344"/>
      <c r="VWK5" s="344"/>
      <c r="VWL5" s="344"/>
      <c r="VWM5" s="344"/>
      <c r="VWN5" s="344"/>
      <c r="VWO5" s="344"/>
      <c r="VWP5" s="344"/>
      <c r="VWQ5" s="344"/>
      <c r="VWR5" s="344"/>
      <c r="VWS5" s="344"/>
      <c r="VWT5" s="344"/>
      <c r="VWU5" s="344"/>
      <c r="VWV5" s="344"/>
      <c r="VWW5" s="344"/>
      <c r="VWX5" s="344"/>
      <c r="VWY5" s="344"/>
      <c r="VWZ5" s="344"/>
      <c r="VXA5" s="344"/>
      <c r="VXB5" s="344"/>
      <c r="VXC5" s="344"/>
      <c r="VXD5" s="344"/>
      <c r="VXE5" s="344"/>
      <c r="VXF5" s="344"/>
      <c r="VXG5" s="344"/>
      <c r="VXH5" s="344"/>
      <c r="VXI5" s="344"/>
      <c r="VXJ5" s="344"/>
      <c r="VXK5" s="344"/>
      <c r="VXL5" s="344"/>
      <c r="VXM5" s="344"/>
      <c r="VXN5" s="344"/>
      <c r="VXO5" s="344"/>
      <c r="VXP5" s="344"/>
      <c r="VXQ5" s="344"/>
      <c r="VXR5" s="344"/>
      <c r="VXS5" s="344"/>
      <c r="VXT5" s="344"/>
      <c r="VXU5" s="344"/>
      <c r="VXV5" s="344"/>
      <c r="VXW5" s="344"/>
      <c r="VXX5" s="344"/>
      <c r="VXY5" s="344"/>
      <c r="VXZ5" s="344"/>
      <c r="VYA5" s="344"/>
      <c r="VYB5" s="344"/>
      <c r="VYC5" s="344"/>
      <c r="VYD5" s="344"/>
      <c r="VYE5" s="344"/>
      <c r="VYF5" s="344"/>
      <c r="VYG5" s="344"/>
      <c r="VYH5" s="344"/>
      <c r="VYI5" s="344"/>
      <c r="VYJ5" s="344"/>
      <c r="VYK5" s="344"/>
      <c r="VYL5" s="344"/>
      <c r="VYM5" s="344"/>
      <c r="VYN5" s="344"/>
      <c r="VYO5" s="344"/>
      <c r="VYP5" s="344"/>
      <c r="VYQ5" s="344"/>
      <c r="VYR5" s="344"/>
      <c r="VYS5" s="344"/>
      <c r="VYT5" s="344"/>
      <c r="VYU5" s="344"/>
      <c r="VYV5" s="344"/>
      <c r="VYW5" s="344"/>
      <c r="VYX5" s="344"/>
      <c r="VYY5" s="344"/>
      <c r="VYZ5" s="344"/>
      <c r="VZA5" s="344"/>
      <c r="VZB5" s="344"/>
      <c r="VZC5" s="344"/>
      <c r="VZD5" s="344"/>
      <c r="VZE5" s="344"/>
      <c r="VZF5" s="344"/>
      <c r="VZG5" s="344"/>
      <c r="VZH5" s="344"/>
      <c r="VZI5" s="344"/>
      <c r="VZJ5" s="344"/>
      <c r="VZK5" s="344"/>
      <c r="VZL5" s="344"/>
      <c r="VZM5" s="344"/>
      <c r="VZN5" s="344"/>
      <c r="VZO5" s="344"/>
      <c r="VZP5" s="344"/>
      <c r="VZQ5" s="344"/>
      <c r="VZR5" s="344"/>
      <c r="VZS5" s="344"/>
      <c r="VZT5" s="344"/>
      <c r="VZU5" s="344"/>
      <c r="VZV5" s="344"/>
      <c r="VZW5" s="344"/>
      <c r="VZX5" s="344"/>
      <c r="VZY5" s="344"/>
      <c r="VZZ5" s="344"/>
      <c r="WAA5" s="344"/>
      <c r="WAB5" s="344"/>
      <c r="WAC5" s="344"/>
      <c r="WAD5" s="344"/>
      <c r="WAE5" s="344"/>
      <c r="WAF5" s="344"/>
      <c r="WAG5" s="344"/>
      <c r="WAH5" s="344"/>
      <c r="WAI5" s="344"/>
      <c r="WAJ5" s="344"/>
      <c r="WAK5" s="344"/>
      <c r="WAL5" s="344"/>
      <c r="WAM5" s="344"/>
      <c r="WAN5" s="344"/>
      <c r="WAO5" s="344"/>
      <c r="WAP5" s="344"/>
      <c r="WAQ5" s="344"/>
      <c r="WAR5" s="344"/>
      <c r="WAS5" s="344"/>
      <c r="WAT5" s="344"/>
      <c r="WAU5" s="344"/>
      <c r="WAV5" s="344"/>
      <c r="WAW5" s="344"/>
      <c r="WAX5" s="344"/>
      <c r="WAY5" s="344"/>
      <c r="WAZ5" s="344"/>
      <c r="WBA5" s="344"/>
      <c r="WBB5" s="344"/>
      <c r="WBC5" s="344"/>
      <c r="WBD5" s="344"/>
      <c r="WBE5" s="344"/>
      <c r="WBF5" s="344"/>
      <c r="WBG5" s="344"/>
      <c r="WBH5" s="344"/>
      <c r="WBI5" s="344"/>
      <c r="WBJ5" s="344"/>
      <c r="WBK5" s="344"/>
      <c r="WBL5" s="344"/>
      <c r="WBM5" s="344"/>
      <c r="WBN5" s="344"/>
      <c r="WBO5" s="344"/>
      <c r="WBP5" s="344"/>
      <c r="WBQ5" s="344"/>
      <c r="WBR5" s="344"/>
      <c r="WBS5" s="344"/>
      <c r="WBT5" s="344"/>
      <c r="WBU5" s="344"/>
      <c r="WBV5" s="344"/>
      <c r="WBW5" s="344"/>
      <c r="WBX5" s="344"/>
      <c r="WBY5" s="344"/>
      <c r="WBZ5" s="344"/>
      <c r="WCA5" s="344"/>
      <c r="WCB5" s="344"/>
      <c r="WCC5" s="344"/>
      <c r="WCD5" s="344"/>
      <c r="WCE5" s="344"/>
      <c r="WCF5" s="344"/>
      <c r="WCG5" s="344"/>
      <c r="WCH5" s="344"/>
      <c r="WCI5" s="344"/>
      <c r="WCJ5" s="344"/>
      <c r="WCK5" s="344"/>
      <c r="WCL5" s="344"/>
      <c r="WCM5" s="344"/>
      <c r="WCN5" s="344"/>
      <c r="WCO5" s="344"/>
      <c r="WCP5" s="344"/>
      <c r="WCQ5" s="344"/>
      <c r="WCR5" s="344"/>
      <c r="WCS5" s="344"/>
      <c r="WCT5" s="344"/>
      <c r="WCU5" s="344"/>
      <c r="WCV5" s="344"/>
      <c r="WCW5" s="344"/>
      <c r="WCX5" s="344"/>
      <c r="WCY5" s="344"/>
      <c r="WCZ5" s="344"/>
      <c r="WDA5" s="344"/>
      <c r="WDB5" s="344"/>
      <c r="WDC5" s="344"/>
      <c r="WDD5" s="344"/>
      <c r="WDE5" s="344"/>
      <c r="WDF5" s="344"/>
      <c r="WDG5" s="344"/>
      <c r="WDH5" s="344"/>
      <c r="WDI5" s="344"/>
      <c r="WDJ5" s="344"/>
      <c r="WDK5" s="344"/>
      <c r="WDL5" s="344"/>
      <c r="WDM5" s="344"/>
      <c r="WDN5" s="344"/>
      <c r="WDO5" s="344"/>
      <c r="WDP5" s="344"/>
      <c r="WDQ5" s="344"/>
      <c r="WDR5" s="344"/>
      <c r="WDS5" s="344"/>
      <c r="WDT5" s="344"/>
      <c r="WDU5" s="344"/>
      <c r="WDV5" s="344"/>
      <c r="WDW5" s="344"/>
      <c r="WDX5" s="344"/>
      <c r="WDY5" s="344"/>
      <c r="WDZ5" s="344"/>
      <c r="WEA5" s="344"/>
      <c r="WEB5" s="344"/>
      <c r="WEC5" s="344"/>
      <c r="WED5" s="344"/>
      <c r="WEE5" s="344"/>
      <c r="WEF5" s="344"/>
      <c r="WEG5" s="344"/>
      <c r="WEH5" s="344"/>
      <c r="WEI5" s="344"/>
      <c r="WEJ5" s="344"/>
      <c r="WEK5" s="344"/>
      <c r="WEL5" s="344"/>
      <c r="WEM5" s="344"/>
      <c r="WEN5" s="344"/>
      <c r="WEO5" s="344"/>
      <c r="WEP5" s="344"/>
      <c r="WEQ5" s="344"/>
      <c r="WER5" s="344"/>
      <c r="WES5" s="344"/>
      <c r="WET5" s="344"/>
      <c r="WEU5" s="344"/>
      <c r="WEV5" s="344"/>
      <c r="WEW5" s="344"/>
      <c r="WEX5" s="344"/>
      <c r="WEY5" s="344"/>
      <c r="WEZ5" s="344"/>
      <c r="WFA5" s="344"/>
      <c r="WFB5" s="344"/>
      <c r="WFC5" s="344"/>
      <c r="WFD5" s="344"/>
      <c r="WFE5" s="344"/>
      <c r="WFF5" s="344"/>
      <c r="WFG5" s="344"/>
      <c r="WFH5" s="344"/>
      <c r="WFI5" s="344"/>
      <c r="WFJ5" s="344"/>
      <c r="WFK5" s="344"/>
      <c r="WFL5" s="344"/>
      <c r="WFM5" s="344"/>
      <c r="WFN5" s="344"/>
      <c r="WFO5" s="344"/>
      <c r="WFP5" s="344"/>
      <c r="WFQ5" s="344"/>
      <c r="WFR5" s="344"/>
      <c r="WFS5" s="344"/>
      <c r="WFT5" s="344"/>
      <c r="WFU5" s="344"/>
      <c r="WFV5" s="344"/>
      <c r="WFW5" s="344"/>
      <c r="WFX5" s="344"/>
      <c r="WFY5" s="344"/>
      <c r="WFZ5" s="344"/>
      <c r="WGA5" s="344"/>
      <c r="WGB5" s="344"/>
      <c r="WGC5" s="344"/>
      <c r="WGD5" s="344"/>
      <c r="WGE5" s="344"/>
      <c r="WGF5" s="344"/>
      <c r="WGG5" s="344"/>
      <c r="WGH5" s="344"/>
      <c r="WGI5" s="344"/>
      <c r="WGJ5" s="344"/>
      <c r="WGK5" s="344"/>
      <c r="WGL5" s="344"/>
      <c r="WGM5" s="344"/>
      <c r="WGN5" s="344"/>
      <c r="WGO5" s="344"/>
      <c r="WGP5" s="344"/>
      <c r="WGQ5" s="344"/>
      <c r="WGR5" s="344"/>
      <c r="WGS5" s="344"/>
      <c r="WGT5" s="344"/>
      <c r="WGU5" s="344"/>
      <c r="WGV5" s="344"/>
      <c r="WGW5" s="344"/>
      <c r="WGX5" s="344"/>
      <c r="WGY5" s="344"/>
      <c r="WGZ5" s="344"/>
      <c r="WHA5" s="344"/>
      <c r="WHB5" s="344"/>
      <c r="WHC5" s="344"/>
      <c r="WHD5" s="344"/>
      <c r="WHE5" s="344"/>
      <c r="WHF5" s="344"/>
      <c r="WHG5" s="344"/>
      <c r="WHH5" s="344"/>
      <c r="WHI5" s="344"/>
      <c r="WHJ5" s="344"/>
      <c r="WHK5" s="344"/>
      <c r="WHL5" s="344"/>
      <c r="WHM5" s="344"/>
      <c r="WHN5" s="344"/>
      <c r="WHO5" s="344"/>
      <c r="WHP5" s="344"/>
      <c r="WHQ5" s="344"/>
      <c r="WHR5" s="344"/>
      <c r="WHS5" s="344"/>
      <c r="WHT5" s="344"/>
      <c r="WHU5" s="344"/>
      <c r="WHV5" s="344"/>
      <c r="WHW5" s="344"/>
      <c r="WHX5" s="344"/>
      <c r="WHY5" s="344"/>
      <c r="WHZ5" s="344"/>
      <c r="WIA5" s="344"/>
      <c r="WIB5" s="344"/>
      <c r="WIC5" s="344"/>
      <c r="WID5" s="344"/>
      <c r="WIE5" s="344"/>
      <c r="WIF5" s="344"/>
      <c r="WIG5" s="344"/>
      <c r="WIH5" s="344"/>
      <c r="WII5" s="344"/>
      <c r="WIJ5" s="344"/>
      <c r="WIK5" s="344"/>
      <c r="WIL5" s="344"/>
      <c r="WIM5" s="344"/>
      <c r="WIN5" s="344"/>
      <c r="WIO5" s="344"/>
      <c r="WIP5" s="344"/>
      <c r="WIQ5" s="344"/>
      <c r="WIR5" s="344"/>
      <c r="WIS5" s="344"/>
      <c r="WIT5" s="344"/>
      <c r="WIU5" s="344"/>
      <c r="WIV5" s="344"/>
      <c r="WIW5" s="344"/>
      <c r="WIX5" s="344"/>
      <c r="WIY5" s="344"/>
      <c r="WIZ5" s="344"/>
      <c r="WJA5" s="344"/>
      <c r="WJB5" s="344"/>
      <c r="WJC5" s="344"/>
      <c r="WJD5" s="344"/>
      <c r="WJE5" s="344"/>
      <c r="WJF5" s="344"/>
      <c r="WJG5" s="344"/>
      <c r="WJH5" s="344"/>
      <c r="WJI5" s="344"/>
      <c r="WJJ5" s="344"/>
      <c r="WJK5" s="344"/>
      <c r="WJL5" s="344"/>
      <c r="WJM5" s="344"/>
      <c r="WJN5" s="344"/>
      <c r="WJO5" s="344"/>
      <c r="WJP5" s="344"/>
      <c r="WJQ5" s="344"/>
      <c r="WJR5" s="344"/>
      <c r="WJS5" s="344"/>
      <c r="WJT5" s="344"/>
      <c r="WJU5" s="344"/>
      <c r="WJV5" s="344"/>
      <c r="WJW5" s="344"/>
      <c r="WJX5" s="344"/>
      <c r="WJY5" s="344"/>
      <c r="WJZ5" s="344"/>
      <c r="WKA5" s="344"/>
      <c r="WKB5" s="344"/>
      <c r="WKC5" s="344"/>
      <c r="WKD5" s="344"/>
      <c r="WKE5" s="344"/>
      <c r="WKF5" s="344"/>
      <c r="WKG5" s="344"/>
      <c r="WKH5" s="344"/>
      <c r="WKI5" s="344"/>
      <c r="WKJ5" s="344"/>
      <c r="WKK5" s="344"/>
      <c r="WKL5" s="344"/>
      <c r="WKM5" s="344"/>
      <c r="WKN5" s="344"/>
      <c r="WKO5" s="344"/>
      <c r="WKP5" s="344"/>
      <c r="WKQ5" s="344"/>
      <c r="WKR5" s="344"/>
      <c r="WKS5" s="344"/>
      <c r="WKT5" s="344"/>
      <c r="WKU5" s="344"/>
      <c r="WKV5" s="344"/>
      <c r="WKW5" s="344"/>
      <c r="WKX5" s="344"/>
      <c r="WKY5" s="344"/>
      <c r="WKZ5" s="344"/>
      <c r="WLA5" s="344"/>
      <c r="WLB5" s="344"/>
      <c r="WLC5" s="344"/>
      <c r="WLD5" s="344"/>
      <c r="WLE5" s="344"/>
      <c r="WLF5" s="344"/>
      <c r="WLG5" s="344"/>
      <c r="WLH5" s="344"/>
      <c r="WLI5" s="344"/>
      <c r="WLJ5" s="344"/>
      <c r="WLK5" s="344"/>
      <c r="WLL5" s="344"/>
      <c r="WLM5" s="344"/>
      <c r="WLN5" s="344"/>
      <c r="WLO5" s="344"/>
      <c r="WLP5" s="344"/>
      <c r="WLQ5" s="344"/>
      <c r="WLR5" s="344"/>
      <c r="WLS5" s="344"/>
      <c r="WLT5" s="344"/>
      <c r="WLU5" s="344"/>
      <c r="WLV5" s="344"/>
      <c r="WLW5" s="344"/>
      <c r="WLX5" s="344"/>
      <c r="WLY5" s="344"/>
      <c r="WLZ5" s="344"/>
      <c r="WMA5" s="344"/>
      <c r="WMB5" s="344"/>
      <c r="WMC5" s="344"/>
      <c r="WMD5" s="344"/>
      <c r="WME5" s="344"/>
      <c r="WMF5" s="344"/>
      <c r="WMG5" s="344"/>
      <c r="WMH5" s="344"/>
      <c r="WMI5" s="344"/>
      <c r="WMJ5" s="344"/>
      <c r="WMK5" s="344"/>
      <c r="WML5" s="344"/>
      <c r="WMM5" s="344"/>
      <c r="WMN5" s="344"/>
      <c r="WMO5" s="344"/>
      <c r="WMP5" s="344"/>
      <c r="WMQ5" s="344"/>
      <c r="WMR5" s="344"/>
      <c r="WMS5" s="344"/>
      <c r="WMT5" s="344"/>
      <c r="WMU5" s="344"/>
      <c r="WMV5" s="344"/>
      <c r="WMW5" s="344"/>
      <c r="WMX5" s="344"/>
      <c r="WMY5" s="344"/>
      <c r="WMZ5" s="344"/>
      <c r="WNA5" s="344"/>
      <c r="WNB5" s="344"/>
      <c r="WNC5" s="344"/>
      <c r="WND5" s="344"/>
      <c r="WNE5" s="344"/>
      <c r="WNF5" s="344"/>
      <c r="WNG5" s="344"/>
      <c r="WNH5" s="344"/>
      <c r="WNI5" s="344"/>
      <c r="WNJ5" s="344"/>
      <c r="WNK5" s="344"/>
      <c r="WNL5" s="344"/>
      <c r="WNM5" s="344"/>
      <c r="WNN5" s="344"/>
      <c r="WNO5" s="344"/>
      <c r="WNP5" s="344"/>
      <c r="WNQ5" s="344"/>
      <c r="WNR5" s="344"/>
      <c r="WNS5" s="344"/>
      <c r="WNT5" s="344"/>
      <c r="WNU5" s="344"/>
      <c r="WNV5" s="344"/>
      <c r="WNW5" s="344"/>
      <c r="WNX5" s="344"/>
      <c r="WNY5" s="344"/>
      <c r="WNZ5" s="344"/>
      <c r="WOA5" s="344"/>
      <c r="WOB5" s="344"/>
      <c r="WOC5" s="344"/>
      <c r="WOD5" s="344"/>
      <c r="WOE5" s="344"/>
      <c r="WOF5" s="344"/>
      <c r="WOG5" s="344"/>
      <c r="WOH5" s="344"/>
      <c r="WOI5" s="344"/>
      <c r="WOJ5" s="344"/>
      <c r="WOK5" s="344"/>
      <c r="WOL5" s="344"/>
      <c r="WOM5" s="344"/>
      <c r="WON5" s="344"/>
      <c r="WOO5" s="344"/>
      <c r="WOP5" s="344"/>
      <c r="WOQ5" s="344"/>
      <c r="WOR5" s="344"/>
      <c r="WOS5" s="344"/>
      <c r="WOT5" s="344"/>
      <c r="WOU5" s="344"/>
      <c r="WOV5" s="344"/>
      <c r="WOW5" s="344"/>
      <c r="WOX5" s="344"/>
      <c r="WOY5" s="344"/>
      <c r="WOZ5" s="344"/>
      <c r="WPA5" s="344"/>
      <c r="WPB5" s="344"/>
      <c r="WPC5" s="344"/>
      <c r="WPD5" s="344"/>
      <c r="WPE5" s="344"/>
      <c r="WPF5" s="344"/>
      <c r="WPG5" s="344"/>
      <c r="WPH5" s="344"/>
      <c r="WPI5" s="344"/>
      <c r="WPJ5" s="344"/>
      <c r="WPK5" s="344"/>
      <c r="WPL5" s="344"/>
      <c r="WPM5" s="344"/>
      <c r="WPN5" s="344"/>
      <c r="WPO5" s="344"/>
      <c r="WPP5" s="344"/>
      <c r="WPQ5" s="344"/>
      <c r="WPR5" s="344"/>
      <c r="WPS5" s="344"/>
      <c r="WPT5" s="344"/>
      <c r="WPU5" s="344"/>
      <c r="WPV5" s="344"/>
      <c r="WPW5" s="344"/>
      <c r="WPX5" s="344"/>
      <c r="WPY5" s="344"/>
      <c r="WPZ5" s="344"/>
      <c r="WQA5" s="344"/>
      <c r="WQB5" s="344"/>
      <c r="WQC5" s="344"/>
      <c r="WQD5" s="344"/>
      <c r="WQE5" s="344"/>
      <c r="WQF5" s="344"/>
      <c r="WQG5" s="344"/>
      <c r="WQH5" s="344"/>
      <c r="WQI5" s="344"/>
      <c r="WQJ5" s="344"/>
      <c r="WQK5" s="344"/>
      <c r="WQL5" s="344"/>
      <c r="WQM5" s="344"/>
      <c r="WQN5" s="344"/>
      <c r="WQO5" s="344"/>
      <c r="WQP5" s="344"/>
      <c r="WQQ5" s="344"/>
      <c r="WQR5" s="344"/>
      <c r="WQS5" s="344"/>
      <c r="WQT5" s="344"/>
      <c r="WQU5" s="344"/>
      <c r="WQV5" s="344"/>
      <c r="WQW5" s="344"/>
      <c r="WQX5" s="344"/>
      <c r="WQY5" s="344"/>
      <c r="WQZ5" s="344"/>
      <c r="WRA5" s="344"/>
      <c r="WRB5" s="344"/>
      <c r="WRC5" s="344"/>
      <c r="WRD5" s="344"/>
      <c r="WRE5" s="344"/>
      <c r="WRF5" s="344"/>
      <c r="WRG5" s="344"/>
      <c r="WRH5" s="344"/>
      <c r="WRI5" s="344"/>
      <c r="WRJ5" s="344"/>
      <c r="WRK5" s="344"/>
      <c r="WRL5" s="344"/>
      <c r="WRM5" s="344"/>
      <c r="WRN5" s="344"/>
      <c r="WRO5" s="344"/>
      <c r="WRP5" s="344"/>
      <c r="WRQ5" s="344"/>
      <c r="WRR5" s="344"/>
      <c r="WRS5" s="344"/>
      <c r="WRT5" s="344"/>
      <c r="WRU5" s="344"/>
      <c r="WRV5" s="344"/>
      <c r="WRW5" s="344"/>
      <c r="WRX5" s="344"/>
      <c r="WRY5" s="344"/>
      <c r="WRZ5" s="344"/>
      <c r="WSA5" s="344"/>
      <c r="WSB5" s="344"/>
      <c r="WSC5" s="344"/>
      <c r="WSD5" s="344"/>
      <c r="WSE5" s="344"/>
      <c r="WSF5" s="344"/>
      <c r="WSG5" s="344"/>
      <c r="WSH5" s="344"/>
      <c r="WSI5" s="344"/>
      <c r="WSJ5" s="344"/>
      <c r="WSK5" s="344"/>
      <c r="WSL5" s="344"/>
      <c r="WSM5" s="344"/>
      <c r="WSN5" s="344"/>
      <c r="WSO5" s="344"/>
      <c r="WSP5" s="344"/>
      <c r="WSQ5" s="344"/>
      <c r="WSR5" s="344"/>
      <c r="WSS5" s="344"/>
      <c r="WST5" s="344"/>
      <c r="WSU5" s="344"/>
      <c r="WSV5" s="344"/>
      <c r="WSW5" s="344"/>
      <c r="WSX5" s="344"/>
      <c r="WSY5" s="344"/>
      <c r="WSZ5" s="344"/>
      <c r="WTA5" s="344"/>
      <c r="WTB5" s="344"/>
      <c r="WTC5" s="344"/>
      <c r="WTD5" s="344"/>
      <c r="WTE5" s="344"/>
      <c r="WTF5" s="344"/>
      <c r="WTG5" s="344"/>
      <c r="WTH5" s="344"/>
      <c r="WTI5" s="344"/>
      <c r="WTJ5" s="344"/>
      <c r="WTK5" s="344"/>
      <c r="WTL5" s="344"/>
      <c r="WTM5" s="344"/>
      <c r="WTN5" s="344"/>
      <c r="WTO5" s="344"/>
      <c r="WTP5" s="344"/>
      <c r="WTQ5" s="344"/>
      <c r="WTR5" s="344"/>
      <c r="WTS5" s="344"/>
      <c r="WTT5" s="344"/>
      <c r="WTU5" s="344"/>
      <c r="WTV5" s="344"/>
      <c r="WTW5" s="344"/>
      <c r="WTX5" s="344"/>
      <c r="WTY5" s="344"/>
      <c r="WTZ5" s="344"/>
      <c r="WUA5" s="344"/>
      <c r="WUB5" s="344"/>
      <c r="WUC5" s="344"/>
      <c r="WUD5" s="344"/>
      <c r="WUE5" s="344"/>
      <c r="WUF5" s="344"/>
      <c r="WUG5" s="344"/>
      <c r="WUH5" s="344"/>
      <c r="WUI5" s="344"/>
      <c r="WUJ5" s="344"/>
      <c r="WUK5" s="344"/>
      <c r="WUL5" s="344"/>
      <c r="WUM5" s="344"/>
      <c r="WUN5" s="344"/>
      <c r="WUO5" s="344"/>
      <c r="WUP5" s="344"/>
      <c r="WUQ5" s="344"/>
      <c r="WUR5" s="344"/>
      <c r="WUS5" s="344"/>
      <c r="WUT5" s="344"/>
      <c r="WUU5" s="344"/>
      <c r="WUV5" s="344"/>
      <c r="WUW5" s="344"/>
      <c r="WUX5" s="344"/>
      <c r="WUY5" s="344"/>
      <c r="WUZ5" s="344"/>
      <c r="WVA5" s="344"/>
      <c r="WVB5" s="344"/>
      <c r="WVC5" s="344"/>
      <c r="WVD5" s="344"/>
      <c r="WVE5" s="344"/>
      <c r="WVF5" s="344"/>
      <c r="WVG5" s="344"/>
      <c r="WVH5" s="344"/>
      <c r="WVI5" s="344"/>
      <c r="WVJ5" s="344"/>
      <c r="WVK5" s="344"/>
      <c r="WVL5" s="344"/>
      <c r="WVM5" s="344"/>
      <c r="WVN5" s="344"/>
      <c r="WVO5" s="344"/>
      <c r="WVP5" s="344"/>
      <c r="WVQ5" s="344"/>
      <c r="WVR5" s="344"/>
      <c r="WVS5" s="344"/>
      <c r="WVT5" s="344"/>
      <c r="WVU5" s="344"/>
      <c r="WVV5" s="344"/>
      <c r="WVW5" s="344"/>
      <c r="WVX5" s="344"/>
      <c r="WVY5" s="344"/>
      <c r="WVZ5" s="344"/>
      <c r="WWA5" s="344"/>
      <c r="WWB5" s="344"/>
      <c r="WWC5" s="344"/>
      <c r="WWD5" s="344"/>
      <c r="WWE5" s="344"/>
      <c r="WWF5" s="344"/>
      <c r="WWG5" s="344"/>
      <c r="WWH5" s="344"/>
      <c r="WWI5" s="344"/>
      <c r="WWJ5" s="344"/>
      <c r="WWK5" s="344"/>
      <c r="WWL5" s="344"/>
      <c r="WWM5" s="344"/>
      <c r="WWN5" s="344"/>
      <c r="WWO5" s="344"/>
      <c r="WWP5" s="344"/>
      <c r="WWQ5" s="344"/>
      <c r="WWR5" s="344"/>
      <c r="WWS5" s="344"/>
      <c r="WWT5" s="344"/>
      <c r="WWU5" s="344"/>
      <c r="WWV5" s="344"/>
      <c r="WWW5" s="344"/>
      <c r="WWX5" s="344"/>
      <c r="WWY5" s="344"/>
      <c r="WWZ5" s="344"/>
      <c r="WXA5" s="344"/>
      <c r="WXB5" s="344"/>
      <c r="WXC5" s="344"/>
      <c r="WXD5" s="344"/>
      <c r="WXE5" s="344"/>
      <c r="WXF5" s="344"/>
      <c r="WXG5" s="344"/>
      <c r="WXH5" s="344"/>
      <c r="WXI5" s="344"/>
      <c r="WXJ5" s="344"/>
      <c r="WXK5" s="344"/>
      <c r="WXL5" s="344"/>
      <c r="WXM5" s="344"/>
      <c r="WXN5" s="344"/>
      <c r="WXO5" s="344"/>
      <c r="WXP5" s="344"/>
      <c r="WXQ5" s="344"/>
      <c r="WXR5" s="344"/>
      <c r="WXS5" s="344"/>
      <c r="WXT5" s="344"/>
      <c r="WXU5" s="344"/>
      <c r="WXV5" s="344"/>
      <c r="WXW5" s="344"/>
      <c r="WXX5" s="344"/>
      <c r="WXY5" s="344"/>
      <c r="WXZ5" s="344"/>
      <c r="WYA5" s="344"/>
      <c r="WYB5" s="344"/>
      <c r="WYC5" s="344"/>
      <c r="WYD5" s="344"/>
      <c r="WYE5" s="344"/>
      <c r="WYF5" s="344"/>
      <c r="WYG5" s="344"/>
      <c r="WYH5" s="344"/>
      <c r="WYI5" s="344"/>
      <c r="WYJ5" s="344"/>
      <c r="WYK5" s="344"/>
      <c r="WYL5" s="344"/>
      <c r="WYM5" s="344"/>
      <c r="WYN5" s="344"/>
      <c r="WYO5" s="344"/>
      <c r="WYP5" s="344"/>
      <c r="WYQ5" s="344"/>
      <c r="WYR5" s="344"/>
      <c r="WYS5" s="344"/>
      <c r="WYT5" s="344"/>
      <c r="WYU5" s="344"/>
      <c r="WYV5" s="344"/>
      <c r="WYW5" s="344"/>
      <c r="WYX5" s="344"/>
      <c r="WYY5" s="344"/>
      <c r="WYZ5" s="344"/>
      <c r="WZA5" s="344"/>
      <c r="WZB5" s="344"/>
      <c r="WZC5" s="344"/>
      <c r="WZD5" s="344"/>
      <c r="WZE5" s="344"/>
      <c r="WZF5" s="344"/>
      <c r="WZG5" s="344"/>
      <c r="WZH5" s="344"/>
      <c r="WZI5" s="344"/>
      <c r="WZJ5" s="344"/>
      <c r="WZK5" s="344"/>
      <c r="WZL5" s="344"/>
      <c r="WZM5" s="344"/>
      <c r="WZN5" s="344"/>
      <c r="WZO5" s="344"/>
      <c r="WZP5" s="344"/>
      <c r="WZQ5" s="344"/>
      <c r="WZR5" s="344"/>
      <c r="WZS5" s="344"/>
      <c r="WZT5" s="344"/>
      <c r="WZU5" s="344"/>
      <c r="WZV5" s="344"/>
      <c r="WZW5" s="344"/>
      <c r="WZX5" s="344"/>
      <c r="WZY5" s="344"/>
      <c r="WZZ5" s="344"/>
      <c r="XAA5" s="344"/>
      <c r="XAB5" s="344"/>
      <c r="XAC5" s="344"/>
      <c r="XAD5" s="344"/>
      <c r="XAE5" s="344"/>
      <c r="XAF5" s="344"/>
      <c r="XAG5" s="344"/>
      <c r="XAH5" s="344"/>
      <c r="XAI5" s="344"/>
      <c r="XAJ5" s="344"/>
      <c r="XAK5" s="344"/>
      <c r="XAL5" s="344"/>
      <c r="XAM5" s="344"/>
      <c r="XAN5" s="344"/>
      <c r="XAO5" s="344"/>
      <c r="XAP5" s="344"/>
      <c r="XAQ5" s="344"/>
      <c r="XAR5" s="344"/>
      <c r="XAS5" s="344"/>
      <c r="XAT5" s="344"/>
      <c r="XAU5" s="344"/>
      <c r="XAV5" s="344"/>
      <c r="XAW5" s="344"/>
      <c r="XAX5" s="344"/>
      <c r="XAY5" s="344"/>
      <c r="XAZ5" s="344"/>
      <c r="XBA5" s="344"/>
      <c r="XBB5" s="344"/>
      <c r="XBC5" s="344"/>
      <c r="XBD5" s="344"/>
      <c r="XBE5" s="344"/>
      <c r="XBF5" s="344"/>
      <c r="XBG5" s="344"/>
      <c r="XBH5" s="344"/>
      <c r="XBI5" s="344"/>
      <c r="XBJ5" s="344"/>
      <c r="XBK5" s="344"/>
      <c r="XBL5" s="344"/>
      <c r="XBM5" s="344"/>
      <c r="XBN5" s="344"/>
      <c r="XBO5" s="344"/>
      <c r="XBP5" s="344"/>
      <c r="XBQ5" s="344"/>
      <c r="XBR5" s="344"/>
      <c r="XBS5" s="344"/>
      <c r="XBT5" s="344"/>
      <c r="XBU5" s="344"/>
      <c r="XBV5" s="344"/>
      <c r="XBW5" s="344"/>
      <c r="XBX5" s="344"/>
      <c r="XBY5" s="344"/>
      <c r="XBZ5" s="344"/>
      <c r="XCA5" s="344"/>
      <c r="XCB5" s="344"/>
      <c r="XCC5" s="344"/>
      <c r="XCD5" s="344"/>
      <c r="XCE5" s="344"/>
      <c r="XCF5" s="344"/>
      <c r="XCG5" s="344"/>
      <c r="XCH5" s="344"/>
      <c r="XCI5" s="344"/>
      <c r="XCJ5" s="344"/>
      <c r="XCK5" s="344"/>
      <c r="XCL5" s="344"/>
      <c r="XCM5" s="344"/>
      <c r="XCN5" s="344"/>
      <c r="XCO5" s="344"/>
      <c r="XCP5" s="344"/>
      <c r="XCQ5" s="344"/>
      <c r="XCR5" s="344"/>
      <c r="XCS5" s="344"/>
      <c r="XCT5" s="344"/>
      <c r="XCU5" s="344"/>
      <c r="XCV5" s="344"/>
      <c r="XCW5" s="344"/>
      <c r="XCX5" s="344"/>
      <c r="XCY5" s="344"/>
      <c r="XCZ5" s="344"/>
      <c r="XDA5" s="344"/>
      <c r="XDB5" s="344"/>
      <c r="XDC5" s="344"/>
      <c r="XDD5" s="344"/>
      <c r="XDE5" s="344"/>
      <c r="XDF5" s="344"/>
      <c r="XDG5" s="344"/>
      <c r="XDH5" s="344"/>
      <c r="XDI5" s="344"/>
      <c r="XDJ5" s="344"/>
      <c r="XDK5" s="344"/>
      <c r="XDL5" s="344"/>
      <c r="XDM5" s="344"/>
      <c r="XDN5" s="344"/>
      <c r="XDO5" s="344"/>
      <c r="XDP5" s="344"/>
      <c r="XDQ5" s="344"/>
      <c r="XDR5" s="344"/>
      <c r="XDS5" s="344"/>
      <c r="XDT5" s="344"/>
      <c r="XDU5" s="344"/>
      <c r="XDV5" s="344"/>
      <c r="XDW5" s="344"/>
      <c r="XDX5" s="344"/>
      <c r="XDY5" s="344"/>
      <c r="XDZ5" s="344"/>
      <c r="XEA5" s="344"/>
      <c r="XEB5" s="344"/>
      <c r="XEC5" s="344"/>
      <c r="XED5" s="344"/>
      <c r="XEE5" s="344"/>
      <c r="XEF5" s="344"/>
      <c r="XEG5" s="344"/>
      <c r="XEH5" s="344"/>
      <c r="XEI5" s="344"/>
      <c r="XEJ5" s="344"/>
      <c r="XEK5" s="344"/>
      <c r="XEL5" s="344"/>
      <c r="XEM5" s="344"/>
      <c r="XEN5" s="344"/>
      <c r="XEO5" s="344"/>
      <c r="XEP5" s="344"/>
      <c r="XEQ5" s="344"/>
      <c r="XER5" s="344"/>
      <c r="XES5" s="344"/>
      <c r="XET5" s="344"/>
      <c r="XEU5" s="344"/>
      <c r="XEV5" s="344"/>
      <c r="XEW5" s="344"/>
      <c r="XEX5" s="344"/>
      <c r="XEY5" s="344"/>
      <c r="XEZ5" s="344"/>
      <c r="XFA5" s="344"/>
      <c r="XFB5" s="344"/>
      <c r="XFC5" s="344"/>
      <c r="XFD5" s="344"/>
    </row>
    <row r="6" spans="2:16384" x14ac:dyDescent="0.25">
      <c r="C6" s="344"/>
      <c r="D6" s="344"/>
      <c r="E6" s="344"/>
      <c r="F6" s="344"/>
      <c r="G6" s="344"/>
      <c r="H6" s="344"/>
      <c r="I6" s="344"/>
      <c r="J6" s="344"/>
      <c r="K6" s="344"/>
      <c r="L6" s="344"/>
      <c r="AG6" s="344"/>
      <c r="AH6" s="344"/>
      <c r="AI6" s="344"/>
      <c r="AJ6" s="344"/>
      <c r="AK6" s="344"/>
      <c r="AL6" s="344"/>
      <c r="AM6" s="344"/>
      <c r="AN6" s="344"/>
      <c r="AO6" s="344"/>
      <c r="AP6" s="344"/>
      <c r="AQ6" s="344"/>
      <c r="AR6" s="344"/>
      <c r="AS6" s="344"/>
      <c r="AT6" s="344"/>
      <c r="AU6" s="344"/>
      <c r="AV6" s="344"/>
      <c r="AW6" s="344"/>
      <c r="AX6" s="344"/>
      <c r="AY6" s="344"/>
      <c r="AZ6" s="344"/>
      <c r="BA6" s="344"/>
      <c r="BB6" s="344"/>
      <c r="BC6" s="344"/>
      <c r="BD6" s="344"/>
      <c r="BE6" s="344"/>
      <c r="BF6" s="344"/>
      <c r="BG6" s="344"/>
      <c r="BH6" s="344"/>
      <c r="BI6" s="344"/>
      <c r="BJ6" s="344"/>
      <c r="BK6" s="344"/>
      <c r="BL6" s="344"/>
      <c r="BM6" s="344"/>
      <c r="BN6" s="344"/>
      <c r="BO6" s="344"/>
      <c r="BP6" s="344"/>
      <c r="BQ6" s="344"/>
      <c r="BR6" s="344"/>
      <c r="BS6" s="344"/>
      <c r="BT6" s="344"/>
      <c r="BU6" s="344"/>
      <c r="BV6" s="344"/>
      <c r="BW6" s="344"/>
      <c r="BX6" s="344"/>
      <c r="BY6" s="344"/>
      <c r="BZ6" s="344"/>
      <c r="CA6" s="344"/>
      <c r="CB6" s="344"/>
      <c r="CC6" s="344"/>
      <c r="CD6" s="344"/>
      <c r="CE6" s="344"/>
      <c r="CF6" s="344"/>
      <c r="CG6" s="344"/>
      <c r="CH6" s="344"/>
      <c r="CI6" s="344"/>
      <c r="CJ6" s="344"/>
      <c r="CK6" s="344"/>
      <c r="CL6" s="344"/>
      <c r="CM6" s="344"/>
      <c r="CN6" s="344"/>
      <c r="CO6" s="344"/>
      <c r="CP6" s="344"/>
      <c r="CQ6" s="344"/>
      <c r="CR6" s="344"/>
      <c r="CS6" s="344"/>
      <c r="CT6" s="344"/>
      <c r="CU6" s="344"/>
      <c r="CV6" s="344"/>
      <c r="CW6" s="344"/>
      <c r="CX6" s="344"/>
      <c r="CY6" s="344"/>
      <c r="CZ6" s="344"/>
      <c r="DA6" s="344"/>
      <c r="DB6" s="344"/>
      <c r="DC6" s="344"/>
      <c r="DD6" s="344"/>
      <c r="DE6" s="344"/>
      <c r="DF6" s="344"/>
      <c r="DG6" s="344"/>
      <c r="DH6" s="344"/>
      <c r="DI6" s="344"/>
      <c r="DJ6" s="344"/>
      <c r="DK6" s="344"/>
      <c r="DL6" s="344"/>
      <c r="DM6" s="344"/>
      <c r="DN6" s="344"/>
      <c r="DO6" s="344"/>
      <c r="DP6" s="344"/>
      <c r="DQ6" s="344"/>
      <c r="DR6" s="344"/>
      <c r="DS6" s="344"/>
      <c r="DT6" s="344"/>
      <c r="DU6" s="344"/>
      <c r="DV6" s="344"/>
      <c r="DW6" s="344"/>
      <c r="DX6" s="344"/>
      <c r="DY6" s="344"/>
      <c r="DZ6" s="344"/>
      <c r="EA6" s="344"/>
      <c r="EB6" s="344"/>
      <c r="EC6" s="344"/>
      <c r="ED6" s="344"/>
      <c r="EE6" s="344"/>
      <c r="EF6" s="344"/>
      <c r="EG6" s="344"/>
      <c r="EH6" s="344"/>
      <c r="EI6" s="344"/>
      <c r="EJ6" s="344"/>
      <c r="EK6" s="344"/>
      <c r="EL6" s="344"/>
      <c r="EM6" s="344"/>
      <c r="EN6" s="344"/>
      <c r="EO6" s="344"/>
      <c r="EP6" s="344"/>
      <c r="EQ6" s="344"/>
      <c r="ER6" s="344"/>
      <c r="ES6" s="344"/>
      <c r="ET6" s="344"/>
      <c r="EU6" s="344"/>
      <c r="EV6" s="344"/>
      <c r="EW6" s="344"/>
      <c r="EX6" s="344"/>
      <c r="EY6" s="344"/>
      <c r="EZ6" s="344"/>
      <c r="FA6" s="344"/>
      <c r="FB6" s="344"/>
      <c r="FC6" s="344"/>
      <c r="FD6" s="344"/>
      <c r="FE6" s="344"/>
      <c r="FF6" s="344"/>
      <c r="FG6" s="344"/>
      <c r="FH6" s="344"/>
      <c r="FI6" s="344"/>
      <c r="FJ6" s="344"/>
      <c r="FK6" s="344"/>
      <c r="FL6" s="344"/>
      <c r="FM6" s="344"/>
      <c r="FN6" s="344"/>
      <c r="FO6" s="344"/>
      <c r="FP6" s="344"/>
      <c r="FQ6" s="344"/>
      <c r="FR6" s="344"/>
      <c r="FS6" s="344"/>
      <c r="FT6" s="344"/>
      <c r="FU6" s="344"/>
      <c r="FV6" s="344"/>
      <c r="FW6" s="344"/>
      <c r="FX6" s="344"/>
      <c r="FY6" s="344"/>
      <c r="FZ6" s="344"/>
      <c r="GA6" s="344"/>
      <c r="GB6" s="344"/>
      <c r="GC6" s="344"/>
      <c r="GD6" s="344"/>
      <c r="GE6" s="344"/>
      <c r="GF6" s="344"/>
      <c r="GG6" s="344"/>
      <c r="GH6" s="344"/>
      <c r="GI6" s="344"/>
      <c r="GJ6" s="344"/>
      <c r="GK6" s="344"/>
      <c r="GL6" s="344"/>
      <c r="GM6" s="344"/>
      <c r="GN6" s="344"/>
      <c r="GO6" s="344"/>
      <c r="GP6" s="344"/>
      <c r="GQ6" s="344"/>
      <c r="GR6" s="344"/>
      <c r="GS6" s="344"/>
      <c r="GT6" s="344"/>
      <c r="GU6" s="344"/>
      <c r="GV6" s="344"/>
      <c r="GW6" s="344"/>
      <c r="GX6" s="344"/>
      <c r="GY6" s="344"/>
      <c r="GZ6" s="344"/>
      <c r="HA6" s="344"/>
      <c r="HB6" s="344"/>
      <c r="HC6" s="344"/>
      <c r="HD6" s="344"/>
      <c r="HE6" s="344"/>
      <c r="HF6" s="344"/>
      <c r="HG6" s="344"/>
      <c r="HH6" s="344"/>
      <c r="HI6" s="344"/>
      <c r="HJ6" s="344"/>
      <c r="HK6" s="344"/>
      <c r="HL6" s="344"/>
      <c r="HM6" s="344"/>
      <c r="HN6" s="344"/>
      <c r="HO6" s="344"/>
      <c r="HP6" s="344"/>
      <c r="HQ6" s="344"/>
      <c r="HR6" s="344"/>
      <c r="HS6" s="344"/>
      <c r="HT6" s="344"/>
      <c r="HU6" s="344"/>
      <c r="HV6" s="344"/>
      <c r="HW6" s="344"/>
      <c r="HX6" s="344"/>
      <c r="HY6" s="344"/>
      <c r="HZ6" s="344"/>
      <c r="IA6" s="344"/>
      <c r="IB6" s="344"/>
      <c r="IC6" s="344"/>
      <c r="ID6" s="344"/>
      <c r="IE6" s="344"/>
      <c r="IF6" s="344"/>
      <c r="IG6" s="344"/>
      <c r="IH6" s="344"/>
      <c r="II6" s="344"/>
      <c r="IJ6" s="344"/>
      <c r="IK6" s="344"/>
      <c r="IL6" s="344"/>
      <c r="IM6" s="344"/>
      <c r="IN6" s="344"/>
      <c r="IO6" s="344"/>
      <c r="IP6" s="344"/>
      <c r="IQ6" s="344"/>
      <c r="IR6" s="344"/>
      <c r="IS6" s="344"/>
      <c r="IT6" s="344"/>
      <c r="IU6" s="344"/>
      <c r="IV6" s="344"/>
      <c r="IW6" s="344"/>
      <c r="IX6" s="344"/>
      <c r="IY6" s="344"/>
      <c r="IZ6" s="344"/>
      <c r="JA6" s="344"/>
      <c r="JB6" s="344"/>
      <c r="JC6" s="344"/>
      <c r="JD6" s="344"/>
      <c r="JE6" s="344"/>
      <c r="JF6" s="344"/>
      <c r="JG6" s="344"/>
      <c r="JH6" s="344"/>
      <c r="JI6" s="344"/>
      <c r="JJ6" s="344"/>
      <c r="JK6" s="344"/>
      <c r="JL6" s="344"/>
      <c r="JM6" s="344"/>
      <c r="JN6" s="344"/>
      <c r="JO6" s="344"/>
      <c r="JP6" s="344"/>
      <c r="JQ6" s="344"/>
      <c r="JR6" s="344"/>
      <c r="JS6" s="344"/>
      <c r="JT6" s="344"/>
      <c r="JU6" s="344"/>
      <c r="JV6" s="344"/>
      <c r="JW6" s="344"/>
      <c r="JX6" s="344"/>
      <c r="JY6" s="344"/>
      <c r="JZ6" s="344"/>
      <c r="KA6" s="344"/>
      <c r="KB6" s="344"/>
      <c r="KC6" s="344"/>
      <c r="KD6" s="344"/>
      <c r="KE6" s="344"/>
      <c r="KF6" s="344"/>
      <c r="KG6" s="344"/>
      <c r="KH6" s="344"/>
      <c r="KI6" s="344"/>
      <c r="KJ6" s="344"/>
      <c r="KK6" s="344"/>
      <c r="KL6" s="344"/>
      <c r="KM6" s="344"/>
      <c r="KN6" s="344"/>
      <c r="KO6" s="344"/>
      <c r="KP6" s="344"/>
      <c r="KQ6" s="344"/>
      <c r="KR6" s="344"/>
      <c r="KS6" s="344"/>
      <c r="KT6" s="344"/>
      <c r="KU6" s="344"/>
      <c r="KV6" s="344"/>
      <c r="KW6" s="344"/>
      <c r="KX6" s="344"/>
      <c r="KY6" s="344"/>
      <c r="KZ6" s="344"/>
      <c r="LA6" s="344"/>
      <c r="LB6" s="344"/>
      <c r="LC6" s="344"/>
      <c r="LD6" s="344"/>
      <c r="LE6" s="344"/>
      <c r="LF6" s="344"/>
      <c r="LG6" s="344"/>
      <c r="LH6" s="344"/>
      <c r="LI6" s="344"/>
      <c r="LJ6" s="344"/>
      <c r="LK6" s="344"/>
      <c r="LL6" s="344"/>
      <c r="LM6" s="344"/>
      <c r="LN6" s="344"/>
      <c r="LO6" s="344"/>
      <c r="LP6" s="344"/>
      <c r="LQ6" s="344"/>
      <c r="LR6" s="344"/>
      <c r="LS6" s="344"/>
      <c r="LT6" s="344"/>
      <c r="LU6" s="344"/>
      <c r="LV6" s="344"/>
      <c r="LW6" s="344"/>
      <c r="LX6" s="344"/>
      <c r="LY6" s="344"/>
      <c r="LZ6" s="344"/>
      <c r="MA6" s="344"/>
      <c r="MB6" s="344"/>
      <c r="MC6" s="344"/>
      <c r="MD6" s="344"/>
      <c r="ME6" s="344"/>
      <c r="MF6" s="344"/>
      <c r="MG6" s="344"/>
      <c r="MH6" s="344"/>
      <c r="MI6" s="344"/>
      <c r="MJ6" s="344"/>
      <c r="MK6" s="344"/>
      <c r="ML6" s="344"/>
      <c r="MM6" s="344"/>
      <c r="MN6" s="344"/>
      <c r="MO6" s="344"/>
      <c r="MP6" s="344"/>
      <c r="MQ6" s="344"/>
      <c r="MR6" s="344"/>
      <c r="MS6" s="344"/>
      <c r="MT6" s="344"/>
      <c r="MU6" s="344"/>
      <c r="MV6" s="344"/>
      <c r="MW6" s="344"/>
      <c r="MX6" s="344"/>
      <c r="MY6" s="344"/>
      <c r="MZ6" s="344"/>
      <c r="NA6" s="344"/>
      <c r="NB6" s="344"/>
      <c r="NC6" s="344"/>
      <c r="ND6" s="344"/>
      <c r="NE6" s="344"/>
      <c r="NF6" s="344"/>
      <c r="NG6" s="344"/>
      <c r="NH6" s="344"/>
      <c r="NI6" s="344"/>
      <c r="NJ6" s="344"/>
      <c r="NK6" s="344"/>
      <c r="NL6" s="344"/>
      <c r="NM6" s="344"/>
      <c r="NN6" s="344"/>
      <c r="NO6" s="344"/>
      <c r="NP6" s="344"/>
      <c r="NQ6" s="344"/>
      <c r="NR6" s="344"/>
      <c r="NS6" s="344"/>
      <c r="NT6" s="344"/>
      <c r="NU6" s="344"/>
      <c r="NV6" s="344"/>
      <c r="NW6" s="344"/>
      <c r="NX6" s="344"/>
      <c r="NY6" s="344"/>
      <c r="NZ6" s="344"/>
      <c r="OA6" s="344"/>
      <c r="OB6" s="344"/>
      <c r="OC6" s="344"/>
      <c r="OD6" s="344"/>
      <c r="OE6" s="344"/>
      <c r="OF6" s="344"/>
      <c r="OG6" s="344"/>
      <c r="OH6" s="344"/>
      <c r="OI6" s="344"/>
      <c r="OJ6" s="344"/>
      <c r="OK6" s="344"/>
      <c r="OL6" s="344"/>
      <c r="OM6" s="344"/>
      <c r="ON6" s="344"/>
      <c r="OO6" s="344"/>
      <c r="OP6" s="344"/>
      <c r="OQ6" s="344"/>
      <c r="OR6" s="344"/>
      <c r="OS6" s="344"/>
      <c r="OT6" s="344"/>
      <c r="OU6" s="344"/>
      <c r="OV6" s="344"/>
      <c r="OW6" s="344"/>
      <c r="OX6" s="344"/>
      <c r="OY6" s="344"/>
      <c r="OZ6" s="344"/>
      <c r="PA6" s="344"/>
      <c r="PB6" s="344"/>
      <c r="PC6" s="344"/>
      <c r="PD6" s="344"/>
      <c r="PE6" s="344"/>
      <c r="PF6" s="344"/>
      <c r="PG6" s="344"/>
      <c r="PH6" s="344"/>
      <c r="PI6" s="344"/>
      <c r="PJ6" s="344"/>
      <c r="PK6" s="344"/>
      <c r="PL6" s="344"/>
      <c r="PM6" s="344"/>
      <c r="PN6" s="344"/>
      <c r="PO6" s="344"/>
      <c r="PP6" s="344"/>
      <c r="PQ6" s="344"/>
      <c r="PR6" s="344"/>
      <c r="PS6" s="344"/>
      <c r="PT6" s="344"/>
      <c r="PU6" s="344"/>
      <c r="PV6" s="344"/>
      <c r="PW6" s="344"/>
      <c r="PX6" s="344"/>
      <c r="PY6" s="344"/>
      <c r="PZ6" s="344"/>
      <c r="QA6" s="344"/>
      <c r="QB6" s="344"/>
      <c r="QC6" s="344"/>
      <c r="QD6" s="344"/>
      <c r="QE6" s="344"/>
      <c r="QF6" s="344"/>
      <c r="QG6" s="344"/>
      <c r="QH6" s="344"/>
      <c r="QI6" s="344"/>
      <c r="QJ6" s="344"/>
      <c r="QK6" s="344"/>
      <c r="QL6" s="344"/>
      <c r="QM6" s="344"/>
      <c r="QN6" s="344"/>
      <c r="QO6" s="344"/>
      <c r="QP6" s="344"/>
      <c r="QQ6" s="344"/>
      <c r="QR6" s="344"/>
      <c r="QS6" s="344"/>
      <c r="QT6" s="344"/>
      <c r="QU6" s="344"/>
      <c r="QV6" s="344"/>
      <c r="QW6" s="344"/>
      <c r="QX6" s="344"/>
      <c r="QY6" s="344"/>
      <c r="QZ6" s="344"/>
      <c r="RA6" s="344"/>
      <c r="RB6" s="344"/>
      <c r="RC6" s="344"/>
      <c r="RD6" s="344"/>
      <c r="RE6" s="344"/>
      <c r="RF6" s="344"/>
      <c r="RG6" s="344"/>
      <c r="RH6" s="344"/>
      <c r="RI6" s="344"/>
      <c r="RJ6" s="344"/>
      <c r="RK6" s="344"/>
      <c r="RL6" s="344"/>
      <c r="RM6" s="344"/>
      <c r="RN6" s="344"/>
      <c r="RO6" s="344"/>
      <c r="RP6" s="344"/>
      <c r="RQ6" s="344"/>
      <c r="RR6" s="344"/>
      <c r="RS6" s="344"/>
      <c r="RT6" s="344"/>
      <c r="RU6" s="344"/>
      <c r="RV6" s="344"/>
      <c r="RW6" s="344"/>
      <c r="RX6" s="344"/>
      <c r="RY6" s="344"/>
      <c r="RZ6" s="344"/>
      <c r="SA6" s="344"/>
      <c r="SB6" s="344"/>
      <c r="SC6" s="344"/>
      <c r="SD6" s="344"/>
      <c r="SE6" s="344"/>
      <c r="SF6" s="344"/>
      <c r="SG6" s="344"/>
      <c r="SH6" s="344"/>
      <c r="SI6" s="344"/>
      <c r="SJ6" s="344"/>
      <c r="SK6" s="344"/>
      <c r="SL6" s="344"/>
      <c r="SM6" s="344"/>
      <c r="SN6" s="344"/>
      <c r="SO6" s="344"/>
      <c r="SP6" s="344"/>
      <c r="SQ6" s="344"/>
      <c r="SR6" s="344"/>
      <c r="SS6" s="344"/>
      <c r="ST6" s="344"/>
      <c r="SU6" s="344"/>
      <c r="SV6" s="344"/>
      <c r="SW6" s="344"/>
      <c r="SX6" s="344"/>
      <c r="SY6" s="344"/>
      <c r="SZ6" s="344"/>
      <c r="TA6" s="344"/>
      <c r="TB6" s="344"/>
      <c r="TC6" s="344"/>
      <c r="TD6" s="344"/>
      <c r="TE6" s="344"/>
      <c r="TF6" s="344"/>
      <c r="TG6" s="344"/>
      <c r="TH6" s="344"/>
      <c r="TI6" s="344"/>
      <c r="TJ6" s="344"/>
      <c r="TK6" s="344"/>
      <c r="TL6" s="344"/>
      <c r="TM6" s="344"/>
      <c r="TN6" s="344"/>
      <c r="TO6" s="344"/>
      <c r="TP6" s="344"/>
      <c r="TQ6" s="344"/>
      <c r="TR6" s="344"/>
      <c r="TS6" s="344"/>
      <c r="TT6" s="344"/>
      <c r="TU6" s="344"/>
      <c r="TV6" s="344"/>
      <c r="TW6" s="344"/>
      <c r="TX6" s="344"/>
      <c r="TY6" s="344"/>
      <c r="TZ6" s="344"/>
      <c r="UA6" s="344"/>
      <c r="UB6" s="344"/>
      <c r="UC6" s="344"/>
      <c r="UD6" s="344"/>
      <c r="UE6" s="344"/>
      <c r="UF6" s="344"/>
      <c r="UG6" s="344"/>
      <c r="UH6" s="344"/>
      <c r="UI6" s="344"/>
      <c r="UJ6" s="344"/>
      <c r="UK6" s="344"/>
      <c r="UL6" s="344"/>
      <c r="UM6" s="344"/>
      <c r="UN6" s="344"/>
      <c r="UO6" s="344"/>
      <c r="UP6" s="344"/>
      <c r="UQ6" s="344"/>
      <c r="UR6" s="344"/>
      <c r="US6" s="344"/>
      <c r="UT6" s="344"/>
      <c r="UU6" s="344"/>
      <c r="UV6" s="344"/>
      <c r="UW6" s="344"/>
      <c r="UX6" s="344"/>
      <c r="UY6" s="344"/>
      <c r="UZ6" s="344"/>
      <c r="VA6" s="344"/>
      <c r="VB6" s="344"/>
      <c r="VC6" s="344"/>
      <c r="VD6" s="344"/>
      <c r="VE6" s="344"/>
      <c r="VF6" s="344"/>
      <c r="VG6" s="344"/>
      <c r="VH6" s="344"/>
      <c r="VI6" s="344"/>
      <c r="VJ6" s="344"/>
      <c r="VK6" s="344"/>
      <c r="VL6" s="344"/>
      <c r="VM6" s="344"/>
      <c r="VN6" s="344"/>
      <c r="VO6" s="344"/>
      <c r="VP6" s="344"/>
      <c r="VQ6" s="344"/>
      <c r="VR6" s="344"/>
      <c r="VS6" s="344"/>
      <c r="VT6" s="344"/>
      <c r="VU6" s="344"/>
      <c r="VV6" s="344"/>
      <c r="VW6" s="344"/>
      <c r="VX6" s="344"/>
      <c r="VY6" s="344"/>
      <c r="VZ6" s="344"/>
      <c r="WA6" s="344"/>
      <c r="WB6" s="344"/>
      <c r="WC6" s="344"/>
      <c r="WD6" s="344"/>
      <c r="WE6" s="344"/>
      <c r="WF6" s="344"/>
      <c r="WG6" s="344"/>
      <c r="WH6" s="344"/>
      <c r="WI6" s="344"/>
      <c r="WJ6" s="344"/>
      <c r="WK6" s="344"/>
      <c r="WL6" s="344"/>
      <c r="WM6" s="344"/>
      <c r="WN6" s="344"/>
      <c r="WO6" s="344"/>
      <c r="WP6" s="344"/>
      <c r="WQ6" s="344"/>
      <c r="WR6" s="344"/>
      <c r="WS6" s="344"/>
      <c r="WT6" s="344"/>
      <c r="WU6" s="344"/>
      <c r="WV6" s="344"/>
      <c r="WW6" s="344"/>
      <c r="WX6" s="344"/>
      <c r="WY6" s="344"/>
      <c r="WZ6" s="344"/>
      <c r="XA6" s="344"/>
      <c r="XB6" s="344"/>
      <c r="XC6" s="344"/>
      <c r="XD6" s="344"/>
      <c r="XE6" s="344"/>
      <c r="XF6" s="344"/>
      <c r="XG6" s="344"/>
      <c r="XH6" s="344"/>
      <c r="XI6" s="344"/>
      <c r="XJ6" s="344"/>
      <c r="XK6" s="344"/>
      <c r="XL6" s="344"/>
      <c r="XM6" s="344"/>
      <c r="XN6" s="344"/>
      <c r="XO6" s="344"/>
      <c r="XP6" s="344"/>
      <c r="XQ6" s="344"/>
      <c r="XR6" s="344"/>
      <c r="XS6" s="344"/>
      <c r="XT6" s="344"/>
      <c r="XU6" s="344"/>
      <c r="XV6" s="344"/>
      <c r="XW6" s="344"/>
      <c r="XX6" s="344"/>
      <c r="XY6" s="344"/>
      <c r="XZ6" s="344"/>
      <c r="YA6" s="344"/>
      <c r="YB6" s="344"/>
      <c r="YC6" s="344"/>
      <c r="YD6" s="344"/>
      <c r="YE6" s="344"/>
      <c r="YF6" s="344"/>
      <c r="YG6" s="344"/>
      <c r="YH6" s="344"/>
      <c r="YI6" s="344"/>
      <c r="YJ6" s="344"/>
      <c r="YK6" s="344"/>
      <c r="YL6" s="344"/>
      <c r="YM6" s="344"/>
      <c r="YN6" s="344"/>
      <c r="YO6" s="344"/>
      <c r="YP6" s="344"/>
      <c r="YQ6" s="344"/>
      <c r="YR6" s="344"/>
      <c r="YS6" s="344"/>
      <c r="YT6" s="344"/>
      <c r="YU6" s="344"/>
      <c r="YV6" s="344"/>
      <c r="YW6" s="344"/>
      <c r="YX6" s="344"/>
      <c r="YY6" s="344"/>
      <c r="YZ6" s="344"/>
      <c r="ZA6" s="344"/>
      <c r="ZB6" s="344"/>
      <c r="ZC6" s="344"/>
      <c r="ZD6" s="344"/>
      <c r="ZE6" s="344"/>
      <c r="ZF6" s="344"/>
      <c r="ZG6" s="344"/>
      <c r="ZH6" s="344"/>
      <c r="ZI6" s="344"/>
      <c r="ZJ6" s="344"/>
      <c r="ZK6" s="344"/>
      <c r="ZL6" s="344"/>
      <c r="ZM6" s="344"/>
      <c r="ZN6" s="344"/>
      <c r="ZO6" s="344"/>
      <c r="ZP6" s="344"/>
      <c r="ZQ6" s="344"/>
      <c r="ZR6" s="344"/>
      <c r="ZS6" s="344"/>
      <c r="ZT6" s="344"/>
      <c r="ZU6" s="344"/>
      <c r="ZV6" s="344"/>
      <c r="ZW6" s="344"/>
      <c r="ZX6" s="344"/>
      <c r="ZY6" s="344"/>
      <c r="ZZ6" s="344"/>
      <c r="AAA6" s="344"/>
      <c r="AAB6" s="344"/>
      <c r="AAC6" s="344"/>
      <c r="AAD6" s="344"/>
      <c r="AAE6" s="344"/>
      <c r="AAF6" s="344"/>
      <c r="AAG6" s="344"/>
      <c r="AAH6" s="344"/>
      <c r="AAI6" s="344"/>
      <c r="AAJ6" s="344"/>
      <c r="AAK6" s="344"/>
      <c r="AAL6" s="344"/>
      <c r="AAM6" s="344"/>
      <c r="AAN6" s="344"/>
      <c r="AAO6" s="344"/>
      <c r="AAP6" s="344"/>
      <c r="AAQ6" s="344"/>
      <c r="AAR6" s="344"/>
      <c r="AAS6" s="344"/>
      <c r="AAT6" s="344"/>
      <c r="AAU6" s="344"/>
      <c r="AAV6" s="344"/>
      <c r="AAW6" s="344"/>
      <c r="AAX6" s="344"/>
      <c r="AAY6" s="344"/>
      <c r="AAZ6" s="344"/>
      <c r="ABA6" s="344"/>
      <c r="ABB6" s="344"/>
      <c r="ABC6" s="344"/>
      <c r="ABD6" s="344"/>
      <c r="ABE6" s="344"/>
      <c r="ABF6" s="344"/>
      <c r="ABG6" s="344"/>
      <c r="ABH6" s="344"/>
      <c r="ABI6" s="344"/>
      <c r="ABJ6" s="344"/>
      <c r="ABK6" s="344"/>
      <c r="ABL6" s="344"/>
      <c r="ABM6" s="344"/>
      <c r="ABN6" s="344"/>
      <c r="ABO6" s="344"/>
      <c r="ABP6" s="344"/>
      <c r="ABQ6" s="344"/>
      <c r="ABR6" s="344"/>
      <c r="ABS6" s="344"/>
      <c r="ABT6" s="344"/>
      <c r="ABU6" s="344"/>
      <c r="ABV6" s="344"/>
      <c r="ABW6" s="344"/>
      <c r="ABX6" s="344"/>
      <c r="ABY6" s="344"/>
      <c r="ABZ6" s="344"/>
      <c r="ACA6" s="344"/>
      <c r="ACB6" s="344"/>
      <c r="ACC6" s="344"/>
      <c r="ACD6" s="344"/>
      <c r="ACE6" s="344"/>
      <c r="ACF6" s="344"/>
      <c r="ACG6" s="344"/>
      <c r="ACH6" s="344"/>
      <c r="ACI6" s="344"/>
      <c r="ACJ6" s="344"/>
      <c r="ACK6" s="344"/>
      <c r="ACL6" s="344"/>
      <c r="ACM6" s="344"/>
      <c r="ACN6" s="344"/>
      <c r="ACO6" s="344"/>
      <c r="ACP6" s="344"/>
      <c r="ACQ6" s="344"/>
      <c r="ACR6" s="344"/>
      <c r="ACS6" s="344"/>
      <c r="ACT6" s="344"/>
      <c r="ACU6" s="344"/>
      <c r="ACV6" s="344"/>
      <c r="ACW6" s="344"/>
      <c r="ACX6" s="344"/>
      <c r="ACY6" s="344"/>
      <c r="ACZ6" s="344"/>
      <c r="ADA6" s="344"/>
      <c r="ADB6" s="344"/>
      <c r="ADC6" s="344"/>
      <c r="ADD6" s="344"/>
      <c r="ADE6" s="344"/>
      <c r="ADF6" s="344"/>
      <c r="ADG6" s="344"/>
      <c r="ADH6" s="344"/>
      <c r="ADI6" s="344"/>
      <c r="ADJ6" s="344"/>
      <c r="ADK6" s="344"/>
      <c r="ADL6" s="344"/>
      <c r="ADM6" s="344"/>
      <c r="ADN6" s="344"/>
      <c r="ADO6" s="344"/>
      <c r="ADP6" s="344"/>
      <c r="ADQ6" s="344"/>
      <c r="ADR6" s="344"/>
      <c r="ADS6" s="344"/>
      <c r="ADT6" s="344"/>
      <c r="ADU6" s="344"/>
      <c r="ADV6" s="344"/>
      <c r="ADW6" s="344"/>
      <c r="ADX6" s="344"/>
      <c r="ADY6" s="344"/>
      <c r="ADZ6" s="344"/>
      <c r="AEA6" s="344"/>
      <c r="AEB6" s="344"/>
      <c r="AEC6" s="344"/>
      <c r="AED6" s="344"/>
      <c r="AEE6" s="344"/>
      <c r="AEF6" s="344"/>
      <c r="AEG6" s="344"/>
      <c r="AEH6" s="344"/>
      <c r="AEI6" s="344"/>
      <c r="AEJ6" s="344"/>
      <c r="AEK6" s="344"/>
      <c r="AEL6" s="344"/>
      <c r="AEM6" s="344"/>
      <c r="AEN6" s="344"/>
      <c r="AEO6" s="344"/>
      <c r="AEP6" s="344"/>
      <c r="AEQ6" s="344"/>
      <c r="AER6" s="344"/>
      <c r="AES6" s="344"/>
      <c r="AET6" s="344"/>
      <c r="AEU6" s="344"/>
      <c r="AEV6" s="344"/>
      <c r="AEW6" s="344"/>
      <c r="AEX6" s="344"/>
      <c r="AEY6" s="344"/>
      <c r="AEZ6" s="344"/>
      <c r="AFA6" s="344"/>
      <c r="AFB6" s="344"/>
      <c r="AFC6" s="344"/>
      <c r="AFD6" s="344"/>
      <c r="AFE6" s="344"/>
      <c r="AFF6" s="344"/>
      <c r="AFG6" s="344"/>
      <c r="AFH6" s="344"/>
      <c r="AFI6" s="344"/>
      <c r="AFJ6" s="344"/>
      <c r="AFK6" s="344"/>
      <c r="AFL6" s="344"/>
      <c r="AFM6" s="344"/>
      <c r="AFN6" s="344"/>
      <c r="AFO6" s="344"/>
      <c r="AFP6" s="344"/>
      <c r="AFQ6" s="344"/>
      <c r="AFR6" s="344"/>
      <c r="AFS6" s="344"/>
      <c r="AFT6" s="344"/>
      <c r="AFU6" s="344"/>
      <c r="AFV6" s="344"/>
      <c r="AFW6" s="344"/>
      <c r="AFX6" s="344"/>
      <c r="AFY6" s="344"/>
      <c r="AFZ6" s="344"/>
      <c r="AGA6" s="344"/>
      <c r="AGB6" s="344"/>
      <c r="AGC6" s="344"/>
      <c r="AGD6" s="344"/>
      <c r="AGE6" s="344"/>
      <c r="AGF6" s="344"/>
      <c r="AGG6" s="344"/>
      <c r="AGH6" s="344"/>
      <c r="AGI6" s="344"/>
      <c r="AGJ6" s="344"/>
      <c r="AGK6" s="344"/>
      <c r="AGL6" s="344"/>
      <c r="AGM6" s="344"/>
      <c r="AGN6" s="344"/>
      <c r="AGO6" s="344"/>
      <c r="AGP6" s="344"/>
      <c r="AGQ6" s="344"/>
      <c r="AGR6" s="344"/>
      <c r="AGS6" s="344"/>
      <c r="AGT6" s="344"/>
      <c r="AGU6" s="344"/>
      <c r="AGV6" s="344"/>
      <c r="AGW6" s="344"/>
      <c r="AGX6" s="344"/>
      <c r="AGY6" s="344"/>
      <c r="AGZ6" s="344"/>
      <c r="AHA6" s="344"/>
      <c r="AHB6" s="344"/>
      <c r="AHC6" s="344"/>
      <c r="AHD6" s="344"/>
      <c r="AHE6" s="344"/>
      <c r="AHF6" s="344"/>
      <c r="AHG6" s="344"/>
      <c r="AHH6" s="344"/>
      <c r="AHI6" s="344"/>
      <c r="AHJ6" s="344"/>
      <c r="AHK6" s="344"/>
      <c r="AHL6" s="344"/>
      <c r="AHM6" s="344"/>
      <c r="AHN6" s="344"/>
      <c r="AHO6" s="344"/>
      <c r="AHP6" s="344"/>
      <c r="AHQ6" s="344"/>
      <c r="AHR6" s="344"/>
      <c r="AHS6" s="344"/>
      <c r="AHT6" s="344"/>
      <c r="AHU6" s="344"/>
      <c r="AHV6" s="344"/>
      <c r="AHW6" s="344"/>
      <c r="AHX6" s="344"/>
      <c r="AHY6" s="344"/>
      <c r="AHZ6" s="344"/>
      <c r="AIA6" s="344"/>
      <c r="AIB6" s="344"/>
      <c r="AIC6" s="344"/>
      <c r="AID6" s="344"/>
      <c r="AIE6" s="344"/>
      <c r="AIF6" s="344"/>
      <c r="AIG6" s="344"/>
      <c r="AIH6" s="344"/>
      <c r="AII6" s="344"/>
      <c r="AIJ6" s="344"/>
      <c r="AIK6" s="344"/>
      <c r="AIL6" s="344"/>
      <c r="AIM6" s="344"/>
      <c r="AIN6" s="344"/>
      <c r="AIO6" s="344"/>
      <c r="AIP6" s="344"/>
      <c r="AIQ6" s="344"/>
      <c r="AIR6" s="344"/>
      <c r="AIS6" s="344"/>
      <c r="AIT6" s="344"/>
      <c r="AIU6" s="344"/>
      <c r="AIV6" s="344"/>
      <c r="AIW6" s="344"/>
      <c r="AIX6" s="344"/>
      <c r="AIY6" s="344"/>
      <c r="AIZ6" s="344"/>
      <c r="AJA6" s="344"/>
      <c r="AJB6" s="344"/>
      <c r="AJC6" s="344"/>
      <c r="AJD6" s="344"/>
      <c r="AJE6" s="344"/>
      <c r="AJF6" s="344"/>
      <c r="AJG6" s="344"/>
      <c r="AJH6" s="344"/>
      <c r="AJI6" s="344"/>
      <c r="AJJ6" s="344"/>
      <c r="AJK6" s="344"/>
      <c r="AJL6" s="344"/>
      <c r="AJM6" s="344"/>
      <c r="AJN6" s="344"/>
      <c r="AJO6" s="344"/>
      <c r="AJP6" s="344"/>
      <c r="AJQ6" s="344"/>
      <c r="AJR6" s="344"/>
      <c r="AJS6" s="344"/>
      <c r="AJT6" s="344"/>
      <c r="AJU6" s="344"/>
      <c r="AJV6" s="344"/>
      <c r="AJW6" s="344"/>
      <c r="AJX6" s="344"/>
      <c r="AJY6" s="344"/>
      <c r="AJZ6" s="344"/>
      <c r="AKA6" s="344"/>
      <c r="AKB6" s="344"/>
      <c r="AKC6" s="344"/>
      <c r="AKD6" s="344"/>
      <c r="AKE6" s="344"/>
      <c r="AKF6" s="344"/>
      <c r="AKG6" s="344"/>
      <c r="AKH6" s="344"/>
      <c r="AKI6" s="344"/>
      <c r="AKJ6" s="344"/>
      <c r="AKK6" s="344"/>
      <c r="AKL6" s="344"/>
      <c r="AKM6" s="344"/>
      <c r="AKN6" s="344"/>
      <c r="AKO6" s="344"/>
      <c r="AKP6" s="344"/>
      <c r="AKQ6" s="344"/>
      <c r="AKR6" s="344"/>
      <c r="AKS6" s="344"/>
      <c r="AKT6" s="344"/>
      <c r="AKU6" s="344"/>
      <c r="AKV6" s="344"/>
      <c r="AKW6" s="344"/>
      <c r="AKX6" s="344"/>
      <c r="AKY6" s="344"/>
      <c r="AKZ6" s="344"/>
      <c r="ALA6" s="344"/>
      <c r="ALB6" s="344"/>
      <c r="ALC6" s="344"/>
      <c r="ALD6" s="344"/>
      <c r="ALE6" s="344"/>
      <c r="ALF6" s="344"/>
      <c r="ALG6" s="344"/>
      <c r="ALH6" s="344"/>
      <c r="ALI6" s="344"/>
      <c r="ALJ6" s="344"/>
      <c r="ALK6" s="344"/>
      <c r="ALL6" s="344"/>
      <c r="ALM6" s="344"/>
      <c r="ALN6" s="344"/>
      <c r="ALO6" s="344"/>
      <c r="ALP6" s="344"/>
      <c r="ALQ6" s="344"/>
      <c r="ALR6" s="344"/>
      <c r="ALS6" s="344"/>
      <c r="ALT6" s="344"/>
      <c r="ALU6" s="344"/>
      <c r="ALV6" s="344"/>
      <c r="ALW6" s="344"/>
      <c r="ALX6" s="344"/>
      <c r="ALY6" s="344"/>
      <c r="ALZ6" s="344"/>
      <c r="AMA6" s="344"/>
      <c r="AMB6" s="344"/>
      <c r="AMC6" s="344"/>
      <c r="AMD6" s="344"/>
      <c r="AME6" s="344"/>
      <c r="AMF6" s="344"/>
      <c r="AMG6" s="344"/>
      <c r="AMH6" s="344"/>
      <c r="AMI6" s="344"/>
      <c r="AMJ6" s="344"/>
      <c r="AMK6" s="344"/>
      <c r="AML6" s="344"/>
      <c r="AMM6" s="344"/>
      <c r="AMN6" s="344"/>
      <c r="AMO6" s="344"/>
      <c r="AMP6" s="344"/>
      <c r="AMQ6" s="344"/>
      <c r="AMR6" s="344"/>
      <c r="AMS6" s="344"/>
      <c r="AMT6" s="344"/>
      <c r="AMU6" s="344"/>
      <c r="AMV6" s="344"/>
      <c r="AMW6" s="344"/>
      <c r="AMX6" s="344"/>
      <c r="AMY6" s="344"/>
      <c r="AMZ6" s="344"/>
      <c r="ANA6" s="344"/>
      <c r="ANB6" s="344"/>
      <c r="ANC6" s="344"/>
      <c r="AND6" s="344"/>
      <c r="ANE6" s="344"/>
      <c r="ANF6" s="344"/>
      <c r="ANG6" s="344"/>
      <c r="ANH6" s="344"/>
      <c r="ANI6" s="344"/>
      <c r="ANJ6" s="344"/>
      <c r="ANK6" s="344"/>
      <c r="ANL6" s="344"/>
      <c r="ANM6" s="344"/>
      <c r="ANN6" s="344"/>
      <c r="ANO6" s="344"/>
      <c r="ANP6" s="344"/>
      <c r="ANQ6" s="344"/>
      <c r="ANR6" s="344"/>
      <c r="ANS6" s="344"/>
      <c r="ANT6" s="344"/>
      <c r="ANU6" s="344"/>
      <c r="ANV6" s="344"/>
      <c r="ANW6" s="344"/>
      <c r="ANX6" s="344"/>
      <c r="ANY6" s="344"/>
      <c r="ANZ6" s="344"/>
      <c r="AOA6" s="344"/>
      <c r="AOB6" s="344"/>
      <c r="AOC6" s="344"/>
      <c r="AOD6" s="344"/>
      <c r="AOE6" s="344"/>
      <c r="AOF6" s="344"/>
      <c r="AOG6" s="344"/>
      <c r="AOH6" s="344"/>
      <c r="AOI6" s="344"/>
      <c r="AOJ6" s="344"/>
      <c r="AOK6" s="344"/>
      <c r="AOL6" s="344"/>
      <c r="AOM6" s="344"/>
      <c r="AON6" s="344"/>
      <c r="AOO6" s="344"/>
      <c r="AOP6" s="344"/>
      <c r="AOQ6" s="344"/>
      <c r="AOR6" s="344"/>
      <c r="AOS6" s="344"/>
      <c r="AOT6" s="344"/>
      <c r="AOU6" s="344"/>
      <c r="AOV6" s="344"/>
      <c r="AOW6" s="344"/>
      <c r="AOX6" s="344"/>
      <c r="AOY6" s="344"/>
      <c r="AOZ6" s="344"/>
      <c r="APA6" s="344"/>
      <c r="APB6" s="344"/>
      <c r="APC6" s="344"/>
      <c r="APD6" s="344"/>
      <c r="APE6" s="344"/>
      <c r="APF6" s="344"/>
      <c r="APG6" s="344"/>
      <c r="APH6" s="344"/>
      <c r="API6" s="344"/>
      <c r="APJ6" s="344"/>
      <c r="APK6" s="344"/>
      <c r="APL6" s="344"/>
      <c r="APM6" s="344"/>
      <c r="APN6" s="344"/>
      <c r="APO6" s="344"/>
      <c r="APP6" s="344"/>
      <c r="APQ6" s="344"/>
      <c r="APR6" s="344"/>
      <c r="APS6" s="344"/>
      <c r="APT6" s="344"/>
      <c r="APU6" s="344"/>
      <c r="APV6" s="344"/>
      <c r="APW6" s="344"/>
      <c r="APX6" s="344"/>
      <c r="APY6" s="344"/>
      <c r="APZ6" s="344"/>
      <c r="AQA6" s="344"/>
      <c r="AQB6" s="344"/>
      <c r="AQC6" s="344"/>
      <c r="AQD6" s="344"/>
      <c r="AQE6" s="344"/>
      <c r="AQF6" s="344"/>
      <c r="AQG6" s="344"/>
      <c r="AQH6" s="344"/>
      <c r="AQI6" s="344"/>
      <c r="AQJ6" s="344"/>
      <c r="AQK6" s="344"/>
      <c r="AQL6" s="344"/>
      <c r="AQM6" s="344"/>
      <c r="AQN6" s="344"/>
      <c r="AQO6" s="344"/>
      <c r="AQP6" s="344"/>
      <c r="AQQ6" s="344"/>
      <c r="AQR6" s="344"/>
      <c r="AQS6" s="344"/>
      <c r="AQT6" s="344"/>
      <c r="AQU6" s="344"/>
      <c r="AQV6" s="344"/>
      <c r="AQW6" s="344"/>
      <c r="AQX6" s="344"/>
      <c r="AQY6" s="344"/>
      <c r="AQZ6" s="344"/>
      <c r="ARA6" s="344"/>
      <c r="ARB6" s="344"/>
      <c r="ARC6" s="344"/>
      <c r="ARD6" s="344"/>
      <c r="ARE6" s="344"/>
      <c r="ARF6" s="344"/>
      <c r="ARG6" s="344"/>
      <c r="ARH6" s="344"/>
      <c r="ARI6" s="344"/>
      <c r="ARJ6" s="344"/>
      <c r="ARK6" s="344"/>
      <c r="ARL6" s="344"/>
      <c r="ARM6" s="344"/>
      <c r="ARN6" s="344"/>
      <c r="ARO6" s="344"/>
      <c r="ARP6" s="344"/>
      <c r="ARQ6" s="344"/>
      <c r="ARR6" s="344"/>
      <c r="ARS6" s="344"/>
      <c r="ART6" s="344"/>
      <c r="ARU6" s="344"/>
      <c r="ARV6" s="344"/>
      <c r="ARW6" s="344"/>
      <c r="ARX6" s="344"/>
      <c r="ARY6" s="344"/>
      <c r="ARZ6" s="344"/>
      <c r="ASA6" s="344"/>
      <c r="ASB6" s="344"/>
      <c r="ASC6" s="344"/>
      <c r="ASD6" s="344"/>
      <c r="ASE6" s="344"/>
      <c r="ASF6" s="344"/>
      <c r="ASG6" s="344"/>
      <c r="ASH6" s="344"/>
      <c r="ASI6" s="344"/>
      <c r="ASJ6" s="344"/>
      <c r="ASK6" s="344"/>
      <c r="ASL6" s="344"/>
      <c r="ASM6" s="344"/>
      <c r="ASN6" s="344"/>
      <c r="ASO6" s="344"/>
      <c r="ASP6" s="344"/>
      <c r="ASQ6" s="344"/>
      <c r="ASR6" s="344"/>
      <c r="ASS6" s="344"/>
      <c r="AST6" s="344"/>
      <c r="ASU6" s="344"/>
      <c r="ASV6" s="344"/>
      <c r="ASW6" s="344"/>
      <c r="ASX6" s="344"/>
      <c r="ASY6" s="344"/>
      <c r="ASZ6" s="344"/>
      <c r="ATA6" s="344"/>
      <c r="ATB6" s="344"/>
      <c r="ATC6" s="344"/>
      <c r="ATD6" s="344"/>
      <c r="ATE6" s="344"/>
      <c r="ATF6" s="344"/>
      <c r="ATG6" s="344"/>
      <c r="ATH6" s="344"/>
      <c r="ATI6" s="344"/>
      <c r="ATJ6" s="344"/>
      <c r="ATK6" s="344"/>
      <c r="ATL6" s="344"/>
      <c r="ATM6" s="344"/>
      <c r="ATN6" s="344"/>
      <c r="ATO6" s="344"/>
      <c r="ATP6" s="344"/>
      <c r="ATQ6" s="344"/>
      <c r="ATR6" s="344"/>
      <c r="ATS6" s="344"/>
      <c r="ATT6" s="344"/>
      <c r="ATU6" s="344"/>
      <c r="ATV6" s="344"/>
      <c r="ATW6" s="344"/>
      <c r="ATX6" s="344"/>
      <c r="ATY6" s="344"/>
      <c r="ATZ6" s="344"/>
      <c r="AUA6" s="344"/>
      <c r="AUB6" s="344"/>
      <c r="AUC6" s="344"/>
      <c r="AUD6" s="344"/>
      <c r="AUE6" s="344"/>
      <c r="AUF6" s="344"/>
      <c r="AUG6" s="344"/>
      <c r="AUH6" s="344"/>
      <c r="AUI6" s="344"/>
      <c r="AUJ6" s="344"/>
      <c r="AUK6" s="344"/>
      <c r="AUL6" s="344"/>
      <c r="AUM6" s="344"/>
      <c r="AUN6" s="344"/>
      <c r="AUO6" s="344"/>
      <c r="AUP6" s="344"/>
      <c r="AUQ6" s="344"/>
      <c r="AUR6" s="344"/>
      <c r="AUS6" s="344"/>
      <c r="AUT6" s="344"/>
      <c r="AUU6" s="344"/>
      <c r="AUV6" s="344"/>
      <c r="AUW6" s="344"/>
      <c r="AUX6" s="344"/>
      <c r="AUY6" s="344"/>
      <c r="AUZ6" s="344"/>
      <c r="AVA6" s="344"/>
      <c r="AVB6" s="344"/>
      <c r="AVC6" s="344"/>
      <c r="AVD6" s="344"/>
      <c r="AVE6" s="344"/>
      <c r="AVF6" s="344"/>
      <c r="AVG6" s="344"/>
      <c r="AVH6" s="344"/>
      <c r="AVI6" s="344"/>
      <c r="AVJ6" s="344"/>
      <c r="AVK6" s="344"/>
      <c r="AVL6" s="344"/>
      <c r="AVM6" s="344"/>
      <c r="AVN6" s="344"/>
      <c r="AVO6" s="344"/>
      <c r="AVP6" s="344"/>
      <c r="AVQ6" s="344"/>
      <c r="AVR6" s="344"/>
      <c r="AVS6" s="344"/>
      <c r="AVT6" s="344"/>
      <c r="AVU6" s="344"/>
      <c r="AVV6" s="344"/>
      <c r="AVW6" s="344"/>
      <c r="AVX6" s="344"/>
      <c r="AVY6" s="344"/>
      <c r="AVZ6" s="344"/>
      <c r="AWA6" s="344"/>
      <c r="AWB6" s="344"/>
      <c r="AWC6" s="344"/>
      <c r="AWD6" s="344"/>
      <c r="AWE6" s="344"/>
      <c r="AWF6" s="344"/>
      <c r="AWG6" s="344"/>
      <c r="AWH6" s="344"/>
      <c r="AWI6" s="344"/>
      <c r="AWJ6" s="344"/>
      <c r="AWK6" s="344"/>
      <c r="AWL6" s="344"/>
      <c r="AWM6" s="344"/>
      <c r="AWN6" s="344"/>
      <c r="AWO6" s="344"/>
      <c r="AWP6" s="344"/>
      <c r="AWQ6" s="344"/>
      <c r="AWR6" s="344"/>
      <c r="AWS6" s="344"/>
      <c r="AWT6" s="344"/>
      <c r="AWU6" s="344"/>
      <c r="AWV6" s="344"/>
      <c r="AWW6" s="344"/>
      <c r="AWX6" s="344"/>
      <c r="AWY6" s="344"/>
      <c r="AWZ6" s="344"/>
      <c r="AXA6" s="344"/>
      <c r="AXB6" s="344"/>
      <c r="AXC6" s="344"/>
      <c r="AXD6" s="344"/>
      <c r="AXE6" s="344"/>
      <c r="AXF6" s="344"/>
      <c r="AXG6" s="344"/>
      <c r="AXH6" s="344"/>
      <c r="AXI6" s="344"/>
      <c r="AXJ6" s="344"/>
      <c r="AXK6" s="344"/>
      <c r="AXL6" s="344"/>
      <c r="AXM6" s="344"/>
      <c r="AXN6" s="344"/>
      <c r="AXO6" s="344"/>
      <c r="AXP6" s="344"/>
      <c r="AXQ6" s="344"/>
      <c r="AXR6" s="344"/>
      <c r="AXS6" s="344"/>
      <c r="AXT6" s="344"/>
      <c r="AXU6" s="344"/>
      <c r="AXV6" s="344"/>
      <c r="AXW6" s="344"/>
      <c r="AXX6" s="344"/>
      <c r="AXY6" s="344"/>
      <c r="AXZ6" s="344"/>
      <c r="AYA6" s="344"/>
      <c r="AYB6" s="344"/>
      <c r="AYC6" s="344"/>
      <c r="AYD6" s="344"/>
      <c r="AYE6" s="344"/>
      <c r="AYF6" s="344"/>
      <c r="AYG6" s="344"/>
      <c r="AYH6" s="344"/>
      <c r="AYI6" s="344"/>
      <c r="AYJ6" s="344"/>
      <c r="AYK6" s="344"/>
      <c r="AYL6" s="344"/>
      <c r="AYM6" s="344"/>
      <c r="AYN6" s="344"/>
      <c r="AYO6" s="344"/>
      <c r="AYP6" s="344"/>
      <c r="AYQ6" s="344"/>
      <c r="AYR6" s="344"/>
      <c r="AYS6" s="344"/>
      <c r="AYT6" s="344"/>
      <c r="AYU6" s="344"/>
      <c r="AYV6" s="344"/>
      <c r="AYW6" s="344"/>
      <c r="AYX6" s="344"/>
      <c r="AYY6" s="344"/>
      <c r="AYZ6" s="344"/>
      <c r="AZA6" s="344"/>
      <c r="AZB6" s="344"/>
      <c r="AZC6" s="344"/>
      <c r="AZD6" s="344"/>
      <c r="AZE6" s="344"/>
      <c r="AZF6" s="344"/>
      <c r="AZG6" s="344"/>
      <c r="AZH6" s="344"/>
      <c r="AZI6" s="344"/>
      <c r="AZJ6" s="344"/>
      <c r="AZK6" s="344"/>
      <c r="AZL6" s="344"/>
      <c r="AZM6" s="344"/>
      <c r="AZN6" s="344"/>
      <c r="AZO6" s="344"/>
      <c r="AZP6" s="344"/>
      <c r="AZQ6" s="344"/>
      <c r="AZR6" s="344"/>
      <c r="AZS6" s="344"/>
      <c r="AZT6" s="344"/>
      <c r="AZU6" s="344"/>
      <c r="AZV6" s="344"/>
      <c r="AZW6" s="344"/>
      <c r="AZX6" s="344"/>
      <c r="AZY6" s="344"/>
      <c r="AZZ6" s="344"/>
      <c r="BAA6" s="344"/>
      <c r="BAB6" s="344"/>
      <c r="BAC6" s="344"/>
      <c r="BAD6" s="344"/>
      <c r="BAE6" s="344"/>
      <c r="BAF6" s="344"/>
      <c r="BAG6" s="344"/>
      <c r="BAH6" s="344"/>
      <c r="BAI6" s="344"/>
      <c r="BAJ6" s="344"/>
      <c r="BAK6" s="344"/>
      <c r="BAL6" s="344"/>
      <c r="BAM6" s="344"/>
      <c r="BAN6" s="344"/>
      <c r="BAO6" s="344"/>
      <c r="BAP6" s="344"/>
      <c r="BAQ6" s="344"/>
      <c r="BAR6" s="344"/>
      <c r="BAS6" s="344"/>
      <c r="BAT6" s="344"/>
      <c r="BAU6" s="344"/>
      <c r="BAV6" s="344"/>
      <c r="BAW6" s="344"/>
      <c r="BAX6" s="344"/>
      <c r="BAY6" s="344"/>
      <c r="BAZ6" s="344"/>
      <c r="BBA6" s="344"/>
      <c r="BBB6" s="344"/>
      <c r="BBC6" s="344"/>
      <c r="BBD6" s="344"/>
      <c r="BBE6" s="344"/>
      <c r="BBF6" s="344"/>
      <c r="BBG6" s="344"/>
      <c r="BBH6" s="344"/>
      <c r="BBI6" s="344"/>
      <c r="BBJ6" s="344"/>
      <c r="BBK6" s="344"/>
      <c r="BBL6" s="344"/>
      <c r="BBM6" s="344"/>
      <c r="BBN6" s="344"/>
      <c r="BBO6" s="344"/>
      <c r="BBP6" s="344"/>
      <c r="BBQ6" s="344"/>
      <c r="BBR6" s="344"/>
      <c r="BBS6" s="344"/>
      <c r="BBT6" s="344"/>
      <c r="BBU6" s="344"/>
      <c r="BBV6" s="344"/>
      <c r="BBW6" s="344"/>
      <c r="BBX6" s="344"/>
      <c r="BBY6" s="344"/>
      <c r="BBZ6" s="344"/>
      <c r="BCA6" s="344"/>
      <c r="BCB6" s="344"/>
      <c r="BCC6" s="344"/>
      <c r="BCD6" s="344"/>
      <c r="BCE6" s="344"/>
      <c r="BCF6" s="344"/>
      <c r="BCG6" s="344"/>
      <c r="BCH6" s="344"/>
      <c r="BCI6" s="344"/>
      <c r="BCJ6" s="344"/>
      <c r="BCK6" s="344"/>
      <c r="BCL6" s="344"/>
      <c r="BCM6" s="344"/>
      <c r="BCN6" s="344"/>
      <c r="BCO6" s="344"/>
      <c r="BCP6" s="344"/>
      <c r="BCQ6" s="344"/>
      <c r="BCR6" s="344"/>
      <c r="BCS6" s="344"/>
      <c r="BCT6" s="344"/>
      <c r="BCU6" s="344"/>
      <c r="BCV6" s="344"/>
      <c r="BCW6" s="344"/>
      <c r="BCX6" s="344"/>
      <c r="BCY6" s="344"/>
      <c r="BCZ6" s="344"/>
      <c r="BDA6" s="344"/>
      <c r="BDB6" s="344"/>
      <c r="BDC6" s="344"/>
      <c r="BDD6" s="344"/>
      <c r="BDE6" s="344"/>
      <c r="BDF6" s="344"/>
      <c r="BDG6" s="344"/>
      <c r="BDH6" s="344"/>
      <c r="BDI6" s="344"/>
      <c r="BDJ6" s="344"/>
      <c r="BDK6" s="344"/>
      <c r="BDL6" s="344"/>
      <c r="BDM6" s="344"/>
      <c r="BDN6" s="344"/>
      <c r="BDO6" s="344"/>
      <c r="BDP6" s="344"/>
      <c r="BDQ6" s="344"/>
      <c r="BDR6" s="344"/>
      <c r="BDS6" s="344"/>
      <c r="BDT6" s="344"/>
      <c r="BDU6" s="344"/>
      <c r="BDV6" s="344"/>
      <c r="BDW6" s="344"/>
      <c r="BDX6" s="344"/>
      <c r="BDY6" s="344"/>
      <c r="BDZ6" s="344"/>
      <c r="BEA6" s="344"/>
      <c r="BEB6" s="344"/>
      <c r="BEC6" s="344"/>
      <c r="BED6" s="344"/>
      <c r="BEE6" s="344"/>
      <c r="BEF6" s="344"/>
      <c r="BEG6" s="344"/>
      <c r="BEH6" s="344"/>
      <c r="BEI6" s="344"/>
      <c r="BEJ6" s="344"/>
      <c r="BEK6" s="344"/>
      <c r="BEL6" s="344"/>
      <c r="BEM6" s="344"/>
      <c r="BEN6" s="344"/>
      <c r="BEO6" s="344"/>
      <c r="BEP6" s="344"/>
      <c r="BEQ6" s="344"/>
      <c r="BER6" s="344"/>
      <c r="BES6" s="344"/>
      <c r="BET6" s="344"/>
      <c r="BEU6" s="344"/>
      <c r="BEV6" s="344"/>
      <c r="BEW6" s="344"/>
      <c r="BEX6" s="344"/>
      <c r="BEY6" s="344"/>
      <c r="BEZ6" s="344"/>
      <c r="BFA6" s="344"/>
      <c r="BFB6" s="344"/>
      <c r="BFC6" s="344"/>
      <c r="BFD6" s="344"/>
      <c r="BFE6" s="344"/>
      <c r="BFF6" s="344"/>
      <c r="BFG6" s="344"/>
      <c r="BFH6" s="344"/>
      <c r="BFI6" s="344"/>
      <c r="BFJ6" s="344"/>
      <c r="BFK6" s="344"/>
      <c r="BFL6" s="344"/>
      <c r="BFM6" s="344"/>
      <c r="BFN6" s="344"/>
      <c r="BFO6" s="344"/>
      <c r="BFP6" s="344"/>
      <c r="BFQ6" s="344"/>
      <c r="BFR6" s="344"/>
      <c r="BFS6" s="344"/>
      <c r="BFT6" s="344"/>
      <c r="BFU6" s="344"/>
      <c r="BFV6" s="344"/>
      <c r="BFW6" s="344"/>
      <c r="BFX6" s="344"/>
      <c r="BFY6" s="344"/>
      <c r="BFZ6" s="344"/>
      <c r="BGA6" s="344"/>
      <c r="BGB6" s="344"/>
      <c r="BGC6" s="344"/>
      <c r="BGD6" s="344"/>
      <c r="BGE6" s="344"/>
      <c r="BGF6" s="344"/>
      <c r="BGG6" s="344"/>
      <c r="BGH6" s="344"/>
      <c r="BGI6" s="344"/>
      <c r="BGJ6" s="344"/>
      <c r="BGK6" s="344"/>
      <c r="BGL6" s="344"/>
      <c r="BGM6" s="344"/>
      <c r="BGN6" s="344"/>
      <c r="BGO6" s="344"/>
      <c r="BGP6" s="344"/>
      <c r="BGQ6" s="344"/>
      <c r="BGR6" s="344"/>
      <c r="BGS6" s="344"/>
      <c r="BGT6" s="344"/>
      <c r="BGU6" s="344"/>
      <c r="BGV6" s="344"/>
      <c r="BGW6" s="344"/>
      <c r="BGX6" s="344"/>
      <c r="BGY6" s="344"/>
      <c r="BGZ6" s="344"/>
      <c r="BHA6" s="344"/>
      <c r="BHB6" s="344"/>
      <c r="BHC6" s="344"/>
      <c r="BHD6" s="344"/>
      <c r="BHE6" s="344"/>
      <c r="BHF6" s="344"/>
      <c r="BHG6" s="344"/>
      <c r="BHH6" s="344"/>
      <c r="BHI6" s="344"/>
      <c r="BHJ6" s="344"/>
      <c r="BHK6" s="344"/>
      <c r="BHL6" s="344"/>
      <c r="BHM6" s="344"/>
      <c r="BHN6" s="344"/>
      <c r="BHO6" s="344"/>
      <c r="BHP6" s="344"/>
      <c r="BHQ6" s="344"/>
      <c r="BHR6" s="344"/>
      <c r="BHS6" s="344"/>
      <c r="BHT6" s="344"/>
      <c r="BHU6" s="344"/>
      <c r="BHV6" s="344"/>
      <c r="BHW6" s="344"/>
      <c r="BHX6" s="344"/>
      <c r="BHY6" s="344"/>
      <c r="BHZ6" s="344"/>
      <c r="BIA6" s="344"/>
      <c r="BIB6" s="344"/>
      <c r="BIC6" s="344"/>
      <c r="BID6" s="344"/>
      <c r="BIE6" s="344"/>
      <c r="BIF6" s="344"/>
      <c r="BIG6" s="344"/>
      <c r="BIH6" s="344"/>
      <c r="BII6" s="344"/>
      <c r="BIJ6" s="344"/>
      <c r="BIK6" s="344"/>
      <c r="BIL6" s="344"/>
      <c r="BIM6" s="344"/>
      <c r="BIN6" s="344"/>
      <c r="BIO6" s="344"/>
      <c r="BIP6" s="344"/>
      <c r="BIQ6" s="344"/>
      <c r="BIR6" s="344"/>
      <c r="BIS6" s="344"/>
      <c r="BIT6" s="344"/>
      <c r="BIU6" s="344"/>
      <c r="BIV6" s="344"/>
      <c r="BIW6" s="344"/>
      <c r="BIX6" s="344"/>
      <c r="BIY6" s="344"/>
      <c r="BIZ6" s="344"/>
      <c r="BJA6" s="344"/>
      <c r="BJB6" s="344"/>
      <c r="BJC6" s="344"/>
      <c r="BJD6" s="344"/>
      <c r="BJE6" s="344"/>
      <c r="BJF6" s="344"/>
      <c r="BJG6" s="344"/>
      <c r="BJH6" s="344"/>
      <c r="BJI6" s="344"/>
      <c r="BJJ6" s="344"/>
      <c r="BJK6" s="344"/>
      <c r="BJL6" s="344"/>
      <c r="BJM6" s="344"/>
      <c r="BJN6" s="344"/>
      <c r="BJO6" s="344"/>
      <c r="BJP6" s="344"/>
      <c r="BJQ6" s="344"/>
      <c r="BJR6" s="344"/>
      <c r="BJS6" s="344"/>
      <c r="BJT6" s="344"/>
      <c r="BJU6" s="344"/>
      <c r="BJV6" s="344"/>
      <c r="BJW6" s="344"/>
      <c r="BJX6" s="344"/>
      <c r="BJY6" s="344"/>
      <c r="BJZ6" s="344"/>
      <c r="BKA6" s="344"/>
      <c r="BKB6" s="344"/>
      <c r="BKC6" s="344"/>
      <c r="BKD6" s="344"/>
      <c r="BKE6" s="344"/>
      <c r="BKF6" s="344"/>
      <c r="BKG6" s="344"/>
      <c r="BKH6" s="344"/>
      <c r="BKI6" s="344"/>
      <c r="BKJ6" s="344"/>
      <c r="BKK6" s="344"/>
      <c r="BKL6" s="344"/>
      <c r="BKM6" s="344"/>
      <c r="BKN6" s="344"/>
      <c r="BKO6" s="344"/>
      <c r="BKP6" s="344"/>
      <c r="BKQ6" s="344"/>
      <c r="BKR6" s="344"/>
      <c r="BKS6" s="344"/>
      <c r="BKT6" s="344"/>
      <c r="BKU6" s="344"/>
      <c r="BKV6" s="344"/>
      <c r="BKW6" s="344"/>
      <c r="BKX6" s="344"/>
      <c r="BKY6" s="344"/>
      <c r="BKZ6" s="344"/>
      <c r="BLA6" s="344"/>
      <c r="BLB6" s="344"/>
      <c r="BLC6" s="344"/>
      <c r="BLD6" s="344"/>
      <c r="BLE6" s="344"/>
      <c r="BLF6" s="344"/>
      <c r="BLG6" s="344"/>
      <c r="BLH6" s="344"/>
      <c r="BLI6" s="344"/>
      <c r="BLJ6" s="344"/>
      <c r="BLK6" s="344"/>
      <c r="BLL6" s="344"/>
      <c r="BLM6" s="344"/>
      <c r="BLN6" s="344"/>
      <c r="BLO6" s="344"/>
      <c r="BLP6" s="344"/>
      <c r="BLQ6" s="344"/>
      <c r="BLR6" s="344"/>
      <c r="BLS6" s="344"/>
      <c r="BLT6" s="344"/>
      <c r="BLU6" s="344"/>
      <c r="BLV6" s="344"/>
      <c r="BLW6" s="344"/>
      <c r="BLX6" s="344"/>
      <c r="BLY6" s="344"/>
      <c r="BLZ6" s="344"/>
      <c r="BMA6" s="344"/>
      <c r="BMB6" s="344"/>
      <c r="BMC6" s="344"/>
      <c r="BMD6" s="344"/>
      <c r="BME6" s="344"/>
      <c r="BMF6" s="344"/>
      <c r="BMG6" s="344"/>
      <c r="BMH6" s="344"/>
      <c r="BMI6" s="344"/>
      <c r="BMJ6" s="344"/>
      <c r="BMK6" s="344"/>
      <c r="BML6" s="344"/>
      <c r="BMM6" s="344"/>
      <c r="BMN6" s="344"/>
      <c r="BMO6" s="344"/>
      <c r="BMP6" s="344"/>
      <c r="BMQ6" s="344"/>
      <c r="BMR6" s="344"/>
      <c r="BMS6" s="344"/>
      <c r="BMT6" s="344"/>
      <c r="BMU6" s="344"/>
      <c r="BMV6" s="344"/>
      <c r="BMW6" s="344"/>
      <c r="BMX6" s="344"/>
      <c r="BMY6" s="344"/>
      <c r="BMZ6" s="344"/>
      <c r="BNA6" s="344"/>
      <c r="BNB6" s="344"/>
      <c r="BNC6" s="344"/>
      <c r="BND6" s="344"/>
      <c r="BNE6" s="344"/>
      <c r="BNF6" s="344"/>
      <c r="BNG6" s="344"/>
      <c r="BNH6" s="344"/>
      <c r="BNI6" s="344"/>
      <c r="BNJ6" s="344"/>
      <c r="BNK6" s="344"/>
      <c r="BNL6" s="344"/>
      <c r="BNM6" s="344"/>
      <c r="BNN6" s="344"/>
      <c r="BNO6" s="344"/>
      <c r="BNP6" s="344"/>
      <c r="BNQ6" s="344"/>
      <c r="BNR6" s="344"/>
      <c r="BNS6" s="344"/>
      <c r="BNT6" s="344"/>
      <c r="BNU6" s="344"/>
      <c r="BNV6" s="344"/>
      <c r="BNW6" s="344"/>
      <c r="BNX6" s="344"/>
      <c r="BNY6" s="344"/>
      <c r="BNZ6" s="344"/>
      <c r="BOA6" s="344"/>
      <c r="BOB6" s="344"/>
      <c r="BOC6" s="344"/>
      <c r="BOD6" s="344"/>
      <c r="BOE6" s="344"/>
      <c r="BOF6" s="344"/>
      <c r="BOG6" s="344"/>
      <c r="BOH6" s="344"/>
      <c r="BOI6" s="344"/>
      <c r="BOJ6" s="344"/>
      <c r="BOK6" s="344"/>
      <c r="BOL6" s="344"/>
      <c r="BOM6" s="344"/>
      <c r="BON6" s="344"/>
      <c r="BOO6" s="344"/>
      <c r="BOP6" s="344"/>
      <c r="BOQ6" s="344"/>
      <c r="BOR6" s="344"/>
      <c r="BOS6" s="344"/>
      <c r="BOT6" s="344"/>
      <c r="BOU6" s="344"/>
      <c r="BOV6" s="344"/>
      <c r="BOW6" s="344"/>
      <c r="BOX6" s="344"/>
      <c r="BOY6" s="344"/>
      <c r="BOZ6" s="344"/>
      <c r="BPA6" s="344"/>
      <c r="BPB6" s="344"/>
      <c r="BPC6" s="344"/>
      <c r="BPD6" s="344"/>
      <c r="BPE6" s="344"/>
      <c r="BPF6" s="344"/>
      <c r="BPG6" s="344"/>
      <c r="BPH6" s="344"/>
      <c r="BPI6" s="344"/>
      <c r="BPJ6" s="344"/>
      <c r="BPK6" s="344"/>
      <c r="BPL6" s="344"/>
      <c r="BPM6" s="344"/>
      <c r="BPN6" s="344"/>
      <c r="BPO6" s="344"/>
      <c r="BPP6" s="344"/>
      <c r="BPQ6" s="344"/>
      <c r="BPR6" s="344"/>
      <c r="BPS6" s="344"/>
      <c r="BPT6" s="344"/>
      <c r="BPU6" s="344"/>
      <c r="BPV6" s="344"/>
      <c r="BPW6" s="344"/>
      <c r="BPX6" s="344"/>
      <c r="BPY6" s="344"/>
      <c r="BPZ6" s="344"/>
      <c r="BQA6" s="344"/>
      <c r="BQB6" s="344"/>
      <c r="BQC6" s="344"/>
      <c r="BQD6" s="344"/>
      <c r="BQE6" s="344"/>
      <c r="BQF6" s="344"/>
      <c r="BQG6" s="344"/>
      <c r="BQH6" s="344"/>
      <c r="BQI6" s="344"/>
      <c r="BQJ6" s="344"/>
      <c r="BQK6" s="344"/>
      <c r="BQL6" s="344"/>
      <c r="BQM6" s="344"/>
      <c r="BQN6" s="344"/>
      <c r="BQO6" s="344"/>
      <c r="BQP6" s="344"/>
      <c r="BQQ6" s="344"/>
      <c r="BQR6" s="344"/>
      <c r="BQS6" s="344"/>
      <c r="BQT6" s="344"/>
      <c r="BQU6" s="344"/>
      <c r="BQV6" s="344"/>
      <c r="BQW6" s="344"/>
      <c r="BQX6" s="344"/>
      <c r="BQY6" s="344"/>
      <c r="BQZ6" s="344"/>
      <c r="BRA6" s="344"/>
      <c r="BRB6" s="344"/>
      <c r="BRC6" s="344"/>
      <c r="BRD6" s="344"/>
      <c r="BRE6" s="344"/>
      <c r="BRF6" s="344"/>
      <c r="BRG6" s="344"/>
      <c r="BRH6" s="344"/>
      <c r="BRI6" s="344"/>
      <c r="BRJ6" s="344"/>
      <c r="BRK6" s="344"/>
      <c r="BRL6" s="344"/>
      <c r="BRM6" s="344"/>
      <c r="BRN6" s="344"/>
      <c r="BRO6" s="344"/>
      <c r="BRP6" s="344"/>
      <c r="BRQ6" s="344"/>
      <c r="BRR6" s="344"/>
      <c r="BRS6" s="344"/>
      <c r="BRT6" s="344"/>
      <c r="BRU6" s="344"/>
      <c r="BRV6" s="344"/>
      <c r="BRW6" s="344"/>
      <c r="BRX6" s="344"/>
      <c r="BRY6" s="344"/>
      <c r="BRZ6" s="344"/>
      <c r="BSA6" s="344"/>
      <c r="BSB6" s="344"/>
      <c r="BSC6" s="344"/>
      <c r="BSD6" s="344"/>
      <c r="BSE6" s="344"/>
      <c r="BSF6" s="344"/>
      <c r="BSG6" s="344"/>
      <c r="BSH6" s="344"/>
      <c r="BSI6" s="344"/>
      <c r="BSJ6" s="344"/>
      <c r="BSK6" s="344"/>
      <c r="BSL6" s="344"/>
      <c r="BSM6" s="344"/>
      <c r="BSN6" s="344"/>
      <c r="BSO6" s="344"/>
      <c r="BSP6" s="344"/>
      <c r="BSQ6" s="344"/>
      <c r="BSR6" s="344"/>
      <c r="BSS6" s="344"/>
      <c r="BST6" s="344"/>
      <c r="BSU6" s="344"/>
      <c r="BSV6" s="344"/>
      <c r="BSW6" s="344"/>
      <c r="BSX6" s="344"/>
      <c r="BSY6" s="344"/>
      <c r="BSZ6" s="344"/>
      <c r="BTA6" s="344"/>
      <c r="BTB6" s="344"/>
      <c r="BTC6" s="344"/>
      <c r="BTD6" s="344"/>
      <c r="BTE6" s="344"/>
      <c r="BTF6" s="344"/>
      <c r="BTG6" s="344"/>
      <c r="BTH6" s="344"/>
      <c r="BTI6" s="344"/>
      <c r="BTJ6" s="344"/>
      <c r="BTK6" s="344"/>
      <c r="BTL6" s="344"/>
      <c r="BTM6" s="344"/>
      <c r="BTN6" s="344"/>
      <c r="BTO6" s="344"/>
      <c r="BTP6" s="344"/>
      <c r="BTQ6" s="344"/>
      <c r="BTR6" s="344"/>
      <c r="BTS6" s="344"/>
      <c r="BTT6" s="344"/>
      <c r="BTU6" s="344"/>
      <c r="BTV6" s="344"/>
      <c r="BTW6" s="344"/>
      <c r="BTX6" s="344"/>
      <c r="BTY6" s="344"/>
      <c r="BTZ6" s="344"/>
      <c r="BUA6" s="344"/>
      <c r="BUB6" s="344"/>
      <c r="BUC6" s="344"/>
      <c r="BUD6" s="344"/>
      <c r="BUE6" s="344"/>
      <c r="BUF6" s="344"/>
      <c r="BUG6" s="344"/>
      <c r="BUH6" s="344"/>
      <c r="BUI6" s="344"/>
      <c r="BUJ6" s="344"/>
      <c r="BUK6" s="344"/>
      <c r="BUL6" s="344"/>
      <c r="BUM6" s="344"/>
      <c r="BUN6" s="344"/>
      <c r="BUO6" s="344"/>
      <c r="BUP6" s="344"/>
      <c r="BUQ6" s="344"/>
      <c r="BUR6" s="344"/>
      <c r="BUS6" s="344"/>
      <c r="BUT6" s="344"/>
      <c r="BUU6" s="344"/>
      <c r="BUV6" s="344"/>
      <c r="BUW6" s="344"/>
      <c r="BUX6" s="344"/>
      <c r="BUY6" s="344"/>
      <c r="BUZ6" s="344"/>
      <c r="BVA6" s="344"/>
      <c r="BVB6" s="344"/>
      <c r="BVC6" s="344"/>
      <c r="BVD6" s="344"/>
      <c r="BVE6" s="344"/>
      <c r="BVF6" s="344"/>
      <c r="BVG6" s="344"/>
      <c r="BVH6" s="344"/>
      <c r="BVI6" s="344"/>
      <c r="BVJ6" s="344"/>
      <c r="BVK6" s="344"/>
      <c r="BVL6" s="344"/>
      <c r="BVM6" s="344"/>
      <c r="BVN6" s="344"/>
      <c r="BVO6" s="344"/>
      <c r="BVP6" s="344"/>
      <c r="BVQ6" s="344"/>
      <c r="BVR6" s="344"/>
      <c r="BVS6" s="344"/>
      <c r="BVT6" s="344"/>
      <c r="BVU6" s="344"/>
      <c r="BVV6" s="344"/>
      <c r="BVW6" s="344"/>
      <c r="BVX6" s="344"/>
      <c r="BVY6" s="344"/>
      <c r="BVZ6" s="344"/>
      <c r="BWA6" s="344"/>
      <c r="BWB6" s="344"/>
      <c r="BWC6" s="344"/>
      <c r="BWD6" s="344"/>
      <c r="BWE6" s="344"/>
      <c r="BWF6" s="344"/>
      <c r="BWG6" s="344"/>
      <c r="BWH6" s="344"/>
      <c r="BWI6" s="344"/>
      <c r="BWJ6" s="344"/>
      <c r="BWK6" s="344"/>
      <c r="BWL6" s="344"/>
      <c r="BWM6" s="344"/>
      <c r="BWN6" s="344"/>
      <c r="BWO6" s="344"/>
      <c r="BWP6" s="344"/>
      <c r="BWQ6" s="344"/>
      <c r="BWR6" s="344"/>
      <c r="BWS6" s="344"/>
      <c r="BWT6" s="344"/>
      <c r="BWU6" s="344"/>
      <c r="BWV6" s="344"/>
      <c r="BWW6" s="344"/>
      <c r="BWX6" s="344"/>
      <c r="BWY6" s="344"/>
      <c r="BWZ6" s="344"/>
      <c r="BXA6" s="344"/>
      <c r="BXB6" s="344"/>
      <c r="BXC6" s="344"/>
      <c r="BXD6" s="344"/>
      <c r="BXE6" s="344"/>
      <c r="BXF6" s="344"/>
      <c r="BXG6" s="344"/>
      <c r="BXH6" s="344"/>
      <c r="BXI6" s="344"/>
      <c r="BXJ6" s="344"/>
      <c r="BXK6" s="344"/>
      <c r="BXL6" s="344"/>
      <c r="BXM6" s="344"/>
      <c r="BXN6" s="344"/>
      <c r="BXO6" s="344"/>
      <c r="BXP6" s="344"/>
      <c r="BXQ6" s="344"/>
      <c r="BXR6" s="344"/>
      <c r="BXS6" s="344"/>
      <c r="BXT6" s="344"/>
      <c r="BXU6" s="344"/>
      <c r="BXV6" s="344"/>
      <c r="BXW6" s="344"/>
      <c r="BXX6" s="344"/>
      <c r="BXY6" s="344"/>
      <c r="BXZ6" s="344"/>
      <c r="BYA6" s="344"/>
      <c r="BYB6" s="344"/>
      <c r="BYC6" s="344"/>
      <c r="BYD6" s="344"/>
      <c r="BYE6" s="344"/>
      <c r="BYF6" s="344"/>
      <c r="BYG6" s="344"/>
      <c r="BYH6" s="344"/>
      <c r="BYI6" s="344"/>
      <c r="BYJ6" s="344"/>
      <c r="BYK6" s="344"/>
      <c r="BYL6" s="344"/>
      <c r="BYM6" s="344"/>
      <c r="BYN6" s="344"/>
      <c r="BYO6" s="344"/>
      <c r="BYP6" s="344"/>
      <c r="BYQ6" s="344"/>
      <c r="BYR6" s="344"/>
      <c r="BYS6" s="344"/>
      <c r="BYT6" s="344"/>
      <c r="BYU6" s="344"/>
      <c r="BYV6" s="344"/>
      <c r="BYW6" s="344"/>
      <c r="BYX6" s="344"/>
      <c r="BYY6" s="344"/>
      <c r="BYZ6" s="344"/>
      <c r="BZA6" s="344"/>
      <c r="BZB6" s="344"/>
      <c r="BZC6" s="344"/>
      <c r="BZD6" s="344"/>
      <c r="BZE6" s="344"/>
      <c r="BZF6" s="344"/>
      <c r="BZG6" s="344"/>
      <c r="BZH6" s="344"/>
      <c r="BZI6" s="344"/>
      <c r="BZJ6" s="344"/>
      <c r="BZK6" s="344"/>
      <c r="BZL6" s="344"/>
      <c r="BZM6" s="344"/>
      <c r="BZN6" s="344"/>
      <c r="BZO6" s="344"/>
      <c r="BZP6" s="344"/>
      <c r="BZQ6" s="344"/>
      <c r="BZR6" s="344"/>
      <c r="BZS6" s="344"/>
      <c r="BZT6" s="344"/>
      <c r="BZU6" s="344"/>
      <c r="BZV6" s="344"/>
      <c r="BZW6" s="344"/>
      <c r="BZX6" s="344"/>
      <c r="BZY6" s="344"/>
      <c r="BZZ6" s="344"/>
      <c r="CAA6" s="344"/>
      <c r="CAB6" s="344"/>
      <c r="CAC6" s="344"/>
      <c r="CAD6" s="344"/>
      <c r="CAE6" s="344"/>
      <c r="CAF6" s="344"/>
      <c r="CAG6" s="344"/>
      <c r="CAH6" s="344"/>
      <c r="CAI6" s="344"/>
      <c r="CAJ6" s="344"/>
      <c r="CAK6" s="344"/>
      <c r="CAL6" s="344"/>
      <c r="CAM6" s="344"/>
      <c r="CAN6" s="344"/>
      <c r="CAO6" s="344"/>
      <c r="CAP6" s="344"/>
      <c r="CAQ6" s="344"/>
      <c r="CAR6" s="344"/>
      <c r="CAS6" s="344"/>
      <c r="CAT6" s="344"/>
      <c r="CAU6" s="344"/>
      <c r="CAV6" s="344"/>
      <c r="CAW6" s="344"/>
      <c r="CAX6" s="344"/>
      <c r="CAY6" s="344"/>
      <c r="CAZ6" s="344"/>
      <c r="CBA6" s="344"/>
      <c r="CBB6" s="344"/>
      <c r="CBC6" s="344"/>
      <c r="CBD6" s="344"/>
      <c r="CBE6" s="344"/>
      <c r="CBF6" s="344"/>
      <c r="CBG6" s="344"/>
      <c r="CBH6" s="344"/>
      <c r="CBI6" s="344"/>
      <c r="CBJ6" s="344"/>
      <c r="CBK6" s="344"/>
      <c r="CBL6" s="344"/>
      <c r="CBM6" s="344"/>
      <c r="CBN6" s="344"/>
      <c r="CBO6" s="344"/>
      <c r="CBP6" s="344"/>
      <c r="CBQ6" s="344"/>
      <c r="CBR6" s="344"/>
      <c r="CBS6" s="344"/>
      <c r="CBT6" s="344"/>
      <c r="CBU6" s="344"/>
      <c r="CBV6" s="344"/>
      <c r="CBW6" s="344"/>
      <c r="CBX6" s="344"/>
      <c r="CBY6" s="344"/>
      <c r="CBZ6" s="344"/>
      <c r="CCA6" s="344"/>
      <c r="CCB6" s="344"/>
      <c r="CCC6" s="344"/>
      <c r="CCD6" s="344"/>
      <c r="CCE6" s="344"/>
      <c r="CCF6" s="344"/>
      <c r="CCG6" s="344"/>
      <c r="CCH6" s="344"/>
      <c r="CCI6" s="344"/>
      <c r="CCJ6" s="344"/>
      <c r="CCK6" s="344"/>
      <c r="CCL6" s="344"/>
      <c r="CCM6" s="344"/>
      <c r="CCN6" s="344"/>
      <c r="CCO6" s="344"/>
      <c r="CCP6" s="344"/>
      <c r="CCQ6" s="344"/>
      <c r="CCR6" s="344"/>
      <c r="CCS6" s="344"/>
      <c r="CCT6" s="344"/>
      <c r="CCU6" s="344"/>
      <c r="CCV6" s="344"/>
      <c r="CCW6" s="344"/>
      <c r="CCX6" s="344"/>
      <c r="CCY6" s="344"/>
      <c r="CCZ6" s="344"/>
      <c r="CDA6" s="344"/>
      <c r="CDB6" s="344"/>
      <c r="CDC6" s="344"/>
      <c r="CDD6" s="344"/>
      <c r="CDE6" s="344"/>
      <c r="CDF6" s="344"/>
      <c r="CDG6" s="344"/>
      <c r="CDH6" s="344"/>
      <c r="CDI6" s="344"/>
      <c r="CDJ6" s="344"/>
      <c r="CDK6" s="344"/>
      <c r="CDL6" s="344"/>
      <c r="CDM6" s="344"/>
      <c r="CDN6" s="344"/>
      <c r="CDO6" s="344"/>
      <c r="CDP6" s="344"/>
      <c r="CDQ6" s="344"/>
      <c r="CDR6" s="344"/>
      <c r="CDS6" s="344"/>
      <c r="CDT6" s="344"/>
      <c r="CDU6" s="344"/>
      <c r="CDV6" s="344"/>
      <c r="CDW6" s="344"/>
      <c r="CDX6" s="344"/>
      <c r="CDY6" s="344"/>
      <c r="CDZ6" s="344"/>
      <c r="CEA6" s="344"/>
      <c r="CEB6" s="344"/>
      <c r="CEC6" s="344"/>
      <c r="CED6" s="344"/>
      <c r="CEE6" s="344"/>
      <c r="CEF6" s="344"/>
      <c r="CEG6" s="344"/>
      <c r="CEH6" s="344"/>
      <c r="CEI6" s="344"/>
      <c r="CEJ6" s="344"/>
      <c r="CEK6" s="344"/>
      <c r="CEL6" s="344"/>
      <c r="CEM6" s="344"/>
      <c r="CEN6" s="344"/>
      <c r="CEO6" s="344"/>
      <c r="CEP6" s="344"/>
      <c r="CEQ6" s="344"/>
      <c r="CER6" s="344"/>
      <c r="CES6" s="344"/>
      <c r="CET6" s="344"/>
      <c r="CEU6" s="344"/>
      <c r="CEV6" s="344"/>
      <c r="CEW6" s="344"/>
      <c r="CEX6" s="344"/>
      <c r="CEY6" s="344"/>
      <c r="CEZ6" s="344"/>
      <c r="CFA6" s="344"/>
      <c r="CFB6" s="344"/>
      <c r="CFC6" s="344"/>
      <c r="CFD6" s="344"/>
      <c r="CFE6" s="344"/>
      <c r="CFF6" s="344"/>
      <c r="CFG6" s="344"/>
      <c r="CFH6" s="344"/>
      <c r="CFI6" s="344"/>
      <c r="CFJ6" s="344"/>
      <c r="CFK6" s="344"/>
      <c r="CFL6" s="344"/>
      <c r="CFM6" s="344"/>
      <c r="CFN6" s="344"/>
      <c r="CFO6" s="344"/>
      <c r="CFP6" s="344"/>
      <c r="CFQ6" s="344"/>
      <c r="CFR6" s="344"/>
      <c r="CFS6" s="344"/>
      <c r="CFT6" s="344"/>
      <c r="CFU6" s="344"/>
      <c r="CFV6" s="344"/>
      <c r="CFW6" s="344"/>
      <c r="CFX6" s="344"/>
      <c r="CFY6" s="344"/>
      <c r="CFZ6" s="344"/>
      <c r="CGA6" s="344"/>
      <c r="CGB6" s="344"/>
      <c r="CGC6" s="344"/>
      <c r="CGD6" s="344"/>
      <c r="CGE6" s="344"/>
      <c r="CGF6" s="344"/>
      <c r="CGG6" s="344"/>
      <c r="CGH6" s="344"/>
      <c r="CGI6" s="344"/>
      <c r="CGJ6" s="344"/>
      <c r="CGK6" s="344"/>
      <c r="CGL6" s="344"/>
      <c r="CGM6" s="344"/>
      <c r="CGN6" s="344"/>
      <c r="CGO6" s="344"/>
      <c r="CGP6" s="344"/>
      <c r="CGQ6" s="344"/>
      <c r="CGR6" s="344"/>
      <c r="CGS6" s="344"/>
      <c r="CGT6" s="344"/>
      <c r="CGU6" s="344"/>
      <c r="CGV6" s="344"/>
      <c r="CGW6" s="344"/>
      <c r="CGX6" s="344"/>
      <c r="CGY6" s="344"/>
      <c r="CGZ6" s="344"/>
      <c r="CHA6" s="344"/>
      <c r="CHB6" s="344"/>
      <c r="CHC6" s="344"/>
      <c r="CHD6" s="344"/>
      <c r="CHE6" s="344"/>
      <c r="CHF6" s="344"/>
      <c r="CHG6" s="344"/>
      <c r="CHH6" s="344"/>
      <c r="CHI6" s="344"/>
      <c r="CHJ6" s="344"/>
      <c r="CHK6" s="344"/>
      <c r="CHL6" s="344"/>
      <c r="CHM6" s="344"/>
      <c r="CHN6" s="344"/>
      <c r="CHO6" s="344"/>
      <c r="CHP6" s="344"/>
      <c r="CHQ6" s="344"/>
      <c r="CHR6" s="344"/>
      <c r="CHS6" s="344"/>
      <c r="CHT6" s="344"/>
      <c r="CHU6" s="344"/>
      <c r="CHV6" s="344"/>
      <c r="CHW6" s="344"/>
      <c r="CHX6" s="344"/>
      <c r="CHY6" s="344"/>
      <c r="CHZ6" s="344"/>
      <c r="CIA6" s="344"/>
      <c r="CIB6" s="344"/>
      <c r="CIC6" s="344"/>
      <c r="CID6" s="344"/>
      <c r="CIE6" s="344"/>
      <c r="CIF6" s="344"/>
      <c r="CIG6" s="344"/>
      <c r="CIH6" s="344"/>
      <c r="CII6" s="344"/>
      <c r="CIJ6" s="344"/>
      <c r="CIK6" s="344"/>
      <c r="CIL6" s="344"/>
      <c r="CIM6" s="344"/>
      <c r="CIN6" s="344"/>
      <c r="CIO6" s="344"/>
      <c r="CIP6" s="344"/>
      <c r="CIQ6" s="344"/>
      <c r="CIR6" s="344"/>
      <c r="CIS6" s="344"/>
      <c r="CIT6" s="344"/>
      <c r="CIU6" s="344"/>
      <c r="CIV6" s="344"/>
      <c r="CIW6" s="344"/>
      <c r="CIX6" s="344"/>
      <c r="CIY6" s="344"/>
      <c r="CIZ6" s="344"/>
      <c r="CJA6" s="344"/>
      <c r="CJB6" s="344"/>
      <c r="CJC6" s="344"/>
      <c r="CJD6" s="344"/>
      <c r="CJE6" s="344"/>
      <c r="CJF6" s="344"/>
      <c r="CJG6" s="344"/>
      <c r="CJH6" s="344"/>
      <c r="CJI6" s="344"/>
      <c r="CJJ6" s="344"/>
      <c r="CJK6" s="344"/>
      <c r="CJL6" s="344"/>
      <c r="CJM6" s="344"/>
      <c r="CJN6" s="344"/>
      <c r="CJO6" s="344"/>
      <c r="CJP6" s="344"/>
      <c r="CJQ6" s="344"/>
      <c r="CJR6" s="344"/>
      <c r="CJS6" s="344"/>
      <c r="CJT6" s="344"/>
      <c r="CJU6" s="344"/>
      <c r="CJV6" s="344"/>
      <c r="CJW6" s="344"/>
      <c r="CJX6" s="344"/>
      <c r="CJY6" s="344"/>
      <c r="CJZ6" s="344"/>
      <c r="CKA6" s="344"/>
      <c r="CKB6" s="344"/>
      <c r="CKC6" s="344"/>
      <c r="CKD6" s="344"/>
      <c r="CKE6" s="344"/>
      <c r="CKF6" s="344"/>
      <c r="CKG6" s="344"/>
      <c r="CKH6" s="344"/>
      <c r="CKI6" s="344"/>
      <c r="CKJ6" s="344"/>
      <c r="CKK6" s="344"/>
      <c r="CKL6" s="344"/>
      <c r="CKM6" s="344"/>
      <c r="CKN6" s="344"/>
      <c r="CKO6" s="344"/>
      <c r="CKP6" s="344"/>
      <c r="CKQ6" s="344"/>
      <c r="CKR6" s="344"/>
      <c r="CKS6" s="344"/>
      <c r="CKT6" s="344"/>
      <c r="CKU6" s="344"/>
      <c r="CKV6" s="344"/>
      <c r="CKW6" s="344"/>
      <c r="CKX6" s="344"/>
      <c r="CKY6" s="344"/>
      <c r="CKZ6" s="344"/>
      <c r="CLA6" s="344"/>
      <c r="CLB6" s="344"/>
      <c r="CLC6" s="344"/>
      <c r="CLD6" s="344"/>
      <c r="CLE6" s="344"/>
      <c r="CLF6" s="344"/>
      <c r="CLG6" s="344"/>
      <c r="CLH6" s="344"/>
      <c r="CLI6" s="344"/>
      <c r="CLJ6" s="344"/>
      <c r="CLK6" s="344"/>
      <c r="CLL6" s="344"/>
      <c r="CLM6" s="344"/>
      <c r="CLN6" s="344"/>
      <c r="CLO6" s="344"/>
      <c r="CLP6" s="344"/>
      <c r="CLQ6" s="344"/>
      <c r="CLR6" s="344"/>
      <c r="CLS6" s="344"/>
      <c r="CLT6" s="344"/>
      <c r="CLU6" s="344"/>
      <c r="CLV6" s="344"/>
      <c r="CLW6" s="344"/>
      <c r="CLX6" s="344"/>
      <c r="CLY6" s="344"/>
      <c r="CLZ6" s="344"/>
      <c r="CMA6" s="344"/>
      <c r="CMB6" s="344"/>
      <c r="CMC6" s="344"/>
      <c r="CMD6" s="344"/>
      <c r="CME6" s="344"/>
      <c r="CMF6" s="344"/>
      <c r="CMG6" s="344"/>
      <c r="CMH6" s="344"/>
      <c r="CMI6" s="344"/>
      <c r="CMJ6" s="344"/>
      <c r="CMK6" s="344"/>
      <c r="CML6" s="344"/>
      <c r="CMM6" s="344"/>
      <c r="CMN6" s="344"/>
      <c r="CMO6" s="344"/>
      <c r="CMP6" s="344"/>
      <c r="CMQ6" s="344"/>
      <c r="CMR6" s="344"/>
      <c r="CMS6" s="344"/>
      <c r="CMT6" s="344"/>
      <c r="CMU6" s="344"/>
      <c r="CMV6" s="344"/>
      <c r="CMW6" s="344"/>
      <c r="CMX6" s="344"/>
      <c r="CMY6" s="344"/>
      <c r="CMZ6" s="344"/>
      <c r="CNA6" s="344"/>
      <c r="CNB6" s="344"/>
      <c r="CNC6" s="344"/>
      <c r="CND6" s="344"/>
      <c r="CNE6" s="344"/>
      <c r="CNF6" s="344"/>
      <c r="CNG6" s="344"/>
      <c r="CNH6" s="344"/>
      <c r="CNI6" s="344"/>
      <c r="CNJ6" s="344"/>
      <c r="CNK6" s="344"/>
      <c r="CNL6" s="344"/>
      <c r="CNM6" s="344"/>
      <c r="CNN6" s="344"/>
      <c r="CNO6" s="344"/>
      <c r="CNP6" s="344"/>
      <c r="CNQ6" s="344"/>
      <c r="CNR6" s="344"/>
      <c r="CNS6" s="344"/>
      <c r="CNT6" s="344"/>
      <c r="CNU6" s="344"/>
      <c r="CNV6" s="344"/>
      <c r="CNW6" s="344"/>
      <c r="CNX6" s="344"/>
      <c r="CNY6" s="344"/>
      <c r="CNZ6" s="344"/>
      <c r="COA6" s="344"/>
      <c r="COB6" s="344"/>
      <c r="COC6" s="344"/>
      <c r="COD6" s="344"/>
      <c r="COE6" s="344"/>
      <c r="COF6" s="344"/>
      <c r="COG6" s="344"/>
      <c r="COH6" s="344"/>
      <c r="COI6" s="344"/>
      <c r="COJ6" s="344"/>
      <c r="COK6" s="344"/>
      <c r="COL6" s="344"/>
      <c r="COM6" s="344"/>
      <c r="CON6" s="344"/>
      <c r="COO6" s="344"/>
      <c r="COP6" s="344"/>
      <c r="COQ6" s="344"/>
      <c r="COR6" s="344"/>
      <c r="COS6" s="344"/>
      <c r="COT6" s="344"/>
      <c r="COU6" s="344"/>
      <c r="COV6" s="344"/>
      <c r="COW6" s="344"/>
      <c r="COX6" s="344"/>
      <c r="COY6" s="344"/>
      <c r="COZ6" s="344"/>
      <c r="CPA6" s="344"/>
      <c r="CPB6" s="344"/>
      <c r="CPC6" s="344"/>
      <c r="CPD6" s="344"/>
      <c r="CPE6" s="344"/>
      <c r="CPF6" s="344"/>
      <c r="CPG6" s="344"/>
      <c r="CPH6" s="344"/>
      <c r="CPI6" s="344"/>
      <c r="CPJ6" s="344"/>
      <c r="CPK6" s="344"/>
      <c r="CPL6" s="344"/>
      <c r="CPM6" s="344"/>
      <c r="CPN6" s="344"/>
      <c r="CPO6" s="344"/>
      <c r="CPP6" s="344"/>
      <c r="CPQ6" s="344"/>
      <c r="CPR6" s="344"/>
      <c r="CPS6" s="344"/>
      <c r="CPT6" s="344"/>
      <c r="CPU6" s="344"/>
      <c r="CPV6" s="344"/>
      <c r="CPW6" s="344"/>
      <c r="CPX6" s="344"/>
      <c r="CPY6" s="344"/>
      <c r="CPZ6" s="344"/>
      <c r="CQA6" s="344"/>
      <c r="CQB6" s="344"/>
      <c r="CQC6" s="344"/>
      <c r="CQD6" s="344"/>
      <c r="CQE6" s="344"/>
      <c r="CQF6" s="344"/>
      <c r="CQG6" s="344"/>
      <c r="CQH6" s="344"/>
      <c r="CQI6" s="344"/>
      <c r="CQJ6" s="344"/>
      <c r="CQK6" s="344"/>
      <c r="CQL6" s="344"/>
      <c r="CQM6" s="344"/>
      <c r="CQN6" s="344"/>
      <c r="CQO6" s="344"/>
      <c r="CQP6" s="344"/>
      <c r="CQQ6" s="344"/>
      <c r="CQR6" s="344"/>
      <c r="CQS6" s="344"/>
      <c r="CQT6" s="344"/>
      <c r="CQU6" s="344"/>
      <c r="CQV6" s="344"/>
      <c r="CQW6" s="344"/>
      <c r="CQX6" s="344"/>
      <c r="CQY6" s="344"/>
      <c r="CQZ6" s="344"/>
      <c r="CRA6" s="344"/>
      <c r="CRB6" s="344"/>
      <c r="CRC6" s="344"/>
      <c r="CRD6" s="344"/>
      <c r="CRE6" s="344"/>
      <c r="CRF6" s="344"/>
      <c r="CRG6" s="344"/>
      <c r="CRH6" s="344"/>
      <c r="CRI6" s="344"/>
      <c r="CRJ6" s="344"/>
      <c r="CRK6" s="344"/>
      <c r="CRL6" s="344"/>
      <c r="CRM6" s="344"/>
      <c r="CRN6" s="344"/>
      <c r="CRO6" s="344"/>
      <c r="CRP6" s="344"/>
      <c r="CRQ6" s="344"/>
      <c r="CRR6" s="344"/>
      <c r="CRS6" s="344"/>
      <c r="CRT6" s="344"/>
      <c r="CRU6" s="344"/>
      <c r="CRV6" s="344"/>
      <c r="CRW6" s="344"/>
      <c r="CRX6" s="344"/>
      <c r="CRY6" s="344"/>
      <c r="CRZ6" s="344"/>
      <c r="CSA6" s="344"/>
      <c r="CSB6" s="344"/>
      <c r="CSC6" s="344"/>
      <c r="CSD6" s="344"/>
      <c r="CSE6" s="344"/>
      <c r="CSF6" s="344"/>
      <c r="CSG6" s="344"/>
      <c r="CSH6" s="344"/>
      <c r="CSI6" s="344"/>
      <c r="CSJ6" s="344"/>
      <c r="CSK6" s="344"/>
      <c r="CSL6" s="344"/>
      <c r="CSM6" s="344"/>
      <c r="CSN6" s="344"/>
      <c r="CSO6" s="344"/>
      <c r="CSP6" s="344"/>
      <c r="CSQ6" s="344"/>
      <c r="CSR6" s="344"/>
      <c r="CSS6" s="344"/>
      <c r="CST6" s="344"/>
      <c r="CSU6" s="344"/>
      <c r="CSV6" s="344"/>
      <c r="CSW6" s="344"/>
      <c r="CSX6" s="344"/>
      <c r="CSY6" s="344"/>
      <c r="CSZ6" s="344"/>
      <c r="CTA6" s="344"/>
      <c r="CTB6" s="344"/>
      <c r="CTC6" s="344"/>
      <c r="CTD6" s="344"/>
      <c r="CTE6" s="344"/>
      <c r="CTF6" s="344"/>
      <c r="CTG6" s="344"/>
      <c r="CTH6" s="344"/>
      <c r="CTI6" s="344"/>
      <c r="CTJ6" s="344"/>
      <c r="CTK6" s="344"/>
      <c r="CTL6" s="344"/>
      <c r="CTM6" s="344"/>
      <c r="CTN6" s="344"/>
      <c r="CTO6" s="344"/>
      <c r="CTP6" s="344"/>
      <c r="CTQ6" s="344"/>
      <c r="CTR6" s="344"/>
      <c r="CTS6" s="344"/>
      <c r="CTT6" s="344"/>
      <c r="CTU6" s="344"/>
      <c r="CTV6" s="344"/>
      <c r="CTW6" s="344"/>
      <c r="CTX6" s="344"/>
      <c r="CTY6" s="344"/>
      <c r="CTZ6" s="344"/>
      <c r="CUA6" s="344"/>
      <c r="CUB6" s="344"/>
      <c r="CUC6" s="344"/>
      <c r="CUD6" s="344"/>
      <c r="CUE6" s="344"/>
      <c r="CUF6" s="344"/>
      <c r="CUG6" s="344"/>
      <c r="CUH6" s="344"/>
      <c r="CUI6" s="344"/>
      <c r="CUJ6" s="344"/>
      <c r="CUK6" s="344"/>
      <c r="CUL6" s="344"/>
      <c r="CUM6" s="344"/>
      <c r="CUN6" s="344"/>
      <c r="CUO6" s="344"/>
      <c r="CUP6" s="344"/>
      <c r="CUQ6" s="344"/>
      <c r="CUR6" s="344"/>
      <c r="CUS6" s="344"/>
      <c r="CUT6" s="344"/>
      <c r="CUU6" s="344"/>
      <c r="CUV6" s="344"/>
      <c r="CUW6" s="344"/>
      <c r="CUX6" s="344"/>
      <c r="CUY6" s="344"/>
      <c r="CUZ6" s="344"/>
      <c r="CVA6" s="344"/>
      <c r="CVB6" s="344"/>
      <c r="CVC6" s="344"/>
      <c r="CVD6" s="344"/>
      <c r="CVE6" s="344"/>
      <c r="CVF6" s="344"/>
      <c r="CVG6" s="344"/>
      <c r="CVH6" s="344"/>
      <c r="CVI6" s="344"/>
      <c r="CVJ6" s="344"/>
      <c r="CVK6" s="344"/>
      <c r="CVL6" s="344"/>
      <c r="CVM6" s="344"/>
      <c r="CVN6" s="344"/>
      <c r="CVO6" s="344"/>
      <c r="CVP6" s="344"/>
      <c r="CVQ6" s="344"/>
      <c r="CVR6" s="344"/>
      <c r="CVS6" s="344"/>
      <c r="CVT6" s="344"/>
      <c r="CVU6" s="344"/>
      <c r="CVV6" s="344"/>
      <c r="CVW6" s="344"/>
      <c r="CVX6" s="344"/>
      <c r="CVY6" s="344"/>
      <c r="CVZ6" s="344"/>
      <c r="CWA6" s="344"/>
      <c r="CWB6" s="344"/>
      <c r="CWC6" s="344"/>
      <c r="CWD6" s="344"/>
      <c r="CWE6" s="344"/>
      <c r="CWF6" s="344"/>
      <c r="CWG6" s="344"/>
      <c r="CWH6" s="344"/>
      <c r="CWI6" s="344"/>
      <c r="CWJ6" s="344"/>
      <c r="CWK6" s="344"/>
      <c r="CWL6" s="344"/>
      <c r="CWM6" s="344"/>
      <c r="CWN6" s="344"/>
      <c r="CWO6" s="344"/>
      <c r="CWP6" s="344"/>
      <c r="CWQ6" s="344"/>
      <c r="CWR6" s="344"/>
      <c r="CWS6" s="344"/>
      <c r="CWT6" s="344"/>
      <c r="CWU6" s="344"/>
      <c r="CWV6" s="344"/>
      <c r="CWW6" s="344"/>
      <c r="CWX6" s="344"/>
      <c r="CWY6" s="344"/>
      <c r="CWZ6" s="344"/>
      <c r="CXA6" s="344"/>
      <c r="CXB6" s="344"/>
      <c r="CXC6" s="344"/>
      <c r="CXD6" s="344"/>
      <c r="CXE6" s="344"/>
      <c r="CXF6" s="344"/>
      <c r="CXG6" s="344"/>
      <c r="CXH6" s="344"/>
      <c r="CXI6" s="344"/>
      <c r="CXJ6" s="344"/>
      <c r="CXK6" s="344"/>
      <c r="CXL6" s="344"/>
      <c r="CXM6" s="344"/>
      <c r="CXN6" s="344"/>
      <c r="CXO6" s="344"/>
      <c r="CXP6" s="344"/>
      <c r="CXQ6" s="344"/>
      <c r="CXR6" s="344"/>
      <c r="CXS6" s="344"/>
      <c r="CXT6" s="344"/>
      <c r="CXU6" s="344"/>
      <c r="CXV6" s="344"/>
      <c r="CXW6" s="344"/>
      <c r="CXX6" s="344"/>
      <c r="CXY6" s="344"/>
      <c r="CXZ6" s="344"/>
      <c r="CYA6" s="344"/>
      <c r="CYB6" s="344"/>
      <c r="CYC6" s="344"/>
      <c r="CYD6" s="344"/>
      <c r="CYE6" s="344"/>
      <c r="CYF6" s="344"/>
      <c r="CYG6" s="344"/>
      <c r="CYH6" s="344"/>
      <c r="CYI6" s="344"/>
      <c r="CYJ6" s="344"/>
      <c r="CYK6" s="344"/>
      <c r="CYL6" s="344"/>
      <c r="CYM6" s="344"/>
      <c r="CYN6" s="344"/>
      <c r="CYO6" s="344"/>
      <c r="CYP6" s="344"/>
      <c r="CYQ6" s="344"/>
      <c r="CYR6" s="344"/>
      <c r="CYS6" s="344"/>
      <c r="CYT6" s="344"/>
      <c r="CYU6" s="344"/>
      <c r="CYV6" s="344"/>
      <c r="CYW6" s="344"/>
      <c r="CYX6" s="344"/>
      <c r="CYY6" s="344"/>
      <c r="CYZ6" s="344"/>
      <c r="CZA6" s="344"/>
      <c r="CZB6" s="344"/>
      <c r="CZC6" s="344"/>
      <c r="CZD6" s="344"/>
      <c r="CZE6" s="344"/>
      <c r="CZF6" s="344"/>
      <c r="CZG6" s="344"/>
      <c r="CZH6" s="344"/>
      <c r="CZI6" s="344"/>
      <c r="CZJ6" s="344"/>
      <c r="CZK6" s="344"/>
      <c r="CZL6" s="344"/>
      <c r="CZM6" s="344"/>
      <c r="CZN6" s="344"/>
      <c r="CZO6" s="344"/>
      <c r="CZP6" s="344"/>
      <c r="CZQ6" s="344"/>
      <c r="CZR6" s="344"/>
      <c r="CZS6" s="344"/>
      <c r="CZT6" s="344"/>
      <c r="CZU6" s="344"/>
      <c r="CZV6" s="344"/>
      <c r="CZW6" s="344"/>
      <c r="CZX6" s="344"/>
      <c r="CZY6" s="344"/>
      <c r="CZZ6" s="344"/>
      <c r="DAA6" s="344"/>
      <c r="DAB6" s="344"/>
      <c r="DAC6" s="344"/>
      <c r="DAD6" s="344"/>
      <c r="DAE6" s="344"/>
      <c r="DAF6" s="344"/>
      <c r="DAG6" s="344"/>
      <c r="DAH6" s="344"/>
      <c r="DAI6" s="344"/>
      <c r="DAJ6" s="344"/>
      <c r="DAK6" s="344"/>
      <c r="DAL6" s="344"/>
      <c r="DAM6" s="344"/>
      <c r="DAN6" s="344"/>
      <c r="DAO6" s="344"/>
      <c r="DAP6" s="344"/>
      <c r="DAQ6" s="344"/>
      <c r="DAR6" s="344"/>
      <c r="DAS6" s="344"/>
      <c r="DAT6" s="344"/>
      <c r="DAU6" s="344"/>
      <c r="DAV6" s="344"/>
      <c r="DAW6" s="344"/>
      <c r="DAX6" s="344"/>
      <c r="DAY6" s="344"/>
      <c r="DAZ6" s="344"/>
      <c r="DBA6" s="344"/>
      <c r="DBB6" s="344"/>
      <c r="DBC6" s="344"/>
      <c r="DBD6" s="344"/>
      <c r="DBE6" s="344"/>
      <c r="DBF6" s="344"/>
      <c r="DBG6" s="344"/>
      <c r="DBH6" s="344"/>
      <c r="DBI6" s="344"/>
      <c r="DBJ6" s="344"/>
      <c r="DBK6" s="344"/>
      <c r="DBL6" s="344"/>
      <c r="DBM6" s="344"/>
      <c r="DBN6" s="344"/>
      <c r="DBO6" s="344"/>
      <c r="DBP6" s="344"/>
      <c r="DBQ6" s="344"/>
      <c r="DBR6" s="344"/>
      <c r="DBS6" s="344"/>
      <c r="DBT6" s="344"/>
      <c r="DBU6" s="344"/>
      <c r="DBV6" s="344"/>
      <c r="DBW6" s="344"/>
      <c r="DBX6" s="344"/>
      <c r="DBY6" s="344"/>
      <c r="DBZ6" s="344"/>
      <c r="DCA6" s="344"/>
      <c r="DCB6" s="344"/>
      <c r="DCC6" s="344"/>
      <c r="DCD6" s="344"/>
      <c r="DCE6" s="344"/>
      <c r="DCF6" s="344"/>
      <c r="DCG6" s="344"/>
      <c r="DCH6" s="344"/>
      <c r="DCI6" s="344"/>
      <c r="DCJ6" s="344"/>
      <c r="DCK6" s="344"/>
      <c r="DCL6" s="344"/>
      <c r="DCM6" s="344"/>
      <c r="DCN6" s="344"/>
      <c r="DCO6" s="344"/>
      <c r="DCP6" s="344"/>
      <c r="DCQ6" s="344"/>
      <c r="DCR6" s="344"/>
      <c r="DCS6" s="344"/>
      <c r="DCT6" s="344"/>
      <c r="DCU6" s="344"/>
      <c r="DCV6" s="344"/>
      <c r="DCW6" s="344"/>
      <c r="DCX6" s="344"/>
      <c r="DCY6" s="344"/>
      <c r="DCZ6" s="344"/>
      <c r="DDA6" s="344"/>
      <c r="DDB6" s="344"/>
      <c r="DDC6" s="344"/>
      <c r="DDD6" s="344"/>
      <c r="DDE6" s="344"/>
      <c r="DDF6" s="344"/>
      <c r="DDG6" s="344"/>
      <c r="DDH6" s="344"/>
      <c r="DDI6" s="344"/>
      <c r="DDJ6" s="344"/>
      <c r="DDK6" s="344"/>
      <c r="DDL6" s="344"/>
      <c r="DDM6" s="344"/>
      <c r="DDN6" s="344"/>
      <c r="DDO6" s="344"/>
      <c r="DDP6" s="344"/>
      <c r="DDQ6" s="344"/>
      <c r="DDR6" s="344"/>
      <c r="DDS6" s="344"/>
      <c r="DDT6" s="344"/>
      <c r="DDU6" s="344"/>
      <c r="DDV6" s="344"/>
      <c r="DDW6" s="344"/>
      <c r="DDX6" s="344"/>
      <c r="DDY6" s="344"/>
      <c r="DDZ6" s="344"/>
      <c r="DEA6" s="344"/>
      <c r="DEB6" s="344"/>
      <c r="DEC6" s="344"/>
      <c r="DED6" s="344"/>
      <c r="DEE6" s="344"/>
      <c r="DEF6" s="344"/>
      <c r="DEG6" s="344"/>
      <c r="DEH6" s="344"/>
      <c r="DEI6" s="344"/>
      <c r="DEJ6" s="344"/>
      <c r="DEK6" s="344"/>
      <c r="DEL6" s="344"/>
      <c r="DEM6" s="344"/>
      <c r="DEN6" s="344"/>
      <c r="DEO6" s="344"/>
      <c r="DEP6" s="344"/>
      <c r="DEQ6" s="344"/>
      <c r="DER6" s="344"/>
      <c r="DES6" s="344"/>
      <c r="DET6" s="344"/>
      <c r="DEU6" s="344"/>
      <c r="DEV6" s="344"/>
      <c r="DEW6" s="344"/>
      <c r="DEX6" s="344"/>
      <c r="DEY6" s="344"/>
      <c r="DEZ6" s="344"/>
      <c r="DFA6" s="344"/>
      <c r="DFB6" s="344"/>
      <c r="DFC6" s="344"/>
      <c r="DFD6" s="344"/>
      <c r="DFE6" s="344"/>
      <c r="DFF6" s="344"/>
      <c r="DFG6" s="344"/>
      <c r="DFH6" s="344"/>
      <c r="DFI6" s="344"/>
      <c r="DFJ6" s="344"/>
      <c r="DFK6" s="344"/>
      <c r="DFL6" s="344"/>
      <c r="DFM6" s="344"/>
      <c r="DFN6" s="344"/>
      <c r="DFO6" s="344"/>
      <c r="DFP6" s="344"/>
      <c r="DFQ6" s="344"/>
      <c r="DFR6" s="344"/>
      <c r="DFS6" s="344"/>
      <c r="DFT6" s="344"/>
      <c r="DFU6" s="344"/>
      <c r="DFV6" s="344"/>
      <c r="DFW6" s="344"/>
      <c r="DFX6" s="344"/>
      <c r="DFY6" s="344"/>
      <c r="DFZ6" s="344"/>
      <c r="DGA6" s="344"/>
      <c r="DGB6" s="344"/>
      <c r="DGC6" s="344"/>
      <c r="DGD6" s="344"/>
      <c r="DGE6" s="344"/>
      <c r="DGF6" s="344"/>
      <c r="DGG6" s="344"/>
      <c r="DGH6" s="344"/>
      <c r="DGI6" s="344"/>
      <c r="DGJ6" s="344"/>
      <c r="DGK6" s="344"/>
      <c r="DGL6" s="344"/>
      <c r="DGM6" s="344"/>
      <c r="DGN6" s="344"/>
      <c r="DGO6" s="344"/>
      <c r="DGP6" s="344"/>
      <c r="DGQ6" s="344"/>
      <c r="DGR6" s="344"/>
      <c r="DGS6" s="344"/>
      <c r="DGT6" s="344"/>
      <c r="DGU6" s="344"/>
      <c r="DGV6" s="344"/>
      <c r="DGW6" s="344"/>
      <c r="DGX6" s="344"/>
      <c r="DGY6" s="344"/>
      <c r="DGZ6" s="344"/>
      <c r="DHA6" s="344"/>
      <c r="DHB6" s="344"/>
      <c r="DHC6" s="344"/>
      <c r="DHD6" s="344"/>
      <c r="DHE6" s="344"/>
      <c r="DHF6" s="344"/>
      <c r="DHG6" s="344"/>
      <c r="DHH6" s="344"/>
      <c r="DHI6" s="344"/>
      <c r="DHJ6" s="344"/>
      <c r="DHK6" s="344"/>
      <c r="DHL6" s="344"/>
      <c r="DHM6" s="344"/>
      <c r="DHN6" s="344"/>
      <c r="DHO6" s="344"/>
      <c r="DHP6" s="344"/>
      <c r="DHQ6" s="344"/>
      <c r="DHR6" s="344"/>
      <c r="DHS6" s="344"/>
      <c r="DHT6" s="344"/>
      <c r="DHU6" s="344"/>
      <c r="DHV6" s="344"/>
      <c r="DHW6" s="344"/>
      <c r="DHX6" s="344"/>
      <c r="DHY6" s="344"/>
      <c r="DHZ6" s="344"/>
      <c r="DIA6" s="344"/>
      <c r="DIB6" s="344"/>
      <c r="DIC6" s="344"/>
      <c r="DID6" s="344"/>
      <c r="DIE6" s="344"/>
      <c r="DIF6" s="344"/>
      <c r="DIG6" s="344"/>
      <c r="DIH6" s="344"/>
      <c r="DII6" s="344"/>
      <c r="DIJ6" s="344"/>
      <c r="DIK6" s="344"/>
      <c r="DIL6" s="344"/>
      <c r="DIM6" s="344"/>
      <c r="DIN6" s="344"/>
      <c r="DIO6" s="344"/>
      <c r="DIP6" s="344"/>
      <c r="DIQ6" s="344"/>
      <c r="DIR6" s="344"/>
      <c r="DIS6" s="344"/>
      <c r="DIT6" s="344"/>
      <c r="DIU6" s="344"/>
      <c r="DIV6" s="344"/>
      <c r="DIW6" s="344"/>
      <c r="DIX6" s="344"/>
      <c r="DIY6" s="344"/>
      <c r="DIZ6" s="344"/>
      <c r="DJA6" s="344"/>
      <c r="DJB6" s="344"/>
      <c r="DJC6" s="344"/>
      <c r="DJD6" s="344"/>
      <c r="DJE6" s="344"/>
      <c r="DJF6" s="344"/>
      <c r="DJG6" s="344"/>
      <c r="DJH6" s="344"/>
      <c r="DJI6" s="344"/>
      <c r="DJJ6" s="344"/>
      <c r="DJK6" s="344"/>
      <c r="DJL6" s="344"/>
      <c r="DJM6" s="344"/>
      <c r="DJN6" s="344"/>
      <c r="DJO6" s="344"/>
      <c r="DJP6" s="344"/>
      <c r="DJQ6" s="344"/>
      <c r="DJR6" s="344"/>
      <c r="DJS6" s="344"/>
      <c r="DJT6" s="344"/>
      <c r="DJU6" s="344"/>
      <c r="DJV6" s="344"/>
      <c r="DJW6" s="344"/>
      <c r="DJX6" s="344"/>
      <c r="DJY6" s="344"/>
      <c r="DJZ6" s="344"/>
      <c r="DKA6" s="344"/>
      <c r="DKB6" s="344"/>
      <c r="DKC6" s="344"/>
      <c r="DKD6" s="344"/>
      <c r="DKE6" s="344"/>
      <c r="DKF6" s="344"/>
      <c r="DKG6" s="344"/>
      <c r="DKH6" s="344"/>
      <c r="DKI6" s="344"/>
      <c r="DKJ6" s="344"/>
      <c r="DKK6" s="344"/>
      <c r="DKL6" s="344"/>
      <c r="DKM6" s="344"/>
      <c r="DKN6" s="344"/>
      <c r="DKO6" s="344"/>
      <c r="DKP6" s="344"/>
      <c r="DKQ6" s="344"/>
      <c r="DKR6" s="344"/>
      <c r="DKS6" s="344"/>
      <c r="DKT6" s="344"/>
      <c r="DKU6" s="344"/>
      <c r="DKV6" s="344"/>
      <c r="DKW6" s="344"/>
      <c r="DKX6" s="344"/>
      <c r="DKY6" s="344"/>
      <c r="DKZ6" s="344"/>
      <c r="DLA6" s="344"/>
      <c r="DLB6" s="344"/>
      <c r="DLC6" s="344"/>
      <c r="DLD6" s="344"/>
      <c r="DLE6" s="344"/>
      <c r="DLF6" s="344"/>
      <c r="DLG6" s="344"/>
      <c r="DLH6" s="344"/>
      <c r="DLI6" s="344"/>
      <c r="DLJ6" s="344"/>
      <c r="DLK6" s="344"/>
      <c r="DLL6" s="344"/>
      <c r="DLM6" s="344"/>
      <c r="DLN6" s="344"/>
      <c r="DLO6" s="344"/>
      <c r="DLP6" s="344"/>
      <c r="DLQ6" s="344"/>
      <c r="DLR6" s="344"/>
      <c r="DLS6" s="344"/>
      <c r="DLT6" s="344"/>
      <c r="DLU6" s="344"/>
      <c r="DLV6" s="344"/>
      <c r="DLW6" s="344"/>
      <c r="DLX6" s="344"/>
      <c r="DLY6" s="344"/>
      <c r="DLZ6" s="344"/>
      <c r="DMA6" s="344"/>
      <c r="DMB6" s="344"/>
      <c r="DMC6" s="344"/>
      <c r="DMD6" s="344"/>
      <c r="DME6" s="344"/>
      <c r="DMF6" s="344"/>
      <c r="DMG6" s="344"/>
      <c r="DMH6" s="344"/>
      <c r="DMI6" s="344"/>
      <c r="DMJ6" s="344"/>
      <c r="DMK6" s="344"/>
      <c r="DML6" s="344"/>
      <c r="DMM6" s="344"/>
      <c r="DMN6" s="344"/>
      <c r="DMO6" s="344"/>
      <c r="DMP6" s="344"/>
      <c r="DMQ6" s="344"/>
      <c r="DMR6" s="344"/>
      <c r="DMS6" s="344"/>
      <c r="DMT6" s="344"/>
      <c r="DMU6" s="344"/>
      <c r="DMV6" s="344"/>
      <c r="DMW6" s="344"/>
      <c r="DMX6" s="344"/>
      <c r="DMY6" s="344"/>
      <c r="DMZ6" s="344"/>
      <c r="DNA6" s="344"/>
      <c r="DNB6" s="344"/>
      <c r="DNC6" s="344"/>
      <c r="DND6" s="344"/>
      <c r="DNE6" s="344"/>
      <c r="DNF6" s="344"/>
      <c r="DNG6" s="344"/>
      <c r="DNH6" s="344"/>
      <c r="DNI6" s="344"/>
      <c r="DNJ6" s="344"/>
      <c r="DNK6" s="344"/>
      <c r="DNL6" s="344"/>
      <c r="DNM6" s="344"/>
      <c r="DNN6" s="344"/>
      <c r="DNO6" s="344"/>
      <c r="DNP6" s="344"/>
      <c r="DNQ6" s="344"/>
      <c r="DNR6" s="344"/>
      <c r="DNS6" s="344"/>
      <c r="DNT6" s="344"/>
      <c r="DNU6" s="344"/>
      <c r="DNV6" s="344"/>
      <c r="DNW6" s="344"/>
      <c r="DNX6" s="344"/>
      <c r="DNY6" s="344"/>
      <c r="DNZ6" s="344"/>
      <c r="DOA6" s="344"/>
      <c r="DOB6" s="344"/>
      <c r="DOC6" s="344"/>
      <c r="DOD6" s="344"/>
      <c r="DOE6" s="344"/>
      <c r="DOF6" s="344"/>
      <c r="DOG6" s="344"/>
      <c r="DOH6" s="344"/>
      <c r="DOI6" s="344"/>
      <c r="DOJ6" s="344"/>
      <c r="DOK6" s="344"/>
      <c r="DOL6" s="344"/>
      <c r="DOM6" s="344"/>
      <c r="DON6" s="344"/>
      <c r="DOO6" s="344"/>
      <c r="DOP6" s="344"/>
      <c r="DOQ6" s="344"/>
      <c r="DOR6" s="344"/>
      <c r="DOS6" s="344"/>
      <c r="DOT6" s="344"/>
      <c r="DOU6" s="344"/>
      <c r="DOV6" s="344"/>
      <c r="DOW6" s="344"/>
      <c r="DOX6" s="344"/>
      <c r="DOY6" s="344"/>
      <c r="DOZ6" s="344"/>
      <c r="DPA6" s="344"/>
      <c r="DPB6" s="344"/>
      <c r="DPC6" s="344"/>
      <c r="DPD6" s="344"/>
      <c r="DPE6" s="344"/>
      <c r="DPF6" s="344"/>
      <c r="DPG6" s="344"/>
      <c r="DPH6" s="344"/>
      <c r="DPI6" s="344"/>
      <c r="DPJ6" s="344"/>
      <c r="DPK6" s="344"/>
      <c r="DPL6" s="344"/>
      <c r="DPM6" s="344"/>
      <c r="DPN6" s="344"/>
      <c r="DPO6" s="344"/>
      <c r="DPP6" s="344"/>
      <c r="DPQ6" s="344"/>
      <c r="DPR6" s="344"/>
      <c r="DPS6" s="344"/>
      <c r="DPT6" s="344"/>
      <c r="DPU6" s="344"/>
      <c r="DPV6" s="344"/>
      <c r="DPW6" s="344"/>
      <c r="DPX6" s="344"/>
      <c r="DPY6" s="344"/>
      <c r="DPZ6" s="344"/>
      <c r="DQA6" s="344"/>
      <c r="DQB6" s="344"/>
      <c r="DQC6" s="344"/>
      <c r="DQD6" s="344"/>
      <c r="DQE6" s="344"/>
      <c r="DQF6" s="344"/>
      <c r="DQG6" s="344"/>
      <c r="DQH6" s="344"/>
      <c r="DQI6" s="344"/>
      <c r="DQJ6" s="344"/>
      <c r="DQK6" s="344"/>
      <c r="DQL6" s="344"/>
      <c r="DQM6" s="344"/>
      <c r="DQN6" s="344"/>
      <c r="DQO6" s="344"/>
      <c r="DQP6" s="344"/>
      <c r="DQQ6" s="344"/>
      <c r="DQR6" s="344"/>
      <c r="DQS6" s="344"/>
      <c r="DQT6" s="344"/>
      <c r="DQU6" s="344"/>
      <c r="DQV6" s="344"/>
      <c r="DQW6" s="344"/>
      <c r="DQX6" s="344"/>
      <c r="DQY6" s="344"/>
      <c r="DQZ6" s="344"/>
      <c r="DRA6" s="344"/>
      <c r="DRB6" s="344"/>
      <c r="DRC6" s="344"/>
      <c r="DRD6" s="344"/>
      <c r="DRE6" s="344"/>
      <c r="DRF6" s="344"/>
      <c r="DRG6" s="344"/>
      <c r="DRH6" s="344"/>
      <c r="DRI6" s="344"/>
      <c r="DRJ6" s="344"/>
      <c r="DRK6" s="344"/>
      <c r="DRL6" s="344"/>
      <c r="DRM6" s="344"/>
      <c r="DRN6" s="344"/>
      <c r="DRO6" s="344"/>
      <c r="DRP6" s="344"/>
      <c r="DRQ6" s="344"/>
      <c r="DRR6" s="344"/>
      <c r="DRS6" s="344"/>
      <c r="DRT6" s="344"/>
      <c r="DRU6" s="344"/>
      <c r="DRV6" s="344"/>
      <c r="DRW6" s="344"/>
      <c r="DRX6" s="344"/>
      <c r="DRY6" s="344"/>
      <c r="DRZ6" s="344"/>
      <c r="DSA6" s="344"/>
      <c r="DSB6" s="344"/>
      <c r="DSC6" s="344"/>
      <c r="DSD6" s="344"/>
      <c r="DSE6" s="344"/>
      <c r="DSF6" s="344"/>
      <c r="DSG6" s="344"/>
      <c r="DSH6" s="344"/>
      <c r="DSI6" s="344"/>
      <c r="DSJ6" s="344"/>
      <c r="DSK6" s="344"/>
      <c r="DSL6" s="344"/>
      <c r="DSM6" s="344"/>
      <c r="DSN6" s="344"/>
      <c r="DSO6" s="344"/>
      <c r="DSP6" s="344"/>
      <c r="DSQ6" s="344"/>
      <c r="DSR6" s="344"/>
      <c r="DSS6" s="344"/>
      <c r="DST6" s="344"/>
      <c r="DSU6" s="344"/>
      <c r="DSV6" s="344"/>
      <c r="DSW6" s="344"/>
      <c r="DSX6" s="344"/>
      <c r="DSY6" s="344"/>
      <c r="DSZ6" s="344"/>
      <c r="DTA6" s="344"/>
      <c r="DTB6" s="344"/>
      <c r="DTC6" s="344"/>
      <c r="DTD6" s="344"/>
      <c r="DTE6" s="344"/>
      <c r="DTF6" s="344"/>
      <c r="DTG6" s="344"/>
      <c r="DTH6" s="344"/>
      <c r="DTI6" s="344"/>
      <c r="DTJ6" s="344"/>
      <c r="DTK6" s="344"/>
      <c r="DTL6" s="344"/>
      <c r="DTM6" s="344"/>
      <c r="DTN6" s="344"/>
      <c r="DTO6" s="344"/>
      <c r="DTP6" s="344"/>
      <c r="DTQ6" s="344"/>
      <c r="DTR6" s="344"/>
      <c r="DTS6" s="344"/>
      <c r="DTT6" s="344"/>
      <c r="DTU6" s="344"/>
      <c r="DTV6" s="344"/>
      <c r="DTW6" s="344"/>
      <c r="DTX6" s="344"/>
      <c r="DTY6" s="344"/>
      <c r="DTZ6" s="344"/>
      <c r="DUA6" s="344"/>
      <c r="DUB6" s="344"/>
      <c r="DUC6" s="344"/>
      <c r="DUD6" s="344"/>
      <c r="DUE6" s="344"/>
      <c r="DUF6" s="344"/>
      <c r="DUG6" s="344"/>
      <c r="DUH6" s="344"/>
      <c r="DUI6" s="344"/>
      <c r="DUJ6" s="344"/>
      <c r="DUK6" s="344"/>
      <c r="DUL6" s="344"/>
      <c r="DUM6" s="344"/>
      <c r="DUN6" s="344"/>
      <c r="DUO6" s="344"/>
      <c r="DUP6" s="344"/>
      <c r="DUQ6" s="344"/>
      <c r="DUR6" s="344"/>
      <c r="DUS6" s="344"/>
      <c r="DUT6" s="344"/>
      <c r="DUU6" s="344"/>
      <c r="DUV6" s="344"/>
      <c r="DUW6" s="344"/>
      <c r="DUX6" s="344"/>
      <c r="DUY6" s="344"/>
      <c r="DUZ6" s="344"/>
      <c r="DVA6" s="344"/>
      <c r="DVB6" s="344"/>
      <c r="DVC6" s="344"/>
      <c r="DVD6" s="344"/>
      <c r="DVE6" s="344"/>
      <c r="DVF6" s="344"/>
      <c r="DVG6" s="344"/>
      <c r="DVH6" s="344"/>
      <c r="DVI6" s="344"/>
      <c r="DVJ6" s="344"/>
      <c r="DVK6" s="344"/>
      <c r="DVL6" s="344"/>
      <c r="DVM6" s="344"/>
      <c r="DVN6" s="344"/>
      <c r="DVO6" s="344"/>
      <c r="DVP6" s="344"/>
      <c r="DVQ6" s="344"/>
      <c r="DVR6" s="344"/>
      <c r="DVS6" s="344"/>
      <c r="DVT6" s="344"/>
      <c r="DVU6" s="344"/>
      <c r="DVV6" s="344"/>
      <c r="DVW6" s="344"/>
      <c r="DVX6" s="344"/>
      <c r="DVY6" s="344"/>
      <c r="DVZ6" s="344"/>
      <c r="DWA6" s="344"/>
      <c r="DWB6" s="344"/>
      <c r="DWC6" s="344"/>
      <c r="DWD6" s="344"/>
      <c r="DWE6" s="344"/>
      <c r="DWF6" s="344"/>
      <c r="DWG6" s="344"/>
      <c r="DWH6" s="344"/>
      <c r="DWI6" s="344"/>
      <c r="DWJ6" s="344"/>
      <c r="DWK6" s="344"/>
      <c r="DWL6" s="344"/>
      <c r="DWM6" s="344"/>
      <c r="DWN6" s="344"/>
      <c r="DWO6" s="344"/>
      <c r="DWP6" s="344"/>
      <c r="DWQ6" s="344"/>
      <c r="DWR6" s="344"/>
      <c r="DWS6" s="344"/>
      <c r="DWT6" s="344"/>
      <c r="DWU6" s="344"/>
      <c r="DWV6" s="344"/>
      <c r="DWW6" s="344"/>
      <c r="DWX6" s="344"/>
      <c r="DWY6" s="344"/>
      <c r="DWZ6" s="344"/>
      <c r="DXA6" s="344"/>
      <c r="DXB6" s="344"/>
      <c r="DXC6" s="344"/>
      <c r="DXD6" s="344"/>
      <c r="DXE6" s="344"/>
      <c r="DXF6" s="344"/>
      <c r="DXG6" s="344"/>
      <c r="DXH6" s="344"/>
      <c r="DXI6" s="344"/>
      <c r="DXJ6" s="344"/>
      <c r="DXK6" s="344"/>
      <c r="DXL6" s="344"/>
      <c r="DXM6" s="344"/>
      <c r="DXN6" s="344"/>
      <c r="DXO6" s="344"/>
      <c r="DXP6" s="344"/>
      <c r="DXQ6" s="344"/>
      <c r="DXR6" s="344"/>
      <c r="DXS6" s="344"/>
      <c r="DXT6" s="344"/>
      <c r="DXU6" s="344"/>
      <c r="DXV6" s="344"/>
      <c r="DXW6" s="344"/>
      <c r="DXX6" s="344"/>
      <c r="DXY6" s="344"/>
      <c r="DXZ6" s="344"/>
      <c r="DYA6" s="344"/>
      <c r="DYB6" s="344"/>
      <c r="DYC6" s="344"/>
      <c r="DYD6" s="344"/>
      <c r="DYE6" s="344"/>
      <c r="DYF6" s="344"/>
      <c r="DYG6" s="344"/>
      <c r="DYH6" s="344"/>
      <c r="DYI6" s="344"/>
      <c r="DYJ6" s="344"/>
      <c r="DYK6" s="344"/>
      <c r="DYL6" s="344"/>
      <c r="DYM6" s="344"/>
      <c r="DYN6" s="344"/>
      <c r="DYO6" s="344"/>
      <c r="DYP6" s="344"/>
      <c r="DYQ6" s="344"/>
      <c r="DYR6" s="344"/>
      <c r="DYS6" s="344"/>
      <c r="DYT6" s="344"/>
      <c r="DYU6" s="344"/>
      <c r="DYV6" s="344"/>
      <c r="DYW6" s="344"/>
      <c r="DYX6" s="344"/>
      <c r="DYY6" s="344"/>
      <c r="DYZ6" s="344"/>
      <c r="DZA6" s="344"/>
      <c r="DZB6" s="344"/>
      <c r="DZC6" s="344"/>
      <c r="DZD6" s="344"/>
      <c r="DZE6" s="344"/>
      <c r="DZF6" s="344"/>
      <c r="DZG6" s="344"/>
      <c r="DZH6" s="344"/>
      <c r="DZI6" s="344"/>
      <c r="DZJ6" s="344"/>
      <c r="DZK6" s="344"/>
      <c r="DZL6" s="344"/>
      <c r="DZM6" s="344"/>
      <c r="DZN6" s="344"/>
      <c r="DZO6" s="344"/>
      <c r="DZP6" s="344"/>
      <c r="DZQ6" s="344"/>
      <c r="DZR6" s="344"/>
      <c r="DZS6" s="344"/>
      <c r="DZT6" s="344"/>
      <c r="DZU6" s="344"/>
      <c r="DZV6" s="344"/>
      <c r="DZW6" s="344"/>
      <c r="DZX6" s="344"/>
      <c r="DZY6" s="344"/>
      <c r="DZZ6" s="344"/>
      <c r="EAA6" s="344"/>
      <c r="EAB6" s="344"/>
      <c r="EAC6" s="344"/>
      <c r="EAD6" s="344"/>
      <c r="EAE6" s="344"/>
      <c r="EAF6" s="344"/>
      <c r="EAG6" s="344"/>
      <c r="EAH6" s="344"/>
      <c r="EAI6" s="344"/>
      <c r="EAJ6" s="344"/>
      <c r="EAK6" s="344"/>
      <c r="EAL6" s="344"/>
      <c r="EAM6" s="344"/>
      <c r="EAN6" s="344"/>
      <c r="EAO6" s="344"/>
      <c r="EAP6" s="344"/>
      <c r="EAQ6" s="344"/>
      <c r="EAR6" s="344"/>
      <c r="EAS6" s="344"/>
      <c r="EAT6" s="344"/>
      <c r="EAU6" s="344"/>
      <c r="EAV6" s="344"/>
      <c r="EAW6" s="344"/>
      <c r="EAX6" s="344"/>
      <c r="EAY6" s="344"/>
      <c r="EAZ6" s="344"/>
      <c r="EBA6" s="344"/>
      <c r="EBB6" s="344"/>
      <c r="EBC6" s="344"/>
      <c r="EBD6" s="344"/>
      <c r="EBE6" s="344"/>
      <c r="EBF6" s="344"/>
      <c r="EBG6" s="344"/>
      <c r="EBH6" s="344"/>
      <c r="EBI6" s="344"/>
      <c r="EBJ6" s="344"/>
      <c r="EBK6" s="344"/>
      <c r="EBL6" s="344"/>
      <c r="EBM6" s="344"/>
      <c r="EBN6" s="344"/>
      <c r="EBO6" s="344"/>
      <c r="EBP6" s="344"/>
      <c r="EBQ6" s="344"/>
      <c r="EBR6" s="344"/>
      <c r="EBS6" s="344"/>
      <c r="EBT6" s="344"/>
      <c r="EBU6" s="344"/>
      <c r="EBV6" s="344"/>
      <c r="EBW6" s="344"/>
      <c r="EBX6" s="344"/>
      <c r="EBY6" s="344"/>
      <c r="EBZ6" s="344"/>
      <c r="ECA6" s="344"/>
      <c r="ECB6" s="344"/>
      <c r="ECC6" s="344"/>
      <c r="ECD6" s="344"/>
      <c r="ECE6" s="344"/>
      <c r="ECF6" s="344"/>
      <c r="ECG6" s="344"/>
      <c r="ECH6" s="344"/>
      <c r="ECI6" s="344"/>
      <c r="ECJ6" s="344"/>
      <c r="ECK6" s="344"/>
      <c r="ECL6" s="344"/>
      <c r="ECM6" s="344"/>
      <c r="ECN6" s="344"/>
      <c r="ECO6" s="344"/>
      <c r="ECP6" s="344"/>
      <c r="ECQ6" s="344"/>
      <c r="ECR6" s="344"/>
      <c r="ECS6" s="344"/>
      <c r="ECT6" s="344"/>
      <c r="ECU6" s="344"/>
      <c r="ECV6" s="344"/>
      <c r="ECW6" s="344"/>
      <c r="ECX6" s="344"/>
      <c r="ECY6" s="344"/>
      <c r="ECZ6" s="344"/>
      <c r="EDA6" s="344"/>
      <c r="EDB6" s="344"/>
      <c r="EDC6" s="344"/>
      <c r="EDD6" s="344"/>
      <c r="EDE6" s="344"/>
      <c r="EDF6" s="344"/>
      <c r="EDG6" s="344"/>
      <c r="EDH6" s="344"/>
      <c r="EDI6" s="344"/>
      <c r="EDJ6" s="344"/>
      <c r="EDK6" s="344"/>
      <c r="EDL6" s="344"/>
      <c r="EDM6" s="344"/>
      <c r="EDN6" s="344"/>
      <c r="EDO6" s="344"/>
      <c r="EDP6" s="344"/>
      <c r="EDQ6" s="344"/>
      <c r="EDR6" s="344"/>
      <c r="EDS6" s="344"/>
      <c r="EDT6" s="344"/>
      <c r="EDU6" s="344"/>
      <c r="EDV6" s="344"/>
      <c r="EDW6" s="344"/>
      <c r="EDX6" s="344"/>
      <c r="EDY6" s="344"/>
      <c r="EDZ6" s="344"/>
      <c r="EEA6" s="344"/>
      <c r="EEB6" s="344"/>
      <c r="EEC6" s="344"/>
      <c r="EED6" s="344"/>
      <c r="EEE6" s="344"/>
      <c r="EEF6" s="344"/>
      <c r="EEG6" s="344"/>
      <c r="EEH6" s="344"/>
      <c r="EEI6" s="344"/>
      <c r="EEJ6" s="344"/>
      <c r="EEK6" s="344"/>
      <c r="EEL6" s="344"/>
      <c r="EEM6" s="344"/>
      <c r="EEN6" s="344"/>
      <c r="EEO6" s="344"/>
      <c r="EEP6" s="344"/>
      <c r="EEQ6" s="344"/>
      <c r="EER6" s="344"/>
      <c r="EES6" s="344"/>
      <c r="EET6" s="344"/>
      <c r="EEU6" s="344"/>
      <c r="EEV6" s="344"/>
      <c r="EEW6" s="344"/>
      <c r="EEX6" s="344"/>
      <c r="EEY6" s="344"/>
      <c r="EEZ6" s="344"/>
      <c r="EFA6" s="344"/>
      <c r="EFB6" s="344"/>
      <c r="EFC6" s="344"/>
      <c r="EFD6" s="344"/>
      <c r="EFE6" s="344"/>
      <c r="EFF6" s="344"/>
      <c r="EFG6" s="344"/>
      <c r="EFH6" s="344"/>
      <c r="EFI6" s="344"/>
      <c r="EFJ6" s="344"/>
      <c r="EFK6" s="344"/>
      <c r="EFL6" s="344"/>
      <c r="EFM6" s="344"/>
      <c r="EFN6" s="344"/>
      <c r="EFO6" s="344"/>
      <c r="EFP6" s="344"/>
      <c r="EFQ6" s="344"/>
      <c r="EFR6" s="344"/>
      <c r="EFS6" s="344"/>
      <c r="EFT6" s="344"/>
      <c r="EFU6" s="344"/>
      <c r="EFV6" s="344"/>
      <c r="EFW6" s="344"/>
      <c r="EFX6" s="344"/>
      <c r="EFY6" s="344"/>
      <c r="EFZ6" s="344"/>
      <c r="EGA6" s="344"/>
      <c r="EGB6" s="344"/>
      <c r="EGC6" s="344"/>
      <c r="EGD6" s="344"/>
      <c r="EGE6" s="344"/>
      <c r="EGF6" s="344"/>
      <c r="EGG6" s="344"/>
      <c r="EGH6" s="344"/>
      <c r="EGI6" s="344"/>
      <c r="EGJ6" s="344"/>
      <c r="EGK6" s="344"/>
      <c r="EGL6" s="344"/>
      <c r="EGM6" s="344"/>
      <c r="EGN6" s="344"/>
      <c r="EGO6" s="344"/>
      <c r="EGP6" s="344"/>
      <c r="EGQ6" s="344"/>
      <c r="EGR6" s="344"/>
      <c r="EGS6" s="344"/>
      <c r="EGT6" s="344"/>
      <c r="EGU6" s="344"/>
      <c r="EGV6" s="344"/>
      <c r="EGW6" s="344"/>
      <c r="EGX6" s="344"/>
      <c r="EGY6" s="344"/>
      <c r="EGZ6" s="344"/>
      <c r="EHA6" s="344"/>
      <c r="EHB6" s="344"/>
      <c r="EHC6" s="344"/>
      <c r="EHD6" s="344"/>
      <c r="EHE6" s="344"/>
      <c r="EHF6" s="344"/>
      <c r="EHG6" s="344"/>
      <c r="EHH6" s="344"/>
      <c r="EHI6" s="344"/>
      <c r="EHJ6" s="344"/>
      <c r="EHK6" s="344"/>
      <c r="EHL6" s="344"/>
      <c r="EHM6" s="344"/>
      <c r="EHN6" s="344"/>
      <c r="EHO6" s="344"/>
      <c r="EHP6" s="344"/>
      <c r="EHQ6" s="344"/>
      <c r="EHR6" s="344"/>
      <c r="EHS6" s="344"/>
      <c r="EHT6" s="344"/>
      <c r="EHU6" s="344"/>
      <c r="EHV6" s="344"/>
      <c r="EHW6" s="344"/>
      <c r="EHX6" s="344"/>
      <c r="EHY6" s="344"/>
      <c r="EHZ6" s="344"/>
      <c r="EIA6" s="344"/>
      <c r="EIB6" s="344"/>
      <c r="EIC6" s="344"/>
      <c r="EID6" s="344"/>
      <c r="EIE6" s="344"/>
      <c r="EIF6" s="344"/>
      <c r="EIG6" s="344"/>
      <c r="EIH6" s="344"/>
      <c r="EII6" s="344"/>
      <c r="EIJ6" s="344"/>
      <c r="EIK6" s="344"/>
      <c r="EIL6" s="344"/>
      <c r="EIM6" s="344"/>
      <c r="EIN6" s="344"/>
      <c r="EIO6" s="344"/>
      <c r="EIP6" s="344"/>
      <c r="EIQ6" s="344"/>
      <c r="EIR6" s="344"/>
      <c r="EIS6" s="344"/>
      <c r="EIT6" s="344"/>
      <c r="EIU6" s="344"/>
      <c r="EIV6" s="344"/>
      <c r="EIW6" s="344"/>
      <c r="EIX6" s="344"/>
      <c r="EIY6" s="344"/>
      <c r="EIZ6" s="344"/>
      <c r="EJA6" s="344"/>
      <c r="EJB6" s="344"/>
      <c r="EJC6" s="344"/>
      <c r="EJD6" s="344"/>
      <c r="EJE6" s="344"/>
      <c r="EJF6" s="344"/>
      <c r="EJG6" s="344"/>
      <c r="EJH6" s="344"/>
      <c r="EJI6" s="344"/>
      <c r="EJJ6" s="344"/>
      <c r="EJK6" s="344"/>
      <c r="EJL6" s="344"/>
      <c r="EJM6" s="344"/>
      <c r="EJN6" s="344"/>
      <c r="EJO6" s="344"/>
      <c r="EJP6" s="344"/>
      <c r="EJQ6" s="344"/>
      <c r="EJR6" s="344"/>
      <c r="EJS6" s="344"/>
      <c r="EJT6" s="344"/>
      <c r="EJU6" s="344"/>
      <c r="EJV6" s="344"/>
      <c r="EJW6" s="344"/>
      <c r="EJX6" s="344"/>
      <c r="EJY6" s="344"/>
      <c r="EJZ6" s="344"/>
      <c r="EKA6" s="344"/>
      <c r="EKB6" s="344"/>
      <c r="EKC6" s="344"/>
      <c r="EKD6" s="344"/>
      <c r="EKE6" s="344"/>
      <c r="EKF6" s="344"/>
      <c r="EKG6" s="344"/>
      <c r="EKH6" s="344"/>
      <c r="EKI6" s="344"/>
      <c r="EKJ6" s="344"/>
      <c r="EKK6" s="344"/>
      <c r="EKL6" s="344"/>
      <c r="EKM6" s="344"/>
      <c r="EKN6" s="344"/>
      <c r="EKO6" s="344"/>
      <c r="EKP6" s="344"/>
      <c r="EKQ6" s="344"/>
      <c r="EKR6" s="344"/>
      <c r="EKS6" s="344"/>
      <c r="EKT6" s="344"/>
      <c r="EKU6" s="344"/>
      <c r="EKV6" s="344"/>
      <c r="EKW6" s="344"/>
      <c r="EKX6" s="344"/>
      <c r="EKY6" s="344"/>
      <c r="EKZ6" s="344"/>
      <c r="ELA6" s="344"/>
      <c r="ELB6" s="344"/>
      <c r="ELC6" s="344"/>
      <c r="ELD6" s="344"/>
      <c r="ELE6" s="344"/>
      <c r="ELF6" s="344"/>
      <c r="ELG6" s="344"/>
      <c r="ELH6" s="344"/>
      <c r="ELI6" s="344"/>
      <c r="ELJ6" s="344"/>
      <c r="ELK6" s="344"/>
      <c r="ELL6" s="344"/>
      <c r="ELM6" s="344"/>
      <c r="ELN6" s="344"/>
      <c r="ELO6" s="344"/>
      <c r="ELP6" s="344"/>
      <c r="ELQ6" s="344"/>
      <c r="ELR6" s="344"/>
      <c r="ELS6" s="344"/>
      <c r="ELT6" s="344"/>
      <c r="ELU6" s="344"/>
      <c r="ELV6" s="344"/>
      <c r="ELW6" s="344"/>
      <c r="ELX6" s="344"/>
      <c r="ELY6" s="344"/>
      <c r="ELZ6" s="344"/>
      <c r="EMA6" s="344"/>
      <c r="EMB6" s="344"/>
      <c r="EMC6" s="344"/>
      <c r="EMD6" s="344"/>
      <c r="EME6" s="344"/>
      <c r="EMF6" s="344"/>
      <c r="EMG6" s="344"/>
      <c r="EMH6" s="344"/>
      <c r="EMI6" s="344"/>
      <c r="EMJ6" s="344"/>
      <c r="EMK6" s="344"/>
      <c r="EML6" s="344"/>
      <c r="EMM6" s="344"/>
      <c r="EMN6" s="344"/>
      <c r="EMO6" s="344"/>
      <c r="EMP6" s="344"/>
      <c r="EMQ6" s="344"/>
      <c r="EMR6" s="344"/>
      <c r="EMS6" s="344"/>
      <c r="EMT6" s="344"/>
      <c r="EMU6" s="344"/>
      <c r="EMV6" s="344"/>
      <c r="EMW6" s="344"/>
      <c r="EMX6" s="344"/>
      <c r="EMY6" s="344"/>
      <c r="EMZ6" s="344"/>
      <c r="ENA6" s="344"/>
      <c r="ENB6" s="344"/>
      <c r="ENC6" s="344"/>
      <c r="END6" s="344"/>
      <c r="ENE6" s="344"/>
      <c r="ENF6" s="344"/>
      <c r="ENG6" s="344"/>
      <c r="ENH6" s="344"/>
      <c r="ENI6" s="344"/>
      <c r="ENJ6" s="344"/>
      <c r="ENK6" s="344"/>
      <c r="ENL6" s="344"/>
      <c r="ENM6" s="344"/>
      <c r="ENN6" s="344"/>
      <c r="ENO6" s="344"/>
      <c r="ENP6" s="344"/>
      <c r="ENQ6" s="344"/>
      <c r="ENR6" s="344"/>
      <c r="ENS6" s="344"/>
      <c r="ENT6" s="344"/>
      <c r="ENU6" s="344"/>
      <c r="ENV6" s="344"/>
      <c r="ENW6" s="344"/>
      <c r="ENX6" s="344"/>
      <c r="ENY6" s="344"/>
      <c r="ENZ6" s="344"/>
      <c r="EOA6" s="344"/>
      <c r="EOB6" s="344"/>
      <c r="EOC6" s="344"/>
      <c r="EOD6" s="344"/>
      <c r="EOE6" s="344"/>
      <c r="EOF6" s="344"/>
      <c r="EOG6" s="344"/>
      <c r="EOH6" s="344"/>
      <c r="EOI6" s="344"/>
      <c r="EOJ6" s="344"/>
      <c r="EOK6" s="344"/>
      <c r="EOL6" s="344"/>
      <c r="EOM6" s="344"/>
      <c r="EON6" s="344"/>
      <c r="EOO6" s="344"/>
      <c r="EOP6" s="344"/>
      <c r="EOQ6" s="344"/>
      <c r="EOR6" s="344"/>
      <c r="EOS6" s="344"/>
      <c r="EOT6" s="344"/>
      <c r="EOU6" s="344"/>
      <c r="EOV6" s="344"/>
      <c r="EOW6" s="344"/>
      <c r="EOX6" s="344"/>
      <c r="EOY6" s="344"/>
      <c r="EOZ6" s="344"/>
      <c r="EPA6" s="344"/>
      <c r="EPB6" s="344"/>
      <c r="EPC6" s="344"/>
      <c r="EPD6" s="344"/>
      <c r="EPE6" s="344"/>
      <c r="EPF6" s="344"/>
      <c r="EPG6" s="344"/>
      <c r="EPH6" s="344"/>
      <c r="EPI6" s="344"/>
      <c r="EPJ6" s="344"/>
      <c r="EPK6" s="344"/>
      <c r="EPL6" s="344"/>
      <c r="EPM6" s="344"/>
      <c r="EPN6" s="344"/>
      <c r="EPO6" s="344"/>
      <c r="EPP6" s="344"/>
      <c r="EPQ6" s="344"/>
      <c r="EPR6" s="344"/>
      <c r="EPS6" s="344"/>
      <c r="EPT6" s="344"/>
      <c r="EPU6" s="344"/>
      <c r="EPV6" s="344"/>
      <c r="EPW6" s="344"/>
      <c r="EPX6" s="344"/>
      <c r="EPY6" s="344"/>
      <c r="EPZ6" s="344"/>
      <c r="EQA6" s="344"/>
      <c r="EQB6" s="344"/>
      <c r="EQC6" s="344"/>
      <c r="EQD6" s="344"/>
      <c r="EQE6" s="344"/>
      <c r="EQF6" s="344"/>
      <c r="EQG6" s="344"/>
      <c r="EQH6" s="344"/>
      <c r="EQI6" s="344"/>
      <c r="EQJ6" s="344"/>
      <c r="EQK6" s="344"/>
      <c r="EQL6" s="344"/>
      <c r="EQM6" s="344"/>
      <c r="EQN6" s="344"/>
      <c r="EQO6" s="344"/>
      <c r="EQP6" s="344"/>
      <c r="EQQ6" s="344"/>
      <c r="EQR6" s="344"/>
      <c r="EQS6" s="344"/>
      <c r="EQT6" s="344"/>
      <c r="EQU6" s="344"/>
      <c r="EQV6" s="344"/>
      <c r="EQW6" s="344"/>
      <c r="EQX6" s="344"/>
      <c r="EQY6" s="344"/>
      <c r="EQZ6" s="344"/>
      <c r="ERA6" s="344"/>
      <c r="ERB6" s="344"/>
      <c r="ERC6" s="344"/>
      <c r="ERD6" s="344"/>
      <c r="ERE6" s="344"/>
      <c r="ERF6" s="344"/>
      <c r="ERG6" s="344"/>
      <c r="ERH6" s="344"/>
      <c r="ERI6" s="344"/>
      <c r="ERJ6" s="344"/>
      <c r="ERK6" s="344"/>
      <c r="ERL6" s="344"/>
      <c r="ERM6" s="344"/>
      <c r="ERN6" s="344"/>
      <c r="ERO6" s="344"/>
      <c r="ERP6" s="344"/>
      <c r="ERQ6" s="344"/>
      <c r="ERR6" s="344"/>
      <c r="ERS6" s="344"/>
      <c r="ERT6" s="344"/>
      <c r="ERU6" s="344"/>
      <c r="ERV6" s="344"/>
      <c r="ERW6" s="344"/>
      <c r="ERX6" s="344"/>
      <c r="ERY6" s="344"/>
      <c r="ERZ6" s="344"/>
      <c r="ESA6" s="344"/>
      <c r="ESB6" s="344"/>
      <c r="ESC6" s="344"/>
      <c r="ESD6" s="344"/>
      <c r="ESE6" s="344"/>
      <c r="ESF6" s="344"/>
      <c r="ESG6" s="344"/>
      <c r="ESH6" s="344"/>
      <c r="ESI6" s="344"/>
      <c r="ESJ6" s="344"/>
      <c r="ESK6" s="344"/>
      <c r="ESL6" s="344"/>
      <c r="ESM6" s="344"/>
      <c r="ESN6" s="344"/>
      <c r="ESO6" s="344"/>
      <c r="ESP6" s="344"/>
      <c r="ESQ6" s="344"/>
      <c r="ESR6" s="344"/>
      <c r="ESS6" s="344"/>
      <c r="EST6" s="344"/>
      <c r="ESU6" s="344"/>
      <c r="ESV6" s="344"/>
      <c r="ESW6" s="344"/>
      <c r="ESX6" s="344"/>
      <c r="ESY6" s="344"/>
      <c r="ESZ6" s="344"/>
      <c r="ETA6" s="344"/>
      <c r="ETB6" s="344"/>
      <c r="ETC6" s="344"/>
      <c r="ETD6" s="344"/>
      <c r="ETE6" s="344"/>
      <c r="ETF6" s="344"/>
      <c r="ETG6" s="344"/>
      <c r="ETH6" s="344"/>
      <c r="ETI6" s="344"/>
      <c r="ETJ6" s="344"/>
      <c r="ETK6" s="344"/>
      <c r="ETL6" s="344"/>
      <c r="ETM6" s="344"/>
      <c r="ETN6" s="344"/>
      <c r="ETO6" s="344"/>
      <c r="ETP6" s="344"/>
      <c r="ETQ6" s="344"/>
      <c r="ETR6" s="344"/>
      <c r="ETS6" s="344"/>
      <c r="ETT6" s="344"/>
      <c r="ETU6" s="344"/>
      <c r="ETV6" s="344"/>
      <c r="ETW6" s="344"/>
      <c r="ETX6" s="344"/>
      <c r="ETY6" s="344"/>
      <c r="ETZ6" s="344"/>
      <c r="EUA6" s="344"/>
      <c r="EUB6" s="344"/>
      <c r="EUC6" s="344"/>
      <c r="EUD6" s="344"/>
      <c r="EUE6" s="344"/>
      <c r="EUF6" s="344"/>
      <c r="EUG6" s="344"/>
      <c r="EUH6" s="344"/>
      <c r="EUI6" s="344"/>
      <c r="EUJ6" s="344"/>
      <c r="EUK6" s="344"/>
      <c r="EUL6" s="344"/>
      <c r="EUM6" s="344"/>
      <c r="EUN6" s="344"/>
      <c r="EUO6" s="344"/>
      <c r="EUP6" s="344"/>
      <c r="EUQ6" s="344"/>
      <c r="EUR6" s="344"/>
      <c r="EUS6" s="344"/>
      <c r="EUT6" s="344"/>
      <c r="EUU6" s="344"/>
      <c r="EUV6" s="344"/>
      <c r="EUW6" s="344"/>
      <c r="EUX6" s="344"/>
      <c r="EUY6" s="344"/>
      <c r="EUZ6" s="344"/>
      <c r="EVA6" s="344"/>
      <c r="EVB6" s="344"/>
      <c r="EVC6" s="344"/>
      <c r="EVD6" s="344"/>
      <c r="EVE6" s="344"/>
      <c r="EVF6" s="344"/>
      <c r="EVG6" s="344"/>
      <c r="EVH6" s="344"/>
      <c r="EVI6" s="344"/>
      <c r="EVJ6" s="344"/>
      <c r="EVK6" s="344"/>
      <c r="EVL6" s="344"/>
      <c r="EVM6" s="344"/>
      <c r="EVN6" s="344"/>
      <c r="EVO6" s="344"/>
      <c r="EVP6" s="344"/>
      <c r="EVQ6" s="344"/>
      <c r="EVR6" s="344"/>
      <c r="EVS6" s="344"/>
      <c r="EVT6" s="344"/>
      <c r="EVU6" s="344"/>
      <c r="EVV6" s="344"/>
      <c r="EVW6" s="344"/>
      <c r="EVX6" s="344"/>
      <c r="EVY6" s="344"/>
      <c r="EVZ6" s="344"/>
      <c r="EWA6" s="344"/>
      <c r="EWB6" s="344"/>
      <c r="EWC6" s="344"/>
      <c r="EWD6" s="344"/>
      <c r="EWE6" s="344"/>
      <c r="EWF6" s="344"/>
      <c r="EWG6" s="344"/>
      <c r="EWH6" s="344"/>
      <c r="EWI6" s="344"/>
      <c r="EWJ6" s="344"/>
      <c r="EWK6" s="344"/>
      <c r="EWL6" s="344"/>
      <c r="EWM6" s="344"/>
      <c r="EWN6" s="344"/>
      <c r="EWO6" s="344"/>
      <c r="EWP6" s="344"/>
      <c r="EWQ6" s="344"/>
      <c r="EWR6" s="344"/>
      <c r="EWS6" s="344"/>
      <c r="EWT6" s="344"/>
      <c r="EWU6" s="344"/>
      <c r="EWV6" s="344"/>
      <c r="EWW6" s="344"/>
      <c r="EWX6" s="344"/>
      <c r="EWY6" s="344"/>
      <c r="EWZ6" s="344"/>
      <c r="EXA6" s="344"/>
      <c r="EXB6" s="344"/>
      <c r="EXC6" s="344"/>
      <c r="EXD6" s="344"/>
      <c r="EXE6" s="344"/>
      <c r="EXF6" s="344"/>
      <c r="EXG6" s="344"/>
      <c r="EXH6" s="344"/>
      <c r="EXI6" s="344"/>
      <c r="EXJ6" s="344"/>
      <c r="EXK6" s="344"/>
      <c r="EXL6" s="344"/>
      <c r="EXM6" s="344"/>
      <c r="EXN6" s="344"/>
      <c r="EXO6" s="344"/>
      <c r="EXP6" s="344"/>
      <c r="EXQ6" s="344"/>
      <c r="EXR6" s="344"/>
      <c r="EXS6" s="344"/>
      <c r="EXT6" s="344"/>
      <c r="EXU6" s="344"/>
      <c r="EXV6" s="344"/>
      <c r="EXW6" s="344"/>
      <c r="EXX6" s="344"/>
      <c r="EXY6" s="344"/>
      <c r="EXZ6" s="344"/>
      <c r="EYA6" s="344"/>
      <c r="EYB6" s="344"/>
      <c r="EYC6" s="344"/>
      <c r="EYD6" s="344"/>
      <c r="EYE6" s="344"/>
      <c r="EYF6" s="344"/>
      <c r="EYG6" s="344"/>
      <c r="EYH6" s="344"/>
      <c r="EYI6" s="344"/>
      <c r="EYJ6" s="344"/>
      <c r="EYK6" s="344"/>
      <c r="EYL6" s="344"/>
      <c r="EYM6" s="344"/>
      <c r="EYN6" s="344"/>
      <c r="EYO6" s="344"/>
      <c r="EYP6" s="344"/>
      <c r="EYQ6" s="344"/>
      <c r="EYR6" s="344"/>
      <c r="EYS6" s="344"/>
      <c r="EYT6" s="344"/>
      <c r="EYU6" s="344"/>
      <c r="EYV6" s="344"/>
      <c r="EYW6" s="344"/>
      <c r="EYX6" s="344"/>
      <c r="EYY6" s="344"/>
      <c r="EYZ6" s="344"/>
      <c r="EZA6" s="344"/>
      <c r="EZB6" s="344"/>
      <c r="EZC6" s="344"/>
      <c r="EZD6" s="344"/>
      <c r="EZE6" s="344"/>
      <c r="EZF6" s="344"/>
      <c r="EZG6" s="344"/>
      <c r="EZH6" s="344"/>
      <c r="EZI6" s="344"/>
      <c r="EZJ6" s="344"/>
      <c r="EZK6" s="344"/>
      <c r="EZL6" s="344"/>
      <c r="EZM6" s="344"/>
      <c r="EZN6" s="344"/>
      <c r="EZO6" s="344"/>
      <c r="EZP6" s="344"/>
      <c r="EZQ6" s="344"/>
      <c r="EZR6" s="344"/>
      <c r="EZS6" s="344"/>
      <c r="EZT6" s="344"/>
      <c r="EZU6" s="344"/>
      <c r="EZV6" s="344"/>
      <c r="EZW6" s="344"/>
      <c r="EZX6" s="344"/>
      <c r="EZY6" s="344"/>
      <c r="EZZ6" s="344"/>
      <c r="FAA6" s="344"/>
      <c r="FAB6" s="344"/>
      <c r="FAC6" s="344"/>
      <c r="FAD6" s="344"/>
      <c r="FAE6" s="344"/>
      <c r="FAF6" s="344"/>
      <c r="FAG6" s="344"/>
      <c r="FAH6" s="344"/>
      <c r="FAI6" s="344"/>
      <c r="FAJ6" s="344"/>
      <c r="FAK6" s="344"/>
      <c r="FAL6" s="344"/>
      <c r="FAM6" s="344"/>
      <c r="FAN6" s="344"/>
      <c r="FAO6" s="344"/>
      <c r="FAP6" s="344"/>
      <c r="FAQ6" s="344"/>
      <c r="FAR6" s="344"/>
      <c r="FAS6" s="344"/>
      <c r="FAT6" s="344"/>
      <c r="FAU6" s="344"/>
      <c r="FAV6" s="344"/>
      <c r="FAW6" s="344"/>
      <c r="FAX6" s="344"/>
      <c r="FAY6" s="344"/>
      <c r="FAZ6" s="344"/>
      <c r="FBA6" s="344"/>
      <c r="FBB6" s="344"/>
      <c r="FBC6" s="344"/>
      <c r="FBD6" s="344"/>
      <c r="FBE6" s="344"/>
      <c r="FBF6" s="344"/>
      <c r="FBG6" s="344"/>
      <c r="FBH6" s="344"/>
      <c r="FBI6" s="344"/>
      <c r="FBJ6" s="344"/>
      <c r="FBK6" s="344"/>
      <c r="FBL6" s="344"/>
      <c r="FBM6" s="344"/>
      <c r="FBN6" s="344"/>
      <c r="FBO6" s="344"/>
      <c r="FBP6" s="344"/>
      <c r="FBQ6" s="344"/>
      <c r="FBR6" s="344"/>
      <c r="FBS6" s="344"/>
      <c r="FBT6" s="344"/>
      <c r="FBU6" s="344"/>
      <c r="FBV6" s="344"/>
      <c r="FBW6" s="344"/>
      <c r="FBX6" s="344"/>
      <c r="FBY6" s="344"/>
      <c r="FBZ6" s="344"/>
      <c r="FCA6" s="344"/>
      <c r="FCB6" s="344"/>
      <c r="FCC6" s="344"/>
      <c r="FCD6" s="344"/>
      <c r="FCE6" s="344"/>
      <c r="FCF6" s="344"/>
      <c r="FCG6" s="344"/>
      <c r="FCH6" s="344"/>
      <c r="FCI6" s="344"/>
      <c r="FCJ6" s="344"/>
      <c r="FCK6" s="344"/>
      <c r="FCL6" s="344"/>
      <c r="FCM6" s="344"/>
      <c r="FCN6" s="344"/>
      <c r="FCO6" s="344"/>
      <c r="FCP6" s="344"/>
      <c r="FCQ6" s="344"/>
      <c r="FCR6" s="344"/>
      <c r="FCS6" s="344"/>
      <c r="FCT6" s="344"/>
      <c r="FCU6" s="344"/>
      <c r="FCV6" s="344"/>
      <c r="FCW6" s="344"/>
      <c r="FCX6" s="344"/>
      <c r="FCY6" s="344"/>
      <c r="FCZ6" s="344"/>
      <c r="FDA6" s="344"/>
      <c r="FDB6" s="344"/>
      <c r="FDC6" s="344"/>
      <c r="FDD6" s="344"/>
      <c r="FDE6" s="344"/>
      <c r="FDF6" s="344"/>
      <c r="FDG6" s="344"/>
      <c r="FDH6" s="344"/>
      <c r="FDI6" s="344"/>
      <c r="FDJ6" s="344"/>
      <c r="FDK6" s="344"/>
      <c r="FDL6" s="344"/>
      <c r="FDM6" s="344"/>
      <c r="FDN6" s="344"/>
      <c r="FDO6" s="344"/>
      <c r="FDP6" s="344"/>
      <c r="FDQ6" s="344"/>
      <c r="FDR6" s="344"/>
      <c r="FDS6" s="344"/>
      <c r="FDT6" s="344"/>
      <c r="FDU6" s="344"/>
      <c r="FDV6" s="344"/>
      <c r="FDW6" s="344"/>
      <c r="FDX6" s="344"/>
      <c r="FDY6" s="344"/>
      <c r="FDZ6" s="344"/>
      <c r="FEA6" s="344"/>
      <c r="FEB6" s="344"/>
      <c r="FEC6" s="344"/>
      <c r="FED6" s="344"/>
      <c r="FEE6" s="344"/>
      <c r="FEF6" s="344"/>
      <c r="FEG6" s="344"/>
      <c r="FEH6" s="344"/>
      <c r="FEI6" s="344"/>
      <c r="FEJ6" s="344"/>
      <c r="FEK6" s="344"/>
      <c r="FEL6" s="344"/>
      <c r="FEM6" s="344"/>
      <c r="FEN6" s="344"/>
      <c r="FEO6" s="344"/>
      <c r="FEP6" s="344"/>
      <c r="FEQ6" s="344"/>
      <c r="FER6" s="344"/>
      <c r="FES6" s="344"/>
      <c r="FET6" s="344"/>
      <c r="FEU6" s="344"/>
      <c r="FEV6" s="344"/>
      <c r="FEW6" s="344"/>
      <c r="FEX6" s="344"/>
      <c r="FEY6" s="344"/>
      <c r="FEZ6" s="344"/>
      <c r="FFA6" s="344"/>
      <c r="FFB6" s="344"/>
      <c r="FFC6" s="344"/>
      <c r="FFD6" s="344"/>
      <c r="FFE6" s="344"/>
      <c r="FFF6" s="344"/>
      <c r="FFG6" s="344"/>
      <c r="FFH6" s="344"/>
      <c r="FFI6" s="344"/>
      <c r="FFJ6" s="344"/>
      <c r="FFK6" s="344"/>
      <c r="FFL6" s="344"/>
      <c r="FFM6" s="344"/>
      <c r="FFN6" s="344"/>
      <c r="FFO6" s="344"/>
      <c r="FFP6" s="344"/>
      <c r="FFQ6" s="344"/>
      <c r="FFR6" s="344"/>
      <c r="FFS6" s="344"/>
      <c r="FFT6" s="344"/>
      <c r="FFU6" s="344"/>
      <c r="FFV6" s="344"/>
      <c r="FFW6" s="344"/>
      <c r="FFX6" s="344"/>
      <c r="FFY6" s="344"/>
      <c r="FFZ6" s="344"/>
      <c r="FGA6" s="344"/>
      <c r="FGB6" s="344"/>
      <c r="FGC6" s="344"/>
      <c r="FGD6" s="344"/>
      <c r="FGE6" s="344"/>
      <c r="FGF6" s="344"/>
      <c r="FGG6" s="344"/>
      <c r="FGH6" s="344"/>
      <c r="FGI6" s="344"/>
      <c r="FGJ6" s="344"/>
      <c r="FGK6" s="344"/>
      <c r="FGL6" s="344"/>
      <c r="FGM6" s="344"/>
      <c r="FGN6" s="344"/>
      <c r="FGO6" s="344"/>
      <c r="FGP6" s="344"/>
      <c r="FGQ6" s="344"/>
      <c r="FGR6" s="344"/>
      <c r="FGS6" s="344"/>
      <c r="FGT6" s="344"/>
      <c r="FGU6" s="344"/>
      <c r="FGV6" s="344"/>
      <c r="FGW6" s="344"/>
      <c r="FGX6" s="344"/>
      <c r="FGY6" s="344"/>
      <c r="FGZ6" s="344"/>
      <c r="FHA6" s="344"/>
      <c r="FHB6" s="344"/>
      <c r="FHC6" s="344"/>
      <c r="FHD6" s="344"/>
      <c r="FHE6" s="344"/>
      <c r="FHF6" s="344"/>
      <c r="FHG6" s="344"/>
      <c r="FHH6" s="344"/>
      <c r="FHI6" s="344"/>
      <c r="FHJ6" s="344"/>
      <c r="FHK6" s="344"/>
      <c r="FHL6" s="344"/>
      <c r="FHM6" s="344"/>
      <c r="FHN6" s="344"/>
      <c r="FHO6" s="344"/>
      <c r="FHP6" s="344"/>
      <c r="FHQ6" s="344"/>
      <c r="FHR6" s="344"/>
      <c r="FHS6" s="344"/>
      <c r="FHT6" s="344"/>
      <c r="FHU6" s="344"/>
      <c r="FHV6" s="344"/>
      <c r="FHW6" s="344"/>
      <c r="FHX6" s="344"/>
      <c r="FHY6" s="344"/>
      <c r="FHZ6" s="344"/>
      <c r="FIA6" s="344"/>
      <c r="FIB6" s="344"/>
      <c r="FIC6" s="344"/>
      <c r="FID6" s="344"/>
      <c r="FIE6" s="344"/>
      <c r="FIF6" s="344"/>
      <c r="FIG6" s="344"/>
      <c r="FIH6" s="344"/>
      <c r="FII6" s="344"/>
      <c r="FIJ6" s="344"/>
      <c r="FIK6" s="344"/>
      <c r="FIL6" s="344"/>
      <c r="FIM6" s="344"/>
      <c r="FIN6" s="344"/>
      <c r="FIO6" s="344"/>
      <c r="FIP6" s="344"/>
      <c r="FIQ6" s="344"/>
      <c r="FIR6" s="344"/>
      <c r="FIS6" s="344"/>
      <c r="FIT6" s="344"/>
      <c r="FIU6" s="344"/>
      <c r="FIV6" s="344"/>
      <c r="FIW6" s="344"/>
      <c r="FIX6" s="344"/>
      <c r="FIY6" s="344"/>
      <c r="FIZ6" s="344"/>
      <c r="FJA6" s="344"/>
      <c r="FJB6" s="344"/>
      <c r="FJC6" s="344"/>
      <c r="FJD6" s="344"/>
      <c r="FJE6" s="344"/>
      <c r="FJF6" s="344"/>
      <c r="FJG6" s="344"/>
      <c r="FJH6" s="344"/>
      <c r="FJI6" s="344"/>
      <c r="FJJ6" s="344"/>
      <c r="FJK6" s="344"/>
      <c r="FJL6" s="344"/>
      <c r="FJM6" s="344"/>
      <c r="FJN6" s="344"/>
      <c r="FJO6" s="344"/>
      <c r="FJP6" s="344"/>
      <c r="FJQ6" s="344"/>
      <c r="FJR6" s="344"/>
      <c r="FJS6" s="344"/>
      <c r="FJT6" s="344"/>
      <c r="FJU6" s="344"/>
      <c r="FJV6" s="344"/>
      <c r="FJW6" s="344"/>
      <c r="FJX6" s="344"/>
      <c r="FJY6" s="344"/>
      <c r="FJZ6" s="344"/>
      <c r="FKA6" s="344"/>
      <c r="FKB6" s="344"/>
      <c r="FKC6" s="344"/>
      <c r="FKD6" s="344"/>
      <c r="FKE6" s="344"/>
      <c r="FKF6" s="344"/>
      <c r="FKG6" s="344"/>
      <c r="FKH6" s="344"/>
      <c r="FKI6" s="344"/>
      <c r="FKJ6" s="344"/>
      <c r="FKK6" s="344"/>
      <c r="FKL6" s="344"/>
      <c r="FKM6" s="344"/>
      <c r="FKN6" s="344"/>
      <c r="FKO6" s="344"/>
      <c r="FKP6" s="344"/>
      <c r="FKQ6" s="344"/>
      <c r="FKR6" s="344"/>
      <c r="FKS6" s="344"/>
      <c r="FKT6" s="344"/>
      <c r="FKU6" s="344"/>
      <c r="FKV6" s="344"/>
      <c r="FKW6" s="344"/>
      <c r="FKX6" s="344"/>
      <c r="FKY6" s="344"/>
      <c r="FKZ6" s="344"/>
      <c r="FLA6" s="344"/>
      <c r="FLB6" s="344"/>
      <c r="FLC6" s="344"/>
      <c r="FLD6" s="344"/>
      <c r="FLE6" s="344"/>
      <c r="FLF6" s="344"/>
      <c r="FLG6" s="344"/>
      <c r="FLH6" s="344"/>
      <c r="FLI6" s="344"/>
      <c r="FLJ6" s="344"/>
      <c r="FLK6" s="344"/>
      <c r="FLL6" s="344"/>
      <c r="FLM6" s="344"/>
      <c r="FLN6" s="344"/>
      <c r="FLO6" s="344"/>
      <c r="FLP6" s="344"/>
      <c r="FLQ6" s="344"/>
      <c r="FLR6" s="344"/>
      <c r="FLS6" s="344"/>
      <c r="FLT6" s="344"/>
      <c r="FLU6" s="344"/>
      <c r="FLV6" s="344"/>
      <c r="FLW6" s="344"/>
      <c r="FLX6" s="344"/>
      <c r="FLY6" s="344"/>
      <c r="FLZ6" s="344"/>
      <c r="FMA6" s="344"/>
      <c r="FMB6" s="344"/>
      <c r="FMC6" s="344"/>
      <c r="FMD6" s="344"/>
      <c r="FME6" s="344"/>
      <c r="FMF6" s="344"/>
      <c r="FMG6" s="344"/>
      <c r="FMH6" s="344"/>
      <c r="FMI6" s="344"/>
      <c r="FMJ6" s="344"/>
      <c r="FMK6" s="344"/>
      <c r="FML6" s="344"/>
      <c r="FMM6" s="344"/>
      <c r="FMN6" s="344"/>
      <c r="FMO6" s="344"/>
      <c r="FMP6" s="344"/>
      <c r="FMQ6" s="344"/>
      <c r="FMR6" s="344"/>
      <c r="FMS6" s="344"/>
      <c r="FMT6" s="344"/>
      <c r="FMU6" s="344"/>
      <c r="FMV6" s="344"/>
      <c r="FMW6" s="344"/>
      <c r="FMX6" s="344"/>
      <c r="FMY6" s="344"/>
      <c r="FMZ6" s="344"/>
      <c r="FNA6" s="344"/>
      <c r="FNB6" s="344"/>
      <c r="FNC6" s="344"/>
      <c r="FND6" s="344"/>
      <c r="FNE6" s="344"/>
      <c r="FNF6" s="344"/>
      <c r="FNG6" s="344"/>
      <c r="FNH6" s="344"/>
      <c r="FNI6" s="344"/>
      <c r="FNJ6" s="344"/>
      <c r="FNK6" s="344"/>
      <c r="FNL6" s="344"/>
      <c r="FNM6" s="344"/>
      <c r="FNN6" s="344"/>
      <c r="FNO6" s="344"/>
      <c r="FNP6" s="344"/>
      <c r="FNQ6" s="344"/>
      <c r="FNR6" s="344"/>
      <c r="FNS6" s="344"/>
      <c r="FNT6" s="344"/>
      <c r="FNU6" s="344"/>
      <c r="FNV6" s="344"/>
      <c r="FNW6" s="344"/>
      <c r="FNX6" s="344"/>
      <c r="FNY6" s="344"/>
      <c r="FNZ6" s="344"/>
      <c r="FOA6" s="344"/>
      <c r="FOB6" s="344"/>
      <c r="FOC6" s="344"/>
      <c r="FOD6" s="344"/>
      <c r="FOE6" s="344"/>
      <c r="FOF6" s="344"/>
      <c r="FOG6" s="344"/>
      <c r="FOH6" s="344"/>
      <c r="FOI6" s="344"/>
      <c r="FOJ6" s="344"/>
      <c r="FOK6" s="344"/>
      <c r="FOL6" s="344"/>
      <c r="FOM6" s="344"/>
      <c r="FON6" s="344"/>
      <c r="FOO6" s="344"/>
      <c r="FOP6" s="344"/>
      <c r="FOQ6" s="344"/>
      <c r="FOR6" s="344"/>
      <c r="FOS6" s="344"/>
      <c r="FOT6" s="344"/>
      <c r="FOU6" s="344"/>
      <c r="FOV6" s="344"/>
      <c r="FOW6" s="344"/>
      <c r="FOX6" s="344"/>
      <c r="FOY6" s="344"/>
      <c r="FOZ6" s="344"/>
      <c r="FPA6" s="344"/>
      <c r="FPB6" s="344"/>
      <c r="FPC6" s="344"/>
      <c r="FPD6" s="344"/>
      <c r="FPE6" s="344"/>
      <c r="FPF6" s="344"/>
      <c r="FPG6" s="344"/>
      <c r="FPH6" s="344"/>
      <c r="FPI6" s="344"/>
      <c r="FPJ6" s="344"/>
      <c r="FPK6" s="344"/>
      <c r="FPL6" s="344"/>
      <c r="FPM6" s="344"/>
      <c r="FPN6" s="344"/>
      <c r="FPO6" s="344"/>
      <c r="FPP6" s="344"/>
      <c r="FPQ6" s="344"/>
      <c r="FPR6" s="344"/>
      <c r="FPS6" s="344"/>
      <c r="FPT6" s="344"/>
      <c r="FPU6" s="344"/>
      <c r="FPV6" s="344"/>
      <c r="FPW6" s="344"/>
      <c r="FPX6" s="344"/>
      <c r="FPY6" s="344"/>
      <c r="FPZ6" s="344"/>
      <c r="FQA6" s="344"/>
      <c r="FQB6" s="344"/>
      <c r="FQC6" s="344"/>
      <c r="FQD6" s="344"/>
      <c r="FQE6" s="344"/>
      <c r="FQF6" s="344"/>
      <c r="FQG6" s="344"/>
      <c r="FQH6" s="344"/>
      <c r="FQI6" s="344"/>
      <c r="FQJ6" s="344"/>
      <c r="FQK6" s="344"/>
      <c r="FQL6" s="344"/>
      <c r="FQM6" s="344"/>
      <c r="FQN6" s="344"/>
      <c r="FQO6" s="344"/>
      <c r="FQP6" s="344"/>
      <c r="FQQ6" s="344"/>
      <c r="FQR6" s="344"/>
      <c r="FQS6" s="344"/>
      <c r="FQT6" s="344"/>
      <c r="FQU6" s="344"/>
      <c r="FQV6" s="344"/>
      <c r="FQW6" s="344"/>
      <c r="FQX6" s="344"/>
      <c r="FQY6" s="344"/>
      <c r="FQZ6" s="344"/>
      <c r="FRA6" s="344"/>
      <c r="FRB6" s="344"/>
      <c r="FRC6" s="344"/>
      <c r="FRD6" s="344"/>
      <c r="FRE6" s="344"/>
      <c r="FRF6" s="344"/>
      <c r="FRG6" s="344"/>
      <c r="FRH6" s="344"/>
      <c r="FRI6" s="344"/>
      <c r="FRJ6" s="344"/>
      <c r="FRK6" s="344"/>
      <c r="FRL6" s="344"/>
      <c r="FRM6" s="344"/>
      <c r="FRN6" s="344"/>
      <c r="FRO6" s="344"/>
      <c r="FRP6" s="344"/>
      <c r="FRQ6" s="344"/>
      <c r="FRR6" s="344"/>
      <c r="FRS6" s="344"/>
      <c r="FRT6" s="344"/>
      <c r="FRU6" s="344"/>
      <c r="FRV6" s="344"/>
      <c r="FRW6" s="344"/>
      <c r="FRX6" s="344"/>
      <c r="FRY6" s="344"/>
      <c r="FRZ6" s="344"/>
      <c r="FSA6" s="344"/>
      <c r="FSB6" s="344"/>
      <c r="FSC6" s="344"/>
      <c r="FSD6" s="344"/>
      <c r="FSE6" s="344"/>
      <c r="FSF6" s="344"/>
      <c r="FSG6" s="344"/>
      <c r="FSH6" s="344"/>
      <c r="FSI6" s="344"/>
      <c r="FSJ6" s="344"/>
      <c r="FSK6" s="344"/>
      <c r="FSL6" s="344"/>
      <c r="FSM6" s="344"/>
      <c r="FSN6" s="344"/>
      <c r="FSO6" s="344"/>
      <c r="FSP6" s="344"/>
      <c r="FSQ6" s="344"/>
      <c r="FSR6" s="344"/>
      <c r="FSS6" s="344"/>
      <c r="FST6" s="344"/>
      <c r="FSU6" s="344"/>
      <c r="FSV6" s="344"/>
      <c r="FSW6" s="344"/>
      <c r="FSX6" s="344"/>
      <c r="FSY6" s="344"/>
      <c r="FSZ6" s="344"/>
      <c r="FTA6" s="344"/>
      <c r="FTB6" s="344"/>
      <c r="FTC6" s="344"/>
      <c r="FTD6" s="344"/>
      <c r="FTE6" s="344"/>
      <c r="FTF6" s="344"/>
      <c r="FTG6" s="344"/>
      <c r="FTH6" s="344"/>
      <c r="FTI6" s="344"/>
      <c r="FTJ6" s="344"/>
      <c r="FTK6" s="344"/>
      <c r="FTL6" s="344"/>
      <c r="FTM6" s="344"/>
      <c r="FTN6" s="344"/>
      <c r="FTO6" s="344"/>
      <c r="FTP6" s="344"/>
      <c r="FTQ6" s="344"/>
      <c r="FTR6" s="344"/>
      <c r="FTS6" s="344"/>
      <c r="FTT6" s="344"/>
      <c r="FTU6" s="344"/>
      <c r="FTV6" s="344"/>
      <c r="FTW6" s="344"/>
      <c r="FTX6" s="344"/>
      <c r="FTY6" s="344"/>
      <c r="FTZ6" s="344"/>
      <c r="FUA6" s="344"/>
      <c r="FUB6" s="344"/>
      <c r="FUC6" s="344"/>
      <c r="FUD6" s="344"/>
      <c r="FUE6" s="344"/>
      <c r="FUF6" s="344"/>
      <c r="FUG6" s="344"/>
      <c r="FUH6" s="344"/>
      <c r="FUI6" s="344"/>
      <c r="FUJ6" s="344"/>
      <c r="FUK6" s="344"/>
      <c r="FUL6" s="344"/>
      <c r="FUM6" s="344"/>
      <c r="FUN6" s="344"/>
      <c r="FUO6" s="344"/>
      <c r="FUP6" s="344"/>
      <c r="FUQ6" s="344"/>
      <c r="FUR6" s="344"/>
      <c r="FUS6" s="344"/>
      <c r="FUT6" s="344"/>
      <c r="FUU6" s="344"/>
      <c r="FUV6" s="344"/>
      <c r="FUW6" s="344"/>
      <c r="FUX6" s="344"/>
      <c r="FUY6" s="344"/>
      <c r="FUZ6" s="344"/>
      <c r="FVA6" s="344"/>
      <c r="FVB6" s="344"/>
      <c r="FVC6" s="344"/>
      <c r="FVD6" s="344"/>
      <c r="FVE6" s="344"/>
      <c r="FVF6" s="344"/>
      <c r="FVG6" s="344"/>
      <c r="FVH6" s="344"/>
      <c r="FVI6" s="344"/>
      <c r="FVJ6" s="344"/>
      <c r="FVK6" s="344"/>
      <c r="FVL6" s="344"/>
      <c r="FVM6" s="344"/>
      <c r="FVN6" s="344"/>
      <c r="FVO6" s="344"/>
      <c r="FVP6" s="344"/>
      <c r="FVQ6" s="344"/>
      <c r="FVR6" s="344"/>
      <c r="FVS6" s="344"/>
      <c r="FVT6" s="344"/>
      <c r="FVU6" s="344"/>
      <c r="FVV6" s="344"/>
      <c r="FVW6" s="344"/>
      <c r="FVX6" s="344"/>
      <c r="FVY6" s="344"/>
      <c r="FVZ6" s="344"/>
      <c r="FWA6" s="344"/>
      <c r="FWB6" s="344"/>
      <c r="FWC6" s="344"/>
      <c r="FWD6" s="344"/>
      <c r="FWE6" s="344"/>
      <c r="FWF6" s="344"/>
      <c r="FWG6" s="344"/>
      <c r="FWH6" s="344"/>
      <c r="FWI6" s="344"/>
      <c r="FWJ6" s="344"/>
      <c r="FWK6" s="344"/>
      <c r="FWL6" s="344"/>
      <c r="FWM6" s="344"/>
      <c r="FWN6" s="344"/>
      <c r="FWO6" s="344"/>
      <c r="FWP6" s="344"/>
      <c r="FWQ6" s="344"/>
      <c r="FWR6" s="344"/>
      <c r="FWS6" s="344"/>
      <c r="FWT6" s="344"/>
      <c r="FWU6" s="344"/>
      <c r="FWV6" s="344"/>
      <c r="FWW6" s="344"/>
      <c r="FWX6" s="344"/>
      <c r="FWY6" s="344"/>
      <c r="FWZ6" s="344"/>
      <c r="FXA6" s="344"/>
      <c r="FXB6" s="344"/>
      <c r="FXC6" s="344"/>
      <c r="FXD6" s="344"/>
      <c r="FXE6" s="344"/>
      <c r="FXF6" s="344"/>
      <c r="FXG6" s="344"/>
      <c r="FXH6" s="344"/>
      <c r="FXI6" s="344"/>
      <c r="FXJ6" s="344"/>
      <c r="FXK6" s="344"/>
      <c r="FXL6" s="344"/>
      <c r="FXM6" s="344"/>
      <c r="FXN6" s="344"/>
      <c r="FXO6" s="344"/>
      <c r="FXP6" s="344"/>
      <c r="FXQ6" s="344"/>
      <c r="FXR6" s="344"/>
      <c r="FXS6" s="344"/>
      <c r="FXT6" s="344"/>
      <c r="FXU6" s="344"/>
      <c r="FXV6" s="344"/>
      <c r="FXW6" s="344"/>
      <c r="FXX6" s="344"/>
      <c r="FXY6" s="344"/>
      <c r="FXZ6" s="344"/>
      <c r="FYA6" s="344"/>
      <c r="FYB6" s="344"/>
      <c r="FYC6" s="344"/>
      <c r="FYD6" s="344"/>
      <c r="FYE6" s="344"/>
      <c r="FYF6" s="344"/>
      <c r="FYG6" s="344"/>
      <c r="FYH6" s="344"/>
      <c r="FYI6" s="344"/>
      <c r="FYJ6" s="344"/>
      <c r="FYK6" s="344"/>
      <c r="FYL6" s="344"/>
      <c r="FYM6" s="344"/>
      <c r="FYN6" s="344"/>
      <c r="FYO6" s="344"/>
      <c r="FYP6" s="344"/>
      <c r="FYQ6" s="344"/>
      <c r="FYR6" s="344"/>
      <c r="FYS6" s="344"/>
      <c r="FYT6" s="344"/>
      <c r="FYU6" s="344"/>
      <c r="FYV6" s="344"/>
      <c r="FYW6" s="344"/>
      <c r="FYX6" s="344"/>
      <c r="FYY6" s="344"/>
      <c r="FYZ6" s="344"/>
      <c r="FZA6" s="344"/>
      <c r="FZB6" s="344"/>
      <c r="FZC6" s="344"/>
      <c r="FZD6" s="344"/>
      <c r="FZE6" s="344"/>
      <c r="FZF6" s="344"/>
      <c r="FZG6" s="344"/>
      <c r="FZH6" s="344"/>
      <c r="FZI6" s="344"/>
      <c r="FZJ6" s="344"/>
      <c r="FZK6" s="344"/>
      <c r="FZL6" s="344"/>
      <c r="FZM6" s="344"/>
      <c r="FZN6" s="344"/>
      <c r="FZO6" s="344"/>
      <c r="FZP6" s="344"/>
      <c r="FZQ6" s="344"/>
      <c r="FZR6" s="344"/>
      <c r="FZS6" s="344"/>
      <c r="FZT6" s="344"/>
      <c r="FZU6" s="344"/>
      <c r="FZV6" s="344"/>
      <c r="FZW6" s="344"/>
      <c r="FZX6" s="344"/>
      <c r="FZY6" s="344"/>
      <c r="FZZ6" s="344"/>
      <c r="GAA6" s="344"/>
      <c r="GAB6" s="344"/>
      <c r="GAC6" s="344"/>
      <c r="GAD6" s="344"/>
      <c r="GAE6" s="344"/>
      <c r="GAF6" s="344"/>
      <c r="GAG6" s="344"/>
      <c r="GAH6" s="344"/>
      <c r="GAI6" s="344"/>
      <c r="GAJ6" s="344"/>
      <c r="GAK6" s="344"/>
      <c r="GAL6" s="344"/>
      <c r="GAM6" s="344"/>
      <c r="GAN6" s="344"/>
      <c r="GAO6" s="344"/>
      <c r="GAP6" s="344"/>
      <c r="GAQ6" s="344"/>
      <c r="GAR6" s="344"/>
      <c r="GAS6" s="344"/>
      <c r="GAT6" s="344"/>
      <c r="GAU6" s="344"/>
      <c r="GAV6" s="344"/>
      <c r="GAW6" s="344"/>
      <c r="GAX6" s="344"/>
      <c r="GAY6" s="344"/>
      <c r="GAZ6" s="344"/>
      <c r="GBA6" s="344"/>
      <c r="GBB6" s="344"/>
      <c r="GBC6" s="344"/>
      <c r="GBD6" s="344"/>
      <c r="GBE6" s="344"/>
      <c r="GBF6" s="344"/>
      <c r="GBG6" s="344"/>
      <c r="GBH6" s="344"/>
      <c r="GBI6" s="344"/>
      <c r="GBJ6" s="344"/>
      <c r="GBK6" s="344"/>
      <c r="GBL6" s="344"/>
      <c r="GBM6" s="344"/>
      <c r="GBN6" s="344"/>
      <c r="GBO6" s="344"/>
      <c r="GBP6" s="344"/>
      <c r="GBQ6" s="344"/>
      <c r="GBR6" s="344"/>
      <c r="GBS6" s="344"/>
      <c r="GBT6" s="344"/>
      <c r="GBU6" s="344"/>
      <c r="GBV6" s="344"/>
      <c r="GBW6" s="344"/>
      <c r="GBX6" s="344"/>
      <c r="GBY6" s="344"/>
      <c r="GBZ6" s="344"/>
      <c r="GCA6" s="344"/>
      <c r="GCB6" s="344"/>
      <c r="GCC6" s="344"/>
      <c r="GCD6" s="344"/>
      <c r="GCE6" s="344"/>
      <c r="GCF6" s="344"/>
      <c r="GCG6" s="344"/>
      <c r="GCH6" s="344"/>
      <c r="GCI6" s="344"/>
      <c r="GCJ6" s="344"/>
      <c r="GCK6" s="344"/>
      <c r="GCL6" s="344"/>
      <c r="GCM6" s="344"/>
      <c r="GCN6" s="344"/>
      <c r="GCO6" s="344"/>
      <c r="GCP6" s="344"/>
      <c r="GCQ6" s="344"/>
      <c r="GCR6" s="344"/>
      <c r="GCS6" s="344"/>
      <c r="GCT6" s="344"/>
      <c r="GCU6" s="344"/>
      <c r="GCV6" s="344"/>
      <c r="GCW6" s="344"/>
      <c r="GCX6" s="344"/>
      <c r="GCY6" s="344"/>
      <c r="GCZ6" s="344"/>
      <c r="GDA6" s="344"/>
      <c r="GDB6" s="344"/>
      <c r="GDC6" s="344"/>
      <c r="GDD6" s="344"/>
      <c r="GDE6" s="344"/>
      <c r="GDF6" s="344"/>
      <c r="GDG6" s="344"/>
      <c r="GDH6" s="344"/>
      <c r="GDI6" s="344"/>
      <c r="GDJ6" s="344"/>
      <c r="GDK6" s="344"/>
      <c r="GDL6" s="344"/>
      <c r="GDM6" s="344"/>
      <c r="GDN6" s="344"/>
      <c r="GDO6" s="344"/>
      <c r="GDP6" s="344"/>
      <c r="GDQ6" s="344"/>
      <c r="GDR6" s="344"/>
      <c r="GDS6" s="344"/>
      <c r="GDT6" s="344"/>
      <c r="GDU6" s="344"/>
      <c r="GDV6" s="344"/>
      <c r="GDW6" s="344"/>
      <c r="GDX6" s="344"/>
      <c r="GDY6" s="344"/>
      <c r="GDZ6" s="344"/>
      <c r="GEA6" s="344"/>
      <c r="GEB6" s="344"/>
      <c r="GEC6" s="344"/>
      <c r="GED6" s="344"/>
      <c r="GEE6" s="344"/>
      <c r="GEF6" s="344"/>
      <c r="GEG6" s="344"/>
      <c r="GEH6" s="344"/>
      <c r="GEI6" s="344"/>
      <c r="GEJ6" s="344"/>
      <c r="GEK6" s="344"/>
      <c r="GEL6" s="344"/>
      <c r="GEM6" s="344"/>
      <c r="GEN6" s="344"/>
      <c r="GEO6" s="344"/>
      <c r="GEP6" s="344"/>
      <c r="GEQ6" s="344"/>
      <c r="GER6" s="344"/>
      <c r="GES6" s="344"/>
      <c r="GET6" s="344"/>
      <c r="GEU6" s="344"/>
      <c r="GEV6" s="344"/>
      <c r="GEW6" s="344"/>
      <c r="GEX6" s="344"/>
      <c r="GEY6" s="344"/>
      <c r="GEZ6" s="344"/>
      <c r="GFA6" s="344"/>
      <c r="GFB6" s="344"/>
      <c r="GFC6" s="344"/>
      <c r="GFD6" s="344"/>
      <c r="GFE6" s="344"/>
      <c r="GFF6" s="344"/>
      <c r="GFG6" s="344"/>
      <c r="GFH6" s="344"/>
      <c r="GFI6" s="344"/>
      <c r="GFJ6" s="344"/>
      <c r="GFK6" s="344"/>
      <c r="GFL6" s="344"/>
      <c r="GFM6" s="344"/>
      <c r="GFN6" s="344"/>
      <c r="GFO6" s="344"/>
      <c r="GFP6" s="344"/>
      <c r="GFQ6" s="344"/>
      <c r="GFR6" s="344"/>
      <c r="GFS6" s="344"/>
      <c r="GFT6" s="344"/>
      <c r="GFU6" s="344"/>
      <c r="GFV6" s="344"/>
      <c r="GFW6" s="344"/>
      <c r="GFX6" s="344"/>
      <c r="GFY6" s="344"/>
      <c r="GFZ6" s="344"/>
      <c r="GGA6" s="344"/>
      <c r="GGB6" s="344"/>
      <c r="GGC6" s="344"/>
      <c r="GGD6" s="344"/>
      <c r="GGE6" s="344"/>
      <c r="GGF6" s="344"/>
      <c r="GGG6" s="344"/>
      <c r="GGH6" s="344"/>
      <c r="GGI6" s="344"/>
      <c r="GGJ6" s="344"/>
      <c r="GGK6" s="344"/>
      <c r="GGL6" s="344"/>
      <c r="GGM6" s="344"/>
      <c r="GGN6" s="344"/>
      <c r="GGO6" s="344"/>
      <c r="GGP6" s="344"/>
      <c r="GGQ6" s="344"/>
      <c r="GGR6" s="344"/>
      <c r="GGS6" s="344"/>
      <c r="GGT6" s="344"/>
      <c r="GGU6" s="344"/>
      <c r="GGV6" s="344"/>
      <c r="GGW6" s="344"/>
      <c r="GGX6" s="344"/>
      <c r="GGY6" s="344"/>
      <c r="GGZ6" s="344"/>
      <c r="GHA6" s="344"/>
      <c r="GHB6" s="344"/>
      <c r="GHC6" s="344"/>
      <c r="GHD6" s="344"/>
      <c r="GHE6" s="344"/>
      <c r="GHF6" s="344"/>
      <c r="GHG6" s="344"/>
      <c r="GHH6" s="344"/>
      <c r="GHI6" s="344"/>
      <c r="GHJ6" s="344"/>
      <c r="GHK6" s="344"/>
      <c r="GHL6" s="344"/>
      <c r="GHM6" s="344"/>
      <c r="GHN6" s="344"/>
      <c r="GHO6" s="344"/>
      <c r="GHP6" s="344"/>
      <c r="GHQ6" s="344"/>
      <c r="GHR6" s="344"/>
      <c r="GHS6" s="344"/>
      <c r="GHT6" s="344"/>
      <c r="GHU6" s="344"/>
      <c r="GHV6" s="344"/>
      <c r="GHW6" s="344"/>
      <c r="GHX6" s="344"/>
      <c r="GHY6" s="344"/>
      <c r="GHZ6" s="344"/>
      <c r="GIA6" s="344"/>
      <c r="GIB6" s="344"/>
      <c r="GIC6" s="344"/>
      <c r="GID6" s="344"/>
      <c r="GIE6" s="344"/>
      <c r="GIF6" s="344"/>
      <c r="GIG6" s="344"/>
      <c r="GIH6" s="344"/>
      <c r="GII6" s="344"/>
      <c r="GIJ6" s="344"/>
      <c r="GIK6" s="344"/>
      <c r="GIL6" s="344"/>
      <c r="GIM6" s="344"/>
      <c r="GIN6" s="344"/>
      <c r="GIO6" s="344"/>
      <c r="GIP6" s="344"/>
      <c r="GIQ6" s="344"/>
      <c r="GIR6" s="344"/>
      <c r="GIS6" s="344"/>
      <c r="GIT6" s="344"/>
      <c r="GIU6" s="344"/>
      <c r="GIV6" s="344"/>
      <c r="GIW6" s="344"/>
      <c r="GIX6" s="344"/>
      <c r="GIY6" s="344"/>
      <c r="GIZ6" s="344"/>
      <c r="GJA6" s="344"/>
      <c r="GJB6" s="344"/>
      <c r="GJC6" s="344"/>
      <c r="GJD6" s="344"/>
      <c r="GJE6" s="344"/>
      <c r="GJF6" s="344"/>
      <c r="GJG6" s="344"/>
      <c r="GJH6" s="344"/>
      <c r="GJI6" s="344"/>
      <c r="GJJ6" s="344"/>
      <c r="GJK6" s="344"/>
      <c r="GJL6" s="344"/>
      <c r="GJM6" s="344"/>
      <c r="GJN6" s="344"/>
      <c r="GJO6" s="344"/>
      <c r="GJP6" s="344"/>
      <c r="GJQ6" s="344"/>
      <c r="GJR6" s="344"/>
      <c r="GJS6" s="344"/>
      <c r="GJT6" s="344"/>
      <c r="GJU6" s="344"/>
      <c r="GJV6" s="344"/>
      <c r="GJW6" s="344"/>
      <c r="GJX6" s="344"/>
      <c r="GJY6" s="344"/>
      <c r="GJZ6" s="344"/>
      <c r="GKA6" s="344"/>
      <c r="GKB6" s="344"/>
      <c r="GKC6" s="344"/>
      <c r="GKD6" s="344"/>
      <c r="GKE6" s="344"/>
      <c r="GKF6" s="344"/>
      <c r="GKG6" s="344"/>
      <c r="GKH6" s="344"/>
      <c r="GKI6" s="344"/>
      <c r="GKJ6" s="344"/>
      <c r="GKK6" s="344"/>
      <c r="GKL6" s="344"/>
      <c r="GKM6" s="344"/>
      <c r="GKN6" s="344"/>
      <c r="GKO6" s="344"/>
      <c r="GKP6" s="344"/>
      <c r="GKQ6" s="344"/>
      <c r="GKR6" s="344"/>
      <c r="GKS6" s="344"/>
      <c r="GKT6" s="344"/>
      <c r="GKU6" s="344"/>
      <c r="GKV6" s="344"/>
      <c r="GKW6" s="344"/>
      <c r="GKX6" s="344"/>
      <c r="GKY6" s="344"/>
      <c r="GKZ6" s="344"/>
      <c r="GLA6" s="344"/>
      <c r="GLB6" s="344"/>
      <c r="GLC6" s="344"/>
      <c r="GLD6" s="344"/>
      <c r="GLE6" s="344"/>
      <c r="GLF6" s="344"/>
      <c r="GLG6" s="344"/>
      <c r="GLH6" s="344"/>
      <c r="GLI6" s="344"/>
      <c r="GLJ6" s="344"/>
      <c r="GLK6" s="344"/>
      <c r="GLL6" s="344"/>
      <c r="GLM6" s="344"/>
      <c r="GLN6" s="344"/>
      <c r="GLO6" s="344"/>
      <c r="GLP6" s="344"/>
      <c r="GLQ6" s="344"/>
      <c r="GLR6" s="344"/>
      <c r="GLS6" s="344"/>
      <c r="GLT6" s="344"/>
      <c r="GLU6" s="344"/>
      <c r="GLV6" s="344"/>
      <c r="GLW6" s="344"/>
      <c r="GLX6" s="344"/>
      <c r="GLY6" s="344"/>
      <c r="GLZ6" s="344"/>
      <c r="GMA6" s="344"/>
      <c r="GMB6" s="344"/>
      <c r="GMC6" s="344"/>
      <c r="GMD6" s="344"/>
      <c r="GME6" s="344"/>
      <c r="GMF6" s="344"/>
      <c r="GMG6" s="344"/>
      <c r="GMH6" s="344"/>
      <c r="GMI6" s="344"/>
      <c r="GMJ6" s="344"/>
      <c r="GMK6" s="344"/>
      <c r="GML6" s="344"/>
      <c r="GMM6" s="344"/>
      <c r="GMN6" s="344"/>
      <c r="GMO6" s="344"/>
      <c r="GMP6" s="344"/>
      <c r="GMQ6" s="344"/>
      <c r="GMR6" s="344"/>
      <c r="GMS6" s="344"/>
      <c r="GMT6" s="344"/>
      <c r="GMU6" s="344"/>
      <c r="GMV6" s="344"/>
      <c r="GMW6" s="344"/>
      <c r="GMX6" s="344"/>
      <c r="GMY6" s="344"/>
      <c r="GMZ6" s="344"/>
      <c r="GNA6" s="344"/>
      <c r="GNB6" s="344"/>
      <c r="GNC6" s="344"/>
      <c r="GND6" s="344"/>
      <c r="GNE6" s="344"/>
      <c r="GNF6" s="344"/>
      <c r="GNG6" s="344"/>
      <c r="GNH6" s="344"/>
      <c r="GNI6" s="344"/>
      <c r="GNJ6" s="344"/>
      <c r="GNK6" s="344"/>
      <c r="GNL6" s="344"/>
      <c r="GNM6" s="344"/>
      <c r="GNN6" s="344"/>
      <c r="GNO6" s="344"/>
      <c r="GNP6" s="344"/>
      <c r="GNQ6" s="344"/>
      <c r="GNR6" s="344"/>
      <c r="GNS6" s="344"/>
      <c r="GNT6" s="344"/>
      <c r="GNU6" s="344"/>
      <c r="GNV6" s="344"/>
      <c r="GNW6" s="344"/>
      <c r="GNX6" s="344"/>
      <c r="GNY6" s="344"/>
      <c r="GNZ6" s="344"/>
      <c r="GOA6" s="344"/>
      <c r="GOB6" s="344"/>
      <c r="GOC6" s="344"/>
      <c r="GOD6" s="344"/>
      <c r="GOE6" s="344"/>
      <c r="GOF6" s="344"/>
      <c r="GOG6" s="344"/>
      <c r="GOH6" s="344"/>
      <c r="GOI6" s="344"/>
      <c r="GOJ6" s="344"/>
      <c r="GOK6" s="344"/>
      <c r="GOL6" s="344"/>
      <c r="GOM6" s="344"/>
      <c r="GON6" s="344"/>
      <c r="GOO6" s="344"/>
      <c r="GOP6" s="344"/>
      <c r="GOQ6" s="344"/>
      <c r="GOR6" s="344"/>
      <c r="GOS6" s="344"/>
      <c r="GOT6" s="344"/>
      <c r="GOU6" s="344"/>
      <c r="GOV6" s="344"/>
      <c r="GOW6" s="344"/>
      <c r="GOX6" s="344"/>
      <c r="GOY6" s="344"/>
      <c r="GOZ6" s="344"/>
      <c r="GPA6" s="344"/>
      <c r="GPB6" s="344"/>
      <c r="GPC6" s="344"/>
      <c r="GPD6" s="344"/>
      <c r="GPE6" s="344"/>
      <c r="GPF6" s="344"/>
      <c r="GPG6" s="344"/>
      <c r="GPH6" s="344"/>
      <c r="GPI6" s="344"/>
      <c r="GPJ6" s="344"/>
      <c r="GPK6" s="344"/>
      <c r="GPL6" s="344"/>
      <c r="GPM6" s="344"/>
      <c r="GPN6" s="344"/>
      <c r="GPO6" s="344"/>
      <c r="GPP6" s="344"/>
      <c r="GPQ6" s="344"/>
      <c r="GPR6" s="344"/>
      <c r="GPS6" s="344"/>
      <c r="GPT6" s="344"/>
      <c r="GPU6" s="344"/>
      <c r="GPV6" s="344"/>
      <c r="GPW6" s="344"/>
      <c r="GPX6" s="344"/>
      <c r="GPY6" s="344"/>
      <c r="GPZ6" s="344"/>
      <c r="GQA6" s="344"/>
      <c r="GQB6" s="344"/>
      <c r="GQC6" s="344"/>
      <c r="GQD6" s="344"/>
      <c r="GQE6" s="344"/>
      <c r="GQF6" s="344"/>
      <c r="GQG6" s="344"/>
      <c r="GQH6" s="344"/>
      <c r="GQI6" s="344"/>
      <c r="GQJ6" s="344"/>
      <c r="GQK6" s="344"/>
      <c r="GQL6" s="344"/>
      <c r="GQM6" s="344"/>
      <c r="GQN6" s="344"/>
      <c r="GQO6" s="344"/>
      <c r="GQP6" s="344"/>
      <c r="GQQ6" s="344"/>
      <c r="GQR6" s="344"/>
      <c r="GQS6" s="344"/>
      <c r="GQT6" s="344"/>
      <c r="GQU6" s="344"/>
      <c r="GQV6" s="344"/>
      <c r="GQW6" s="344"/>
      <c r="GQX6" s="344"/>
      <c r="GQY6" s="344"/>
      <c r="GQZ6" s="344"/>
      <c r="GRA6" s="344"/>
      <c r="GRB6" s="344"/>
      <c r="GRC6" s="344"/>
      <c r="GRD6" s="344"/>
      <c r="GRE6" s="344"/>
      <c r="GRF6" s="344"/>
      <c r="GRG6" s="344"/>
      <c r="GRH6" s="344"/>
      <c r="GRI6" s="344"/>
      <c r="GRJ6" s="344"/>
      <c r="GRK6" s="344"/>
      <c r="GRL6" s="344"/>
      <c r="GRM6" s="344"/>
      <c r="GRN6" s="344"/>
      <c r="GRO6" s="344"/>
      <c r="GRP6" s="344"/>
      <c r="GRQ6" s="344"/>
      <c r="GRR6" s="344"/>
      <c r="GRS6" s="344"/>
      <c r="GRT6" s="344"/>
      <c r="GRU6" s="344"/>
      <c r="GRV6" s="344"/>
      <c r="GRW6" s="344"/>
      <c r="GRX6" s="344"/>
      <c r="GRY6" s="344"/>
      <c r="GRZ6" s="344"/>
      <c r="GSA6" s="344"/>
      <c r="GSB6" s="344"/>
      <c r="GSC6" s="344"/>
      <c r="GSD6" s="344"/>
      <c r="GSE6" s="344"/>
      <c r="GSF6" s="344"/>
      <c r="GSG6" s="344"/>
      <c r="GSH6" s="344"/>
      <c r="GSI6" s="344"/>
      <c r="GSJ6" s="344"/>
      <c r="GSK6" s="344"/>
      <c r="GSL6" s="344"/>
      <c r="GSM6" s="344"/>
      <c r="GSN6" s="344"/>
      <c r="GSO6" s="344"/>
      <c r="GSP6" s="344"/>
      <c r="GSQ6" s="344"/>
      <c r="GSR6" s="344"/>
      <c r="GSS6" s="344"/>
      <c r="GST6" s="344"/>
      <c r="GSU6" s="344"/>
      <c r="GSV6" s="344"/>
      <c r="GSW6" s="344"/>
      <c r="GSX6" s="344"/>
      <c r="GSY6" s="344"/>
      <c r="GSZ6" s="344"/>
      <c r="GTA6" s="344"/>
      <c r="GTB6" s="344"/>
      <c r="GTC6" s="344"/>
      <c r="GTD6" s="344"/>
      <c r="GTE6" s="344"/>
      <c r="GTF6" s="344"/>
      <c r="GTG6" s="344"/>
      <c r="GTH6" s="344"/>
      <c r="GTI6" s="344"/>
      <c r="GTJ6" s="344"/>
      <c r="GTK6" s="344"/>
      <c r="GTL6" s="344"/>
      <c r="GTM6" s="344"/>
      <c r="GTN6" s="344"/>
      <c r="GTO6" s="344"/>
      <c r="GTP6" s="344"/>
      <c r="GTQ6" s="344"/>
      <c r="GTR6" s="344"/>
      <c r="GTS6" s="344"/>
      <c r="GTT6" s="344"/>
      <c r="GTU6" s="344"/>
      <c r="GTV6" s="344"/>
      <c r="GTW6" s="344"/>
      <c r="GTX6" s="344"/>
      <c r="GTY6" s="344"/>
      <c r="GTZ6" s="344"/>
      <c r="GUA6" s="344"/>
      <c r="GUB6" s="344"/>
      <c r="GUC6" s="344"/>
      <c r="GUD6" s="344"/>
      <c r="GUE6" s="344"/>
      <c r="GUF6" s="344"/>
      <c r="GUG6" s="344"/>
      <c r="GUH6" s="344"/>
      <c r="GUI6" s="344"/>
      <c r="GUJ6" s="344"/>
      <c r="GUK6" s="344"/>
      <c r="GUL6" s="344"/>
      <c r="GUM6" s="344"/>
      <c r="GUN6" s="344"/>
      <c r="GUO6" s="344"/>
      <c r="GUP6" s="344"/>
      <c r="GUQ6" s="344"/>
      <c r="GUR6" s="344"/>
      <c r="GUS6" s="344"/>
      <c r="GUT6" s="344"/>
      <c r="GUU6" s="344"/>
      <c r="GUV6" s="344"/>
      <c r="GUW6" s="344"/>
      <c r="GUX6" s="344"/>
      <c r="GUY6" s="344"/>
      <c r="GUZ6" s="344"/>
      <c r="GVA6" s="344"/>
      <c r="GVB6" s="344"/>
      <c r="GVC6" s="344"/>
      <c r="GVD6" s="344"/>
      <c r="GVE6" s="344"/>
      <c r="GVF6" s="344"/>
      <c r="GVG6" s="344"/>
      <c r="GVH6" s="344"/>
      <c r="GVI6" s="344"/>
      <c r="GVJ6" s="344"/>
      <c r="GVK6" s="344"/>
      <c r="GVL6" s="344"/>
      <c r="GVM6" s="344"/>
      <c r="GVN6" s="344"/>
      <c r="GVO6" s="344"/>
      <c r="GVP6" s="344"/>
      <c r="GVQ6" s="344"/>
      <c r="GVR6" s="344"/>
      <c r="GVS6" s="344"/>
      <c r="GVT6" s="344"/>
      <c r="GVU6" s="344"/>
      <c r="GVV6" s="344"/>
      <c r="GVW6" s="344"/>
      <c r="GVX6" s="344"/>
      <c r="GVY6" s="344"/>
      <c r="GVZ6" s="344"/>
      <c r="GWA6" s="344"/>
      <c r="GWB6" s="344"/>
      <c r="GWC6" s="344"/>
      <c r="GWD6" s="344"/>
      <c r="GWE6" s="344"/>
      <c r="GWF6" s="344"/>
      <c r="GWG6" s="344"/>
      <c r="GWH6" s="344"/>
      <c r="GWI6" s="344"/>
      <c r="GWJ6" s="344"/>
      <c r="GWK6" s="344"/>
      <c r="GWL6" s="344"/>
      <c r="GWM6" s="344"/>
      <c r="GWN6" s="344"/>
      <c r="GWO6" s="344"/>
      <c r="GWP6" s="344"/>
      <c r="GWQ6" s="344"/>
      <c r="GWR6" s="344"/>
      <c r="GWS6" s="344"/>
      <c r="GWT6" s="344"/>
      <c r="GWU6" s="344"/>
      <c r="GWV6" s="344"/>
      <c r="GWW6" s="344"/>
      <c r="GWX6" s="344"/>
      <c r="GWY6" s="344"/>
      <c r="GWZ6" s="344"/>
      <c r="GXA6" s="344"/>
      <c r="GXB6" s="344"/>
      <c r="GXC6" s="344"/>
      <c r="GXD6" s="344"/>
      <c r="GXE6" s="344"/>
      <c r="GXF6" s="344"/>
      <c r="GXG6" s="344"/>
      <c r="GXH6" s="344"/>
      <c r="GXI6" s="344"/>
      <c r="GXJ6" s="344"/>
      <c r="GXK6" s="344"/>
      <c r="GXL6" s="344"/>
      <c r="GXM6" s="344"/>
      <c r="GXN6" s="344"/>
      <c r="GXO6" s="344"/>
      <c r="GXP6" s="344"/>
      <c r="GXQ6" s="344"/>
      <c r="GXR6" s="344"/>
      <c r="GXS6" s="344"/>
      <c r="GXT6" s="344"/>
      <c r="GXU6" s="344"/>
      <c r="GXV6" s="344"/>
      <c r="GXW6" s="344"/>
      <c r="GXX6" s="344"/>
      <c r="GXY6" s="344"/>
      <c r="GXZ6" s="344"/>
      <c r="GYA6" s="344"/>
      <c r="GYB6" s="344"/>
      <c r="GYC6" s="344"/>
      <c r="GYD6" s="344"/>
      <c r="GYE6" s="344"/>
      <c r="GYF6" s="344"/>
      <c r="GYG6" s="344"/>
      <c r="GYH6" s="344"/>
      <c r="GYI6" s="344"/>
      <c r="GYJ6" s="344"/>
      <c r="GYK6" s="344"/>
      <c r="GYL6" s="344"/>
      <c r="GYM6" s="344"/>
      <c r="GYN6" s="344"/>
      <c r="GYO6" s="344"/>
      <c r="GYP6" s="344"/>
      <c r="GYQ6" s="344"/>
      <c r="GYR6" s="344"/>
      <c r="GYS6" s="344"/>
      <c r="GYT6" s="344"/>
      <c r="GYU6" s="344"/>
      <c r="GYV6" s="344"/>
      <c r="GYW6" s="344"/>
      <c r="GYX6" s="344"/>
      <c r="GYY6" s="344"/>
      <c r="GYZ6" s="344"/>
      <c r="GZA6" s="344"/>
      <c r="GZB6" s="344"/>
      <c r="GZC6" s="344"/>
      <c r="GZD6" s="344"/>
      <c r="GZE6" s="344"/>
      <c r="GZF6" s="344"/>
      <c r="GZG6" s="344"/>
      <c r="GZH6" s="344"/>
      <c r="GZI6" s="344"/>
      <c r="GZJ6" s="344"/>
      <c r="GZK6" s="344"/>
      <c r="GZL6" s="344"/>
      <c r="GZM6" s="344"/>
      <c r="GZN6" s="344"/>
      <c r="GZO6" s="344"/>
      <c r="GZP6" s="344"/>
      <c r="GZQ6" s="344"/>
      <c r="GZR6" s="344"/>
      <c r="GZS6" s="344"/>
      <c r="GZT6" s="344"/>
      <c r="GZU6" s="344"/>
      <c r="GZV6" s="344"/>
      <c r="GZW6" s="344"/>
      <c r="GZX6" s="344"/>
      <c r="GZY6" s="344"/>
      <c r="GZZ6" s="344"/>
      <c r="HAA6" s="344"/>
      <c r="HAB6" s="344"/>
      <c r="HAC6" s="344"/>
      <c r="HAD6" s="344"/>
      <c r="HAE6" s="344"/>
      <c r="HAF6" s="344"/>
      <c r="HAG6" s="344"/>
      <c r="HAH6" s="344"/>
      <c r="HAI6" s="344"/>
      <c r="HAJ6" s="344"/>
      <c r="HAK6" s="344"/>
      <c r="HAL6" s="344"/>
      <c r="HAM6" s="344"/>
      <c r="HAN6" s="344"/>
      <c r="HAO6" s="344"/>
      <c r="HAP6" s="344"/>
      <c r="HAQ6" s="344"/>
      <c r="HAR6" s="344"/>
      <c r="HAS6" s="344"/>
      <c r="HAT6" s="344"/>
      <c r="HAU6" s="344"/>
      <c r="HAV6" s="344"/>
      <c r="HAW6" s="344"/>
      <c r="HAX6" s="344"/>
      <c r="HAY6" s="344"/>
      <c r="HAZ6" s="344"/>
      <c r="HBA6" s="344"/>
      <c r="HBB6" s="344"/>
      <c r="HBC6" s="344"/>
      <c r="HBD6" s="344"/>
      <c r="HBE6" s="344"/>
      <c r="HBF6" s="344"/>
      <c r="HBG6" s="344"/>
      <c r="HBH6" s="344"/>
      <c r="HBI6" s="344"/>
      <c r="HBJ6" s="344"/>
      <c r="HBK6" s="344"/>
      <c r="HBL6" s="344"/>
      <c r="HBM6" s="344"/>
      <c r="HBN6" s="344"/>
      <c r="HBO6" s="344"/>
      <c r="HBP6" s="344"/>
      <c r="HBQ6" s="344"/>
      <c r="HBR6" s="344"/>
      <c r="HBS6" s="344"/>
      <c r="HBT6" s="344"/>
      <c r="HBU6" s="344"/>
      <c r="HBV6" s="344"/>
      <c r="HBW6" s="344"/>
      <c r="HBX6" s="344"/>
      <c r="HBY6" s="344"/>
      <c r="HBZ6" s="344"/>
      <c r="HCA6" s="344"/>
      <c r="HCB6" s="344"/>
      <c r="HCC6" s="344"/>
      <c r="HCD6" s="344"/>
      <c r="HCE6" s="344"/>
      <c r="HCF6" s="344"/>
      <c r="HCG6" s="344"/>
      <c r="HCH6" s="344"/>
      <c r="HCI6" s="344"/>
      <c r="HCJ6" s="344"/>
      <c r="HCK6" s="344"/>
      <c r="HCL6" s="344"/>
      <c r="HCM6" s="344"/>
      <c r="HCN6" s="344"/>
      <c r="HCO6" s="344"/>
      <c r="HCP6" s="344"/>
      <c r="HCQ6" s="344"/>
      <c r="HCR6" s="344"/>
      <c r="HCS6" s="344"/>
      <c r="HCT6" s="344"/>
      <c r="HCU6" s="344"/>
      <c r="HCV6" s="344"/>
      <c r="HCW6" s="344"/>
      <c r="HCX6" s="344"/>
      <c r="HCY6" s="344"/>
      <c r="HCZ6" s="344"/>
      <c r="HDA6" s="344"/>
      <c r="HDB6" s="344"/>
      <c r="HDC6" s="344"/>
      <c r="HDD6" s="344"/>
      <c r="HDE6" s="344"/>
      <c r="HDF6" s="344"/>
      <c r="HDG6" s="344"/>
      <c r="HDH6" s="344"/>
      <c r="HDI6" s="344"/>
      <c r="HDJ6" s="344"/>
      <c r="HDK6" s="344"/>
      <c r="HDL6" s="344"/>
      <c r="HDM6" s="344"/>
      <c r="HDN6" s="344"/>
      <c r="HDO6" s="344"/>
      <c r="HDP6" s="344"/>
      <c r="HDQ6" s="344"/>
      <c r="HDR6" s="344"/>
      <c r="HDS6" s="344"/>
      <c r="HDT6" s="344"/>
      <c r="HDU6" s="344"/>
      <c r="HDV6" s="344"/>
      <c r="HDW6" s="344"/>
      <c r="HDX6" s="344"/>
      <c r="HDY6" s="344"/>
      <c r="HDZ6" s="344"/>
      <c r="HEA6" s="344"/>
      <c r="HEB6" s="344"/>
      <c r="HEC6" s="344"/>
      <c r="HED6" s="344"/>
      <c r="HEE6" s="344"/>
      <c r="HEF6" s="344"/>
      <c r="HEG6" s="344"/>
      <c r="HEH6" s="344"/>
      <c r="HEI6" s="344"/>
      <c r="HEJ6" s="344"/>
      <c r="HEK6" s="344"/>
      <c r="HEL6" s="344"/>
      <c r="HEM6" s="344"/>
      <c r="HEN6" s="344"/>
      <c r="HEO6" s="344"/>
      <c r="HEP6" s="344"/>
      <c r="HEQ6" s="344"/>
      <c r="HER6" s="344"/>
      <c r="HES6" s="344"/>
      <c r="HET6" s="344"/>
      <c r="HEU6" s="344"/>
      <c r="HEV6" s="344"/>
      <c r="HEW6" s="344"/>
      <c r="HEX6" s="344"/>
      <c r="HEY6" s="344"/>
      <c r="HEZ6" s="344"/>
      <c r="HFA6" s="344"/>
      <c r="HFB6" s="344"/>
      <c r="HFC6" s="344"/>
      <c r="HFD6" s="344"/>
      <c r="HFE6" s="344"/>
      <c r="HFF6" s="344"/>
      <c r="HFG6" s="344"/>
      <c r="HFH6" s="344"/>
      <c r="HFI6" s="344"/>
      <c r="HFJ6" s="344"/>
      <c r="HFK6" s="344"/>
      <c r="HFL6" s="344"/>
      <c r="HFM6" s="344"/>
      <c r="HFN6" s="344"/>
      <c r="HFO6" s="344"/>
      <c r="HFP6" s="344"/>
      <c r="HFQ6" s="344"/>
      <c r="HFR6" s="344"/>
      <c r="HFS6" s="344"/>
      <c r="HFT6" s="344"/>
      <c r="HFU6" s="344"/>
      <c r="HFV6" s="344"/>
      <c r="HFW6" s="344"/>
      <c r="HFX6" s="344"/>
      <c r="HFY6" s="344"/>
      <c r="HFZ6" s="344"/>
      <c r="HGA6" s="344"/>
      <c r="HGB6" s="344"/>
      <c r="HGC6" s="344"/>
      <c r="HGD6" s="344"/>
      <c r="HGE6" s="344"/>
      <c r="HGF6" s="344"/>
      <c r="HGG6" s="344"/>
      <c r="HGH6" s="344"/>
      <c r="HGI6" s="344"/>
      <c r="HGJ6" s="344"/>
      <c r="HGK6" s="344"/>
      <c r="HGL6" s="344"/>
      <c r="HGM6" s="344"/>
      <c r="HGN6" s="344"/>
      <c r="HGO6" s="344"/>
      <c r="HGP6" s="344"/>
      <c r="HGQ6" s="344"/>
      <c r="HGR6" s="344"/>
      <c r="HGS6" s="344"/>
      <c r="HGT6" s="344"/>
      <c r="HGU6" s="344"/>
      <c r="HGV6" s="344"/>
      <c r="HGW6" s="344"/>
      <c r="HGX6" s="344"/>
      <c r="HGY6" s="344"/>
      <c r="HGZ6" s="344"/>
      <c r="HHA6" s="344"/>
      <c r="HHB6" s="344"/>
      <c r="HHC6" s="344"/>
      <c r="HHD6" s="344"/>
      <c r="HHE6" s="344"/>
      <c r="HHF6" s="344"/>
      <c r="HHG6" s="344"/>
      <c r="HHH6" s="344"/>
      <c r="HHI6" s="344"/>
      <c r="HHJ6" s="344"/>
      <c r="HHK6" s="344"/>
      <c r="HHL6" s="344"/>
      <c r="HHM6" s="344"/>
      <c r="HHN6" s="344"/>
      <c r="HHO6" s="344"/>
      <c r="HHP6" s="344"/>
      <c r="HHQ6" s="344"/>
      <c r="HHR6" s="344"/>
      <c r="HHS6" s="344"/>
      <c r="HHT6" s="344"/>
      <c r="HHU6" s="344"/>
      <c r="HHV6" s="344"/>
      <c r="HHW6" s="344"/>
      <c r="HHX6" s="344"/>
      <c r="HHY6" s="344"/>
      <c r="HHZ6" s="344"/>
      <c r="HIA6" s="344"/>
      <c r="HIB6" s="344"/>
      <c r="HIC6" s="344"/>
      <c r="HID6" s="344"/>
      <c r="HIE6" s="344"/>
      <c r="HIF6" s="344"/>
      <c r="HIG6" s="344"/>
      <c r="HIH6" s="344"/>
      <c r="HII6" s="344"/>
      <c r="HIJ6" s="344"/>
      <c r="HIK6" s="344"/>
      <c r="HIL6" s="344"/>
      <c r="HIM6" s="344"/>
      <c r="HIN6" s="344"/>
      <c r="HIO6" s="344"/>
      <c r="HIP6" s="344"/>
      <c r="HIQ6" s="344"/>
      <c r="HIR6" s="344"/>
      <c r="HIS6" s="344"/>
      <c r="HIT6" s="344"/>
      <c r="HIU6" s="344"/>
      <c r="HIV6" s="344"/>
      <c r="HIW6" s="344"/>
      <c r="HIX6" s="344"/>
      <c r="HIY6" s="344"/>
      <c r="HIZ6" s="344"/>
      <c r="HJA6" s="344"/>
      <c r="HJB6" s="344"/>
      <c r="HJC6" s="344"/>
      <c r="HJD6" s="344"/>
      <c r="HJE6" s="344"/>
      <c r="HJF6" s="344"/>
      <c r="HJG6" s="344"/>
      <c r="HJH6" s="344"/>
      <c r="HJI6" s="344"/>
      <c r="HJJ6" s="344"/>
      <c r="HJK6" s="344"/>
      <c r="HJL6" s="344"/>
      <c r="HJM6" s="344"/>
      <c r="HJN6" s="344"/>
      <c r="HJO6" s="344"/>
      <c r="HJP6" s="344"/>
      <c r="HJQ6" s="344"/>
      <c r="HJR6" s="344"/>
      <c r="HJS6" s="344"/>
      <c r="HJT6" s="344"/>
      <c r="HJU6" s="344"/>
      <c r="HJV6" s="344"/>
      <c r="HJW6" s="344"/>
      <c r="HJX6" s="344"/>
      <c r="HJY6" s="344"/>
      <c r="HJZ6" s="344"/>
      <c r="HKA6" s="344"/>
      <c r="HKB6" s="344"/>
      <c r="HKC6" s="344"/>
      <c r="HKD6" s="344"/>
      <c r="HKE6" s="344"/>
      <c r="HKF6" s="344"/>
      <c r="HKG6" s="344"/>
      <c r="HKH6" s="344"/>
      <c r="HKI6" s="344"/>
      <c r="HKJ6" s="344"/>
      <c r="HKK6" s="344"/>
      <c r="HKL6" s="344"/>
      <c r="HKM6" s="344"/>
      <c r="HKN6" s="344"/>
      <c r="HKO6" s="344"/>
      <c r="HKP6" s="344"/>
      <c r="HKQ6" s="344"/>
      <c r="HKR6" s="344"/>
      <c r="HKS6" s="344"/>
      <c r="HKT6" s="344"/>
      <c r="HKU6" s="344"/>
      <c r="HKV6" s="344"/>
      <c r="HKW6" s="344"/>
      <c r="HKX6" s="344"/>
      <c r="HKY6" s="344"/>
      <c r="HKZ6" s="344"/>
      <c r="HLA6" s="344"/>
      <c r="HLB6" s="344"/>
      <c r="HLC6" s="344"/>
      <c r="HLD6" s="344"/>
      <c r="HLE6" s="344"/>
      <c r="HLF6" s="344"/>
      <c r="HLG6" s="344"/>
      <c r="HLH6" s="344"/>
      <c r="HLI6" s="344"/>
      <c r="HLJ6" s="344"/>
      <c r="HLK6" s="344"/>
      <c r="HLL6" s="344"/>
      <c r="HLM6" s="344"/>
      <c r="HLN6" s="344"/>
      <c r="HLO6" s="344"/>
      <c r="HLP6" s="344"/>
      <c r="HLQ6" s="344"/>
      <c r="HLR6" s="344"/>
      <c r="HLS6" s="344"/>
      <c r="HLT6" s="344"/>
      <c r="HLU6" s="344"/>
      <c r="HLV6" s="344"/>
      <c r="HLW6" s="344"/>
      <c r="HLX6" s="344"/>
      <c r="HLY6" s="344"/>
      <c r="HLZ6" s="344"/>
      <c r="HMA6" s="344"/>
      <c r="HMB6" s="344"/>
      <c r="HMC6" s="344"/>
      <c r="HMD6" s="344"/>
      <c r="HME6" s="344"/>
      <c r="HMF6" s="344"/>
      <c r="HMG6" s="344"/>
      <c r="HMH6" s="344"/>
      <c r="HMI6" s="344"/>
      <c r="HMJ6" s="344"/>
      <c r="HMK6" s="344"/>
      <c r="HML6" s="344"/>
      <c r="HMM6" s="344"/>
      <c r="HMN6" s="344"/>
      <c r="HMO6" s="344"/>
      <c r="HMP6" s="344"/>
      <c r="HMQ6" s="344"/>
      <c r="HMR6" s="344"/>
      <c r="HMS6" s="344"/>
      <c r="HMT6" s="344"/>
      <c r="HMU6" s="344"/>
      <c r="HMV6" s="344"/>
      <c r="HMW6" s="344"/>
      <c r="HMX6" s="344"/>
      <c r="HMY6" s="344"/>
      <c r="HMZ6" s="344"/>
      <c r="HNA6" s="344"/>
      <c r="HNB6" s="344"/>
      <c r="HNC6" s="344"/>
      <c r="HND6" s="344"/>
      <c r="HNE6" s="344"/>
      <c r="HNF6" s="344"/>
      <c r="HNG6" s="344"/>
      <c r="HNH6" s="344"/>
      <c r="HNI6" s="344"/>
      <c r="HNJ6" s="344"/>
      <c r="HNK6" s="344"/>
      <c r="HNL6" s="344"/>
      <c r="HNM6" s="344"/>
      <c r="HNN6" s="344"/>
      <c r="HNO6" s="344"/>
      <c r="HNP6" s="344"/>
      <c r="HNQ6" s="344"/>
      <c r="HNR6" s="344"/>
      <c r="HNS6" s="344"/>
      <c r="HNT6" s="344"/>
      <c r="HNU6" s="344"/>
      <c r="HNV6" s="344"/>
      <c r="HNW6" s="344"/>
      <c r="HNX6" s="344"/>
      <c r="HNY6" s="344"/>
      <c r="HNZ6" s="344"/>
      <c r="HOA6" s="344"/>
      <c r="HOB6" s="344"/>
      <c r="HOC6" s="344"/>
      <c r="HOD6" s="344"/>
      <c r="HOE6" s="344"/>
      <c r="HOF6" s="344"/>
      <c r="HOG6" s="344"/>
      <c r="HOH6" s="344"/>
      <c r="HOI6" s="344"/>
      <c r="HOJ6" s="344"/>
      <c r="HOK6" s="344"/>
      <c r="HOL6" s="344"/>
      <c r="HOM6" s="344"/>
      <c r="HON6" s="344"/>
      <c r="HOO6" s="344"/>
      <c r="HOP6" s="344"/>
      <c r="HOQ6" s="344"/>
      <c r="HOR6" s="344"/>
      <c r="HOS6" s="344"/>
      <c r="HOT6" s="344"/>
      <c r="HOU6" s="344"/>
      <c r="HOV6" s="344"/>
      <c r="HOW6" s="344"/>
      <c r="HOX6" s="344"/>
      <c r="HOY6" s="344"/>
      <c r="HOZ6" s="344"/>
      <c r="HPA6" s="344"/>
      <c r="HPB6" s="344"/>
      <c r="HPC6" s="344"/>
      <c r="HPD6" s="344"/>
      <c r="HPE6" s="344"/>
      <c r="HPF6" s="344"/>
      <c r="HPG6" s="344"/>
      <c r="HPH6" s="344"/>
      <c r="HPI6" s="344"/>
      <c r="HPJ6" s="344"/>
      <c r="HPK6" s="344"/>
      <c r="HPL6" s="344"/>
      <c r="HPM6" s="344"/>
      <c r="HPN6" s="344"/>
      <c r="HPO6" s="344"/>
      <c r="HPP6" s="344"/>
      <c r="HPQ6" s="344"/>
      <c r="HPR6" s="344"/>
      <c r="HPS6" s="344"/>
      <c r="HPT6" s="344"/>
      <c r="HPU6" s="344"/>
      <c r="HPV6" s="344"/>
      <c r="HPW6" s="344"/>
      <c r="HPX6" s="344"/>
      <c r="HPY6" s="344"/>
      <c r="HPZ6" s="344"/>
      <c r="HQA6" s="344"/>
      <c r="HQB6" s="344"/>
      <c r="HQC6" s="344"/>
      <c r="HQD6" s="344"/>
      <c r="HQE6" s="344"/>
      <c r="HQF6" s="344"/>
      <c r="HQG6" s="344"/>
      <c r="HQH6" s="344"/>
      <c r="HQI6" s="344"/>
      <c r="HQJ6" s="344"/>
      <c r="HQK6" s="344"/>
      <c r="HQL6" s="344"/>
      <c r="HQM6" s="344"/>
      <c r="HQN6" s="344"/>
      <c r="HQO6" s="344"/>
      <c r="HQP6" s="344"/>
      <c r="HQQ6" s="344"/>
      <c r="HQR6" s="344"/>
      <c r="HQS6" s="344"/>
      <c r="HQT6" s="344"/>
      <c r="HQU6" s="344"/>
      <c r="HQV6" s="344"/>
      <c r="HQW6" s="344"/>
      <c r="HQX6" s="344"/>
      <c r="HQY6" s="344"/>
      <c r="HQZ6" s="344"/>
      <c r="HRA6" s="344"/>
      <c r="HRB6" s="344"/>
      <c r="HRC6" s="344"/>
      <c r="HRD6" s="344"/>
      <c r="HRE6" s="344"/>
      <c r="HRF6" s="344"/>
      <c r="HRG6" s="344"/>
      <c r="HRH6" s="344"/>
      <c r="HRI6" s="344"/>
      <c r="HRJ6" s="344"/>
      <c r="HRK6" s="344"/>
      <c r="HRL6" s="344"/>
      <c r="HRM6" s="344"/>
      <c r="HRN6" s="344"/>
      <c r="HRO6" s="344"/>
      <c r="HRP6" s="344"/>
      <c r="HRQ6" s="344"/>
      <c r="HRR6" s="344"/>
      <c r="HRS6" s="344"/>
      <c r="HRT6" s="344"/>
      <c r="HRU6" s="344"/>
      <c r="HRV6" s="344"/>
      <c r="HRW6" s="344"/>
      <c r="HRX6" s="344"/>
      <c r="HRY6" s="344"/>
      <c r="HRZ6" s="344"/>
      <c r="HSA6" s="344"/>
      <c r="HSB6" s="344"/>
      <c r="HSC6" s="344"/>
      <c r="HSD6" s="344"/>
      <c r="HSE6" s="344"/>
      <c r="HSF6" s="344"/>
      <c r="HSG6" s="344"/>
      <c r="HSH6" s="344"/>
      <c r="HSI6" s="344"/>
      <c r="HSJ6" s="344"/>
      <c r="HSK6" s="344"/>
      <c r="HSL6" s="344"/>
      <c r="HSM6" s="344"/>
      <c r="HSN6" s="344"/>
      <c r="HSO6" s="344"/>
      <c r="HSP6" s="344"/>
      <c r="HSQ6" s="344"/>
      <c r="HSR6" s="344"/>
      <c r="HSS6" s="344"/>
      <c r="HST6" s="344"/>
      <c r="HSU6" s="344"/>
      <c r="HSV6" s="344"/>
      <c r="HSW6" s="344"/>
      <c r="HSX6" s="344"/>
      <c r="HSY6" s="344"/>
      <c r="HSZ6" s="344"/>
      <c r="HTA6" s="344"/>
      <c r="HTB6" s="344"/>
      <c r="HTC6" s="344"/>
      <c r="HTD6" s="344"/>
      <c r="HTE6" s="344"/>
      <c r="HTF6" s="344"/>
      <c r="HTG6" s="344"/>
      <c r="HTH6" s="344"/>
      <c r="HTI6" s="344"/>
      <c r="HTJ6" s="344"/>
      <c r="HTK6" s="344"/>
      <c r="HTL6" s="344"/>
      <c r="HTM6" s="344"/>
      <c r="HTN6" s="344"/>
      <c r="HTO6" s="344"/>
      <c r="HTP6" s="344"/>
      <c r="HTQ6" s="344"/>
      <c r="HTR6" s="344"/>
      <c r="HTS6" s="344"/>
      <c r="HTT6" s="344"/>
      <c r="HTU6" s="344"/>
      <c r="HTV6" s="344"/>
      <c r="HTW6" s="344"/>
      <c r="HTX6" s="344"/>
      <c r="HTY6" s="344"/>
      <c r="HTZ6" s="344"/>
      <c r="HUA6" s="344"/>
      <c r="HUB6" s="344"/>
      <c r="HUC6" s="344"/>
      <c r="HUD6" s="344"/>
      <c r="HUE6" s="344"/>
      <c r="HUF6" s="344"/>
      <c r="HUG6" s="344"/>
      <c r="HUH6" s="344"/>
      <c r="HUI6" s="344"/>
      <c r="HUJ6" s="344"/>
      <c r="HUK6" s="344"/>
      <c r="HUL6" s="344"/>
      <c r="HUM6" s="344"/>
      <c r="HUN6" s="344"/>
      <c r="HUO6" s="344"/>
      <c r="HUP6" s="344"/>
      <c r="HUQ6" s="344"/>
      <c r="HUR6" s="344"/>
      <c r="HUS6" s="344"/>
      <c r="HUT6" s="344"/>
      <c r="HUU6" s="344"/>
      <c r="HUV6" s="344"/>
      <c r="HUW6" s="344"/>
      <c r="HUX6" s="344"/>
      <c r="HUY6" s="344"/>
      <c r="HUZ6" s="344"/>
      <c r="HVA6" s="344"/>
      <c r="HVB6" s="344"/>
      <c r="HVC6" s="344"/>
      <c r="HVD6" s="344"/>
      <c r="HVE6" s="344"/>
      <c r="HVF6" s="344"/>
      <c r="HVG6" s="344"/>
      <c r="HVH6" s="344"/>
      <c r="HVI6" s="344"/>
      <c r="HVJ6" s="344"/>
      <c r="HVK6" s="344"/>
      <c r="HVL6" s="344"/>
      <c r="HVM6" s="344"/>
      <c r="HVN6" s="344"/>
      <c r="HVO6" s="344"/>
      <c r="HVP6" s="344"/>
      <c r="HVQ6" s="344"/>
      <c r="HVR6" s="344"/>
      <c r="HVS6" s="344"/>
      <c r="HVT6" s="344"/>
      <c r="HVU6" s="344"/>
      <c r="HVV6" s="344"/>
      <c r="HVW6" s="344"/>
      <c r="HVX6" s="344"/>
      <c r="HVY6" s="344"/>
      <c r="HVZ6" s="344"/>
      <c r="HWA6" s="344"/>
      <c r="HWB6" s="344"/>
      <c r="HWC6" s="344"/>
      <c r="HWD6" s="344"/>
      <c r="HWE6" s="344"/>
      <c r="HWF6" s="344"/>
      <c r="HWG6" s="344"/>
      <c r="HWH6" s="344"/>
      <c r="HWI6" s="344"/>
      <c r="HWJ6" s="344"/>
      <c r="HWK6" s="344"/>
      <c r="HWL6" s="344"/>
      <c r="HWM6" s="344"/>
      <c r="HWN6" s="344"/>
      <c r="HWO6" s="344"/>
      <c r="HWP6" s="344"/>
      <c r="HWQ6" s="344"/>
      <c r="HWR6" s="344"/>
      <c r="HWS6" s="344"/>
      <c r="HWT6" s="344"/>
      <c r="HWU6" s="344"/>
      <c r="HWV6" s="344"/>
      <c r="HWW6" s="344"/>
      <c r="HWX6" s="344"/>
      <c r="HWY6" s="344"/>
      <c r="HWZ6" s="344"/>
      <c r="HXA6" s="344"/>
      <c r="HXB6" s="344"/>
      <c r="HXC6" s="344"/>
      <c r="HXD6" s="344"/>
      <c r="HXE6" s="344"/>
      <c r="HXF6" s="344"/>
      <c r="HXG6" s="344"/>
      <c r="HXH6" s="344"/>
      <c r="HXI6" s="344"/>
      <c r="HXJ6" s="344"/>
      <c r="HXK6" s="344"/>
      <c r="HXL6" s="344"/>
      <c r="HXM6" s="344"/>
      <c r="HXN6" s="344"/>
      <c r="HXO6" s="344"/>
      <c r="HXP6" s="344"/>
      <c r="HXQ6" s="344"/>
      <c r="HXR6" s="344"/>
      <c r="HXS6" s="344"/>
      <c r="HXT6" s="344"/>
      <c r="HXU6" s="344"/>
      <c r="HXV6" s="344"/>
      <c r="HXW6" s="344"/>
      <c r="HXX6" s="344"/>
      <c r="HXY6" s="344"/>
      <c r="HXZ6" s="344"/>
      <c r="HYA6" s="344"/>
      <c r="HYB6" s="344"/>
      <c r="HYC6" s="344"/>
      <c r="HYD6" s="344"/>
      <c r="HYE6" s="344"/>
      <c r="HYF6" s="344"/>
      <c r="HYG6" s="344"/>
      <c r="HYH6" s="344"/>
      <c r="HYI6" s="344"/>
      <c r="HYJ6" s="344"/>
      <c r="HYK6" s="344"/>
      <c r="HYL6" s="344"/>
      <c r="HYM6" s="344"/>
      <c r="HYN6" s="344"/>
      <c r="HYO6" s="344"/>
      <c r="HYP6" s="344"/>
      <c r="HYQ6" s="344"/>
      <c r="HYR6" s="344"/>
      <c r="HYS6" s="344"/>
      <c r="HYT6" s="344"/>
      <c r="HYU6" s="344"/>
      <c r="HYV6" s="344"/>
      <c r="HYW6" s="344"/>
      <c r="HYX6" s="344"/>
      <c r="HYY6" s="344"/>
      <c r="HYZ6" s="344"/>
      <c r="HZA6" s="344"/>
      <c r="HZB6" s="344"/>
      <c r="HZC6" s="344"/>
      <c r="HZD6" s="344"/>
      <c r="HZE6" s="344"/>
      <c r="HZF6" s="344"/>
      <c r="HZG6" s="344"/>
      <c r="HZH6" s="344"/>
      <c r="HZI6" s="344"/>
      <c r="HZJ6" s="344"/>
      <c r="HZK6" s="344"/>
      <c r="HZL6" s="344"/>
      <c r="HZM6" s="344"/>
      <c r="HZN6" s="344"/>
      <c r="HZO6" s="344"/>
      <c r="HZP6" s="344"/>
      <c r="HZQ6" s="344"/>
      <c r="HZR6" s="344"/>
      <c r="HZS6" s="344"/>
      <c r="HZT6" s="344"/>
      <c r="HZU6" s="344"/>
      <c r="HZV6" s="344"/>
      <c r="HZW6" s="344"/>
      <c r="HZX6" s="344"/>
      <c r="HZY6" s="344"/>
      <c r="HZZ6" s="344"/>
      <c r="IAA6" s="344"/>
      <c r="IAB6" s="344"/>
      <c r="IAC6" s="344"/>
      <c r="IAD6" s="344"/>
      <c r="IAE6" s="344"/>
      <c r="IAF6" s="344"/>
      <c r="IAG6" s="344"/>
      <c r="IAH6" s="344"/>
      <c r="IAI6" s="344"/>
      <c r="IAJ6" s="344"/>
      <c r="IAK6" s="344"/>
      <c r="IAL6" s="344"/>
      <c r="IAM6" s="344"/>
      <c r="IAN6" s="344"/>
      <c r="IAO6" s="344"/>
      <c r="IAP6" s="344"/>
      <c r="IAQ6" s="344"/>
      <c r="IAR6" s="344"/>
      <c r="IAS6" s="344"/>
      <c r="IAT6" s="344"/>
      <c r="IAU6" s="344"/>
      <c r="IAV6" s="344"/>
      <c r="IAW6" s="344"/>
      <c r="IAX6" s="344"/>
      <c r="IAY6" s="344"/>
      <c r="IAZ6" s="344"/>
      <c r="IBA6" s="344"/>
      <c r="IBB6" s="344"/>
      <c r="IBC6" s="344"/>
      <c r="IBD6" s="344"/>
      <c r="IBE6" s="344"/>
      <c r="IBF6" s="344"/>
      <c r="IBG6" s="344"/>
      <c r="IBH6" s="344"/>
      <c r="IBI6" s="344"/>
      <c r="IBJ6" s="344"/>
      <c r="IBK6" s="344"/>
      <c r="IBL6" s="344"/>
      <c r="IBM6" s="344"/>
      <c r="IBN6" s="344"/>
      <c r="IBO6" s="344"/>
      <c r="IBP6" s="344"/>
      <c r="IBQ6" s="344"/>
      <c r="IBR6" s="344"/>
      <c r="IBS6" s="344"/>
      <c r="IBT6" s="344"/>
      <c r="IBU6" s="344"/>
      <c r="IBV6" s="344"/>
      <c r="IBW6" s="344"/>
      <c r="IBX6" s="344"/>
      <c r="IBY6" s="344"/>
      <c r="IBZ6" s="344"/>
      <c r="ICA6" s="344"/>
      <c r="ICB6" s="344"/>
      <c r="ICC6" s="344"/>
      <c r="ICD6" s="344"/>
      <c r="ICE6" s="344"/>
      <c r="ICF6" s="344"/>
      <c r="ICG6" s="344"/>
      <c r="ICH6" s="344"/>
      <c r="ICI6" s="344"/>
      <c r="ICJ6" s="344"/>
      <c r="ICK6" s="344"/>
      <c r="ICL6" s="344"/>
      <c r="ICM6" s="344"/>
      <c r="ICN6" s="344"/>
      <c r="ICO6" s="344"/>
      <c r="ICP6" s="344"/>
      <c r="ICQ6" s="344"/>
      <c r="ICR6" s="344"/>
      <c r="ICS6" s="344"/>
      <c r="ICT6" s="344"/>
      <c r="ICU6" s="344"/>
      <c r="ICV6" s="344"/>
      <c r="ICW6" s="344"/>
      <c r="ICX6" s="344"/>
      <c r="ICY6" s="344"/>
      <c r="ICZ6" s="344"/>
      <c r="IDA6" s="344"/>
      <c r="IDB6" s="344"/>
      <c r="IDC6" s="344"/>
      <c r="IDD6" s="344"/>
      <c r="IDE6" s="344"/>
      <c r="IDF6" s="344"/>
      <c r="IDG6" s="344"/>
      <c r="IDH6" s="344"/>
      <c r="IDI6" s="344"/>
      <c r="IDJ6" s="344"/>
      <c r="IDK6" s="344"/>
      <c r="IDL6" s="344"/>
      <c r="IDM6" s="344"/>
      <c r="IDN6" s="344"/>
      <c r="IDO6" s="344"/>
      <c r="IDP6" s="344"/>
      <c r="IDQ6" s="344"/>
      <c r="IDR6" s="344"/>
      <c r="IDS6" s="344"/>
      <c r="IDT6" s="344"/>
      <c r="IDU6" s="344"/>
      <c r="IDV6" s="344"/>
      <c r="IDW6" s="344"/>
      <c r="IDX6" s="344"/>
      <c r="IDY6" s="344"/>
      <c r="IDZ6" s="344"/>
      <c r="IEA6" s="344"/>
      <c r="IEB6" s="344"/>
      <c r="IEC6" s="344"/>
      <c r="IED6" s="344"/>
      <c r="IEE6" s="344"/>
      <c r="IEF6" s="344"/>
      <c r="IEG6" s="344"/>
      <c r="IEH6" s="344"/>
      <c r="IEI6" s="344"/>
      <c r="IEJ6" s="344"/>
      <c r="IEK6" s="344"/>
      <c r="IEL6" s="344"/>
      <c r="IEM6" s="344"/>
      <c r="IEN6" s="344"/>
      <c r="IEO6" s="344"/>
      <c r="IEP6" s="344"/>
      <c r="IEQ6" s="344"/>
      <c r="IER6" s="344"/>
      <c r="IES6" s="344"/>
      <c r="IET6" s="344"/>
      <c r="IEU6" s="344"/>
      <c r="IEV6" s="344"/>
      <c r="IEW6" s="344"/>
      <c r="IEX6" s="344"/>
      <c r="IEY6" s="344"/>
      <c r="IEZ6" s="344"/>
      <c r="IFA6" s="344"/>
      <c r="IFB6" s="344"/>
      <c r="IFC6" s="344"/>
      <c r="IFD6" s="344"/>
      <c r="IFE6" s="344"/>
      <c r="IFF6" s="344"/>
      <c r="IFG6" s="344"/>
      <c r="IFH6" s="344"/>
      <c r="IFI6" s="344"/>
      <c r="IFJ6" s="344"/>
      <c r="IFK6" s="344"/>
      <c r="IFL6" s="344"/>
      <c r="IFM6" s="344"/>
      <c r="IFN6" s="344"/>
      <c r="IFO6" s="344"/>
      <c r="IFP6" s="344"/>
      <c r="IFQ6" s="344"/>
      <c r="IFR6" s="344"/>
      <c r="IFS6" s="344"/>
      <c r="IFT6" s="344"/>
      <c r="IFU6" s="344"/>
      <c r="IFV6" s="344"/>
      <c r="IFW6" s="344"/>
      <c r="IFX6" s="344"/>
      <c r="IFY6" s="344"/>
      <c r="IFZ6" s="344"/>
      <c r="IGA6" s="344"/>
      <c r="IGB6" s="344"/>
      <c r="IGC6" s="344"/>
      <c r="IGD6" s="344"/>
      <c r="IGE6" s="344"/>
      <c r="IGF6" s="344"/>
      <c r="IGG6" s="344"/>
      <c r="IGH6" s="344"/>
      <c r="IGI6" s="344"/>
      <c r="IGJ6" s="344"/>
      <c r="IGK6" s="344"/>
      <c r="IGL6" s="344"/>
      <c r="IGM6" s="344"/>
      <c r="IGN6" s="344"/>
      <c r="IGO6" s="344"/>
      <c r="IGP6" s="344"/>
      <c r="IGQ6" s="344"/>
      <c r="IGR6" s="344"/>
      <c r="IGS6" s="344"/>
      <c r="IGT6" s="344"/>
      <c r="IGU6" s="344"/>
      <c r="IGV6" s="344"/>
      <c r="IGW6" s="344"/>
      <c r="IGX6" s="344"/>
      <c r="IGY6" s="344"/>
      <c r="IGZ6" s="344"/>
      <c r="IHA6" s="344"/>
      <c r="IHB6" s="344"/>
      <c r="IHC6" s="344"/>
      <c r="IHD6" s="344"/>
      <c r="IHE6" s="344"/>
      <c r="IHF6" s="344"/>
      <c r="IHG6" s="344"/>
      <c r="IHH6" s="344"/>
      <c r="IHI6" s="344"/>
      <c r="IHJ6" s="344"/>
      <c r="IHK6" s="344"/>
      <c r="IHL6" s="344"/>
      <c r="IHM6" s="344"/>
      <c r="IHN6" s="344"/>
      <c r="IHO6" s="344"/>
      <c r="IHP6" s="344"/>
      <c r="IHQ6" s="344"/>
      <c r="IHR6" s="344"/>
      <c r="IHS6" s="344"/>
      <c r="IHT6" s="344"/>
      <c r="IHU6" s="344"/>
      <c r="IHV6" s="344"/>
      <c r="IHW6" s="344"/>
      <c r="IHX6" s="344"/>
      <c r="IHY6" s="344"/>
      <c r="IHZ6" s="344"/>
      <c r="IIA6" s="344"/>
      <c r="IIB6" s="344"/>
      <c r="IIC6" s="344"/>
      <c r="IID6" s="344"/>
      <c r="IIE6" s="344"/>
      <c r="IIF6" s="344"/>
      <c r="IIG6" s="344"/>
      <c r="IIH6" s="344"/>
      <c r="III6" s="344"/>
      <c r="IIJ6" s="344"/>
      <c r="IIK6" s="344"/>
      <c r="IIL6" s="344"/>
      <c r="IIM6" s="344"/>
      <c r="IIN6" s="344"/>
      <c r="IIO6" s="344"/>
      <c r="IIP6" s="344"/>
      <c r="IIQ6" s="344"/>
      <c r="IIR6" s="344"/>
      <c r="IIS6" s="344"/>
      <c r="IIT6" s="344"/>
      <c r="IIU6" s="344"/>
      <c r="IIV6" s="344"/>
      <c r="IIW6" s="344"/>
      <c r="IIX6" s="344"/>
      <c r="IIY6" s="344"/>
      <c r="IIZ6" s="344"/>
      <c r="IJA6" s="344"/>
      <c r="IJB6" s="344"/>
      <c r="IJC6" s="344"/>
      <c r="IJD6" s="344"/>
      <c r="IJE6" s="344"/>
      <c r="IJF6" s="344"/>
      <c r="IJG6" s="344"/>
      <c r="IJH6" s="344"/>
      <c r="IJI6" s="344"/>
      <c r="IJJ6" s="344"/>
      <c r="IJK6" s="344"/>
      <c r="IJL6" s="344"/>
      <c r="IJM6" s="344"/>
      <c r="IJN6" s="344"/>
      <c r="IJO6" s="344"/>
      <c r="IJP6" s="344"/>
      <c r="IJQ6" s="344"/>
      <c r="IJR6" s="344"/>
      <c r="IJS6" s="344"/>
      <c r="IJT6" s="344"/>
      <c r="IJU6" s="344"/>
      <c r="IJV6" s="344"/>
      <c r="IJW6" s="344"/>
      <c r="IJX6" s="344"/>
      <c r="IJY6" s="344"/>
      <c r="IJZ6" s="344"/>
      <c r="IKA6" s="344"/>
      <c r="IKB6" s="344"/>
      <c r="IKC6" s="344"/>
      <c r="IKD6" s="344"/>
      <c r="IKE6" s="344"/>
      <c r="IKF6" s="344"/>
      <c r="IKG6" s="344"/>
      <c r="IKH6" s="344"/>
      <c r="IKI6" s="344"/>
      <c r="IKJ6" s="344"/>
      <c r="IKK6" s="344"/>
      <c r="IKL6" s="344"/>
      <c r="IKM6" s="344"/>
      <c r="IKN6" s="344"/>
      <c r="IKO6" s="344"/>
      <c r="IKP6" s="344"/>
      <c r="IKQ6" s="344"/>
      <c r="IKR6" s="344"/>
      <c r="IKS6" s="344"/>
      <c r="IKT6" s="344"/>
      <c r="IKU6" s="344"/>
      <c r="IKV6" s="344"/>
      <c r="IKW6" s="344"/>
      <c r="IKX6" s="344"/>
      <c r="IKY6" s="344"/>
      <c r="IKZ6" s="344"/>
      <c r="ILA6" s="344"/>
      <c r="ILB6" s="344"/>
      <c r="ILC6" s="344"/>
      <c r="ILD6" s="344"/>
      <c r="ILE6" s="344"/>
      <c r="ILF6" s="344"/>
      <c r="ILG6" s="344"/>
      <c r="ILH6" s="344"/>
      <c r="ILI6" s="344"/>
      <c r="ILJ6" s="344"/>
      <c r="ILK6" s="344"/>
      <c r="ILL6" s="344"/>
      <c r="ILM6" s="344"/>
      <c r="ILN6" s="344"/>
      <c r="ILO6" s="344"/>
      <c r="ILP6" s="344"/>
      <c r="ILQ6" s="344"/>
      <c r="ILR6" s="344"/>
      <c r="ILS6" s="344"/>
      <c r="ILT6" s="344"/>
      <c r="ILU6" s="344"/>
      <c r="ILV6" s="344"/>
      <c r="ILW6" s="344"/>
      <c r="ILX6" s="344"/>
      <c r="ILY6" s="344"/>
      <c r="ILZ6" s="344"/>
      <c r="IMA6" s="344"/>
      <c r="IMB6" s="344"/>
      <c r="IMC6" s="344"/>
      <c r="IMD6" s="344"/>
      <c r="IME6" s="344"/>
      <c r="IMF6" s="344"/>
      <c r="IMG6" s="344"/>
      <c r="IMH6" s="344"/>
      <c r="IMI6" s="344"/>
      <c r="IMJ6" s="344"/>
      <c r="IMK6" s="344"/>
      <c r="IML6" s="344"/>
      <c r="IMM6" s="344"/>
      <c r="IMN6" s="344"/>
      <c r="IMO6" s="344"/>
      <c r="IMP6" s="344"/>
      <c r="IMQ6" s="344"/>
      <c r="IMR6" s="344"/>
      <c r="IMS6" s="344"/>
      <c r="IMT6" s="344"/>
      <c r="IMU6" s="344"/>
      <c r="IMV6" s="344"/>
      <c r="IMW6" s="344"/>
      <c r="IMX6" s="344"/>
      <c r="IMY6" s="344"/>
      <c r="IMZ6" s="344"/>
      <c r="INA6" s="344"/>
      <c r="INB6" s="344"/>
      <c r="INC6" s="344"/>
      <c r="IND6" s="344"/>
      <c r="INE6" s="344"/>
      <c r="INF6" s="344"/>
      <c r="ING6" s="344"/>
      <c r="INH6" s="344"/>
      <c r="INI6" s="344"/>
      <c r="INJ6" s="344"/>
      <c r="INK6" s="344"/>
      <c r="INL6" s="344"/>
      <c r="INM6" s="344"/>
      <c r="INN6" s="344"/>
      <c r="INO6" s="344"/>
      <c r="INP6" s="344"/>
      <c r="INQ6" s="344"/>
      <c r="INR6" s="344"/>
      <c r="INS6" s="344"/>
      <c r="INT6" s="344"/>
      <c r="INU6" s="344"/>
      <c r="INV6" s="344"/>
      <c r="INW6" s="344"/>
      <c r="INX6" s="344"/>
      <c r="INY6" s="344"/>
      <c r="INZ6" s="344"/>
      <c r="IOA6" s="344"/>
      <c r="IOB6" s="344"/>
      <c r="IOC6" s="344"/>
      <c r="IOD6" s="344"/>
      <c r="IOE6" s="344"/>
      <c r="IOF6" s="344"/>
      <c r="IOG6" s="344"/>
      <c r="IOH6" s="344"/>
      <c r="IOI6" s="344"/>
      <c r="IOJ6" s="344"/>
      <c r="IOK6" s="344"/>
      <c r="IOL6" s="344"/>
      <c r="IOM6" s="344"/>
      <c r="ION6" s="344"/>
      <c r="IOO6" s="344"/>
      <c r="IOP6" s="344"/>
      <c r="IOQ6" s="344"/>
      <c r="IOR6" s="344"/>
      <c r="IOS6" s="344"/>
      <c r="IOT6" s="344"/>
      <c r="IOU6" s="344"/>
      <c r="IOV6" s="344"/>
      <c r="IOW6" s="344"/>
      <c r="IOX6" s="344"/>
      <c r="IOY6" s="344"/>
      <c r="IOZ6" s="344"/>
      <c r="IPA6" s="344"/>
      <c r="IPB6" s="344"/>
      <c r="IPC6" s="344"/>
      <c r="IPD6" s="344"/>
      <c r="IPE6" s="344"/>
      <c r="IPF6" s="344"/>
      <c r="IPG6" s="344"/>
      <c r="IPH6" s="344"/>
      <c r="IPI6" s="344"/>
      <c r="IPJ6" s="344"/>
      <c r="IPK6" s="344"/>
      <c r="IPL6" s="344"/>
      <c r="IPM6" s="344"/>
      <c r="IPN6" s="344"/>
      <c r="IPO6" s="344"/>
      <c r="IPP6" s="344"/>
      <c r="IPQ6" s="344"/>
      <c r="IPR6" s="344"/>
      <c r="IPS6" s="344"/>
      <c r="IPT6" s="344"/>
      <c r="IPU6" s="344"/>
      <c r="IPV6" s="344"/>
      <c r="IPW6" s="344"/>
      <c r="IPX6" s="344"/>
      <c r="IPY6" s="344"/>
      <c r="IPZ6" s="344"/>
      <c r="IQA6" s="344"/>
      <c r="IQB6" s="344"/>
      <c r="IQC6" s="344"/>
      <c r="IQD6" s="344"/>
      <c r="IQE6" s="344"/>
      <c r="IQF6" s="344"/>
      <c r="IQG6" s="344"/>
      <c r="IQH6" s="344"/>
      <c r="IQI6" s="344"/>
      <c r="IQJ6" s="344"/>
      <c r="IQK6" s="344"/>
      <c r="IQL6" s="344"/>
      <c r="IQM6" s="344"/>
      <c r="IQN6" s="344"/>
      <c r="IQO6" s="344"/>
      <c r="IQP6" s="344"/>
      <c r="IQQ6" s="344"/>
      <c r="IQR6" s="344"/>
      <c r="IQS6" s="344"/>
      <c r="IQT6" s="344"/>
      <c r="IQU6" s="344"/>
      <c r="IQV6" s="344"/>
      <c r="IQW6" s="344"/>
      <c r="IQX6" s="344"/>
      <c r="IQY6" s="344"/>
      <c r="IQZ6" s="344"/>
      <c r="IRA6" s="344"/>
      <c r="IRB6" s="344"/>
      <c r="IRC6" s="344"/>
      <c r="IRD6" s="344"/>
      <c r="IRE6" s="344"/>
      <c r="IRF6" s="344"/>
      <c r="IRG6" s="344"/>
      <c r="IRH6" s="344"/>
      <c r="IRI6" s="344"/>
      <c r="IRJ6" s="344"/>
      <c r="IRK6" s="344"/>
      <c r="IRL6" s="344"/>
      <c r="IRM6" s="344"/>
      <c r="IRN6" s="344"/>
      <c r="IRO6" s="344"/>
      <c r="IRP6" s="344"/>
      <c r="IRQ6" s="344"/>
      <c r="IRR6" s="344"/>
      <c r="IRS6" s="344"/>
      <c r="IRT6" s="344"/>
      <c r="IRU6" s="344"/>
      <c r="IRV6" s="344"/>
      <c r="IRW6" s="344"/>
      <c r="IRX6" s="344"/>
      <c r="IRY6" s="344"/>
      <c r="IRZ6" s="344"/>
      <c r="ISA6" s="344"/>
      <c r="ISB6" s="344"/>
      <c r="ISC6" s="344"/>
      <c r="ISD6" s="344"/>
      <c r="ISE6" s="344"/>
      <c r="ISF6" s="344"/>
      <c r="ISG6" s="344"/>
      <c r="ISH6" s="344"/>
      <c r="ISI6" s="344"/>
      <c r="ISJ6" s="344"/>
      <c r="ISK6" s="344"/>
      <c r="ISL6" s="344"/>
      <c r="ISM6" s="344"/>
      <c r="ISN6" s="344"/>
      <c r="ISO6" s="344"/>
      <c r="ISP6" s="344"/>
      <c r="ISQ6" s="344"/>
      <c r="ISR6" s="344"/>
      <c r="ISS6" s="344"/>
      <c r="IST6" s="344"/>
      <c r="ISU6" s="344"/>
      <c r="ISV6" s="344"/>
      <c r="ISW6" s="344"/>
      <c r="ISX6" s="344"/>
      <c r="ISY6" s="344"/>
      <c r="ISZ6" s="344"/>
      <c r="ITA6" s="344"/>
      <c r="ITB6" s="344"/>
      <c r="ITC6" s="344"/>
      <c r="ITD6" s="344"/>
      <c r="ITE6" s="344"/>
      <c r="ITF6" s="344"/>
      <c r="ITG6" s="344"/>
      <c r="ITH6" s="344"/>
      <c r="ITI6" s="344"/>
      <c r="ITJ6" s="344"/>
      <c r="ITK6" s="344"/>
      <c r="ITL6" s="344"/>
      <c r="ITM6" s="344"/>
      <c r="ITN6" s="344"/>
      <c r="ITO6" s="344"/>
      <c r="ITP6" s="344"/>
      <c r="ITQ6" s="344"/>
      <c r="ITR6" s="344"/>
      <c r="ITS6" s="344"/>
      <c r="ITT6" s="344"/>
      <c r="ITU6" s="344"/>
      <c r="ITV6" s="344"/>
      <c r="ITW6" s="344"/>
      <c r="ITX6" s="344"/>
      <c r="ITY6" s="344"/>
      <c r="ITZ6" s="344"/>
      <c r="IUA6" s="344"/>
      <c r="IUB6" s="344"/>
      <c r="IUC6" s="344"/>
      <c r="IUD6" s="344"/>
      <c r="IUE6" s="344"/>
      <c r="IUF6" s="344"/>
      <c r="IUG6" s="344"/>
      <c r="IUH6" s="344"/>
      <c r="IUI6" s="344"/>
      <c r="IUJ6" s="344"/>
      <c r="IUK6" s="344"/>
      <c r="IUL6" s="344"/>
      <c r="IUM6" s="344"/>
      <c r="IUN6" s="344"/>
      <c r="IUO6" s="344"/>
      <c r="IUP6" s="344"/>
      <c r="IUQ6" s="344"/>
      <c r="IUR6" s="344"/>
      <c r="IUS6" s="344"/>
      <c r="IUT6" s="344"/>
      <c r="IUU6" s="344"/>
      <c r="IUV6" s="344"/>
      <c r="IUW6" s="344"/>
      <c r="IUX6" s="344"/>
      <c r="IUY6" s="344"/>
      <c r="IUZ6" s="344"/>
      <c r="IVA6" s="344"/>
      <c r="IVB6" s="344"/>
      <c r="IVC6" s="344"/>
      <c r="IVD6" s="344"/>
      <c r="IVE6" s="344"/>
      <c r="IVF6" s="344"/>
      <c r="IVG6" s="344"/>
      <c r="IVH6" s="344"/>
      <c r="IVI6" s="344"/>
      <c r="IVJ6" s="344"/>
      <c r="IVK6" s="344"/>
      <c r="IVL6" s="344"/>
      <c r="IVM6" s="344"/>
      <c r="IVN6" s="344"/>
      <c r="IVO6" s="344"/>
      <c r="IVP6" s="344"/>
      <c r="IVQ6" s="344"/>
      <c r="IVR6" s="344"/>
      <c r="IVS6" s="344"/>
      <c r="IVT6" s="344"/>
      <c r="IVU6" s="344"/>
      <c r="IVV6" s="344"/>
      <c r="IVW6" s="344"/>
      <c r="IVX6" s="344"/>
      <c r="IVY6" s="344"/>
      <c r="IVZ6" s="344"/>
      <c r="IWA6" s="344"/>
      <c r="IWB6" s="344"/>
      <c r="IWC6" s="344"/>
      <c r="IWD6" s="344"/>
      <c r="IWE6" s="344"/>
      <c r="IWF6" s="344"/>
      <c r="IWG6" s="344"/>
      <c r="IWH6" s="344"/>
      <c r="IWI6" s="344"/>
      <c r="IWJ6" s="344"/>
      <c r="IWK6" s="344"/>
      <c r="IWL6" s="344"/>
      <c r="IWM6" s="344"/>
      <c r="IWN6" s="344"/>
      <c r="IWO6" s="344"/>
      <c r="IWP6" s="344"/>
      <c r="IWQ6" s="344"/>
      <c r="IWR6" s="344"/>
      <c r="IWS6" s="344"/>
      <c r="IWT6" s="344"/>
      <c r="IWU6" s="344"/>
      <c r="IWV6" s="344"/>
      <c r="IWW6" s="344"/>
      <c r="IWX6" s="344"/>
      <c r="IWY6" s="344"/>
      <c r="IWZ6" s="344"/>
      <c r="IXA6" s="344"/>
      <c r="IXB6" s="344"/>
      <c r="IXC6" s="344"/>
      <c r="IXD6" s="344"/>
      <c r="IXE6" s="344"/>
      <c r="IXF6" s="344"/>
      <c r="IXG6" s="344"/>
      <c r="IXH6" s="344"/>
      <c r="IXI6" s="344"/>
      <c r="IXJ6" s="344"/>
      <c r="IXK6" s="344"/>
      <c r="IXL6" s="344"/>
      <c r="IXM6" s="344"/>
      <c r="IXN6" s="344"/>
      <c r="IXO6" s="344"/>
      <c r="IXP6" s="344"/>
      <c r="IXQ6" s="344"/>
      <c r="IXR6" s="344"/>
      <c r="IXS6" s="344"/>
      <c r="IXT6" s="344"/>
      <c r="IXU6" s="344"/>
      <c r="IXV6" s="344"/>
      <c r="IXW6" s="344"/>
      <c r="IXX6" s="344"/>
      <c r="IXY6" s="344"/>
      <c r="IXZ6" s="344"/>
      <c r="IYA6" s="344"/>
      <c r="IYB6" s="344"/>
      <c r="IYC6" s="344"/>
      <c r="IYD6" s="344"/>
      <c r="IYE6" s="344"/>
      <c r="IYF6" s="344"/>
      <c r="IYG6" s="344"/>
      <c r="IYH6" s="344"/>
      <c r="IYI6" s="344"/>
      <c r="IYJ6" s="344"/>
      <c r="IYK6" s="344"/>
      <c r="IYL6" s="344"/>
      <c r="IYM6" s="344"/>
      <c r="IYN6" s="344"/>
      <c r="IYO6" s="344"/>
      <c r="IYP6" s="344"/>
      <c r="IYQ6" s="344"/>
      <c r="IYR6" s="344"/>
      <c r="IYS6" s="344"/>
      <c r="IYT6" s="344"/>
      <c r="IYU6" s="344"/>
      <c r="IYV6" s="344"/>
      <c r="IYW6" s="344"/>
      <c r="IYX6" s="344"/>
      <c r="IYY6" s="344"/>
      <c r="IYZ6" s="344"/>
      <c r="IZA6" s="344"/>
      <c r="IZB6" s="344"/>
      <c r="IZC6" s="344"/>
      <c r="IZD6" s="344"/>
      <c r="IZE6" s="344"/>
      <c r="IZF6" s="344"/>
      <c r="IZG6" s="344"/>
      <c r="IZH6" s="344"/>
      <c r="IZI6" s="344"/>
      <c r="IZJ6" s="344"/>
      <c r="IZK6" s="344"/>
      <c r="IZL6" s="344"/>
      <c r="IZM6" s="344"/>
      <c r="IZN6" s="344"/>
      <c r="IZO6" s="344"/>
      <c r="IZP6" s="344"/>
      <c r="IZQ6" s="344"/>
      <c r="IZR6" s="344"/>
      <c r="IZS6" s="344"/>
      <c r="IZT6" s="344"/>
      <c r="IZU6" s="344"/>
      <c r="IZV6" s="344"/>
      <c r="IZW6" s="344"/>
      <c r="IZX6" s="344"/>
      <c r="IZY6" s="344"/>
      <c r="IZZ6" s="344"/>
      <c r="JAA6" s="344"/>
      <c r="JAB6" s="344"/>
      <c r="JAC6" s="344"/>
      <c r="JAD6" s="344"/>
      <c r="JAE6" s="344"/>
      <c r="JAF6" s="344"/>
      <c r="JAG6" s="344"/>
      <c r="JAH6" s="344"/>
      <c r="JAI6" s="344"/>
      <c r="JAJ6" s="344"/>
      <c r="JAK6" s="344"/>
      <c r="JAL6" s="344"/>
      <c r="JAM6" s="344"/>
      <c r="JAN6" s="344"/>
      <c r="JAO6" s="344"/>
      <c r="JAP6" s="344"/>
      <c r="JAQ6" s="344"/>
      <c r="JAR6" s="344"/>
      <c r="JAS6" s="344"/>
      <c r="JAT6" s="344"/>
      <c r="JAU6" s="344"/>
      <c r="JAV6" s="344"/>
      <c r="JAW6" s="344"/>
      <c r="JAX6" s="344"/>
      <c r="JAY6" s="344"/>
      <c r="JAZ6" s="344"/>
      <c r="JBA6" s="344"/>
      <c r="JBB6" s="344"/>
      <c r="JBC6" s="344"/>
      <c r="JBD6" s="344"/>
      <c r="JBE6" s="344"/>
      <c r="JBF6" s="344"/>
      <c r="JBG6" s="344"/>
      <c r="JBH6" s="344"/>
      <c r="JBI6" s="344"/>
      <c r="JBJ6" s="344"/>
      <c r="JBK6" s="344"/>
      <c r="JBL6" s="344"/>
      <c r="JBM6" s="344"/>
      <c r="JBN6" s="344"/>
      <c r="JBO6" s="344"/>
      <c r="JBP6" s="344"/>
      <c r="JBQ6" s="344"/>
      <c r="JBR6" s="344"/>
      <c r="JBS6" s="344"/>
      <c r="JBT6" s="344"/>
      <c r="JBU6" s="344"/>
      <c r="JBV6" s="344"/>
      <c r="JBW6" s="344"/>
      <c r="JBX6" s="344"/>
      <c r="JBY6" s="344"/>
      <c r="JBZ6" s="344"/>
      <c r="JCA6" s="344"/>
      <c r="JCB6" s="344"/>
      <c r="JCC6" s="344"/>
      <c r="JCD6" s="344"/>
      <c r="JCE6" s="344"/>
      <c r="JCF6" s="344"/>
      <c r="JCG6" s="344"/>
      <c r="JCH6" s="344"/>
      <c r="JCI6" s="344"/>
      <c r="JCJ6" s="344"/>
      <c r="JCK6" s="344"/>
      <c r="JCL6" s="344"/>
      <c r="JCM6" s="344"/>
      <c r="JCN6" s="344"/>
      <c r="JCO6" s="344"/>
      <c r="JCP6" s="344"/>
      <c r="JCQ6" s="344"/>
      <c r="JCR6" s="344"/>
      <c r="JCS6" s="344"/>
      <c r="JCT6" s="344"/>
      <c r="JCU6" s="344"/>
      <c r="JCV6" s="344"/>
      <c r="JCW6" s="344"/>
      <c r="JCX6" s="344"/>
      <c r="JCY6" s="344"/>
      <c r="JCZ6" s="344"/>
      <c r="JDA6" s="344"/>
      <c r="JDB6" s="344"/>
      <c r="JDC6" s="344"/>
      <c r="JDD6" s="344"/>
      <c r="JDE6" s="344"/>
      <c r="JDF6" s="344"/>
      <c r="JDG6" s="344"/>
      <c r="JDH6" s="344"/>
      <c r="JDI6" s="344"/>
      <c r="JDJ6" s="344"/>
      <c r="JDK6" s="344"/>
      <c r="JDL6" s="344"/>
      <c r="JDM6" s="344"/>
      <c r="JDN6" s="344"/>
      <c r="JDO6" s="344"/>
      <c r="JDP6" s="344"/>
      <c r="JDQ6" s="344"/>
      <c r="JDR6" s="344"/>
      <c r="JDS6" s="344"/>
      <c r="JDT6" s="344"/>
      <c r="JDU6" s="344"/>
      <c r="JDV6" s="344"/>
      <c r="JDW6" s="344"/>
      <c r="JDX6" s="344"/>
      <c r="JDY6" s="344"/>
      <c r="JDZ6" s="344"/>
      <c r="JEA6" s="344"/>
      <c r="JEB6" s="344"/>
      <c r="JEC6" s="344"/>
      <c r="JED6" s="344"/>
      <c r="JEE6" s="344"/>
      <c r="JEF6" s="344"/>
      <c r="JEG6" s="344"/>
      <c r="JEH6" s="344"/>
      <c r="JEI6" s="344"/>
      <c r="JEJ6" s="344"/>
      <c r="JEK6" s="344"/>
      <c r="JEL6" s="344"/>
      <c r="JEM6" s="344"/>
      <c r="JEN6" s="344"/>
      <c r="JEO6" s="344"/>
      <c r="JEP6" s="344"/>
      <c r="JEQ6" s="344"/>
      <c r="JER6" s="344"/>
      <c r="JES6" s="344"/>
      <c r="JET6" s="344"/>
      <c r="JEU6" s="344"/>
      <c r="JEV6" s="344"/>
      <c r="JEW6" s="344"/>
      <c r="JEX6" s="344"/>
      <c r="JEY6" s="344"/>
      <c r="JEZ6" s="344"/>
      <c r="JFA6" s="344"/>
      <c r="JFB6" s="344"/>
      <c r="JFC6" s="344"/>
      <c r="JFD6" s="344"/>
      <c r="JFE6" s="344"/>
      <c r="JFF6" s="344"/>
      <c r="JFG6" s="344"/>
      <c r="JFH6" s="344"/>
      <c r="JFI6" s="344"/>
      <c r="JFJ6" s="344"/>
      <c r="JFK6" s="344"/>
      <c r="JFL6" s="344"/>
      <c r="JFM6" s="344"/>
      <c r="JFN6" s="344"/>
      <c r="JFO6" s="344"/>
      <c r="JFP6" s="344"/>
      <c r="JFQ6" s="344"/>
      <c r="JFR6" s="344"/>
      <c r="JFS6" s="344"/>
      <c r="JFT6" s="344"/>
      <c r="JFU6" s="344"/>
      <c r="JFV6" s="344"/>
      <c r="JFW6" s="344"/>
      <c r="JFX6" s="344"/>
      <c r="JFY6" s="344"/>
      <c r="JFZ6" s="344"/>
      <c r="JGA6" s="344"/>
      <c r="JGB6" s="344"/>
      <c r="JGC6" s="344"/>
      <c r="JGD6" s="344"/>
      <c r="JGE6" s="344"/>
      <c r="JGF6" s="344"/>
      <c r="JGG6" s="344"/>
      <c r="JGH6" s="344"/>
      <c r="JGI6" s="344"/>
      <c r="JGJ6" s="344"/>
      <c r="JGK6" s="344"/>
      <c r="JGL6" s="344"/>
      <c r="JGM6" s="344"/>
      <c r="JGN6" s="344"/>
      <c r="JGO6" s="344"/>
      <c r="JGP6" s="344"/>
      <c r="JGQ6" s="344"/>
      <c r="JGR6" s="344"/>
      <c r="JGS6" s="344"/>
      <c r="JGT6" s="344"/>
      <c r="JGU6" s="344"/>
      <c r="JGV6" s="344"/>
      <c r="JGW6" s="344"/>
      <c r="JGX6" s="344"/>
      <c r="JGY6" s="344"/>
      <c r="JGZ6" s="344"/>
      <c r="JHA6" s="344"/>
      <c r="JHB6" s="344"/>
      <c r="JHC6" s="344"/>
      <c r="JHD6" s="344"/>
      <c r="JHE6" s="344"/>
      <c r="JHF6" s="344"/>
      <c r="JHG6" s="344"/>
      <c r="JHH6" s="344"/>
      <c r="JHI6" s="344"/>
      <c r="JHJ6" s="344"/>
      <c r="JHK6" s="344"/>
      <c r="JHL6" s="344"/>
      <c r="JHM6" s="344"/>
      <c r="JHN6" s="344"/>
      <c r="JHO6" s="344"/>
      <c r="JHP6" s="344"/>
      <c r="JHQ6" s="344"/>
      <c r="JHR6" s="344"/>
      <c r="JHS6" s="344"/>
      <c r="JHT6" s="344"/>
      <c r="JHU6" s="344"/>
      <c r="JHV6" s="344"/>
      <c r="JHW6" s="344"/>
      <c r="JHX6" s="344"/>
      <c r="JHY6" s="344"/>
      <c r="JHZ6" s="344"/>
      <c r="JIA6" s="344"/>
      <c r="JIB6" s="344"/>
      <c r="JIC6" s="344"/>
      <c r="JID6" s="344"/>
      <c r="JIE6" s="344"/>
      <c r="JIF6" s="344"/>
      <c r="JIG6" s="344"/>
      <c r="JIH6" s="344"/>
      <c r="JII6" s="344"/>
      <c r="JIJ6" s="344"/>
      <c r="JIK6" s="344"/>
      <c r="JIL6" s="344"/>
      <c r="JIM6" s="344"/>
      <c r="JIN6" s="344"/>
      <c r="JIO6" s="344"/>
      <c r="JIP6" s="344"/>
      <c r="JIQ6" s="344"/>
      <c r="JIR6" s="344"/>
      <c r="JIS6" s="344"/>
      <c r="JIT6" s="344"/>
      <c r="JIU6" s="344"/>
      <c r="JIV6" s="344"/>
      <c r="JIW6" s="344"/>
      <c r="JIX6" s="344"/>
      <c r="JIY6" s="344"/>
      <c r="JIZ6" s="344"/>
      <c r="JJA6" s="344"/>
      <c r="JJB6" s="344"/>
      <c r="JJC6" s="344"/>
      <c r="JJD6" s="344"/>
      <c r="JJE6" s="344"/>
      <c r="JJF6" s="344"/>
      <c r="JJG6" s="344"/>
      <c r="JJH6" s="344"/>
      <c r="JJI6" s="344"/>
      <c r="JJJ6" s="344"/>
      <c r="JJK6" s="344"/>
      <c r="JJL6" s="344"/>
      <c r="JJM6" s="344"/>
      <c r="JJN6" s="344"/>
      <c r="JJO6" s="344"/>
      <c r="JJP6" s="344"/>
      <c r="JJQ6" s="344"/>
      <c r="JJR6" s="344"/>
      <c r="JJS6" s="344"/>
      <c r="JJT6" s="344"/>
      <c r="JJU6" s="344"/>
      <c r="JJV6" s="344"/>
      <c r="JJW6" s="344"/>
      <c r="JJX6" s="344"/>
      <c r="JJY6" s="344"/>
      <c r="JJZ6" s="344"/>
      <c r="JKA6" s="344"/>
      <c r="JKB6" s="344"/>
      <c r="JKC6" s="344"/>
      <c r="JKD6" s="344"/>
      <c r="JKE6" s="344"/>
      <c r="JKF6" s="344"/>
      <c r="JKG6" s="344"/>
      <c r="JKH6" s="344"/>
      <c r="JKI6" s="344"/>
      <c r="JKJ6" s="344"/>
      <c r="JKK6" s="344"/>
      <c r="JKL6" s="344"/>
      <c r="JKM6" s="344"/>
      <c r="JKN6" s="344"/>
      <c r="JKO6" s="344"/>
      <c r="JKP6" s="344"/>
      <c r="JKQ6" s="344"/>
      <c r="JKR6" s="344"/>
      <c r="JKS6" s="344"/>
      <c r="JKT6" s="344"/>
      <c r="JKU6" s="344"/>
      <c r="JKV6" s="344"/>
      <c r="JKW6" s="344"/>
      <c r="JKX6" s="344"/>
      <c r="JKY6" s="344"/>
      <c r="JKZ6" s="344"/>
      <c r="JLA6" s="344"/>
      <c r="JLB6" s="344"/>
      <c r="JLC6" s="344"/>
      <c r="JLD6" s="344"/>
      <c r="JLE6" s="344"/>
      <c r="JLF6" s="344"/>
      <c r="JLG6" s="344"/>
      <c r="JLH6" s="344"/>
      <c r="JLI6" s="344"/>
      <c r="JLJ6" s="344"/>
      <c r="JLK6" s="344"/>
      <c r="JLL6" s="344"/>
      <c r="JLM6" s="344"/>
      <c r="JLN6" s="344"/>
      <c r="JLO6" s="344"/>
      <c r="JLP6" s="344"/>
      <c r="JLQ6" s="344"/>
      <c r="JLR6" s="344"/>
      <c r="JLS6" s="344"/>
      <c r="JLT6" s="344"/>
      <c r="JLU6" s="344"/>
      <c r="JLV6" s="344"/>
      <c r="JLW6" s="344"/>
      <c r="JLX6" s="344"/>
      <c r="JLY6" s="344"/>
      <c r="JLZ6" s="344"/>
      <c r="JMA6" s="344"/>
      <c r="JMB6" s="344"/>
      <c r="JMC6" s="344"/>
      <c r="JMD6" s="344"/>
      <c r="JME6" s="344"/>
      <c r="JMF6" s="344"/>
      <c r="JMG6" s="344"/>
      <c r="JMH6" s="344"/>
      <c r="JMI6" s="344"/>
      <c r="JMJ6" s="344"/>
      <c r="JMK6" s="344"/>
      <c r="JML6" s="344"/>
      <c r="JMM6" s="344"/>
      <c r="JMN6" s="344"/>
      <c r="JMO6" s="344"/>
      <c r="JMP6" s="344"/>
      <c r="JMQ6" s="344"/>
      <c r="JMR6" s="344"/>
      <c r="JMS6" s="344"/>
      <c r="JMT6" s="344"/>
      <c r="JMU6" s="344"/>
      <c r="JMV6" s="344"/>
      <c r="JMW6" s="344"/>
      <c r="JMX6" s="344"/>
      <c r="JMY6" s="344"/>
      <c r="JMZ6" s="344"/>
      <c r="JNA6" s="344"/>
      <c r="JNB6" s="344"/>
      <c r="JNC6" s="344"/>
      <c r="JND6" s="344"/>
      <c r="JNE6" s="344"/>
      <c r="JNF6" s="344"/>
      <c r="JNG6" s="344"/>
      <c r="JNH6" s="344"/>
      <c r="JNI6" s="344"/>
      <c r="JNJ6" s="344"/>
      <c r="JNK6" s="344"/>
      <c r="JNL6" s="344"/>
      <c r="JNM6" s="344"/>
      <c r="JNN6" s="344"/>
      <c r="JNO6" s="344"/>
      <c r="JNP6" s="344"/>
      <c r="JNQ6" s="344"/>
      <c r="JNR6" s="344"/>
      <c r="JNS6" s="344"/>
      <c r="JNT6" s="344"/>
      <c r="JNU6" s="344"/>
      <c r="JNV6" s="344"/>
      <c r="JNW6" s="344"/>
      <c r="JNX6" s="344"/>
      <c r="JNY6" s="344"/>
      <c r="JNZ6" s="344"/>
      <c r="JOA6" s="344"/>
      <c r="JOB6" s="344"/>
      <c r="JOC6" s="344"/>
      <c r="JOD6" s="344"/>
      <c r="JOE6" s="344"/>
      <c r="JOF6" s="344"/>
      <c r="JOG6" s="344"/>
      <c r="JOH6" s="344"/>
      <c r="JOI6" s="344"/>
      <c r="JOJ6" s="344"/>
      <c r="JOK6" s="344"/>
      <c r="JOL6" s="344"/>
      <c r="JOM6" s="344"/>
      <c r="JON6" s="344"/>
      <c r="JOO6" s="344"/>
      <c r="JOP6" s="344"/>
      <c r="JOQ6" s="344"/>
      <c r="JOR6" s="344"/>
      <c r="JOS6" s="344"/>
      <c r="JOT6" s="344"/>
      <c r="JOU6" s="344"/>
      <c r="JOV6" s="344"/>
      <c r="JOW6" s="344"/>
      <c r="JOX6" s="344"/>
      <c r="JOY6" s="344"/>
      <c r="JOZ6" s="344"/>
      <c r="JPA6" s="344"/>
      <c r="JPB6" s="344"/>
      <c r="JPC6" s="344"/>
      <c r="JPD6" s="344"/>
      <c r="JPE6" s="344"/>
      <c r="JPF6" s="344"/>
      <c r="JPG6" s="344"/>
      <c r="JPH6" s="344"/>
      <c r="JPI6" s="344"/>
      <c r="JPJ6" s="344"/>
      <c r="JPK6" s="344"/>
      <c r="JPL6" s="344"/>
      <c r="JPM6" s="344"/>
      <c r="JPN6" s="344"/>
      <c r="JPO6" s="344"/>
      <c r="JPP6" s="344"/>
      <c r="JPQ6" s="344"/>
      <c r="JPR6" s="344"/>
      <c r="JPS6" s="344"/>
      <c r="JPT6" s="344"/>
      <c r="JPU6" s="344"/>
      <c r="JPV6" s="344"/>
      <c r="JPW6" s="344"/>
      <c r="JPX6" s="344"/>
      <c r="JPY6" s="344"/>
      <c r="JPZ6" s="344"/>
      <c r="JQA6" s="344"/>
      <c r="JQB6" s="344"/>
      <c r="JQC6" s="344"/>
      <c r="JQD6" s="344"/>
      <c r="JQE6" s="344"/>
      <c r="JQF6" s="344"/>
      <c r="JQG6" s="344"/>
      <c r="JQH6" s="344"/>
      <c r="JQI6" s="344"/>
      <c r="JQJ6" s="344"/>
      <c r="JQK6" s="344"/>
      <c r="JQL6" s="344"/>
      <c r="JQM6" s="344"/>
      <c r="JQN6" s="344"/>
      <c r="JQO6" s="344"/>
      <c r="JQP6" s="344"/>
      <c r="JQQ6" s="344"/>
      <c r="JQR6" s="344"/>
      <c r="JQS6" s="344"/>
      <c r="JQT6" s="344"/>
      <c r="JQU6" s="344"/>
      <c r="JQV6" s="344"/>
      <c r="JQW6" s="344"/>
      <c r="JQX6" s="344"/>
      <c r="JQY6" s="344"/>
      <c r="JQZ6" s="344"/>
      <c r="JRA6" s="344"/>
      <c r="JRB6" s="344"/>
      <c r="JRC6" s="344"/>
      <c r="JRD6" s="344"/>
      <c r="JRE6" s="344"/>
      <c r="JRF6" s="344"/>
      <c r="JRG6" s="344"/>
      <c r="JRH6" s="344"/>
      <c r="JRI6" s="344"/>
      <c r="JRJ6" s="344"/>
      <c r="JRK6" s="344"/>
      <c r="JRL6" s="344"/>
      <c r="JRM6" s="344"/>
      <c r="JRN6" s="344"/>
      <c r="JRO6" s="344"/>
      <c r="JRP6" s="344"/>
      <c r="JRQ6" s="344"/>
      <c r="JRR6" s="344"/>
      <c r="JRS6" s="344"/>
      <c r="JRT6" s="344"/>
      <c r="JRU6" s="344"/>
      <c r="JRV6" s="344"/>
      <c r="JRW6" s="344"/>
      <c r="JRX6" s="344"/>
      <c r="JRY6" s="344"/>
      <c r="JRZ6" s="344"/>
      <c r="JSA6" s="344"/>
      <c r="JSB6" s="344"/>
      <c r="JSC6" s="344"/>
      <c r="JSD6" s="344"/>
      <c r="JSE6" s="344"/>
      <c r="JSF6" s="344"/>
      <c r="JSG6" s="344"/>
      <c r="JSH6" s="344"/>
      <c r="JSI6" s="344"/>
      <c r="JSJ6" s="344"/>
      <c r="JSK6" s="344"/>
      <c r="JSL6" s="344"/>
      <c r="JSM6" s="344"/>
      <c r="JSN6" s="344"/>
      <c r="JSO6" s="344"/>
      <c r="JSP6" s="344"/>
      <c r="JSQ6" s="344"/>
      <c r="JSR6" s="344"/>
      <c r="JSS6" s="344"/>
      <c r="JST6" s="344"/>
      <c r="JSU6" s="344"/>
      <c r="JSV6" s="344"/>
      <c r="JSW6" s="344"/>
      <c r="JSX6" s="344"/>
      <c r="JSY6" s="344"/>
      <c r="JSZ6" s="344"/>
      <c r="JTA6" s="344"/>
      <c r="JTB6" s="344"/>
      <c r="JTC6" s="344"/>
      <c r="JTD6" s="344"/>
      <c r="JTE6" s="344"/>
      <c r="JTF6" s="344"/>
      <c r="JTG6" s="344"/>
      <c r="JTH6" s="344"/>
      <c r="JTI6" s="344"/>
      <c r="JTJ6" s="344"/>
      <c r="JTK6" s="344"/>
      <c r="JTL6" s="344"/>
      <c r="JTM6" s="344"/>
      <c r="JTN6" s="344"/>
      <c r="JTO6" s="344"/>
      <c r="JTP6" s="344"/>
      <c r="JTQ6" s="344"/>
      <c r="JTR6" s="344"/>
      <c r="JTS6" s="344"/>
      <c r="JTT6" s="344"/>
      <c r="JTU6" s="344"/>
      <c r="JTV6" s="344"/>
      <c r="JTW6" s="344"/>
      <c r="JTX6" s="344"/>
      <c r="JTY6" s="344"/>
      <c r="JTZ6" s="344"/>
      <c r="JUA6" s="344"/>
      <c r="JUB6" s="344"/>
      <c r="JUC6" s="344"/>
      <c r="JUD6" s="344"/>
      <c r="JUE6" s="344"/>
      <c r="JUF6" s="344"/>
      <c r="JUG6" s="344"/>
      <c r="JUH6" s="344"/>
      <c r="JUI6" s="344"/>
      <c r="JUJ6" s="344"/>
      <c r="JUK6" s="344"/>
      <c r="JUL6" s="344"/>
      <c r="JUM6" s="344"/>
      <c r="JUN6" s="344"/>
      <c r="JUO6" s="344"/>
      <c r="JUP6" s="344"/>
      <c r="JUQ6" s="344"/>
      <c r="JUR6" s="344"/>
      <c r="JUS6" s="344"/>
      <c r="JUT6" s="344"/>
      <c r="JUU6" s="344"/>
      <c r="JUV6" s="344"/>
      <c r="JUW6" s="344"/>
      <c r="JUX6" s="344"/>
      <c r="JUY6" s="344"/>
      <c r="JUZ6" s="344"/>
      <c r="JVA6" s="344"/>
      <c r="JVB6" s="344"/>
      <c r="JVC6" s="344"/>
      <c r="JVD6" s="344"/>
      <c r="JVE6" s="344"/>
      <c r="JVF6" s="344"/>
      <c r="JVG6" s="344"/>
      <c r="JVH6" s="344"/>
      <c r="JVI6" s="344"/>
      <c r="JVJ6" s="344"/>
      <c r="JVK6" s="344"/>
      <c r="JVL6" s="344"/>
      <c r="JVM6" s="344"/>
      <c r="JVN6" s="344"/>
      <c r="JVO6" s="344"/>
      <c r="JVP6" s="344"/>
      <c r="JVQ6" s="344"/>
      <c r="JVR6" s="344"/>
      <c r="JVS6" s="344"/>
      <c r="JVT6" s="344"/>
      <c r="JVU6" s="344"/>
      <c r="JVV6" s="344"/>
      <c r="JVW6" s="344"/>
      <c r="JVX6" s="344"/>
      <c r="JVY6" s="344"/>
      <c r="JVZ6" s="344"/>
      <c r="JWA6" s="344"/>
      <c r="JWB6" s="344"/>
      <c r="JWC6" s="344"/>
      <c r="JWD6" s="344"/>
      <c r="JWE6" s="344"/>
      <c r="JWF6" s="344"/>
      <c r="JWG6" s="344"/>
      <c r="JWH6" s="344"/>
      <c r="JWI6" s="344"/>
      <c r="JWJ6" s="344"/>
      <c r="JWK6" s="344"/>
      <c r="JWL6" s="344"/>
      <c r="JWM6" s="344"/>
      <c r="JWN6" s="344"/>
      <c r="JWO6" s="344"/>
      <c r="JWP6" s="344"/>
      <c r="JWQ6" s="344"/>
      <c r="JWR6" s="344"/>
      <c r="JWS6" s="344"/>
      <c r="JWT6" s="344"/>
      <c r="JWU6" s="344"/>
      <c r="JWV6" s="344"/>
      <c r="JWW6" s="344"/>
      <c r="JWX6" s="344"/>
      <c r="JWY6" s="344"/>
      <c r="JWZ6" s="344"/>
      <c r="JXA6" s="344"/>
      <c r="JXB6" s="344"/>
      <c r="JXC6" s="344"/>
      <c r="JXD6" s="344"/>
      <c r="JXE6" s="344"/>
      <c r="JXF6" s="344"/>
      <c r="JXG6" s="344"/>
      <c r="JXH6" s="344"/>
      <c r="JXI6" s="344"/>
      <c r="JXJ6" s="344"/>
      <c r="JXK6" s="344"/>
      <c r="JXL6" s="344"/>
      <c r="JXM6" s="344"/>
      <c r="JXN6" s="344"/>
      <c r="JXO6" s="344"/>
      <c r="JXP6" s="344"/>
      <c r="JXQ6" s="344"/>
      <c r="JXR6" s="344"/>
      <c r="JXS6" s="344"/>
      <c r="JXT6" s="344"/>
      <c r="JXU6" s="344"/>
      <c r="JXV6" s="344"/>
      <c r="JXW6" s="344"/>
      <c r="JXX6" s="344"/>
      <c r="JXY6" s="344"/>
      <c r="JXZ6" s="344"/>
      <c r="JYA6" s="344"/>
      <c r="JYB6" s="344"/>
      <c r="JYC6" s="344"/>
      <c r="JYD6" s="344"/>
      <c r="JYE6" s="344"/>
      <c r="JYF6" s="344"/>
      <c r="JYG6" s="344"/>
      <c r="JYH6" s="344"/>
      <c r="JYI6" s="344"/>
      <c r="JYJ6" s="344"/>
      <c r="JYK6" s="344"/>
      <c r="JYL6" s="344"/>
      <c r="JYM6" s="344"/>
      <c r="JYN6" s="344"/>
      <c r="JYO6" s="344"/>
      <c r="JYP6" s="344"/>
      <c r="JYQ6" s="344"/>
      <c r="JYR6" s="344"/>
      <c r="JYS6" s="344"/>
      <c r="JYT6" s="344"/>
      <c r="JYU6" s="344"/>
      <c r="JYV6" s="344"/>
      <c r="JYW6" s="344"/>
      <c r="JYX6" s="344"/>
      <c r="JYY6" s="344"/>
      <c r="JYZ6" s="344"/>
      <c r="JZA6" s="344"/>
      <c r="JZB6" s="344"/>
      <c r="JZC6" s="344"/>
      <c r="JZD6" s="344"/>
      <c r="JZE6" s="344"/>
      <c r="JZF6" s="344"/>
      <c r="JZG6" s="344"/>
      <c r="JZH6" s="344"/>
      <c r="JZI6" s="344"/>
      <c r="JZJ6" s="344"/>
      <c r="JZK6" s="344"/>
      <c r="JZL6" s="344"/>
      <c r="JZM6" s="344"/>
      <c r="JZN6" s="344"/>
      <c r="JZO6" s="344"/>
      <c r="JZP6" s="344"/>
      <c r="JZQ6" s="344"/>
      <c r="JZR6" s="344"/>
      <c r="JZS6" s="344"/>
      <c r="JZT6" s="344"/>
      <c r="JZU6" s="344"/>
      <c r="JZV6" s="344"/>
      <c r="JZW6" s="344"/>
      <c r="JZX6" s="344"/>
      <c r="JZY6" s="344"/>
      <c r="JZZ6" s="344"/>
      <c r="KAA6" s="344"/>
      <c r="KAB6" s="344"/>
      <c r="KAC6" s="344"/>
      <c r="KAD6" s="344"/>
      <c r="KAE6" s="344"/>
      <c r="KAF6" s="344"/>
      <c r="KAG6" s="344"/>
      <c r="KAH6" s="344"/>
      <c r="KAI6" s="344"/>
      <c r="KAJ6" s="344"/>
      <c r="KAK6" s="344"/>
      <c r="KAL6" s="344"/>
      <c r="KAM6" s="344"/>
      <c r="KAN6" s="344"/>
      <c r="KAO6" s="344"/>
      <c r="KAP6" s="344"/>
      <c r="KAQ6" s="344"/>
      <c r="KAR6" s="344"/>
      <c r="KAS6" s="344"/>
      <c r="KAT6" s="344"/>
      <c r="KAU6" s="344"/>
      <c r="KAV6" s="344"/>
      <c r="KAW6" s="344"/>
      <c r="KAX6" s="344"/>
      <c r="KAY6" s="344"/>
      <c r="KAZ6" s="344"/>
      <c r="KBA6" s="344"/>
      <c r="KBB6" s="344"/>
      <c r="KBC6" s="344"/>
      <c r="KBD6" s="344"/>
      <c r="KBE6" s="344"/>
      <c r="KBF6" s="344"/>
      <c r="KBG6" s="344"/>
      <c r="KBH6" s="344"/>
      <c r="KBI6" s="344"/>
      <c r="KBJ6" s="344"/>
      <c r="KBK6" s="344"/>
      <c r="KBL6" s="344"/>
      <c r="KBM6" s="344"/>
      <c r="KBN6" s="344"/>
      <c r="KBO6" s="344"/>
      <c r="KBP6" s="344"/>
      <c r="KBQ6" s="344"/>
      <c r="KBR6" s="344"/>
      <c r="KBS6" s="344"/>
      <c r="KBT6" s="344"/>
      <c r="KBU6" s="344"/>
      <c r="KBV6" s="344"/>
      <c r="KBW6" s="344"/>
      <c r="KBX6" s="344"/>
      <c r="KBY6" s="344"/>
      <c r="KBZ6" s="344"/>
      <c r="KCA6" s="344"/>
      <c r="KCB6" s="344"/>
      <c r="KCC6" s="344"/>
      <c r="KCD6" s="344"/>
      <c r="KCE6" s="344"/>
      <c r="KCF6" s="344"/>
      <c r="KCG6" s="344"/>
      <c r="KCH6" s="344"/>
      <c r="KCI6" s="344"/>
      <c r="KCJ6" s="344"/>
      <c r="KCK6" s="344"/>
      <c r="KCL6" s="344"/>
      <c r="KCM6" s="344"/>
      <c r="KCN6" s="344"/>
      <c r="KCO6" s="344"/>
      <c r="KCP6" s="344"/>
      <c r="KCQ6" s="344"/>
      <c r="KCR6" s="344"/>
      <c r="KCS6" s="344"/>
      <c r="KCT6" s="344"/>
      <c r="KCU6" s="344"/>
      <c r="KCV6" s="344"/>
      <c r="KCW6" s="344"/>
      <c r="KCX6" s="344"/>
      <c r="KCY6" s="344"/>
      <c r="KCZ6" s="344"/>
      <c r="KDA6" s="344"/>
      <c r="KDB6" s="344"/>
      <c r="KDC6" s="344"/>
      <c r="KDD6" s="344"/>
      <c r="KDE6" s="344"/>
      <c r="KDF6" s="344"/>
      <c r="KDG6" s="344"/>
      <c r="KDH6" s="344"/>
      <c r="KDI6" s="344"/>
      <c r="KDJ6" s="344"/>
      <c r="KDK6" s="344"/>
      <c r="KDL6" s="344"/>
      <c r="KDM6" s="344"/>
      <c r="KDN6" s="344"/>
      <c r="KDO6" s="344"/>
      <c r="KDP6" s="344"/>
      <c r="KDQ6" s="344"/>
      <c r="KDR6" s="344"/>
      <c r="KDS6" s="344"/>
      <c r="KDT6" s="344"/>
      <c r="KDU6" s="344"/>
      <c r="KDV6" s="344"/>
      <c r="KDW6" s="344"/>
      <c r="KDX6" s="344"/>
      <c r="KDY6" s="344"/>
      <c r="KDZ6" s="344"/>
      <c r="KEA6" s="344"/>
      <c r="KEB6" s="344"/>
      <c r="KEC6" s="344"/>
      <c r="KED6" s="344"/>
      <c r="KEE6" s="344"/>
      <c r="KEF6" s="344"/>
      <c r="KEG6" s="344"/>
      <c r="KEH6" s="344"/>
      <c r="KEI6" s="344"/>
      <c r="KEJ6" s="344"/>
      <c r="KEK6" s="344"/>
      <c r="KEL6" s="344"/>
      <c r="KEM6" s="344"/>
      <c r="KEN6" s="344"/>
      <c r="KEO6" s="344"/>
      <c r="KEP6" s="344"/>
      <c r="KEQ6" s="344"/>
      <c r="KER6" s="344"/>
      <c r="KES6" s="344"/>
      <c r="KET6" s="344"/>
      <c r="KEU6" s="344"/>
      <c r="KEV6" s="344"/>
      <c r="KEW6" s="344"/>
      <c r="KEX6" s="344"/>
      <c r="KEY6" s="344"/>
      <c r="KEZ6" s="344"/>
      <c r="KFA6" s="344"/>
      <c r="KFB6" s="344"/>
      <c r="KFC6" s="344"/>
      <c r="KFD6" s="344"/>
      <c r="KFE6" s="344"/>
      <c r="KFF6" s="344"/>
      <c r="KFG6" s="344"/>
      <c r="KFH6" s="344"/>
      <c r="KFI6" s="344"/>
      <c r="KFJ6" s="344"/>
      <c r="KFK6" s="344"/>
      <c r="KFL6" s="344"/>
      <c r="KFM6" s="344"/>
      <c r="KFN6" s="344"/>
      <c r="KFO6" s="344"/>
      <c r="KFP6" s="344"/>
      <c r="KFQ6" s="344"/>
      <c r="KFR6" s="344"/>
      <c r="KFS6" s="344"/>
      <c r="KFT6" s="344"/>
      <c r="KFU6" s="344"/>
      <c r="KFV6" s="344"/>
      <c r="KFW6" s="344"/>
      <c r="KFX6" s="344"/>
      <c r="KFY6" s="344"/>
      <c r="KFZ6" s="344"/>
      <c r="KGA6" s="344"/>
      <c r="KGB6" s="344"/>
      <c r="KGC6" s="344"/>
      <c r="KGD6" s="344"/>
      <c r="KGE6" s="344"/>
      <c r="KGF6" s="344"/>
      <c r="KGG6" s="344"/>
      <c r="KGH6" s="344"/>
      <c r="KGI6" s="344"/>
      <c r="KGJ6" s="344"/>
      <c r="KGK6" s="344"/>
      <c r="KGL6" s="344"/>
      <c r="KGM6" s="344"/>
      <c r="KGN6" s="344"/>
      <c r="KGO6" s="344"/>
      <c r="KGP6" s="344"/>
      <c r="KGQ6" s="344"/>
      <c r="KGR6" s="344"/>
      <c r="KGS6" s="344"/>
      <c r="KGT6" s="344"/>
      <c r="KGU6" s="344"/>
      <c r="KGV6" s="344"/>
      <c r="KGW6" s="344"/>
      <c r="KGX6" s="344"/>
      <c r="KGY6" s="344"/>
      <c r="KGZ6" s="344"/>
      <c r="KHA6" s="344"/>
      <c r="KHB6" s="344"/>
      <c r="KHC6" s="344"/>
      <c r="KHD6" s="344"/>
      <c r="KHE6" s="344"/>
      <c r="KHF6" s="344"/>
      <c r="KHG6" s="344"/>
      <c r="KHH6" s="344"/>
      <c r="KHI6" s="344"/>
      <c r="KHJ6" s="344"/>
      <c r="KHK6" s="344"/>
      <c r="KHL6" s="344"/>
      <c r="KHM6" s="344"/>
      <c r="KHN6" s="344"/>
      <c r="KHO6" s="344"/>
      <c r="KHP6" s="344"/>
      <c r="KHQ6" s="344"/>
      <c r="KHR6" s="344"/>
      <c r="KHS6" s="344"/>
      <c r="KHT6" s="344"/>
      <c r="KHU6" s="344"/>
      <c r="KHV6" s="344"/>
      <c r="KHW6" s="344"/>
      <c r="KHX6" s="344"/>
      <c r="KHY6" s="344"/>
      <c r="KHZ6" s="344"/>
      <c r="KIA6" s="344"/>
      <c r="KIB6" s="344"/>
      <c r="KIC6" s="344"/>
      <c r="KID6" s="344"/>
      <c r="KIE6" s="344"/>
      <c r="KIF6" s="344"/>
      <c r="KIG6" s="344"/>
      <c r="KIH6" s="344"/>
      <c r="KII6" s="344"/>
      <c r="KIJ6" s="344"/>
      <c r="KIK6" s="344"/>
      <c r="KIL6" s="344"/>
      <c r="KIM6" s="344"/>
      <c r="KIN6" s="344"/>
      <c r="KIO6" s="344"/>
      <c r="KIP6" s="344"/>
      <c r="KIQ6" s="344"/>
      <c r="KIR6" s="344"/>
      <c r="KIS6" s="344"/>
      <c r="KIT6" s="344"/>
      <c r="KIU6" s="344"/>
      <c r="KIV6" s="344"/>
      <c r="KIW6" s="344"/>
      <c r="KIX6" s="344"/>
      <c r="KIY6" s="344"/>
      <c r="KIZ6" s="344"/>
      <c r="KJA6" s="344"/>
      <c r="KJB6" s="344"/>
      <c r="KJC6" s="344"/>
      <c r="KJD6" s="344"/>
      <c r="KJE6" s="344"/>
      <c r="KJF6" s="344"/>
      <c r="KJG6" s="344"/>
      <c r="KJH6" s="344"/>
      <c r="KJI6" s="344"/>
      <c r="KJJ6" s="344"/>
      <c r="KJK6" s="344"/>
      <c r="KJL6" s="344"/>
      <c r="KJM6" s="344"/>
      <c r="KJN6" s="344"/>
      <c r="KJO6" s="344"/>
      <c r="KJP6" s="344"/>
      <c r="KJQ6" s="344"/>
      <c r="KJR6" s="344"/>
      <c r="KJS6" s="344"/>
      <c r="KJT6" s="344"/>
      <c r="KJU6" s="344"/>
      <c r="KJV6" s="344"/>
      <c r="KJW6" s="344"/>
      <c r="KJX6" s="344"/>
      <c r="KJY6" s="344"/>
      <c r="KJZ6" s="344"/>
      <c r="KKA6" s="344"/>
      <c r="KKB6" s="344"/>
      <c r="KKC6" s="344"/>
      <c r="KKD6" s="344"/>
      <c r="KKE6" s="344"/>
      <c r="KKF6" s="344"/>
      <c r="KKG6" s="344"/>
      <c r="KKH6" s="344"/>
      <c r="KKI6" s="344"/>
      <c r="KKJ6" s="344"/>
      <c r="KKK6" s="344"/>
      <c r="KKL6" s="344"/>
      <c r="KKM6" s="344"/>
      <c r="KKN6" s="344"/>
      <c r="KKO6" s="344"/>
      <c r="KKP6" s="344"/>
      <c r="KKQ6" s="344"/>
      <c r="KKR6" s="344"/>
      <c r="KKS6" s="344"/>
      <c r="KKT6" s="344"/>
      <c r="KKU6" s="344"/>
      <c r="KKV6" s="344"/>
      <c r="KKW6" s="344"/>
      <c r="KKX6" s="344"/>
      <c r="KKY6" s="344"/>
      <c r="KKZ6" s="344"/>
      <c r="KLA6" s="344"/>
      <c r="KLB6" s="344"/>
      <c r="KLC6" s="344"/>
      <c r="KLD6" s="344"/>
      <c r="KLE6" s="344"/>
      <c r="KLF6" s="344"/>
      <c r="KLG6" s="344"/>
      <c r="KLH6" s="344"/>
      <c r="KLI6" s="344"/>
      <c r="KLJ6" s="344"/>
      <c r="KLK6" s="344"/>
      <c r="KLL6" s="344"/>
      <c r="KLM6" s="344"/>
      <c r="KLN6" s="344"/>
      <c r="KLO6" s="344"/>
      <c r="KLP6" s="344"/>
      <c r="KLQ6" s="344"/>
      <c r="KLR6" s="344"/>
      <c r="KLS6" s="344"/>
      <c r="KLT6" s="344"/>
      <c r="KLU6" s="344"/>
      <c r="KLV6" s="344"/>
      <c r="KLW6" s="344"/>
      <c r="KLX6" s="344"/>
      <c r="KLY6" s="344"/>
      <c r="KLZ6" s="344"/>
      <c r="KMA6" s="344"/>
      <c r="KMB6" s="344"/>
      <c r="KMC6" s="344"/>
      <c r="KMD6" s="344"/>
      <c r="KME6" s="344"/>
      <c r="KMF6" s="344"/>
      <c r="KMG6" s="344"/>
      <c r="KMH6" s="344"/>
      <c r="KMI6" s="344"/>
      <c r="KMJ6" s="344"/>
      <c r="KMK6" s="344"/>
      <c r="KML6" s="344"/>
      <c r="KMM6" s="344"/>
      <c r="KMN6" s="344"/>
      <c r="KMO6" s="344"/>
      <c r="KMP6" s="344"/>
      <c r="KMQ6" s="344"/>
      <c r="KMR6" s="344"/>
      <c r="KMS6" s="344"/>
      <c r="KMT6" s="344"/>
      <c r="KMU6" s="344"/>
      <c r="KMV6" s="344"/>
      <c r="KMW6" s="344"/>
      <c r="KMX6" s="344"/>
      <c r="KMY6" s="344"/>
      <c r="KMZ6" s="344"/>
      <c r="KNA6" s="344"/>
      <c r="KNB6" s="344"/>
      <c r="KNC6" s="344"/>
      <c r="KND6" s="344"/>
      <c r="KNE6" s="344"/>
      <c r="KNF6" s="344"/>
      <c r="KNG6" s="344"/>
      <c r="KNH6" s="344"/>
      <c r="KNI6" s="344"/>
      <c r="KNJ6" s="344"/>
      <c r="KNK6" s="344"/>
      <c r="KNL6" s="344"/>
      <c r="KNM6" s="344"/>
      <c r="KNN6" s="344"/>
      <c r="KNO6" s="344"/>
      <c r="KNP6" s="344"/>
      <c r="KNQ6" s="344"/>
      <c r="KNR6" s="344"/>
      <c r="KNS6" s="344"/>
      <c r="KNT6" s="344"/>
      <c r="KNU6" s="344"/>
      <c r="KNV6" s="344"/>
      <c r="KNW6" s="344"/>
      <c r="KNX6" s="344"/>
      <c r="KNY6" s="344"/>
      <c r="KNZ6" s="344"/>
      <c r="KOA6" s="344"/>
      <c r="KOB6" s="344"/>
      <c r="KOC6" s="344"/>
      <c r="KOD6" s="344"/>
      <c r="KOE6" s="344"/>
      <c r="KOF6" s="344"/>
      <c r="KOG6" s="344"/>
      <c r="KOH6" s="344"/>
      <c r="KOI6" s="344"/>
      <c r="KOJ6" s="344"/>
      <c r="KOK6" s="344"/>
      <c r="KOL6" s="344"/>
      <c r="KOM6" s="344"/>
      <c r="KON6" s="344"/>
      <c r="KOO6" s="344"/>
      <c r="KOP6" s="344"/>
      <c r="KOQ6" s="344"/>
      <c r="KOR6" s="344"/>
      <c r="KOS6" s="344"/>
      <c r="KOT6" s="344"/>
      <c r="KOU6" s="344"/>
      <c r="KOV6" s="344"/>
      <c r="KOW6" s="344"/>
      <c r="KOX6" s="344"/>
      <c r="KOY6" s="344"/>
      <c r="KOZ6" s="344"/>
      <c r="KPA6" s="344"/>
      <c r="KPB6" s="344"/>
      <c r="KPC6" s="344"/>
      <c r="KPD6" s="344"/>
      <c r="KPE6" s="344"/>
      <c r="KPF6" s="344"/>
      <c r="KPG6" s="344"/>
      <c r="KPH6" s="344"/>
      <c r="KPI6" s="344"/>
      <c r="KPJ6" s="344"/>
      <c r="KPK6" s="344"/>
      <c r="KPL6" s="344"/>
      <c r="KPM6" s="344"/>
      <c r="KPN6" s="344"/>
      <c r="KPO6" s="344"/>
      <c r="KPP6" s="344"/>
      <c r="KPQ6" s="344"/>
      <c r="KPR6" s="344"/>
      <c r="KPS6" s="344"/>
      <c r="KPT6" s="344"/>
      <c r="KPU6" s="344"/>
      <c r="KPV6" s="344"/>
      <c r="KPW6" s="344"/>
      <c r="KPX6" s="344"/>
      <c r="KPY6" s="344"/>
      <c r="KPZ6" s="344"/>
      <c r="KQA6" s="344"/>
      <c r="KQB6" s="344"/>
      <c r="KQC6" s="344"/>
      <c r="KQD6" s="344"/>
      <c r="KQE6" s="344"/>
      <c r="KQF6" s="344"/>
      <c r="KQG6" s="344"/>
      <c r="KQH6" s="344"/>
      <c r="KQI6" s="344"/>
      <c r="KQJ6" s="344"/>
      <c r="KQK6" s="344"/>
      <c r="KQL6" s="344"/>
      <c r="KQM6" s="344"/>
      <c r="KQN6" s="344"/>
      <c r="KQO6" s="344"/>
      <c r="KQP6" s="344"/>
      <c r="KQQ6" s="344"/>
      <c r="KQR6" s="344"/>
      <c r="KQS6" s="344"/>
      <c r="KQT6" s="344"/>
      <c r="KQU6" s="344"/>
      <c r="KQV6" s="344"/>
      <c r="KQW6" s="344"/>
      <c r="KQX6" s="344"/>
      <c r="KQY6" s="344"/>
      <c r="KQZ6" s="344"/>
      <c r="KRA6" s="344"/>
      <c r="KRB6" s="344"/>
      <c r="KRC6" s="344"/>
      <c r="KRD6" s="344"/>
      <c r="KRE6" s="344"/>
      <c r="KRF6" s="344"/>
      <c r="KRG6" s="344"/>
      <c r="KRH6" s="344"/>
      <c r="KRI6" s="344"/>
      <c r="KRJ6" s="344"/>
      <c r="KRK6" s="344"/>
      <c r="KRL6" s="344"/>
      <c r="KRM6" s="344"/>
      <c r="KRN6" s="344"/>
      <c r="KRO6" s="344"/>
      <c r="KRP6" s="344"/>
      <c r="KRQ6" s="344"/>
      <c r="KRR6" s="344"/>
      <c r="KRS6" s="344"/>
      <c r="KRT6" s="344"/>
      <c r="KRU6" s="344"/>
      <c r="KRV6" s="344"/>
      <c r="KRW6" s="344"/>
      <c r="KRX6" s="344"/>
      <c r="KRY6" s="344"/>
      <c r="KRZ6" s="344"/>
      <c r="KSA6" s="344"/>
      <c r="KSB6" s="344"/>
      <c r="KSC6" s="344"/>
      <c r="KSD6" s="344"/>
      <c r="KSE6" s="344"/>
      <c r="KSF6" s="344"/>
      <c r="KSG6" s="344"/>
      <c r="KSH6" s="344"/>
      <c r="KSI6" s="344"/>
      <c r="KSJ6" s="344"/>
      <c r="KSK6" s="344"/>
      <c r="KSL6" s="344"/>
      <c r="KSM6" s="344"/>
      <c r="KSN6" s="344"/>
      <c r="KSO6" s="344"/>
      <c r="KSP6" s="344"/>
      <c r="KSQ6" s="344"/>
      <c r="KSR6" s="344"/>
      <c r="KSS6" s="344"/>
      <c r="KST6" s="344"/>
      <c r="KSU6" s="344"/>
      <c r="KSV6" s="344"/>
      <c r="KSW6" s="344"/>
      <c r="KSX6" s="344"/>
      <c r="KSY6" s="344"/>
      <c r="KSZ6" s="344"/>
      <c r="KTA6" s="344"/>
      <c r="KTB6" s="344"/>
      <c r="KTC6" s="344"/>
      <c r="KTD6" s="344"/>
      <c r="KTE6" s="344"/>
      <c r="KTF6" s="344"/>
      <c r="KTG6" s="344"/>
      <c r="KTH6" s="344"/>
      <c r="KTI6" s="344"/>
      <c r="KTJ6" s="344"/>
      <c r="KTK6" s="344"/>
      <c r="KTL6" s="344"/>
      <c r="KTM6" s="344"/>
      <c r="KTN6" s="344"/>
      <c r="KTO6" s="344"/>
      <c r="KTP6" s="344"/>
      <c r="KTQ6" s="344"/>
      <c r="KTR6" s="344"/>
      <c r="KTS6" s="344"/>
      <c r="KTT6" s="344"/>
      <c r="KTU6" s="344"/>
      <c r="KTV6" s="344"/>
      <c r="KTW6" s="344"/>
      <c r="KTX6" s="344"/>
      <c r="KTY6" s="344"/>
      <c r="KTZ6" s="344"/>
      <c r="KUA6" s="344"/>
      <c r="KUB6" s="344"/>
      <c r="KUC6" s="344"/>
      <c r="KUD6" s="344"/>
      <c r="KUE6" s="344"/>
      <c r="KUF6" s="344"/>
      <c r="KUG6" s="344"/>
      <c r="KUH6" s="344"/>
      <c r="KUI6" s="344"/>
      <c r="KUJ6" s="344"/>
      <c r="KUK6" s="344"/>
      <c r="KUL6" s="344"/>
      <c r="KUM6" s="344"/>
      <c r="KUN6" s="344"/>
      <c r="KUO6" s="344"/>
      <c r="KUP6" s="344"/>
      <c r="KUQ6" s="344"/>
      <c r="KUR6" s="344"/>
      <c r="KUS6" s="344"/>
      <c r="KUT6" s="344"/>
      <c r="KUU6" s="344"/>
      <c r="KUV6" s="344"/>
      <c r="KUW6" s="344"/>
      <c r="KUX6" s="344"/>
      <c r="KUY6" s="344"/>
      <c r="KUZ6" s="344"/>
      <c r="KVA6" s="344"/>
      <c r="KVB6" s="344"/>
      <c r="KVC6" s="344"/>
      <c r="KVD6" s="344"/>
      <c r="KVE6" s="344"/>
      <c r="KVF6" s="344"/>
      <c r="KVG6" s="344"/>
      <c r="KVH6" s="344"/>
      <c r="KVI6" s="344"/>
      <c r="KVJ6" s="344"/>
      <c r="KVK6" s="344"/>
      <c r="KVL6" s="344"/>
      <c r="KVM6" s="344"/>
      <c r="KVN6" s="344"/>
      <c r="KVO6" s="344"/>
      <c r="KVP6" s="344"/>
      <c r="KVQ6" s="344"/>
      <c r="KVR6" s="344"/>
      <c r="KVS6" s="344"/>
      <c r="KVT6" s="344"/>
      <c r="KVU6" s="344"/>
      <c r="KVV6" s="344"/>
      <c r="KVW6" s="344"/>
      <c r="KVX6" s="344"/>
      <c r="KVY6" s="344"/>
      <c r="KVZ6" s="344"/>
      <c r="KWA6" s="344"/>
      <c r="KWB6" s="344"/>
      <c r="KWC6" s="344"/>
      <c r="KWD6" s="344"/>
      <c r="KWE6" s="344"/>
      <c r="KWF6" s="344"/>
      <c r="KWG6" s="344"/>
      <c r="KWH6" s="344"/>
      <c r="KWI6" s="344"/>
      <c r="KWJ6" s="344"/>
      <c r="KWK6" s="344"/>
      <c r="KWL6" s="344"/>
      <c r="KWM6" s="344"/>
      <c r="KWN6" s="344"/>
      <c r="KWO6" s="344"/>
      <c r="KWP6" s="344"/>
      <c r="KWQ6" s="344"/>
      <c r="KWR6" s="344"/>
      <c r="KWS6" s="344"/>
      <c r="KWT6" s="344"/>
      <c r="KWU6" s="344"/>
      <c r="KWV6" s="344"/>
      <c r="KWW6" s="344"/>
      <c r="KWX6" s="344"/>
      <c r="KWY6" s="344"/>
      <c r="KWZ6" s="344"/>
      <c r="KXA6" s="344"/>
      <c r="KXB6" s="344"/>
      <c r="KXC6" s="344"/>
      <c r="KXD6" s="344"/>
      <c r="KXE6" s="344"/>
      <c r="KXF6" s="344"/>
      <c r="KXG6" s="344"/>
      <c r="KXH6" s="344"/>
      <c r="KXI6" s="344"/>
      <c r="KXJ6" s="344"/>
      <c r="KXK6" s="344"/>
      <c r="KXL6" s="344"/>
      <c r="KXM6" s="344"/>
      <c r="KXN6" s="344"/>
      <c r="KXO6" s="344"/>
      <c r="KXP6" s="344"/>
      <c r="KXQ6" s="344"/>
      <c r="KXR6" s="344"/>
      <c r="KXS6" s="344"/>
      <c r="KXT6" s="344"/>
      <c r="KXU6" s="344"/>
      <c r="KXV6" s="344"/>
      <c r="KXW6" s="344"/>
      <c r="KXX6" s="344"/>
      <c r="KXY6" s="344"/>
      <c r="KXZ6" s="344"/>
      <c r="KYA6" s="344"/>
      <c r="KYB6" s="344"/>
      <c r="KYC6" s="344"/>
      <c r="KYD6" s="344"/>
      <c r="KYE6" s="344"/>
      <c r="KYF6" s="344"/>
      <c r="KYG6" s="344"/>
      <c r="KYH6" s="344"/>
      <c r="KYI6" s="344"/>
      <c r="KYJ6" s="344"/>
      <c r="KYK6" s="344"/>
      <c r="KYL6" s="344"/>
      <c r="KYM6" s="344"/>
      <c r="KYN6" s="344"/>
      <c r="KYO6" s="344"/>
      <c r="KYP6" s="344"/>
      <c r="KYQ6" s="344"/>
      <c r="KYR6" s="344"/>
      <c r="KYS6" s="344"/>
      <c r="KYT6" s="344"/>
      <c r="KYU6" s="344"/>
      <c r="KYV6" s="344"/>
      <c r="KYW6" s="344"/>
      <c r="KYX6" s="344"/>
      <c r="KYY6" s="344"/>
      <c r="KYZ6" s="344"/>
      <c r="KZA6" s="344"/>
      <c r="KZB6" s="344"/>
      <c r="KZC6" s="344"/>
      <c r="KZD6" s="344"/>
      <c r="KZE6" s="344"/>
      <c r="KZF6" s="344"/>
      <c r="KZG6" s="344"/>
      <c r="KZH6" s="344"/>
      <c r="KZI6" s="344"/>
      <c r="KZJ6" s="344"/>
      <c r="KZK6" s="344"/>
      <c r="KZL6" s="344"/>
      <c r="KZM6" s="344"/>
      <c r="KZN6" s="344"/>
      <c r="KZO6" s="344"/>
      <c r="KZP6" s="344"/>
      <c r="KZQ6" s="344"/>
      <c r="KZR6" s="344"/>
      <c r="KZS6" s="344"/>
      <c r="KZT6" s="344"/>
      <c r="KZU6" s="344"/>
      <c r="KZV6" s="344"/>
      <c r="KZW6" s="344"/>
      <c r="KZX6" s="344"/>
      <c r="KZY6" s="344"/>
      <c r="KZZ6" s="344"/>
      <c r="LAA6" s="344"/>
      <c r="LAB6" s="344"/>
      <c r="LAC6" s="344"/>
      <c r="LAD6" s="344"/>
      <c r="LAE6" s="344"/>
      <c r="LAF6" s="344"/>
      <c r="LAG6" s="344"/>
      <c r="LAH6" s="344"/>
      <c r="LAI6" s="344"/>
      <c r="LAJ6" s="344"/>
      <c r="LAK6" s="344"/>
      <c r="LAL6" s="344"/>
      <c r="LAM6" s="344"/>
      <c r="LAN6" s="344"/>
      <c r="LAO6" s="344"/>
      <c r="LAP6" s="344"/>
      <c r="LAQ6" s="344"/>
      <c r="LAR6" s="344"/>
      <c r="LAS6" s="344"/>
      <c r="LAT6" s="344"/>
      <c r="LAU6" s="344"/>
      <c r="LAV6" s="344"/>
      <c r="LAW6" s="344"/>
      <c r="LAX6" s="344"/>
      <c r="LAY6" s="344"/>
      <c r="LAZ6" s="344"/>
      <c r="LBA6" s="344"/>
      <c r="LBB6" s="344"/>
      <c r="LBC6" s="344"/>
      <c r="LBD6" s="344"/>
      <c r="LBE6" s="344"/>
      <c r="LBF6" s="344"/>
      <c r="LBG6" s="344"/>
      <c r="LBH6" s="344"/>
      <c r="LBI6" s="344"/>
      <c r="LBJ6" s="344"/>
      <c r="LBK6" s="344"/>
      <c r="LBL6" s="344"/>
      <c r="LBM6" s="344"/>
      <c r="LBN6" s="344"/>
      <c r="LBO6" s="344"/>
      <c r="LBP6" s="344"/>
      <c r="LBQ6" s="344"/>
      <c r="LBR6" s="344"/>
      <c r="LBS6" s="344"/>
      <c r="LBT6" s="344"/>
      <c r="LBU6" s="344"/>
      <c r="LBV6" s="344"/>
      <c r="LBW6" s="344"/>
      <c r="LBX6" s="344"/>
      <c r="LBY6" s="344"/>
      <c r="LBZ6" s="344"/>
      <c r="LCA6" s="344"/>
      <c r="LCB6" s="344"/>
      <c r="LCC6" s="344"/>
      <c r="LCD6" s="344"/>
      <c r="LCE6" s="344"/>
      <c r="LCF6" s="344"/>
      <c r="LCG6" s="344"/>
      <c r="LCH6" s="344"/>
      <c r="LCI6" s="344"/>
      <c r="LCJ6" s="344"/>
      <c r="LCK6" s="344"/>
      <c r="LCL6" s="344"/>
      <c r="LCM6" s="344"/>
      <c r="LCN6" s="344"/>
      <c r="LCO6" s="344"/>
      <c r="LCP6" s="344"/>
      <c r="LCQ6" s="344"/>
      <c r="LCR6" s="344"/>
      <c r="LCS6" s="344"/>
      <c r="LCT6" s="344"/>
      <c r="LCU6" s="344"/>
      <c r="LCV6" s="344"/>
      <c r="LCW6" s="344"/>
      <c r="LCX6" s="344"/>
      <c r="LCY6" s="344"/>
      <c r="LCZ6" s="344"/>
      <c r="LDA6" s="344"/>
      <c r="LDB6" s="344"/>
      <c r="LDC6" s="344"/>
      <c r="LDD6" s="344"/>
      <c r="LDE6" s="344"/>
      <c r="LDF6" s="344"/>
      <c r="LDG6" s="344"/>
      <c r="LDH6" s="344"/>
      <c r="LDI6" s="344"/>
      <c r="LDJ6" s="344"/>
      <c r="LDK6" s="344"/>
      <c r="LDL6" s="344"/>
      <c r="LDM6" s="344"/>
      <c r="LDN6" s="344"/>
      <c r="LDO6" s="344"/>
      <c r="LDP6" s="344"/>
      <c r="LDQ6" s="344"/>
      <c r="LDR6" s="344"/>
      <c r="LDS6" s="344"/>
      <c r="LDT6" s="344"/>
      <c r="LDU6" s="344"/>
      <c r="LDV6" s="344"/>
      <c r="LDW6" s="344"/>
      <c r="LDX6" s="344"/>
      <c r="LDY6" s="344"/>
      <c r="LDZ6" s="344"/>
      <c r="LEA6" s="344"/>
      <c r="LEB6" s="344"/>
      <c r="LEC6" s="344"/>
      <c r="LED6" s="344"/>
      <c r="LEE6" s="344"/>
      <c r="LEF6" s="344"/>
      <c r="LEG6" s="344"/>
      <c r="LEH6" s="344"/>
      <c r="LEI6" s="344"/>
      <c r="LEJ6" s="344"/>
      <c r="LEK6" s="344"/>
      <c r="LEL6" s="344"/>
      <c r="LEM6" s="344"/>
      <c r="LEN6" s="344"/>
      <c r="LEO6" s="344"/>
      <c r="LEP6" s="344"/>
      <c r="LEQ6" s="344"/>
      <c r="LER6" s="344"/>
      <c r="LES6" s="344"/>
      <c r="LET6" s="344"/>
      <c r="LEU6" s="344"/>
      <c r="LEV6" s="344"/>
      <c r="LEW6" s="344"/>
      <c r="LEX6" s="344"/>
      <c r="LEY6" s="344"/>
      <c r="LEZ6" s="344"/>
      <c r="LFA6" s="344"/>
      <c r="LFB6" s="344"/>
      <c r="LFC6" s="344"/>
      <c r="LFD6" s="344"/>
      <c r="LFE6" s="344"/>
      <c r="LFF6" s="344"/>
      <c r="LFG6" s="344"/>
      <c r="LFH6" s="344"/>
      <c r="LFI6" s="344"/>
      <c r="LFJ6" s="344"/>
      <c r="LFK6" s="344"/>
      <c r="LFL6" s="344"/>
      <c r="LFM6" s="344"/>
      <c r="LFN6" s="344"/>
      <c r="LFO6" s="344"/>
      <c r="LFP6" s="344"/>
      <c r="LFQ6" s="344"/>
      <c r="LFR6" s="344"/>
      <c r="LFS6" s="344"/>
      <c r="LFT6" s="344"/>
      <c r="LFU6" s="344"/>
      <c r="LFV6" s="344"/>
      <c r="LFW6" s="344"/>
      <c r="LFX6" s="344"/>
      <c r="LFY6" s="344"/>
      <c r="LFZ6" s="344"/>
      <c r="LGA6" s="344"/>
      <c r="LGB6" s="344"/>
      <c r="LGC6" s="344"/>
      <c r="LGD6" s="344"/>
      <c r="LGE6" s="344"/>
      <c r="LGF6" s="344"/>
      <c r="LGG6" s="344"/>
      <c r="LGH6" s="344"/>
      <c r="LGI6" s="344"/>
      <c r="LGJ6" s="344"/>
      <c r="LGK6" s="344"/>
      <c r="LGL6" s="344"/>
      <c r="LGM6" s="344"/>
      <c r="LGN6" s="344"/>
      <c r="LGO6" s="344"/>
      <c r="LGP6" s="344"/>
      <c r="LGQ6" s="344"/>
      <c r="LGR6" s="344"/>
      <c r="LGS6" s="344"/>
      <c r="LGT6" s="344"/>
      <c r="LGU6" s="344"/>
      <c r="LGV6" s="344"/>
      <c r="LGW6" s="344"/>
      <c r="LGX6" s="344"/>
      <c r="LGY6" s="344"/>
      <c r="LGZ6" s="344"/>
      <c r="LHA6" s="344"/>
      <c r="LHB6" s="344"/>
      <c r="LHC6" s="344"/>
      <c r="LHD6" s="344"/>
      <c r="LHE6" s="344"/>
      <c r="LHF6" s="344"/>
      <c r="LHG6" s="344"/>
      <c r="LHH6" s="344"/>
      <c r="LHI6" s="344"/>
      <c r="LHJ6" s="344"/>
      <c r="LHK6" s="344"/>
      <c r="LHL6" s="344"/>
      <c r="LHM6" s="344"/>
      <c r="LHN6" s="344"/>
      <c r="LHO6" s="344"/>
      <c r="LHP6" s="344"/>
      <c r="LHQ6" s="344"/>
      <c r="LHR6" s="344"/>
      <c r="LHS6" s="344"/>
      <c r="LHT6" s="344"/>
      <c r="LHU6" s="344"/>
      <c r="LHV6" s="344"/>
      <c r="LHW6" s="344"/>
      <c r="LHX6" s="344"/>
      <c r="LHY6" s="344"/>
      <c r="LHZ6" s="344"/>
      <c r="LIA6" s="344"/>
      <c r="LIB6" s="344"/>
      <c r="LIC6" s="344"/>
      <c r="LID6" s="344"/>
      <c r="LIE6" s="344"/>
      <c r="LIF6" s="344"/>
      <c r="LIG6" s="344"/>
      <c r="LIH6" s="344"/>
      <c r="LII6" s="344"/>
      <c r="LIJ6" s="344"/>
      <c r="LIK6" s="344"/>
      <c r="LIL6" s="344"/>
      <c r="LIM6" s="344"/>
      <c r="LIN6" s="344"/>
      <c r="LIO6" s="344"/>
      <c r="LIP6" s="344"/>
      <c r="LIQ6" s="344"/>
      <c r="LIR6" s="344"/>
      <c r="LIS6" s="344"/>
      <c r="LIT6" s="344"/>
      <c r="LIU6" s="344"/>
      <c r="LIV6" s="344"/>
      <c r="LIW6" s="344"/>
      <c r="LIX6" s="344"/>
      <c r="LIY6" s="344"/>
      <c r="LIZ6" s="344"/>
      <c r="LJA6" s="344"/>
      <c r="LJB6" s="344"/>
      <c r="LJC6" s="344"/>
      <c r="LJD6" s="344"/>
      <c r="LJE6" s="344"/>
      <c r="LJF6" s="344"/>
      <c r="LJG6" s="344"/>
      <c r="LJH6" s="344"/>
      <c r="LJI6" s="344"/>
      <c r="LJJ6" s="344"/>
      <c r="LJK6" s="344"/>
      <c r="LJL6" s="344"/>
      <c r="LJM6" s="344"/>
      <c r="LJN6" s="344"/>
      <c r="LJO6" s="344"/>
      <c r="LJP6" s="344"/>
      <c r="LJQ6" s="344"/>
      <c r="LJR6" s="344"/>
      <c r="LJS6" s="344"/>
      <c r="LJT6" s="344"/>
      <c r="LJU6" s="344"/>
      <c r="LJV6" s="344"/>
      <c r="LJW6" s="344"/>
      <c r="LJX6" s="344"/>
      <c r="LJY6" s="344"/>
      <c r="LJZ6" s="344"/>
      <c r="LKA6" s="344"/>
      <c r="LKB6" s="344"/>
      <c r="LKC6" s="344"/>
      <c r="LKD6" s="344"/>
      <c r="LKE6" s="344"/>
      <c r="LKF6" s="344"/>
      <c r="LKG6" s="344"/>
      <c r="LKH6" s="344"/>
      <c r="LKI6" s="344"/>
      <c r="LKJ6" s="344"/>
      <c r="LKK6" s="344"/>
      <c r="LKL6" s="344"/>
      <c r="LKM6" s="344"/>
      <c r="LKN6" s="344"/>
      <c r="LKO6" s="344"/>
      <c r="LKP6" s="344"/>
      <c r="LKQ6" s="344"/>
      <c r="LKR6" s="344"/>
      <c r="LKS6" s="344"/>
      <c r="LKT6" s="344"/>
      <c r="LKU6" s="344"/>
      <c r="LKV6" s="344"/>
      <c r="LKW6" s="344"/>
      <c r="LKX6" s="344"/>
      <c r="LKY6" s="344"/>
      <c r="LKZ6" s="344"/>
      <c r="LLA6" s="344"/>
      <c r="LLB6" s="344"/>
      <c r="LLC6" s="344"/>
      <c r="LLD6" s="344"/>
      <c r="LLE6" s="344"/>
      <c r="LLF6" s="344"/>
      <c r="LLG6" s="344"/>
      <c r="LLH6" s="344"/>
      <c r="LLI6" s="344"/>
      <c r="LLJ6" s="344"/>
      <c r="LLK6" s="344"/>
      <c r="LLL6" s="344"/>
      <c r="LLM6" s="344"/>
      <c r="LLN6" s="344"/>
      <c r="LLO6" s="344"/>
      <c r="LLP6" s="344"/>
      <c r="LLQ6" s="344"/>
      <c r="LLR6" s="344"/>
      <c r="LLS6" s="344"/>
      <c r="LLT6" s="344"/>
      <c r="LLU6" s="344"/>
      <c r="LLV6" s="344"/>
      <c r="LLW6" s="344"/>
      <c r="LLX6" s="344"/>
      <c r="LLY6" s="344"/>
      <c r="LLZ6" s="344"/>
      <c r="LMA6" s="344"/>
      <c r="LMB6" s="344"/>
      <c r="LMC6" s="344"/>
      <c r="LMD6" s="344"/>
      <c r="LME6" s="344"/>
      <c r="LMF6" s="344"/>
      <c r="LMG6" s="344"/>
      <c r="LMH6" s="344"/>
      <c r="LMI6" s="344"/>
      <c r="LMJ6" s="344"/>
      <c r="LMK6" s="344"/>
      <c r="LML6" s="344"/>
      <c r="LMM6" s="344"/>
      <c r="LMN6" s="344"/>
      <c r="LMO6" s="344"/>
      <c r="LMP6" s="344"/>
      <c r="LMQ6" s="344"/>
      <c r="LMR6" s="344"/>
      <c r="LMS6" s="344"/>
      <c r="LMT6" s="344"/>
      <c r="LMU6" s="344"/>
      <c r="LMV6" s="344"/>
      <c r="LMW6" s="344"/>
      <c r="LMX6" s="344"/>
      <c r="LMY6" s="344"/>
      <c r="LMZ6" s="344"/>
      <c r="LNA6" s="344"/>
      <c r="LNB6" s="344"/>
      <c r="LNC6" s="344"/>
      <c r="LND6" s="344"/>
      <c r="LNE6" s="344"/>
      <c r="LNF6" s="344"/>
      <c r="LNG6" s="344"/>
      <c r="LNH6" s="344"/>
      <c r="LNI6" s="344"/>
      <c r="LNJ6" s="344"/>
      <c r="LNK6" s="344"/>
      <c r="LNL6" s="344"/>
      <c r="LNM6" s="344"/>
      <c r="LNN6" s="344"/>
      <c r="LNO6" s="344"/>
      <c r="LNP6" s="344"/>
      <c r="LNQ6" s="344"/>
      <c r="LNR6" s="344"/>
      <c r="LNS6" s="344"/>
      <c r="LNT6" s="344"/>
      <c r="LNU6" s="344"/>
      <c r="LNV6" s="344"/>
      <c r="LNW6" s="344"/>
      <c r="LNX6" s="344"/>
      <c r="LNY6" s="344"/>
      <c r="LNZ6" s="344"/>
      <c r="LOA6" s="344"/>
      <c r="LOB6" s="344"/>
      <c r="LOC6" s="344"/>
      <c r="LOD6" s="344"/>
      <c r="LOE6" s="344"/>
      <c r="LOF6" s="344"/>
      <c r="LOG6" s="344"/>
      <c r="LOH6" s="344"/>
      <c r="LOI6" s="344"/>
      <c r="LOJ6" s="344"/>
      <c r="LOK6" s="344"/>
      <c r="LOL6" s="344"/>
      <c r="LOM6" s="344"/>
      <c r="LON6" s="344"/>
      <c r="LOO6" s="344"/>
      <c r="LOP6" s="344"/>
      <c r="LOQ6" s="344"/>
      <c r="LOR6" s="344"/>
      <c r="LOS6" s="344"/>
      <c r="LOT6" s="344"/>
      <c r="LOU6" s="344"/>
      <c r="LOV6" s="344"/>
      <c r="LOW6" s="344"/>
      <c r="LOX6" s="344"/>
      <c r="LOY6" s="344"/>
      <c r="LOZ6" s="344"/>
      <c r="LPA6" s="344"/>
      <c r="LPB6" s="344"/>
      <c r="LPC6" s="344"/>
      <c r="LPD6" s="344"/>
      <c r="LPE6" s="344"/>
      <c r="LPF6" s="344"/>
      <c r="LPG6" s="344"/>
      <c r="LPH6" s="344"/>
      <c r="LPI6" s="344"/>
      <c r="LPJ6" s="344"/>
      <c r="LPK6" s="344"/>
      <c r="LPL6" s="344"/>
      <c r="LPM6" s="344"/>
      <c r="LPN6" s="344"/>
      <c r="LPO6" s="344"/>
      <c r="LPP6" s="344"/>
      <c r="LPQ6" s="344"/>
      <c r="LPR6" s="344"/>
      <c r="LPS6" s="344"/>
      <c r="LPT6" s="344"/>
      <c r="LPU6" s="344"/>
      <c r="LPV6" s="344"/>
      <c r="LPW6" s="344"/>
      <c r="LPX6" s="344"/>
      <c r="LPY6" s="344"/>
      <c r="LPZ6" s="344"/>
      <c r="LQA6" s="344"/>
      <c r="LQB6" s="344"/>
      <c r="LQC6" s="344"/>
      <c r="LQD6" s="344"/>
      <c r="LQE6" s="344"/>
      <c r="LQF6" s="344"/>
      <c r="LQG6" s="344"/>
      <c r="LQH6" s="344"/>
      <c r="LQI6" s="344"/>
      <c r="LQJ6" s="344"/>
      <c r="LQK6" s="344"/>
      <c r="LQL6" s="344"/>
      <c r="LQM6" s="344"/>
      <c r="LQN6" s="344"/>
      <c r="LQO6" s="344"/>
      <c r="LQP6" s="344"/>
      <c r="LQQ6" s="344"/>
      <c r="LQR6" s="344"/>
      <c r="LQS6" s="344"/>
      <c r="LQT6" s="344"/>
      <c r="LQU6" s="344"/>
      <c r="LQV6" s="344"/>
      <c r="LQW6" s="344"/>
      <c r="LQX6" s="344"/>
      <c r="LQY6" s="344"/>
      <c r="LQZ6" s="344"/>
      <c r="LRA6" s="344"/>
      <c r="LRB6" s="344"/>
      <c r="LRC6" s="344"/>
      <c r="LRD6" s="344"/>
      <c r="LRE6" s="344"/>
      <c r="LRF6" s="344"/>
      <c r="LRG6" s="344"/>
      <c r="LRH6" s="344"/>
      <c r="LRI6" s="344"/>
      <c r="LRJ6" s="344"/>
      <c r="LRK6" s="344"/>
      <c r="LRL6" s="344"/>
      <c r="LRM6" s="344"/>
      <c r="LRN6" s="344"/>
      <c r="LRO6" s="344"/>
      <c r="LRP6" s="344"/>
      <c r="LRQ6" s="344"/>
      <c r="LRR6" s="344"/>
      <c r="LRS6" s="344"/>
      <c r="LRT6" s="344"/>
      <c r="LRU6" s="344"/>
      <c r="LRV6" s="344"/>
      <c r="LRW6" s="344"/>
      <c r="LRX6" s="344"/>
      <c r="LRY6" s="344"/>
      <c r="LRZ6" s="344"/>
      <c r="LSA6" s="344"/>
      <c r="LSB6" s="344"/>
      <c r="LSC6" s="344"/>
      <c r="LSD6" s="344"/>
      <c r="LSE6" s="344"/>
      <c r="LSF6" s="344"/>
      <c r="LSG6" s="344"/>
      <c r="LSH6" s="344"/>
      <c r="LSI6" s="344"/>
      <c r="LSJ6" s="344"/>
      <c r="LSK6" s="344"/>
      <c r="LSL6" s="344"/>
      <c r="LSM6" s="344"/>
      <c r="LSN6" s="344"/>
      <c r="LSO6" s="344"/>
      <c r="LSP6" s="344"/>
      <c r="LSQ6" s="344"/>
      <c r="LSR6" s="344"/>
      <c r="LSS6" s="344"/>
      <c r="LST6" s="344"/>
      <c r="LSU6" s="344"/>
      <c r="LSV6" s="344"/>
      <c r="LSW6" s="344"/>
      <c r="LSX6" s="344"/>
      <c r="LSY6" s="344"/>
      <c r="LSZ6" s="344"/>
      <c r="LTA6" s="344"/>
      <c r="LTB6" s="344"/>
      <c r="LTC6" s="344"/>
      <c r="LTD6" s="344"/>
      <c r="LTE6" s="344"/>
      <c r="LTF6" s="344"/>
      <c r="LTG6" s="344"/>
      <c r="LTH6" s="344"/>
      <c r="LTI6" s="344"/>
      <c r="LTJ6" s="344"/>
      <c r="LTK6" s="344"/>
      <c r="LTL6" s="344"/>
      <c r="LTM6" s="344"/>
      <c r="LTN6" s="344"/>
      <c r="LTO6" s="344"/>
      <c r="LTP6" s="344"/>
      <c r="LTQ6" s="344"/>
      <c r="LTR6" s="344"/>
      <c r="LTS6" s="344"/>
      <c r="LTT6" s="344"/>
      <c r="LTU6" s="344"/>
      <c r="LTV6" s="344"/>
      <c r="LTW6" s="344"/>
      <c r="LTX6" s="344"/>
      <c r="LTY6" s="344"/>
      <c r="LTZ6" s="344"/>
      <c r="LUA6" s="344"/>
      <c r="LUB6" s="344"/>
      <c r="LUC6" s="344"/>
      <c r="LUD6" s="344"/>
      <c r="LUE6" s="344"/>
      <c r="LUF6" s="344"/>
      <c r="LUG6" s="344"/>
      <c r="LUH6" s="344"/>
      <c r="LUI6" s="344"/>
      <c r="LUJ6" s="344"/>
      <c r="LUK6" s="344"/>
      <c r="LUL6" s="344"/>
      <c r="LUM6" s="344"/>
      <c r="LUN6" s="344"/>
      <c r="LUO6" s="344"/>
      <c r="LUP6" s="344"/>
      <c r="LUQ6" s="344"/>
      <c r="LUR6" s="344"/>
      <c r="LUS6" s="344"/>
      <c r="LUT6" s="344"/>
      <c r="LUU6" s="344"/>
      <c r="LUV6" s="344"/>
      <c r="LUW6" s="344"/>
      <c r="LUX6" s="344"/>
      <c r="LUY6" s="344"/>
      <c r="LUZ6" s="344"/>
      <c r="LVA6" s="344"/>
      <c r="LVB6" s="344"/>
      <c r="LVC6" s="344"/>
      <c r="LVD6" s="344"/>
      <c r="LVE6" s="344"/>
      <c r="LVF6" s="344"/>
      <c r="LVG6" s="344"/>
      <c r="LVH6" s="344"/>
      <c r="LVI6" s="344"/>
      <c r="LVJ6" s="344"/>
      <c r="LVK6" s="344"/>
      <c r="LVL6" s="344"/>
      <c r="LVM6" s="344"/>
      <c r="LVN6" s="344"/>
      <c r="LVO6" s="344"/>
      <c r="LVP6" s="344"/>
      <c r="LVQ6" s="344"/>
      <c r="LVR6" s="344"/>
      <c r="LVS6" s="344"/>
      <c r="LVT6" s="344"/>
      <c r="LVU6" s="344"/>
      <c r="LVV6" s="344"/>
      <c r="LVW6" s="344"/>
      <c r="LVX6" s="344"/>
      <c r="LVY6" s="344"/>
      <c r="LVZ6" s="344"/>
      <c r="LWA6" s="344"/>
      <c r="LWB6" s="344"/>
      <c r="LWC6" s="344"/>
      <c r="LWD6" s="344"/>
      <c r="LWE6" s="344"/>
      <c r="LWF6" s="344"/>
      <c r="LWG6" s="344"/>
      <c r="LWH6" s="344"/>
      <c r="LWI6" s="344"/>
      <c r="LWJ6" s="344"/>
      <c r="LWK6" s="344"/>
      <c r="LWL6" s="344"/>
      <c r="LWM6" s="344"/>
      <c r="LWN6" s="344"/>
      <c r="LWO6" s="344"/>
      <c r="LWP6" s="344"/>
      <c r="LWQ6" s="344"/>
      <c r="LWR6" s="344"/>
      <c r="LWS6" s="344"/>
      <c r="LWT6" s="344"/>
      <c r="LWU6" s="344"/>
      <c r="LWV6" s="344"/>
      <c r="LWW6" s="344"/>
      <c r="LWX6" s="344"/>
      <c r="LWY6" s="344"/>
      <c r="LWZ6" s="344"/>
      <c r="LXA6" s="344"/>
      <c r="LXB6" s="344"/>
      <c r="LXC6" s="344"/>
      <c r="LXD6" s="344"/>
      <c r="LXE6" s="344"/>
      <c r="LXF6" s="344"/>
      <c r="LXG6" s="344"/>
      <c r="LXH6" s="344"/>
      <c r="LXI6" s="344"/>
      <c r="LXJ6" s="344"/>
      <c r="LXK6" s="344"/>
      <c r="LXL6" s="344"/>
      <c r="LXM6" s="344"/>
      <c r="LXN6" s="344"/>
      <c r="LXO6" s="344"/>
      <c r="LXP6" s="344"/>
      <c r="LXQ6" s="344"/>
      <c r="LXR6" s="344"/>
      <c r="LXS6" s="344"/>
      <c r="LXT6" s="344"/>
      <c r="LXU6" s="344"/>
      <c r="LXV6" s="344"/>
      <c r="LXW6" s="344"/>
      <c r="LXX6" s="344"/>
      <c r="LXY6" s="344"/>
      <c r="LXZ6" s="344"/>
      <c r="LYA6" s="344"/>
      <c r="LYB6" s="344"/>
      <c r="LYC6" s="344"/>
      <c r="LYD6" s="344"/>
      <c r="LYE6" s="344"/>
      <c r="LYF6" s="344"/>
      <c r="LYG6" s="344"/>
      <c r="LYH6" s="344"/>
      <c r="LYI6" s="344"/>
      <c r="LYJ6" s="344"/>
      <c r="LYK6" s="344"/>
      <c r="LYL6" s="344"/>
      <c r="LYM6" s="344"/>
      <c r="LYN6" s="344"/>
      <c r="LYO6" s="344"/>
      <c r="LYP6" s="344"/>
      <c r="LYQ6" s="344"/>
      <c r="LYR6" s="344"/>
      <c r="LYS6" s="344"/>
      <c r="LYT6" s="344"/>
      <c r="LYU6" s="344"/>
      <c r="LYV6" s="344"/>
      <c r="LYW6" s="344"/>
      <c r="LYX6" s="344"/>
      <c r="LYY6" s="344"/>
      <c r="LYZ6" s="344"/>
      <c r="LZA6" s="344"/>
      <c r="LZB6" s="344"/>
      <c r="LZC6" s="344"/>
      <c r="LZD6" s="344"/>
      <c r="LZE6" s="344"/>
      <c r="LZF6" s="344"/>
      <c r="LZG6" s="344"/>
      <c r="LZH6" s="344"/>
      <c r="LZI6" s="344"/>
      <c r="LZJ6" s="344"/>
      <c r="LZK6" s="344"/>
      <c r="LZL6" s="344"/>
      <c r="LZM6" s="344"/>
      <c r="LZN6" s="344"/>
      <c r="LZO6" s="344"/>
      <c r="LZP6" s="344"/>
      <c r="LZQ6" s="344"/>
      <c r="LZR6" s="344"/>
      <c r="LZS6" s="344"/>
      <c r="LZT6" s="344"/>
      <c r="LZU6" s="344"/>
      <c r="LZV6" s="344"/>
      <c r="LZW6" s="344"/>
      <c r="LZX6" s="344"/>
      <c r="LZY6" s="344"/>
      <c r="LZZ6" s="344"/>
      <c r="MAA6" s="344"/>
      <c r="MAB6" s="344"/>
      <c r="MAC6" s="344"/>
      <c r="MAD6" s="344"/>
      <c r="MAE6" s="344"/>
      <c r="MAF6" s="344"/>
      <c r="MAG6" s="344"/>
      <c r="MAH6" s="344"/>
      <c r="MAI6" s="344"/>
      <c r="MAJ6" s="344"/>
      <c r="MAK6" s="344"/>
      <c r="MAL6" s="344"/>
      <c r="MAM6" s="344"/>
      <c r="MAN6" s="344"/>
      <c r="MAO6" s="344"/>
      <c r="MAP6" s="344"/>
      <c r="MAQ6" s="344"/>
      <c r="MAR6" s="344"/>
      <c r="MAS6" s="344"/>
      <c r="MAT6" s="344"/>
      <c r="MAU6" s="344"/>
      <c r="MAV6" s="344"/>
      <c r="MAW6" s="344"/>
      <c r="MAX6" s="344"/>
      <c r="MAY6" s="344"/>
      <c r="MAZ6" s="344"/>
      <c r="MBA6" s="344"/>
      <c r="MBB6" s="344"/>
      <c r="MBC6" s="344"/>
      <c r="MBD6" s="344"/>
      <c r="MBE6" s="344"/>
      <c r="MBF6" s="344"/>
      <c r="MBG6" s="344"/>
      <c r="MBH6" s="344"/>
      <c r="MBI6" s="344"/>
      <c r="MBJ6" s="344"/>
      <c r="MBK6" s="344"/>
      <c r="MBL6" s="344"/>
      <c r="MBM6" s="344"/>
      <c r="MBN6" s="344"/>
      <c r="MBO6" s="344"/>
      <c r="MBP6" s="344"/>
      <c r="MBQ6" s="344"/>
      <c r="MBR6" s="344"/>
      <c r="MBS6" s="344"/>
      <c r="MBT6" s="344"/>
      <c r="MBU6" s="344"/>
      <c r="MBV6" s="344"/>
      <c r="MBW6" s="344"/>
      <c r="MBX6" s="344"/>
      <c r="MBY6" s="344"/>
      <c r="MBZ6" s="344"/>
      <c r="MCA6" s="344"/>
      <c r="MCB6" s="344"/>
      <c r="MCC6" s="344"/>
      <c r="MCD6" s="344"/>
      <c r="MCE6" s="344"/>
      <c r="MCF6" s="344"/>
      <c r="MCG6" s="344"/>
      <c r="MCH6" s="344"/>
      <c r="MCI6" s="344"/>
      <c r="MCJ6" s="344"/>
      <c r="MCK6" s="344"/>
      <c r="MCL6" s="344"/>
      <c r="MCM6" s="344"/>
      <c r="MCN6" s="344"/>
      <c r="MCO6" s="344"/>
      <c r="MCP6" s="344"/>
      <c r="MCQ6" s="344"/>
      <c r="MCR6" s="344"/>
      <c r="MCS6" s="344"/>
      <c r="MCT6" s="344"/>
      <c r="MCU6" s="344"/>
      <c r="MCV6" s="344"/>
      <c r="MCW6" s="344"/>
      <c r="MCX6" s="344"/>
      <c r="MCY6" s="344"/>
      <c r="MCZ6" s="344"/>
      <c r="MDA6" s="344"/>
      <c r="MDB6" s="344"/>
      <c r="MDC6" s="344"/>
      <c r="MDD6" s="344"/>
      <c r="MDE6" s="344"/>
      <c r="MDF6" s="344"/>
      <c r="MDG6" s="344"/>
      <c r="MDH6" s="344"/>
      <c r="MDI6" s="344"/>
      <c r="MDJ6" s="344"/>
      <c r="MDK6" s="344"/>
      <c r="MDL6" s="344"/>
      <c r="MDM6" s="344"/>
      <c r="MDN6" s="344"/>
      <c r="MDO6" s="344"/>
      <c r="MDP6" s="344"/>
      <c r="MDQ6" s="344"/>
      <c r="MDR6" s="344"/>
      <c r="MDS6" s="344"/>
      <c r="MDT6" s="344"/>
      <c r="MDU6" s="344"/>
      <c r="MDV6" s="344"/>
      <c r="MDW6" s="344"/>
      <c r="MDX6" s="344"/>
      <c r="MDY6" s="344"/>
      <c r="MDZ6" s="344"/>
      <c r="MEA6" s="344"/>
      <c r="MEB6" s="344"/>
      <c r="MEC6" s="344"/>
      <c r="MED6" s="344"/>
      <c r="MEE6" s="344"/>
      <c r="MEF6" s="344"/>
      <c r="MEG6" s="344"/>
      <c r="MEH6" s="344"/>
      <c r="MEI6" s="344"/>
      <c r="MEJ6" s="344"/>
      <c r="MEK6" s="344"/>
      <c r="MEL6" s="344"/>
      <c r="MEM6" s="344"/>
      <c r="MEN6" s="344"/>
      <c r="MEO6" s="344"/>
      <c r="MEP6" s="344"/>
      <c r="MEQ6" s="344"/>
      <c r="MER6" s="344"/>
      <c r="MES6" s="344"/>
      <c r="MET6" s="344"/>
      <c r="MEU6" s="344"/>
      <c r="MEV6" s="344"/>
      <c r="MEW6" s="344"/>
      <c r="MEX6" s="344"/>
      <c r="MEY6" s="344"/>
      <c r="MEZ6" s="344"/>
      <c r="MFA6" s="344"/>
      <c r="MFB6" s="344"/>
      <c r="MFC6" s="344"/>
      <c r="MFD6" s="344"/>
      <c r="MFE6" s="344"/>
      <c r="MFF6" s="344"/>
      <c r="MFG6" s="344"/>
      <c r="MFH6" s="344"/>
      <c r="MFI6" s="344"/>
      <c r="MFJ6" s="344"/>
      <c r="MFK6" s="344"/>
      <c r="MFL6" s="344"/>
      <c r="MFM6" s="344"/>
      <c r="MFN6" s="344"/>
      <c r="MFO6" s="344"/>
      <c r="MFP6" s="344"/>
      <c r="MFQ6" s="344"/>
      <c r="MFR6" s="344"/>
      <c r="MFS6" s="344"/>
      <c r="MFT6" s="344"/>
      <c r="MFU6" s="344"/>
      <c r="MFV6" s="344"/>
      <c r="MFW6" s="344"/>
      <c r="MFX6" s="344"/>
      <c r="MFY6" s="344"/>
      <c r="MFZ6" s="344"/>
      <c r="MGA6" s="344"/>
      <c r="MGB6" s="344"/>
      <c r="MGC6" s="344"/>
      <c r="MGD6" s="344"/>
      <c r="MGE6" s="344"/>
      <c r="MGF6" s="344"/>
      <c r="MGG6" s="344"/>
      <c r="MGH6" s="344"/>
      <c r="MGI6" s="344"/>
      <c r="MGJ6" s="344"/>
      <c r="MGK6" s="344"/>
      <c r="MGL6" s="344"/>
      <c r="MGM6" s="344"/>
      <c r="MGN6" s="344"/>
      <c r="MGO6" s="344"/>
      <c r="MGP6" s="344"/>
      <c r="MGQ6" s="344"/>
      <c r="MGR6" s="344"/>
      <c r="MGS6" s="344"/>
      <c r="MGT6" s="344"/>
      <c r="MGU6" s="344"/>
      <c r="MGV6" s="344"/>
      <c r="MGW6" s="344"/>
      <c r="MGX6" s="344"/>
      <c r="MGY6" s="344"/>
      <c r="MGZ6" s="344"/>
      <c r="MHA6" s="344"/>
      <c r="MHB6" s="344"/>
      <c r="MHC6" s="344"/>
      <c r="MHD6" s="344"/>
      <c r="MHE6" s="344"/>
      <c r="MHF6" s="344"/>
      <c r="MHG6" s="344"/>
      <c r="MHH6" s="344"/>
      <c r="MHI6" s="344"/>
      <c r="MHJ6" s="344"/>
      <c r="MHK6" s="344"/>
      <c r="MHL6" s="344"/>
      <c r="MHM6" s="344"/>
      <c r="MHN6" s="344"/>
      <c r="MHO6" s="344"/>
      <c r="MHP6" s="344"/>
      <c r="MHQ6" s="344"/>
      <c r="MHR6" s="344"/>
      <c r="MHS6" s="344"/>
      <c r="MHT6" s="344"/>
      <c r="MHU6" s="344"/>
      <c r="MHV6" s="344"/>
      <c r="MHW6" s="344"/>
      <c r="MHX6" s="344"/>
      <c r="MHY6" s="344"/>
      <c r="MHZ6" s="344"/>
      <c r="MIA6" s="344"/>
      <c r="MIB6" s="344"/>
      <c r="MIC6" s="344"/>
      <c r="MID6" s="344"/>
      <c r="MIE6" s="344"/>
      <c r="MIF6" s="344"/>
      <c r="MIG6" s="344"/>
      <c r="MIH6" s="344"/>
      <c r="MII6" s="344"/>
      <c r="MIJ6" s="344"/>
      <c r="MIK6" s="344"/>
      <c r="MIL6" s="344"/>
      <c r="MIM6" s="344"/>
      <c r="MIN6" s="344"/>
      <c r="MIO6" s="344"/>
      <c r="MIP6" s="344"/>
      <c r="MIQ6" s="344"/>
      <c r="MIR6" s="344"/>
      <c r="MIS6" s="344"/>
      <c r="MIT6" s="344"/>
      <c r="MIU6" s="344"/>
      <c r="MIV6" s="344"/>
      <c r="MIW6" s="344"/>
      <c r="MIX6" s="344"/>
      <c r="MIY6" s="344"/>
      <c r="MIZ6" s="344"/>
      <c r="MJA6" s="344"/>
      <c r="MJB6" s="344"/>
      <c r="MJC6" s="344"/>
      <c r="MJD6" s="344"/>
      <c r="MJE6" s="344"/>
      <c r="MJF6" s="344"/>
      <c r="MJG6" s="344"/>
      <c r="MJH6" s="344"/>
      <c r="MJI6" s="344"/>
      <c r="MJJ6" s="344"/>
      <c r="MJK6" s="344"/>
      <c r="MJL6" s="344"/>
      <c r="MJM6" s="344"/>
      <c r="MJN6" s="344"/>
      <c r="MJO6" s="344"/>
      <c r="MJP6" s="344"/>
      <c r="MJQ6" s="344"/>
      <c r="MJR6" s="344"/>
      <c r="MJS6" s="344"/>
      <c r="MJT6" s="344"/>
      <c r="MJU6" s="344"/>
      <c r="MJV6" s="344"/>
      <c r="MJW6" s="344"/>
      <c r="MJX6" s="344"/>
      <c r="MJY6" s="344"/>
      <c r="MJZ6" s="344"/>
      <c r="MKA6" s="344"/>
      <c r="MKB6" s="344"/>
      <c r="MKC6" s="344"/>
      <c r="MKD6" s="344"/>
      <c r="MKE6" s="344"/>
      <c r="MKF6" s="344"/>
      <c r="MKG6" s="344"/>
      <c r="MKH6" s="344"/>
      <c r="MKI6" s="344"/>
      <c r="MKJ6" s="344"/>
      <c r="MKK6" s="344"/>
      <c r="MKL6" s="344"/>
      <c r="MKM6" s="344"/>
      <c r="MKN6" s="344"/>
      <c r="MKO6" s="344"/>
      <c r="MKP6" s="344"/>
      <c r="MKQ6" s="344"/>
      <c r="MKR6" s="344"/>
      <c r="MKS6" s="344"/>
      <c r="MKT6" s="344"/>
      <c r="MKU6" s="344"/>
      <c r="MKV6" s="344"/>
      <c r="MKW6" s="344"/>
      <c r="MKX6" s="344"/>
      <c r="MKY6" s="344"/>
      <c r="MKZ6" s="344"/>
      <c r="MLA6" s="344"/>
      <c r="MLB6" s="344"/>
      <c r="MLC6" s="344"/>
      <c r="MLD6" s="344"/>
      <c r="MLE6" s="344"/>
      <c r="MLF6" s="344"/>
      <c r="MLG6" s="344"/>
      <c r="MLH6" s="344"/>
      <c r="MLI6" s="344"/>
      <c r="MLJ6" s="344"/>
      <c r="MLK6" s="344"/>
      <c r="MLL6" s="344"/>
      <c r="MLM6" s="344"/>
      <c r="MLN6" s="344"/>
      <c r="MLO6" s="344"/>
      <c r="MLP6" s="344"/>
      <c r="MLQ6" s="344"/>
      <c r="MLR6" s="344"/>
      <c r="MLS6" s="344"/>
      <c r="MLT6" s="344"/>
      <c r="MLU6" s="344"/>
      <c r="MLV6" s="344"/>
      <c r="MLW6" s="344"/>
      <c r="MLX6" s="344"/>
      <c r="MLY6" s="344"/>
      <c r="MLZ6" s="344"/>
      <c r="MMA6" s="344"/>
      <c r="MMB6" s="344"/>
      <c r="MMC6" s="344"/>
      <c r="MMD6" s="344"/>
      <c r="MME6" s="344"/>
      <c r="MMF6" s="344"/>
      <c r="MMG6" s="344"/>
      <c r="MMH6" s="344"/>
      <c r="MMI6" s="344"/>
      <c r="MMJ6" s="344"/>
      <c r="MMK6" s="344"/>
      <c r="MML6" s="344"/>
      <c r="MMM6" s="344"/>
      <c r="MMN6" s="344"/>
      <c r="MMO6" s="344"/>
      <c r="MMP6" s="344"/>
      <c r="MMQ6" s="344"/>
      <c r="MMR6" s="344"/>
      <c r="MMS6" s="344"/>
      <c r="MMT6" s="344"/>
      <c r="MMU6" s="344"/>
      <c r="MMV6" s="344"/>
      <c r="MMW6" s="344"/>
      <c r="MMX6" s="344"/>
      <c r="MMY6" s="344"/>
      <c r="MMZ6" s="344"/>
      <c r="MNA6" s="344"/>
      <c r="MNB6" s="344"/>
      <c r="MNC6" s="344"/>
      <c r="MND6" s="344"/>
      <c r="MNE6" s="344"/>
      <c r="MNF6" s="344"/>
      <c r="MNG6" s="344"/>
      <c r="MNH6" s="344"/>
      <c r="MNI6" s="344"/>
      <c r="MNJ6" s="344"/>
      <c r="MNK6" s="344"/>
      <c r="MNL6" s="344"/>
      <c r="MNM6" s="344"/>
      <c r="MNN6" s="344"/>
      <c r="MNO6" s="344"/>
      <c r="MNP6" s="344"/>
      <c r="MNQ6" s="344"/>
      <c r="MNR6" s="344"/>
      <c r="MNS6" s="344"/>
      <c r="MNT6" s="344"/>
      <c r="MNU6" s="344"/>
      <c r="MNV6" s="344"/>
      <c r="MNW6" s="344"/>
      <c r="MNX6" s="344"/>
      <c r="MNY6" s="344"/>
      <c r="MNZ6" s="344"/>
      <c r="MOA6" s="344"/>
      <c r="MOB6" s="344"/>
      <c r="MOC6" s="344"/>
      <c r="MOD6" s="344"/>
      <c r="MOE6" s="344"/>
      <c r="MOF6" s="344"/>
      <c r="MOG6" s="344"/>
      <c r="MOH6" s="344"/>
      <c r="MOI6" s="344"/>
      <c r="MOJ6" s="344"/>
      <c r="MOK6" s="344"/>
      <c r="MOL6" s="344"/>
      <c r="MOM6" s="344"/>
      <c r="MON6" s="344"/>
      <c r="MOO6" s="344"/>
      <c r="MOP6" s="344"/>
      <c r="MOQ6" s="344"/>
      <c r="MOR6" s="344"/>
      <c r="MOS6" s="344"/>
      <c r="MOT6" s="344"/>
      <c r="MOU6" s="344"/>
      <c r="MOV6" s="344"/>
      <c r="MOW6" s="344"/>
      <c r="MOX6" s="344"/>
      <c r="MOY6" s="344"/>
      <c r="MOZ6" s="344"/>
      <c r="MPA6" s="344"/>
      <c r="MPB6" s="344"/>
      <c r="MPC6" s="344"/>
      <c r="MPD6" s="344"/>
      <c r="MPE6" s="344"/>
      <c r="MPF6" s="344"/>
      <c r="MPG6" s="344"/>
      <c r="MPH6" s="344"/>
      <c r="MPI6" s="344"/>
      <c r="MPJ6" s="344"/>
      <c r="MPK6" s="344"/>
      <c r="MPL6" s="344"/>
      <c r="MPM6" s="344"/>
      <c r="MPN6" s="344"/>
      <c r="MPO6" s="344"/>
      <c r="MPP6" s="344"/>
      <c r="MPQ6" s="344"/>
      <c r="MPR6" s="344"/>
      <c r="MPS6" s="344"/>
      <c r="MPT6" s="344"/>
      <c r="MPU6" s="344"/>
      <c r="MPV6" s="344"/>
      <c r="MPW6" s="344"/>
      <c r="MPX6" s="344"/>
      <c r="MPY6" s="344"/>
      <c r="MPZ6" s="344"/>
      <c r="MQA6" s="344"/>
      <c r="MQB6" s="344"/>
      <c r="MQC6" s="344"/>
      <c r="MQD6" s="344"/>
      <c r="MQE6" s="344"/>
      <c r="MQF6" s="344"/>
      <c r="MQG6" s="344"/>
      <c r="MQH6" s="344"/>
      <c r="MQI6" s="344"/>
      <c r="MQJ6" s="344"/>
      <c r="MQK6" s="344"/>
      <c r="MQL6" s="344"/>
      <c r="MQM6" s="344"/>
      <c r="MQN6" s="344"/>
      <c r="MQO6" s="344"/>
      <c r="MQP6" s="344"/>
      <c r="MQQ6" s="344"/>
      <c r="MQR6" s="344"/>
      <c r="MQS6" s="344"/>
      <c r="MQT6" s="344"/>
      <c r="MQU6" s="344"/>
      <c r="MQV6" s="344"/>
      <c r="MQW6" s="344"/>
      <c r="MQX6" s="344"/>
      <c r="MQY6" s="344"/>
      <c r="MQZ6" s="344"/>
      <c r="MRA6" s="344"/>
      <c r="MRB6" s="344"/>
      <c r="MRC6" s="344"/>
      <c r="MRD6" s="344"/>
      <c r="MRE6" s="344"/>
      <c r="MRF6" s="344"/>
      <c r="MRG6" s="344"/>
      <c r="MRH6" s="344"/>
      <c r="MRI6" s="344"/>
      <c r="MRJ6" s="344"/>
      <c r="MRK6" s="344"/>
      <c r="MRL6" s="344"/>
      <c r="MRM6" s="344"/>
      <c r="MRN6" s="344"/>
      <c r="MRO6" s="344"/>
      <c r="MRP6" s="344"/>
      <c r="MRQ6" s="344"/>
      <c r="MRR6" s="344"/>
      <c r="MRS6" s="344"/>
      <c r="MRT6" s="344"/>
      <c r="MRU6" s="344"/>
      <c r="MRV6" s="344"/>
      <c r="MRW6" s="344"/>
      <c r="MRX6" s="344"/>
      <c r="MRY6" s="344"/>
      <c r="MRZ6" s="344"/>
      <c r="MSA6" s="344"/>
      <c r="MSB6" s="344"/>
      <c r="MSC6" s="344"/>
      <c r="MSD6" s="344"/>
      <c r="MSE6" s="344"/>
      <c r="MSF6" s="344"/>
      <c r="MSG6" s="344"/>
      <c r="MSH6" s="344"/>
      <c r="MSI6" s="344"/>
      <c r="MSJ6" s="344"/>
      <c r="MSK6" s="344"/>
      <c r="MSL6" s="344"/>
      <c r="MSM6" s="344"/>
      <c r="MSN6" s="344"/>
      <c r="MSO6" s="344"/>
      <c r="MSP6" s="344"/>
      <c r="MSQ6" s="344"/>
      <c r="MSR6" s="344"/>
      <c r="MSS6" s="344"/>
      <c r="MST6" s="344"/>
      <c r="MSU6" s="344"/>
      <c r="MSV6" s="344"/>
      <c r="MSW6" s="344"/>
      <c r="MSX6" s="344"/>
      <c r="MSY6" s="344"/>
      <c r="MSZ6" s="344"/>
      <c r="MTA6" s="344"/>
      <c r="MTB6" s="344"/>
      <c r="MTC6" s="344"/>
      <c r="MTD6" s="344"/>
      <c r="MTE6" s="344"/>
      <c r="MTF6" s="344"/>
      <c r="MTG6" s="344"/>
      <c r="MTH6" s="344"/>
      <c r="MTI6" s="344"/>
      <c r="MTJ6" s="344"/>
      <c r="MTK6" s="344"/>
      <c r="MTL6" s="344"/>
      <c r="MTM6" s="344"/>
      <c r="MTN6" s="344"/>
      <c r="MTO6" s="344"/>
      <c r="MTP6" s="344"/>
      <c r="MTQ6" s="344"/>
      <c r="MTR6" s="344"/>
      <c r="MTS6" s="344"/>
      <c r="MTT6" s="344"/>
      <c r="MTU6" s="344"/>
      <c r="MTV6" s="344"/>
      <c r="MTW6" s="344"/>
      <c r="MTX6" s="344"/>
      <c r="MTY6" s="344"/>
      <c r="MTZ6" s="344"/>
      <c r="MUA6" s="344"/>
      <c r="MUB6" s="344"/>
      <c r="MUC6" s="344"/>
      <c r="MUD6" s="344"/>
      <c r="MUE6" s="344"/>
      <c r="MUF6" s="344"/>
      <c r="MUG6" s="344"/>
      <c r="MUH6" s="344"/>
      <c r="MUI6" s="344"/>
      <c r="MUJ6" s="344"/>
      <c r="MUK6" s="344"/>
      <c r="MUL6" s="344"/>
      <c r="MUM6" s="344"/>
      <c r="MUN6" s="344"/>
      <c r="MUO6" s="344"/>
      <c r="MUP6" s="344"/>
      <c r="MUQ6" s="344"/>
      <c r="MUR6" s="344"/>
      <c r="MUS6" s="344"/>
      <c r="MUT6" s="344"/>
      <c r="MUU6" s="344"/>
      <c r="MUV6" s="344"/>
      <c r="MUW6" s="344"/>
      <c r="MUX6" s="344"/>
      <c r="MUY6" s="344"/>
      <c r="MUZ6" s="344"/>
      <c r="MVA6" s="344"/>
      <c r="MVB6" s="344"/>
      <c r="MVC6" s="344"/>
      <c r="MVD6" s="344"/>
      <c r="MVE6" s="344"/>
      <c r="MVF6" s="344"/>
      <c r="MVG6" s="344"/>
      <c r="MVH6" s="344"/>
      <c r="MVI6" s="344"/>
      <c r="MVJ6" s="344"/>
      <c r="MVK6" s="344"/>
      <c r="MVL6" s="344"/>
      <c r="MVM6" s="344"/>
      <c r="MVN6" s="344"/>
      <c r="MVO6" s="344"/>
      <c r="MVP6" s="344"/>
      <c r="MVQ6" s="344"/>
      <c r="MVR6" s="344"/>
      <c r="MVS6" s="344"/>
      <c r="MVT6" s="344"/>
      <c r="MVU6" s="344"/>
      <c r="MVV6" s="344"/>
      <c r="MVW6" s="344"/>
      <c r="MVX6" s="344"/>
      <c r="MVY6" s="344"/>
      <c r="MVZ6" s="344"/>
      <c r="MWA6" s="344"/>
      <c r="MWB6" s="344"/>
      <c r="MWC6" s="344"/>
      <c r="MWD6" s="344"/>
      <c r="MWE6" s="344"/>
      <c r="MWF6" s="344"/>
      <c r="MWG6" s="344"/>
      <c r="MWH6" s="344"/>
      <c r="MWI6" s="344"/>
      <c r="MWJ6" s="344"/>
      <c r="MWK6" s="344"/>
      <c r="MWL6" s="344"/>
      <c r="MWM6" s="344"/>
      <c r="MWN6" s="344"/>
      <c r="MWO6" s="344"/>
      <c r="MWP6" s="344"/>
      <c r="MWQ6" s="344"/>
      <c r="MWR6" s="344"/>
      <c r="MWS6" s="344"/>
      <c r="MWT6" s="344"/>
      <c r="MWU6" s="344"/>
      <c r="MWV6" s="344"/>
      <c r="MWW6" s="344"/>
      <c r="MWX6" s="344"/>
      <c r="MWY6" s="344"/>
      <c r="MWZ6" s="344"/>
      <c r="MXA6" s="344"/>
      <c r="MXB6" s="344"/>
      <c r="MXC6" s="344"/>
      <c r="MXD6" s="344"/>
      <c r="MXE6" s="344"/>
      <c r="MXF6" s="344"/>
      <c r="MXG6" s="344"/>
      <c r="MXH6" s="344"/>
      <c r="MXI6" s="344"/>
      <c r="MXJ6" s="344"/>
      <c r="MXK6" s="344"/>
      <c r="MXL6" s="344"/>
      <c r="MXM6" s="344"/>
      <c r="MXN6" s="344"/>
      <c r="MXO6" s="344"/>
      <c r="MXP6" s="344"/>
      <c r="MXQ6" s="344"/>
      <c r="MXR6" s="344"/>
      <c r="MXS6" s="344"/>
      <c r="MXT6" s="344"/>
      <c r="MXU6" s="344"/>
      <c r="MXV6" s="344"/>
      <c r="MXW6" s="344"/>
      <c r="MXX6" s="344"/>
      <c r="MXY6" s="344"/>
      <c r="MXZ6" s="344"/>
      <c r="MYA6" s="344"/>
      <c r="MYB6" s="344"/>
      <c r="MYC6" s="344"/>
      <c r="MYD6" s="344"/>
      <c r="MYE6" s="344"/>
      <c r="MYF6" s="344"/>
      <c r="MYG6" s="344"/>
      <c r="MYH6" s="344"/>
      <c r="MYI6" s="344"/>
      <c r="MYJ6" s="344"/>
      <c r="MYK6" s="344"/>
      <c r="MYL6" s="344"/>
      <c r="MYM6" s="344"/>
      <c r="MYN6" s="344"/>
      <c r="MYO6" s="344"/>
      <c r="MYP6" s="344"/>
      <c r="MYQ6" s="344"/>
      <c r="MYR6" s="344"/>
      <c r="MYS6" s="344"/>
      <c r="MYT6" s="344"/>
      <c r="MYU6" s="344"/>
      <c r="MYV6" s="344"/>
      <c r="MYW6" s="344"/>
      <c r="MYX6" s="344"/>
      <c r="MYY6" s="344"/>
      <c r="MYZ6" s="344"/>
      <c r="MZA6" s="344"/>
      <c r="MZB6" s="344"/>
      <c r="MZC6" s="344"/>
      <c r="MZD6" s="344"/>
      <c r="MZE6" s="344"/>
      <c r="MZF6" s="344"/>
      <c r="MZG6" s="344"/>
      <c r="MZH6" s="344"/>
      <c r="MZI6" s="344"/>
      <c r="MZJ6" s="344"/>
      <c r="MZK6" s="344"/>
      <c r="MZL6" s="344"/>
      <c r="MZM6" s="344"/>
      <c r="MZN6" s="344"/>
      <c r="MZO6" s="344"/>
      <c r="MZP6" s="344"/>
      <c r="MZQ6" s="344"/>
      <c r="MZR6" s="344"/>
      <c r="MZS6" s="344"/>
      <c r="MZT6" s="344"/>
      <c r="MZU6" s="344"/>
      <c r="MZV6" s="344"/>
      <c r="MZW6" s="344"/>
      <c r="MZX6" s="344"/>
      <c r="MZY6" s="344"/>
      <c r="MZZ6" s="344"/>
      <c r="NAA6" s="344"/>
      <c r="NAB6" s="344"/>
      <c r="NAC6" s="344"/>
      <c r="NAD6" s="344"/>
      <c r="NAE6" s="344"/>
      <c r="NAF6" s="344"/>
      <c r="NAG6" s="344"/>
      <c r="NAH6" s="344"/>
      <c r="NAI6" s="344"/>
      <c r="NAJ6" s="344"/>
      <c r="NAK6" s="344"/>
      <c r="NAL6" s="344"/>
      <c r="NAM6" s="344"/>
      <c r="NAN6" s="344"/>
      <c r="NAO6" s="344"/>
      <c r="NAP6" s="344"/>
      <c r="NAQ6" s="344"/>
      <c r="NAR6" s="344"/>
      <c r="NAS6" s="344"/>
      <c r="NAT6" s="344"/>
      <c r="NAU6" s="344"/>
      <c r="NAV6" s="344"/>
      <c r="NAW6" s="344"/>
      <c r="NAX6" s="344"/>
      <c r="NAY6" s="344"/>
      <c r="NAZ6" s="344"/>
      <c r="NBA6" s="344"/>
      <c r="NBB6" s="344"/>
      <c r="NBC6" s="344"/>
      <c r="NBD6" s="344"/>
      <c r="NBE6" s="344"/>
      <c r="NBF6" s="344"/>
      <c r="NBG6" s="344"/>
      <c r="NBH6" s="344"/>
      <c r="NBI6" s="344"/>
      <c r="NBJ6" s="344"/>
      <c r="NBK6" s="344"/>
      <c r="NBL6" s="344"/>
      <c r="NBM6" s="344"/>
      <c r="NBN6" s="344"/>
      <c r="NBO6" s="344"/>
      <c r="NBP6" s="344"/>
      <c r="NBQ6" s="344"/>
      <c r="NBR6" s="344"/>
      <c r="NBS6" s="344"/>
      <c r="NBT6" s="344"/>
      <c r="NBU6" s="344"/>
      <c r="NBV6" s="344"/>
      <c r="NBW6" s="344"/>
      <c r="NBX6" s="344"/>
      <c r="NBY6" s="344"/>
      <c r="NBZ6" s="344"/>
      <c r="NCA6" s="344"/>
      <c r="NCB6" s="344"/>
      <c r="NCC6" s="344"/>
      <c r="NCD6" s="344"/>
      <c r="NCE6" s="344"/>
      <c r="NCF6" s="344"/>
      <c r="NCG6" s="344"/>
      <c r="NCH6" s="344"/>
      <c r="NCI6" s="344"/>
      <c r="NCJ6" s="344"/>
      <c r="NCK6" s="344"/>
      <c r="NCL6" s="344"/>
      <c r="NCM6" s="344"/>
      <c r="NCN6" s="344"/>
      <c r="NCO6" s="344"/>
      <c r="NCP6" s="344"/>
      <c r="NCQ6" s="344"/>
      <c r="NCR6" s="344"/>
      <c r="NCS6" s="344"/>
      <c r="NCT6" s="344"/>
      <c r="NCU6" s="344"/>
      <c r="NCV6" s="344"/>
      <c r="NCW6" s="344"/>
      <c r="NCX6" s="344"/>
      <c r="NCY6" s="344"/>
      <c r="NCZ6" s="344"/>
      <c r="NDA6" s="344"/>
      <c r="NDB6" s="344"/>
      <c r="NDC6" s="344"/>
      <c r="NDD6" s="344"/>
      <c r="NDE6" s="344"/>
      <c r="NDF6" s="344"/>
      <c r="NDG6" s="344"/>
      <c r="NDH6" s="344"/>
      <c r="NDI6" s="344"/>
      <c r="NDJ6" s="344"/>
      <c r="NDK6" s="344"/>
      <c r="NDL6" s="344"/>
      <c r="NDM6" s="344"/>
      <c r="NDN6" s="344"/>
      <c r="NDO6" s="344"/>
      <c r="NDP6" s="344"/>
      <c r="NDQ6" s="344"/>
      <c r="NDR6" s="344"/>
      <c r="NDS6" s="344"/>
      <c r="NDT6" s="344"/>
      <c r="NDU6" s="344"/>
      <c r="NDV6" s="344"/>
      <c r="NDW6" s="344"/>
      <c r="NDX6" s="344"/>
      <c r="NDY6" s="344"/>
      <c r="NDZ6" s="344"/>
      <c r="NEA6" s="344"/>
      <c r="NEB6" s="344"/>
      <c r="NEC6" s="344"/>
      <c r="NED6" s="344"/>
      <c r="NEE6" s="344"/>
      <c r="NEF6" s="344"/>
      <c r="NEG6" s="344"/>
      <c r="NEH6" s="344"/>
      <c r="NEI6" s="344"/>
      <c r="NEJ6" s="344"/>
      <c r="NEK6" s="344"/>
      <c r="NEL6" s="344"/>
      <c r="NEM6" s="344"/>
      <c r="NEN6" s="344"/>
      <c r="NEO6" s="344"/>
      <c r="NEP6" s="344"/>
      <c r="NEQ6" s="344"/>
      <c r="NER6" s="344"/>
      <c r="NES6" s="344"/>
      <c r="NET6" s="344"/>
      <c r="NEU6" s="344"/>
      <c r="NEV6" s="344"/>
      <c r="NEW6" s="344"/>
      <c r="NEX6" s="344"/>
      <c r="NEY6" s="344"/>
      <c r="NEZ6" s="344"/>
      <c r="NFA6" s="344"/>
      <c r="NFB6" s="344"/>
      <c r="NFC6" s="344"/>
      <c r="NFD6" s="344"/>
      <c r="NFE6" s="344"/>
      <c r="NFF6" s="344"/>
      <c r="NFG6" s="344"/>
      <c r="NFH6" s="344"/>
      <c r="NFI6" s="344"/>
      <c r="NFJ6" s="344"/>
      <c r="NFK6" s="344"/>
      <c r="NFL6" s="344"/>
      <c r="NFM6" s="344"/>
      <c r="NFN6" s="344"/>
      <c r="NFO6" s="344"/>
      <c r="NFP6" s="344"/>
      <c r="NFQ6" s="344"/>
      <c r="NFR6" s="344"/>
      <c r="NFS6" s="344"/>
      <c r="NFT6" s="344"/>
      <c r="NFU6" s="344"/>
      <c r="NFV6" s="344"/>
      <c r="NFW6" s="344"/>
      <c r="NFX6" s="344"/>
      <c r="NFY6" s="344"/>
      <c r="NFZ6" s="344"/>
      <c r="NGA6" s="344"/>
      <c r="NGB6" s="344"/>
      <c r="NGC6" s="344"/>
      <c r="NGD6" s="344"/>
      <c r="NGE6" s="344"/>
      <c r="NGF6" s="344"/>
      <c r="NGG6" s="344"/>
      <c r="NGH6" s="344"/>
      <c r="NGI6" s="344"/>
      <c r="NGJ6" s="344"/>
      <c r="NGK6" s="344"/>
      <c r="NGL6" s="344"/>
      <c r="NGM6" s="344"/>
      <c r="NGN6" s="344"/>
      <c r="NGO6" s="344"/>
      <c r="NGP6" s="344"/>
      <c r="NGQ6" s="344"/>
      <c r="NGR6" s="344"/>
      <c r="NGS6" s="344"/>
      <c r="NGT6" s="344"/>
      <c r="NGU6" s="344"/>
      <c r="NGV6" s="344"/>
      <c r="NGW6" s="344"/>
      <c r="NGX6" s="344"/>
      <c r="NGY6" s="344"/>
      <c r="NGZ6" s="344"/>
      <c r="NHA6" s="344"/>
      <c r="NHB6" s="344"/>
      <c r="NHC6" s="344"/>
      <c r="NHD6" s="344"/>
      <c r="NHE6" s="344"/>
      <c r="NHF6" s="344"/>
      <c r="NHG6" s="344"/>
      <c r="NHH6" s="344"/>
      <c r="NHI6" s="344"/>
      <c r="NHJ6" s="344"/>
      <c r="NHK6" s="344"/>
      <c r="NHL6" s="344"/>
      <c r="NHM6" s="344"/>
      <c r="NHN6" s="344"/>
      <c r="NHO6" s="344"/>
      <c r="NHP6" s="344"/>
      <c r="NHQ6" s="344"/>
      <c r="NHR6" s="344"/>
      <c r="NHS6" s="344"/>
      <c r="NHT6" s="344"/>
      <c r="NHU6" s="344"/>
      <c r="NHV6" s="344"/>
      <c r="NHW6" s="344"/>
      <c r="NHX6" s="344"/>
      <c r="NHY6" s="344"/>
      <c r="NHZ6" s="344"/>
      <c r="NIA6" s="344"/>
      <c r="NIB6" s="344"/>
      <c r="NIC6" s="344"/>
      <c r="NID6" s="344"/>
      <c r="NIE6" s="344"/>
      <c r="NIF6" s="344"/>
      <c r="NIG6" s="344"/>
      <c r="NIH6" s="344"/>
      <c r="NII6" s="344"/>
      <c r="NIJ6" s="344"/>
      <c r="NIK6" s="344"/>
      <c r="NIL6" s="344"/>
      <c r="NIM6" s="344"/>
      <c r="NIN6" s="344"/>
      <c r="NIO6" s="344"/>
      <c r="NIP6" s="344"/>
      <c r="NIQ6" s="344"/>
      <c r="NIR6" s="344"/>
      <c r="NIS6" s="344"/>
      <c r="NIT6" s="344"/>
      <c r="NIU6" s="344"/>
      <c r="NIV6" s="344"/>
      <c r="NIW6" s="344"/>
      <c r="NIX6" s="344"/>
      <c r="NIY6" s="344"/>
      <c r="NIZ6" s="344"/>
      <c r="NJA6" s="344"/>
      <c r="NJB6" s="344"/>
      <c r="NJC6" s="344"/>
      <c r="NJD6" s="344"/>
      <c r="NJE6" s="344"/>
      <c r="NJF6" s="344"/>
      <c r="NJG6" s="344"/>
      <c r="NJH6" s="344"/>
      <c r="NJI6" s="344"/>
      <c r="NJJ6" s="344"/>
      <c r="NJK6" s="344"/>
      <c r="NJL6" s="344"/>
      <c r="NJM6" s="344"/>
      <c r="NJN6" s="344"/>
      <c r="NJO6" s="344"/>
      <c r="NJP6" s="344"/>
      <c r="NJQ6" s="344"/>
      <c r="NJR6" s="344"/>
      <c r="NJS6" s="344"/>
      <c r="NJT6" s="344"/>
      <c r="NJU6" s="344"/>
      <c r="NJV6" s="344"/>
      <c r="NJW6" s="344"/>
      <c r="NJX6" s="344"/>
      <c r="NJY6" s="344"/>
      <c r="NJZ6" s="344"/>
      <c r="NKA6" s="344"/>
      <c r="NKB6" s="344"/>
      <c r="NKC6" s="344"/>
      <c r="NKD6" s="344"/>
      <c r="NKE6" s="344"/>
      <c r="NKF6" s="344"/>
      <c r="NKG6" s="344"/>
      <c r="NKH6" s="344"/>
      <c r="NKI6" s="344"/>
      <c r="NKJ6" s="344"/>
      <c r="NKK6" s="344"/>
      <c r="NKL6" s="344"/>
      <c r="NKM6" s="344"/>
      <c r="NKN6" s="344"/>
      <c r="NKO6" s="344"/>
      <c r="NKP6" s="344"/>
      <c r="NKQ6" s="344"/>
      <c r="NKR6" s="344"/>
      <c r="NKS6" s="344"/>
      <c r="NKT6" s="344"/>
      <c r="NKU6" s="344"/>
      <c r="NKV6" s="344"/>
      <c r="NKW6" s="344"/>
      <c r="NKX6" s="344"/>
      <c r="NKY6" s="344"/>
      <c r="NKZ6" s="344"/>
      <c r="NLA6" s="344"/>
      <c r="NLB6" s="344"/>
      <c r="NLC6" s="344"/>
      <c r="NLD6" s="344"/>
      <c r="NLE6" s="344"/>
      <c r="NLF6" s="344"/>
      <c r="NLG6" s="344"/>
      <c r="NLH6" s="344"/>
      <c r="NLI6" s="344"/>
      <c r="NLJ6" s="344"/>
      <c r="NLK6" s="344"/>
      <c r="NLL6" s="344"/>
      <c r="NLM6" s="344"/>
      <c r="NLN6" s="344"/>
      <c r="NLO6" s="344"/>
      <c r="NLP6" s="344"/>
      <c r="NLQ6" s="344"/>
      <c r="NLR6" s="344"/>
      <c r="NLS6" s="344"/>
      <c r="NLT6" s="344"/>
      <c r="NLU6" s="344"/>
      <c r="NLV6" s="344"/>
      <c r="NLW6" s="344"/>
      <c r="NLX6" s="344"/>
      <c r="NLY6" s="344"/>
      <c r="NLZ6" s="344"/>
      <c r="NMA6" s="344"/>
      <c r="NMB6" s="344"/>
      <c r="NMC6" s="344"/>
      <c r="NMD6" s="344"/>
      <c r="NME6" s="344"/>
      <c r="NMF6" s="344"/>
      <c r="NMG6" s="344"/>
      <c r="NMH6" s="344"/>
      <c r="NMI6" s="344"/>
      <c r="NMJ6" s="344"/>
      <c r="NMK6" s="344"/>
      <c r="NML6" s="344"/>
      <c r="NMM6" s="344"/>
      <c r="NMN6" s="344"/>
      <c r="NMO6" s="344"/>
      <c r="NMP6" s="344"/>
      <c r="NMQ6" s="344"/>
      <c r="NMR6" s="344"/>
      <c r="NMS6" s="344"/>
      <c r="NMT6" s="344"/>
      <c r="NMU6" s="344"/>
      <c r="NMV6" s="344"/>
      <c r="NMW6" s="344"/>
      <c r="NMX6" s="344"/>
      <c r="NMY6" s="344"/>
      <c r="NMZ6" s="344"/>
      <c r="NNA6" s="344"/>
      <c r="NNB6" s="344"/>
      <c r="NNC6" s="344"/>
      <c r="NND6" s="344"/>
      <c r="NNE6" s="344"/>
      <c r="NNF6" s="344"/>
      <c r="NNG6" s="344"/>
      <c r="NNH6" s="344"/>
      <c r="NNI6" s="344"/>
      <c r="NNJ6" s="344"/>
      <c r="NNK6" s="344"/>
      <c r="NNL6" s="344"/>
      <c r="NNM6" s="344"/>
      <c r="NNN6" s="344"/>
      <c r="NNO6" s="344"/>
      <c r="NNP6" s="344"/>
      <c r="NNQ6" s="344"/>
      <c r="NNR6" s="344"/>
      <c r="NNS6" s="344"/>
      <c r="NNT6" s="344"/>
      <c r="NNU6" s="344"/>
      <c r="NNV6" s="344"/>
      <c r="NNW6" s="344"/>
      <c r="NNX6" s="344"/>
      <c r="NNY6" s="344"/>
      <c r="NNZ6" s="344"/>
      <c r="NOA6" s="344"/>
      <c r="NOB6" s="344"/>
      <c r="NOC6" s="344"/>
      <c r="NOD6" s="344"/>
      <c r="NOE6" s="344"/>
      <c r="NOF6" s="344"/>
      <c r="NOG6" s="344"/>
      <c r="NOH6" s="344"/>
      <c r="NOI6" s="344"/>
      <c r="NOJ6" s="344"/>
      <c r="NOK6" s="344"/>
      <c r="NOL6" s="344"/>
      <c r="NOM6" s="344"/>
      <c r="NON6" s="344"/>
      <c r="NOO6" s="344"/>
      <c r="NOP6" s="344"/>
      <c r="NOQ6" s="344"/>
      <c r="NOR6" s="344"/>
      <c r="NOS6" s="344"/>
      <c r="NOT6" s="344"/>
      <c r="NOU6" s="344"/>
      <c r="NOV6" s="344"/>
      <c r="NOW6" s="344"/>
      <c r="NOX6" s="344"/>
      <c r="NOY6" s="344"/>
      <c r="NOZ6" s="344"/>
      <c r="NPA6" s="344"/>
      <c r="NPB6" s="344"/>
      <c r="NPC6" s="344"/>
      <c r="NPD6" s="344"/>
      <c r="NPE6" s="344"/>
      <c r="NPF6" s="344"/>
      <c r="NPG6" s="344"/>
      <c r="NPH6" s="344"/>
      <c r="NPI6" s="344"/>
      <c r="NPJ6" s="344"/>
      <c r="NPK6" s="344"/>
      <c r="NPL6" s="344"/>
      <c r="NPM6" s="344"/>
      <c r="NPN6" s="344"/>
      <c r="NPO6" s="344"/>
      <c r="NPP6" s="344"/>
      <c r="NPQ6" s="344"/>
      <c r="NPR6" s="344"/>
      <c r="NPS6" s="344"/>
      <c r="NPT6" s="344"/>
      <c r="NPU6" s="344"/>
      <c r="NPV6" s="344"/>
      <c r="NPW6" s="344"/>
      <c r="NPX6" s="344"/>
      <c r="NPY6" s="344"/>
      <c r="NPZ6" s="344"/>
      <c r="NQA6" s="344"/>
      <c r="NQB6" s="344"/>
      <c r="NQC6" s="344"/>
      <c r="NQD6" s="344"/>
      <c r="NQE6" s="344"/>
      <c r="NQF6" s="344"/>
      <c r="NQG6" s="344"/>
      <c r="NQH6" s="344"/>
      <c r="NQI6" s="344"/>
      <c r="NQJ6" s="344"/>
      <c r="NQK6" s="344"/>
      <c r="NQL6" s="344"/>
      <c r="NQM6" s="344"/>
      <c r="NQN6" s="344"/>
      <c r="NQO6" s="344"/>
      <c r="NQP6" s="344"/>
      <c r="NQQ6" s="344"/>
      <c r="NQR6" s="344"/>
      <c r="NQS6" s="344"/>
      <c r="NQT6" s="344"/>
      <c r="NQU6" s="344"/>
      <c r="NQV6" s="344"/>
      <c r="NQW6" s="344"/>
      <c r="NQX6" s="344"/>
      <c r="NQY6" s="344"/>
      <c r="NQZ6" s="344"/>
      <c r="NRA6" s="344"/>
      <c r="NRB6" s="344"/>
      <c r="NRC6" s="344"/>
      <c r="NRD6" s="344"/>
      <c r="NRE6" s="344"/>
      <c r="NRF6" s="344"/>
      <c r="NRG6" s="344"/>
      <c r="NRH6" s="344"/>
      <c r="NRI6" s="344"/>
      <c r="NRJ6" s="344"/>
      <c r="NRK6" s="344"/>
      <c r="NRL6" s="344"/>
      <c r="NRM6" s="344"/>
      <c r="NRN6" s="344"/>
      <c r="NRO6" s="344"/>
      <c r="NRP6" s="344"/>
      <c r="NRQ6" s="344"/>
      <c r="NRR6" s="344"/>
      <c r="NRS6" s="344"/>
      <c r="NRT6" s="344"/>
      <c r="NRU6" s="344"/>
      <c r="NRV6" s="344"/>
      <c r="NRW6" s="344"/>
      <c r="NRX6" s="344"/>
      <c r="NRY6" s="344"/>
      <c r="NRZ6" s="344"/>
      <c r="NSA6" s="344"/>
      <c r="NSB6" s="344"/>
      <c r="NSC6" s="344"/>
      <c r="NSD6" s="344"/>
      <c r="NSE6" s="344"/>
      <c r="NSF6" s="344"/>
      <c r="NSG6" s="344"/>
      <c r="NSH6" s="344"/>
      <c r="NSI6" s="344"/>
      <c r="NSJ6" s="344"/>
      <c r="NSK6" s="344"/>
      <c r="NSL6" s="344"/>
      <c r="NSM6" s="344"/>
      <c r="NSN6" s="344"/>
      <c r="NSO6" s="344"/>
      <c r="NSP6" s="344"/>
      <c r="NSQ6" s="344"/>
      <c r="NSR6" s="344"/>
      <c r="NSS6" s="344"/>
      <c r="NST6" s="344"/>
      <c r="NSU6" s="344"/>
      <c r="NSV6" s="344"/>
      <c r="NSW6" s="344"/>
      <c r="NSX6" s="344"/>
      <c r="NSY6" s="344"/>
      <c r="NSZ6" s="344"/>
      <c r="NTA6" s="344"/>
      <c r="NTB6" s="344"/>
      <c r="NTC6" s="344"/>
      <c r="NTD6" s="344"/>
      <c r="NTE6" s="344"/>
      <c r="NTF6" s="344"/>
      <c r="NTG6" s="344"/>
      <c r="NTH6" s="344"/>
      <c r="NTI6" s="344"/>
      <c r="NTJ6" s="344"/>
      <c r="NTK6" s="344"/>
      <c r="NTL6" s="344"/>
      <c r="NTM6" s="344"/>
      <c r="NTN6" s="344"/>
      <c r="NTO6" s="344"/>
      <c r="NTP6" s="344"/>
      <c r="NTQ6" s="344"/>
      <c r="NTR6" s="344"/>
      <c r="NTS6" s="344"/>
      <c r="NTT6" s="344"/>
      <c r="NTU6" s="344"/>
      <c r="NTV6" s="344"/>
      <c r="NTW6" s="344"/>
      <c r="NTX6" s="344"/>
      <c r="NTY6" s="344"/>
      <c r="NTZ6" s="344"/>
      <c r="NUA6" s="344"/>
      <c r="NUB6" s="344"/>
      <c r="NUC6" s="344"/>
      <c r="NUD6" s="344"/>
      <c r="NUE6" s="344"/>
      <c r="NUF6" s="344"/>
      <c r="NUG6" s="344"/>
      <c r="NUH6" s="344"/>
      <c r="NUI6" s="344"/>
      <c r="NUJ6" s="344"/>
      <c r="NUK6" s="344"/>
      <c r="NUL6" s="344"/>
      <c r="NUM6" s="344"/>
      <c r="NUN6" s="344"/>
      <c r="NUO6" s="344"/>
      <c r="NUP6" s="344"/>
      <c r="NUQ6" s="344"/>
      <c r="NUR6" s="344"/>
      <c r="NUS6" s="344"/>
      <c r="NUT6" s="344"/>
      <c r="NUU6" s="344"/>
      <c r="NUV6" s="344"/>
      <c r="NUW6" s="344"/>
      <c r="NUX6" s="344"/>
      <c r="NUY6" s="344"/>
      <c r="NUZ6" s="344"/>
      <c r="NVA6" s="344"/>
      <c r="NVB6" s="344"/>
      <c r="NVC6" s="344"/>
      <c r="NVD6" s="344"/>
      <c r="NVE6" s="344"/>
      <c r="NVF6" s="344"/>
      <c r="NVG6" s="344"/>
      <c r="NVH6" s="344"/>
      <c r="NVI6" s="344"/>
      <c r="NVJ6" s="344"/>
      <c r="NVK6" s="344"/>
      <c r="NVL6" s="344"/>
      <c r="NVM6" s="344"/>
      <c r="NVN6" s="344"/>
      <c r="NVO6" s="344"/>
      <c r="NVP6" s="344"/>
      <c r="NVQ6" s="344"/>
      <c r="NVR6" s="344"/>
      <c r="NVS6" s="344"/>
      <c r="NVT6" s="344"/>
      <c r="NVU6" s="344"/>
      <c r="NVV6" s="344"/>
      <c r="NVW6" s="344"/>
      <c r="NVX6" s="344"/>
      <c r="NVY6" s="344"/>
      <c r="NVZ6" s="344"/>
      <c r="NWA6" s="344"/>
      <c r="NWB6" s="344"/>
      <c r="NWC6" s="344"/>
      <c r="NWD6" s="344"/>
      <c r="NWE6" s="344"/>
      <c r="NWF6" s="344"/>
      <c r="NWG6" s="344"/>
      <c r="NWH6" s="344"/>
      <c r="NWI6" s="344"/>
      <c r="NWJ6" s="344"/>
      <c r="NWK6" s="344"/>
      <c r="NWL6" s="344"/>
      <c r="NWM6" s="344"/>
      <c r="NWN6" s="344"/>
      <c r="NWO6" s="344"/>
      <c r="NWP6" s="344"/>
      <c r="NWQ6" s="344"/>
      <c r="NWR6" s="344"/>
      <c r="NWS6" s="344"/>
      <c r="NWT6" s="344"/>
      <c r="NWU6" s="344"/>
      <c r="NWV6" s="344"/>
      <c r="NWW6" s="344"/>
      <c r="NWX6" s="344"/>
      <c r="NWY6" s="344"/>
      <c r="NWZ6" s="344"/>
      <c r="NXA6" s="344"/>
      <c r="NXB6" s="344"/>
      <c r="NXC6" s="344"/>
      <c r="NXD6" s="344"/>
      <c r="NXE6" s="344"/>
      <c r="NXF6" s="344"/>
      <c r="NXG6" s="344"/>
      <c r="NXH6" s="344"/>
      <c r="NXI6" s="344"/>
      <c r="NXJ6" s="344"/>
      <c r="NXK6" s="344"/>
      <c r="NXL6" s="344"/>
      <c r="NXM6" s="344"/>
      <c r="NXN6" s="344"/>
      <c r="NXO6" s="344"/>
      <c r="NXP6" s="344"/>
      <c r="NXQ6" s="344"/>
      <c r="NXR6" s="344"/>
      <c r="NXS6" s="344"/>
      <c r="NXT6" s="344"/>
      <c r="NXU6" s="344"/>
      <c r="NXV6" s="344"/>
      <c r="NXW6" s="344"/>
      <c r="NXX6" s="344"/>
      <c r="NXY6" s="344"/>
      <c r="NXZ6" s="344"/>
      <c r="NYA6" s="344"/>
      <c r="NYB6" s="344"/>
      <c r="NYC6" s="344"/>
      <c r="NYD6" s="344"/>
      <c r="NYE6" s="344"/>
      <c r="NYF6" s="344"/>
      <c r="NYG6" s="344"/>
      <c r="NYH6" s="344"/>
      <c r="NYI6" s="344"/>
      <c r="NYJ6" s="344"/>
      <c r="NYK6" s="344"/>
      <c r="NYL6" s="344"/>
      <c r="NYM6" s="344"/>
      <c r="NYN6" s="344"/>
      <c r="NYO6" s="344"/>
      <c r="NYP6" s="344"/>
      <c r="NYQ6" s="344"/>
      <c r="NYR6" s="344"/>
      <c r="NYS6" s="344"/>
      <c r="NYT6" s="344"/>
      <c r="NYU6" s="344"/>
      <c r="NYV6" s="344"/>
      <c r="NYW6" s="344"/>
      <c r="NYX6" s="344"/>
      <c r="NYY6" s="344"/>
      <c r="NYZ6" s="344"/>
      <c r="NZA6" s="344"/>
      <c r="NZB6" s="344"/>
      <c r="NZC6" s="344"/>
      <c r="NZD6" s="344"/>
      <c r="NZE6" s="344"/>
      <c r="NZF6" s="344"/>
      <c r="NZG6" s="344"/>
      <c r="NZH6" s="344"/>
      <c r="NZI6" s="344"/>
      <c r="NZJ6" s="344"/>
      <c r="NZK6" s="344"/>
      <c r="NZL6" s="344"/>
      <c r="NZM6" s="344"/>
      <c r="NZN6" s="344"/>
      <c r="NZO6" s="344"/>
      <c r="NZP6" s="344"/>
      <c r="NZQ6" s="344"/>
      <c r="NZR6" s="344"/>
      <c r="NZS6" s="344"/>
      <c r="NZT6" s="344"/>
      <c r="NZU6" s="344"/>
      <c r="NZV6" s="344"/>
      <c r="NZW6" s="344"/>
      <c r="NZX6" s="344"/>
      <c r="NZY6" s="344"/>
      <c r="NZZ6" s="344"/>
      <c r="OAA6" s="344"/>
      <c r="OAB6" s="344"/>
      <c r="OAC6" s="344"/>
      <c r="OAD6" s="344"/>
      <c r="OAE6" s="344"/>
      <c r="OAF6" s="344"/>
      <c r="OAG6" s="344"/>
      <c r="OAH6" s="344"/>
      <c r="OAI6" s="344"/>
      <c r="OAJ6" s="344"/>
      <c r="OAK6" s="344"/>
      <c r="OAL6" s="344"/>
      <c r="OAM6" s="344"/>
      <c r="OAN6" s="344"/>
      <c r="OAO6" s="344"/>
      <c r="OAP6" s="344"/>
      <c r="OAQ6" s="344"/>
      <c r="OAR6" s="344"/>
      <c r="OAS6" s="344"/>
      <c r="OAT6" s="344"/>
      <c r="OAU6" s="344"/>
      <c r="OAV6" s="344"/>
      <c r="OAW6" s="344"/>
      <c r="OAX6" s="344"/>
      <c r="OAY6" s="344"/>
      <c r="OAZ6" s="344"/>
      <c r="OBA6" s="344"/>
      <c r="OBB6" s="344"/>
      <c r="OBC6" s="344"/>
      <c r="OBD6" s="344"/>
      <c r="OBE6" s="344"/>
      <c r="OBF6" s="344"/>
      <c r="OBG6" s="344"/>
      <c r="OBH6" s="344"/>
      <c r="OBI6" s="344"/>
      <c r="OBJ6" s="344"/>
      <c r="OBK6" s="344"/>
      <c r="OBL6" s="344"/>
      <c r="OBM6" s="344"/>
      <c r="OBN6" s="344"/>
      <c r="OBO6" s="344"/>
      <c r="OBP6" s="344"/>
      <c r="OBQ6" s="344"/>
      <c r="OBR6" s="344"/>
      <c r="OBS6" s="344"/>
      <c r="OBT6" s="344"/>
      <c r="OBU6" s="344"/>
      <c r="OBV6" s="344"/>
      <c r="OBW6" s="344"/>
      <c r="OBX6" s="344"/>
      <c r="OBY6" s="344"/>
      <c r="OBZ6" s="344"/>
      <c r="OCA6" s="344"/>
      <c r="OCB6" s="344"/>
      <c r="OCC6" s="344"/>
      <c r="OCD6" s="344"/>
      <c r="OCE6" s="344"/>
      <c r="OCF6" s="344"/>
      <c r="OCG6" s="344"/>
      <c r="OCH6" s="344"/>
      <c r="OCI6" s="344"/>
      <c r="OCJ6" s="344"/>
      <c r="OCK6" s="344"/>
      <c r="OCL6" s="344"/>
      <c r="OCM6" s="344"/>
      <c r="OCN6" s="344"/>
      <c r="OCO6" s="344"/>
      <c r="OCP6" s="344"/>
      <c r="OCQ6" s="344"/>
      <c r="OCR6" s="344"/>
      <c r="OCS6" s="344"/>
      <c r="OCT6" s="344"/>
      <c r="OCU6" s="344"/>
      <c r="OCV6" s="344"/>
      <c r="OCW6" s="344"/>
      <c r="OCX6" s="344"/>
      <c r="OCY6" s="344"/>
      <c r="OCZ6" s="344"/>
      <c r="ODA6" s="344"/>
      <c r="ODB6" s="344"/>
      <c r="ODC6" s="344"/>
      <c r="ODD6" s="344"/>
      <c r="ODE6" s="344"/>
      <c r="ODF6" s="344"/>
      <c r="ODG6" s="344"/>
      <c r="ODH6" s="344"/>
      <c r="ODI6" s="344"/>
      <c r="ODJ6" s="344"/>
      <c r="ODK6" s="344"/>
      <c r="ODL6" s="344"/>
      <c r="ODM6" s="344"/>
      <c r="ODN6" s="344"/>
      <c r="ODO6" s="344"/>
      <c r="ODP6" s="344"/>
      <c r="ODQ6" s="344"/>
      <c r="ODR6" s="344"/>
      <c r="ODS6" s="344"/>
      <c r="ODT6" s="344"/>
      <c r="ODU6" s="344"/>
      <c r="ODV6" s="344"/>
      <c r="ODW6" s="344"/>
      <c r="ODX6" s="344"/>
      <c r="ODY6" s="344"/>
      <c r="ODZ6" s="344"/>
      <c r="OEA6" s="344"/>
      <c r="OEB6" s="344"/>
      <c r="OEC6" s="344"/>
      <c r="OED6" s="344"/>
      <c r="OEE6" s="344"/>
      <c r="OEF6" s="344"/>
      <c r="OEG6" s="344"/>
      <c r="OEH6" s="344"/>
      <c r="OEI6" s="344"/>
      <c r="OEJ6" s="344"/>
      <c r="OEK6" s="344"/>
      <c r="OEL6" s="344"/>
      <c r="OEM6" s="344"/>
      <c r="OEN6" s="344"/>
      <c r="OEO6" s="344"/>
      <c r="OEP6" s="344"/>
      <c r="OEQ6" s="344"/>
      <c r="OER6" s="344"/>
      <c r="OES6" s="344"/>
      <c r="OET6" s="344"/>
      <c r="OEU6" s="344"/>
      <c r="OEV6" s="344"/>
      <c r="OEW6" s="344"/>
      <c r="OEX6" s="344"/>
      <c r="OEY6" s="344"/>
      <c r="OEZ6" s="344"/>
      <c r="OFA6" s="344"/>
      <c r="OFB6" s="344"/>
      <c r="OFC6" s="344"/>
      <c r="OFD6" s="344"/>
      <c r="OFE6" s="344"/>
      <c r="OFF6" s="344"/>
      <c r="OFG6" s="344"/>
      <c r="OFH6" s="344"/>
      <c r="OFI6" s="344"/>
      <c r="OFJ6" s="344"/>
      <c r="OFK6" s="344"/>
      <c r="OFL6" s="344"/>
      <c r="OFM6" s="344"/>
      <c r="OFN6" s="344"/>
      <c r="OFO6" s="344"/>
      <c r="OFP6" s="344"/>
      <c r="OFQ6" s="344"/>
      <c r="OFR6" s="344"/>
      <c r="OFS6" s="344"/>
      <c r="OFT6" s="344"/>
      <c r="OFU6" s="344"/>
      <c r="OFV6" s="344"/>
      <c r="OFW6" s="344"/>
      <c r="OFX6" s="344"/>
      <c r="OFY6" s="344"/>
      <c r="OFZ6" s="344"/>
      <c r="OGA6" s="344"/>
      <c r="OGB6" s="344"/>
      <c r="OGC6" s="344"/>
      <c r="OGD6" s="344"/>
      <c r="OGE6" s="344"/>
      <c r="OGF6" s="344"/>
      <c r="OGG6" s="344"/>
      <c r="OGH6" s="344"/>
      <c r="OGI6" s="344"/>
      <c r="OGJ6" s="344"/>
      <c r="OGK6" s="344"/>
      <c r="OGL6" s="344"/>
      <c r="OGM6" s="344"/>
      <c r="OGN6" s="344"/>
      <c r="OGO6" s="344"/>
      <c r="OGP6" s="344"/>
      <c r="OGQ6" s="344"/>
      <c r="OGR6" s="344"/>
      <c r="OGS6" s="344"/>
      <c r="OGT6" s="344"/>
      <c r="OGU6" s="344"/>
      <c r="OGV6" s="344"/>
      <c r="OGW6" s="344"/>
      <c r="OGX6" s="344"/>
      <c r="OGY6" s="344"/>
      <c r="OGZ6" s="344"/>
      <c r="OHA6" s="344"/>
      <c r="OHB6" s="344"/>
      <c r="OHC6" s="344"/>
      <c r="OHD6" s="344"/>
      <c r="OHE6" s="344"/>
      <c r="OHF6" s="344"/>
      <c r="OHG6" s="344"/>
      <c r="OHH6" s="344"/>
      <c r="OHI6" s="344"/>
      <c r="OHJ6" s="344"/>
      <c r="OHK6" s="344"/>
      <c r="OHL6" s="344"/>
      <c r="OHM6" s="344"/>
      <c r="OHN6" s="344"/>
      <c r="OHO6" s="344"/>
      <c r="OHP6" s="344"/>
      <c r="OHQ6" s="344"/>
      <c r="OHR6" s="344"/>
      <c r="OHS6" s="344"/>
      <c r="OHT6" s="344"/>
      <c r="OHU6" s="344"/>
      <c r="OHV6" s="344"/>
      <c r="OHW6" s="344"/>
      <c r="OHX6" s="344"/>
      <c r="OHY6" s="344"/>
      <c r="OHZ6" s="344"/>
      <c r="OIA6" s="344"/>
      <c r="OIB6" s="344"/>
      <c r="OIC6" s="344"/>
      <c r="OID6" s="344"/>
      <c r="OIE6" s="344"/>
      <c r="OIF6" s="344"/>
      <c r="OIG6" s="344"/>
      <c r="OIH6" s="344"/>
      <c r="OII6" s="344"/>
      <c r="OIJ6" s="344"/>
      <c r="OIK6" s="344"/>
      <c r="OIL6" s="344"/>
      <c r="OIM6" s="344"/>
      <c r="OIN6" s="344"/>
      <c r="OIO6" s="344"/>
      <c r="OIP6" s="344"/>
      <c r="OIQ6" s="344"/>
      <c r="OIR6" s="344"/>
      <c r="OIS6" s="344"/>
      <c r="OIT6" s="344"/>
      <c r="OIU6" s="344"/>
      <c r="OIV6" s="344"/>
      <c r="OIW6" s="344"/>
      <c r="OIX6" s="344"/>
      <c r="OIY6" s="344"/>
      <c r="OIZ6" s="344"/>
      <c r="OJA6" s="344"/>
      <c r="OJB6" s="344"/>
      <c r="OJC6" s="344"/>
      <c r="OJD6" s="344"/>
      <c r="OJE6" s="344"/>
      <c r="OJF6" s="344"/>
      <c r="OJG6" s="344"/>
      <c r="OJH6" s="344"/>
      <c r="OJI6" s="344"/>
      <c r="OJJ6" s="344"/>
      <c r="OJK6" s="344"/>
      <c r="OJL6" s="344"/>
      <c r="OJM6" s="344"/>
      <c r="OJN6" s="344"/>
      <c r="OJO6" s="344"/>
      <c r="OJP6" s="344"/>
      <c r="OJQ6" s="344"/>
      <c r="OJR6" s="344"/>
      <c r="OJS6" s="344"/>
      <c r="OJT6" s="344"/>
      <c r="OJU6" s="344"/>
      <c r="OJV6" s="344"/>
      <c r="OJW6" s="344"/>
      <c r="OJX6" s="344"/>
      <c r="OJY6" s="344"/>
      <c r="OJZ6" s="344"/>
      <c r="OKA6" s="344"/>
      <c r="OKB6" s="344"/>
      <c r="OKC6" s="344"/>
      <c r="OKD6" s="344"/>
      <c r="OKE6" s="344"/>
      <c r="OKF6" s="344"/>
      <c r="OKG6" s="344"/>
      <c r="OKH6" s="344"/>
      <c r="OKI6" s="344"/>
      <c r="OKJ6" s="344"/>
      <c r="OKK6" s="344"/>
      <c r="OKL6" s="344"/>
      <c r="OKM6" s="344"/>
      <c r="OKN6" s="344"/>
      <c r="OKO6" s="344"/>
      <c r="OKP6" s="344"/>
      <c r="OKQ6" s="344"/>
      <c r="OKR6" s="344"/>
      <c r="OKS6" s="344"/>
      <c r="OKT6" s="344"/>
      <c r="OKU6" s="344"/>
      <c r="OKV6" s="344"/>
      <c r="OKW6" s="344"/>
      <c r="OKX6" s="344"/>
      <c r="OKY6" s="344"/>
      <c r="OKZ6" s="344"/>
      <c r="OLA6" s="344"/>
      <c r="OLB6" s="344"/>
      <c r="OLC6" s="344"/>
      <c r="OLD6" s="344"/>
      <c r="OLE6" s="344"/>
      <c r="OLF6" s="344"/>
      <c r="OLG6" s="344"/>
      <c r="OLH6" s="344"/>
      <c r="OLI6" s="344"/>
      <c r="OLJ6" s="344"/>
      <c r="OLK6" s="344"/>
      <c r="OLL6" s="344"/>
      <c r="OLM6" s="344"/>
      <c r="OLN6" s="344"/>
      <c r="OLO6" s="344"/>
      <c r="OLP6" s="344"/>
      <c r="OLQ6" s="344"/>
      <c r="OLR6" s="344"/>
      <c r="OLS6" s="344"/>
      <c r="OLT6" s="344"/>
      <c r="OLU6" s="344"/>
      <c r="OLV6" s="344"/>
      <c r="OLW6" s="344"/>
      <c r="OLX6" s="344"/>
      <c r="OLY6" s="344"/>
      <c r="OLZ6" s="344"/>
      <c r="OMA6" s="344"/>
      <c r="OMB6" s="344"/>
      <c r="OMC6" s="344"/>
      <c r="OMD6" s="344"/>
      <c r="OME6" s="344"/>
      <c r="OMF6" s="344"/>
      <c r="OMG6" s="344"/>
      <c r="OMH6" s="344"/>
      <c r="OMI6" s="344"/>
      <c r="OMJ6" s="344"/>
      <c r="OMK6" s="344"/>
      <c r="OML6" s="344"/>
      <c r="OMM6" s="344"/>
      <c r="OMN6" s="344"/>
      <c r="OMO6" s="344"/>
      <c r="OMP6" s="344"/>
      <c r="OMQ6" s="344"/>
      <c r="OMR6" s="344"/>
      <c r="OMS6" s="344"/>
      <c r="OMT6" s="344"/>
      <c r="OMU6" s="344"/>
      <c r="OMV6" s="344"/>
      <c r="OMW6" s="344"/>
      <c r="OMX6" s="344"/>
      <c r="OMY6" s="344"/>
      <c r="OMZ6" s="344"/>
      <c r="ONA6" s="344"/>
      <c r="ONB6" s="344"/>
      <c r="ONC6" s="344"/>
      <c r="OND6" s="344"/>
      <c r="ONE6" s="344"/>
      <c r="ONF6" s="344"/>
      <c r="ONG6" s="344"/>
      <c r="ONH6" s="344"/>
      <c r="ONI6" s="344"/>
      <c r="ONJ6" s="344"/>
      <c r="ONK6" s="344"/>
      <c r="ONL6" s="344"/>
      <c r="ONM6" s="344"/>
      <c r="ONN6" s="344"/>
      <c r="ONO6" s="344"/>
      <c r="ONP6" s="344"/>
      <c r="ONQ6" s="344"/>
      <c r="ONR6" s="344"/>
      <c r="ONS6" s="344"/>
      <c r="ONT6" s="344"/>
      <c r="ONU6" s="344"/>
      <c r="ONV6" s="344"/>
      <c r="ONW6" s="344"/>
      <c r="ONX6" s="344"/>
      <c r="ONY6" s="344"/>
      <c r="ONZ6" s="344"/>
      <c r="OOA6" s="344"/>
      <c r="OOB6" s="344"/>
      <c r="OOC6" s="344"/>
      <c r="OOD6" s="344"/>
      <c r="OOE6" s="344"/>
      <c r="OOF6" s="344"/>
      <c r="OOG6" s="344"/>
      <c r="OOH6" s="344"/>
      <c r="OOI6" s="344"/>
      <c r="OOJ6" s="344"/>
      <c r="OOK6" s="344"/>
      <c r="OOL6" s="344"/>
      <c r="OOM6" s="344"/>
      <c r="OON6" s="344"/>
      <c r="OOO6" s="344"/>
      <c r="OOP6" s="344"/>
      <c r="OOQ6" s="344"/>
      <c r="OOR6" s="344"/>
      <c r="OOS6" s="344"/>
      <c r="OOT6" s="344"/>
      <c r="OOU6" s="344"/>
      <c r="OOV6" s="344"/>
      <c r="OOW6" s="344"/>
      <c r="OOX6" s="344"/>
      <c r="OOY6" s="344"/>
      <c r="OOZ6" s="344"/>
      <c r="OPA6" s="344"/>
      <c r="OPB6" s="344"/>
      <c r="OPC6" s="344"/>
      <c r="OPD6" s="344"/>
      <c r="OPE6" s="344"/>
      <c r="OPF6" s="344"/>
      <c r="OPG6" s="344"/>
      <c r="OPH6" s="344"/>
      <c r="OPI6" s="344"/>
      <c r="OPJ6" s="344"/>
      <c r="OPK6" s="344"/>
      <c r="OPL6" s="344"/>
      <c r="OPM6" s="344"/>
      <c r="OPN6" s="344"/>
      <c r="OPO6" s="344"/>
      <c r="OPP6" s="344"/>
      <c r="OPQ6" s="344"/>
      <c r="OPR6" s="344"/>
      <c r="OPS6" s="344"/>
      <c r="OPT6" s="344"/>
      <c r="OPU6" s="344"/>
      <c r="OPV6" s="344"/>
      <c r="OPW6" s="344"/>
      <c r="OPX6" s="344"/>
      <c r="OPY6" s="344"/>
      <c r="OPZ6" s="344"/>
      <c r="OQA6" s="344"/>
      <c r="OQB6" s="344"/>
      <c r="OQC6" s="344"/>
      <c r="OQD6" s="344"/>
      <c r="OQE6" s="344"/>
      <c r="OQF6" s="344"/>
      <c r="OQG6" s="344"/>
      <c r="OQH6" s="344"/>
      <c r="OQI6" s="344"/>
      <c r="OQJ6" s="344"/>
      <c r="OQK6" s="344"/>
      <c r="OQL6" s="344"/>
      <c r="OQM6" s="344"/>
      <c r="OQN6" s="344"/>
      <c r="OQO6" s="344"/>
      <c r="OQP6" s="344"/>
      <c r="OQQ6" s="344"/>
      <c r="OQR6" s="344"/>
      <c r="OQS6" s="344"/>
      <c r="OQT6" s="344"/>
      <c r="OQU6" s="344"/>
      <c r="OQV6" s="344"/>
      <c r="OQW6" s="344"/>
      <c r="OQX6" s="344"/>
      <c r="OQY6" s="344"/>
      <c r="OQZ6" s="344"/>
      <c r="ORA6" s="344"/>
      <c r="ORB6" s="344"/>
      <c r="ORC6" s="344"/>
      <c r="ORD6" s="344"/>
      <c r="ORE6" s="344"/>
      <c r="ORF6" s="344"/>
      <c r="ORG6" s="344"/>
      <c r="ORH6" s="344"/>
      <c r="ORI6" s="344"/>
      <c r="ORJ6" s="344"/>
      <c r="ORK6" s="344"/>
      <c r="ORL6" s="344"/>
      <c r="ORM6" s="344"/>
      <c r="ORN6" s="344"/>
      <c r="ORO6" s="344"/>
      <c r="ORP6" s="344"/>
      <c r="ORQ6" s="344"/>
      <c r="ORR6" s="344"/>
      <c r="ORS6" s="344"/>
      <c r="ORT6" s="344"/>
      <c r="ORU6" s="344"/>
      <c r="ORV6" s="344"/>
      <c r="ORW6" s="344"/>
      <c r="ORX6" s="344"/>
      <c r="ORY6" s="344"/>
      <c r="ORZ6" s="344"/>
      <c r="OSA6" s="344"/>
      <c r="OSB6" s="344"/>
      <c r="OSC6" s="344"/>
      <c r="OSD6" s="344"/>
      <c r="OSE6" s="344"/>
      <c r="OSF6" s="344"/>
      <c r="OSG6" s="344"/>
      <c r="OSH6" s="344"/>
      <c r="OSI6" s="344"/>
      <c r="OSJ6" s="344"/>
      <c r="OSK6" s="344"/>
      <c r="OSL6" s="344"/>
      <c r="OSM6" s="344"/>
      <c r="OSN6" s="344"/>
      <c r="OSO6" s="344"/>
      <c r="OSP6" s="344"/>
      <c r="OSQ6" s="344"/>
      <c r="OSR6" s="344"/>
      <c r="OSS6" s="344"/>
      <c r="OST6" s="344"/>
      <c r="OSU6" s="344"/>
      <c r="OSV6" s="344"/>
      <c r="OSW6" s="344"/>
      <c r="OSX6" s="344"/>
      <c r="OSY6" s="344"/>
      <c r="OSZ6" s="344"/>
      <c r="OTA6" s="344"/>
      <c r="OTB6" s="344"/>
      <c r="OTC6" s="344"/>
      <c r="OTD6" s="344"/>
      <c r="OTE6" s="344"/>
      <c r="OTF6" s="344"/>
      <c r="OTG6" s="344"/>
      <c r="OTH6" s="344"/>
      <c r="OTI6" s="344"/>
      <c r="OTJ6" s="344"/>
      <c r="OTK6" s="344"/>
      <c r="OTL6" s="344"/>
      <c r="OTM6" s="344"/>
      <c r="OTN6" s="344"/>
      <c r="OTO6" s="344"/>
      <c r="OTP6" s="344"/>
      <c r="OTQ6" s="344"/>
      <c r="OTR6" s="344"/>
      <c r="OTS6" s="344"/>
      <c r="OTT6" s="344"/>
      <c r="OTU6" s="344"/>
      <c r="OTV6" s="344"/>
      <c r="OTW6" s="344"/>
      <c r="OTX6" s="344"/>
      <c r="OTY6" s="344"/>
      <c r="OTZ6" s="344"/>
      <c r="OUA6" s="344"/>
      <c r="OUB6" s="344"/>
      <c r="OUC6" s="344"/>
      <c r="OUD6" s="344"/>
      <c r="OUE6" s="344"/>
      <c r="OUF6" s="344"/>
      <c r="OUG6" s="344"/>
      <c r="OUH6" s="344"/>
      <c r="OUI6" s="344"/>
      <c r="OUJ6" s="344"/>
      <c r="OUK6" s="344"/>
      <c r="OUL6" s="344"/>
      <c r="OUM6" s="344"/>
      <c r="OUN6" s="344"/>
      <c r="OUO6" s="344"/>
      <c r="OUP6" s="344"/>
      <c r="OUQ6" s="344"/>
      <c r="OUR6" s="344"/>
      <c r="OUS6" s="344"/>
      <c r="OUT6" s="344"/>
      <c r="OUU6" s="344"/>
      <c r="OUV6" s="344"/>
      <c r="OUW6" s="344"/>
      <c r="OUX6" s="344"/>
      <c r="OUY6" s="344"/>
      <c r="OUZ6" s="344"/>
      <c r="OVA6" s="344"/>
      <c r="OVB6" s="344"/>
      <c r="OVC6" s="344"/>
      <c r="OVD6" s="344"/>
      <c r="OVE6" s="344"/>
      <c r="OVF6" s="344"/>
      <c r="OVG6" s="344"/>
      <c r="OVH6" s="344"/>
      <c r="OVI6" s="344"/>
      <c r="OVJ6" s="344"/>
      <c r="OVK6" s="344"/>
      <c r="OVL6" s="344"/>
      <c r="OVM6" s="344"/>
      <c r="OVN6" s="344"/>
      <c r="OVO6" s="344"/>
      <c r="OVP6" s="344"/>
      <c r="OVQ6" s="344"/>
      <c r="OVR6" s="344"/>
      <c r="OVS6" s="344"/>
      <c r="OVT6" s="344"/>
      <c r="OVU6" s="344"/>
      <c r="OVV6" s="344"/>
      <c r="OVW6" s="344"/>
      <c r="OVX6" s="344"/>
      <c r="OVY6" s="344"/>
      <c r="OVZ6" s="344"/>
      <c r="OWA6" s="344"/>
      <c r="OWB6" s="344"/>
      <c r="OWC6" s="344"/>
      <c r="OWD6" s="344"/>
      <c r="OWE6" s="344"/>
      <c r="OWF6" s="344"/>
      <c r="OWG6" s="344"/>
      <c r="OWH6" s="344"/>
      <c r="OWI6" s="344"/>
      <c r="OWJ6" s="344"/>
      <c r="OWK6" s="344"/>
      <c r="OWL6" s="344"/>
      <c r="OWM6" s="344"/>
      <c r="OWN6" s="344"/>
      <c r="OWO6" s="344"/>
      <c r="OWP6" s="344"/>
      <c r="OWQ6" s="344"/>
      <c r="OWR6" s="344"/>
      <c r="OWS6" s="344"/>
      <c r="OWT6" s="344"/>
      <c r="OWU6" s="344"/>
      <c r="OWV6" s="344"/>
      <c r="OWW6" s="344"/>
      <c r="OWX6" s="344"/>
      <c r="OWY6" s="344"/>
      <c r="OWZ6" s="344"/>
      <c r="OXA6" s="344"/>
      <c r="OXB6" s="344"/>
      <c r="OXC6" s="344"/>
      <c r="OXD6" s="344"/>
      <c r="OXE6" s="344"/>
      <c r="OXF6" s="344"/>
      <c r="OXG6" s="344"/>
      <c r="OXH6" s="344"/>
      <c r="OXI6" s="344"/>
      <c r="OXJ6" s="344"/>
      <c r="OXK6" s="344"/>
      <c r="OXL6" s="344"/>
      <c r="OXM6" s="344"/>
      <c r="OXN6" s="344"/>
      <c r="OXO6" s="344"/>
      <c r="OXP6" s="344"/>
      <c r="OXQ6" s="344"/>
      <c r="OXR6" s="344"/>
      <c r="OXS6" s="344"/>
      <c r="OXT6" s="344"/>
      <c r="OXU6" s="344"/>
      <c r="OXV6" s="344"/>
      <c r="OXW6" s="344"/>
      <c r="OXX6" s="344"/>
      <c r="OXY6" s="344"/>
      <c r="OXZ6" s="344"/>
      <c r="OYA6" s="344"/>
      <c r="OYB6" s="344"/>
      <c r="OYC6" s="344"/>
      <c r="OYD6" s="344"/>
      <c r="OYE6" s="344"/>
      <c r="OYF6" s="344"/>
      <c r="OYG6" s="344"/>
      <c r="OYH6" s="344"/>
      <c r="OYI6" s="344"/>
      <c r="OYJ6" s="344"/>
      <c r="OYK6" s="344"/>
      <c r="OYL6" s="344"/>
      <c r="OYM6" s="344"/>
      <c r="OYN6" s="344"/>
      <c r="OYO6" s="344"/>
      <c r="OYP6" s="344"/>
      <c r="OYQ6" s="344"/>
      <c r="OYR6" s="344"/>
      <c r="OYS6" s="344"/>
      <c r="OYT6" s="344"/>
      <c r="OYU6" s="344"/>
      <c r="OYV6" s="344"/>
      <c r="OYW6" s="344"/>
      <c r="OYX6" s="344"/>
      <c r="OYY6" s="344"/>
      <c r="OYZ6" s="344"/>
      <c r="OZA6" s="344"/>
      <c r="OZB6" s="344"/>
      <c r="OZC6" s="344"/>
      <c r="OZD6" s="344"/>
      <c r="OZE6" s="344"/>
      <c r="OZF6" s="344"/>
      <c r="OZG6" s="344"/>
      <c r="OZH6" s="344"/>
      <c r="OZI6" s="344"/>
      <c r="OZJ6" s="344"/>
      <c r="OZK6" s="344"/>
      <c r="OZL6" s="344"/>
      <c r="OZM6" s="344"/>
      <c r="OZN6" s="344"/>
      <c r="OZO6" s="344"/>
      <c r="OZP6" s="344"/>
      <c r="OZQ6" s="344"/>
      <c r="OZR6" s="344"/>
      <c r="OZS6" s="344"/>
      <c r="OZT6" s="344"/>
      <c r="OZU6" s="344"/>
      <c r="OZV6" s="344"/>
      <c r="OZW6" s="344"/>
      <c r="OZX6" s="344"/>
      <c r="OZY6" s="344"/>
      <c r="OZZ6" s="344"/>
      <c r="PAA6" s="344"/>
      <c r="PAB6" s="344"/>
      <c r="PAC6" s="344"/>
      <c r="PAD6" s="344"/>
      <c r="PAE6" s="344"/>
      <c r="PAF6" s="344"/>
      <c r="PAG6" s="344"/>
      <c r="PAH6" s="344"/>
      <c r="PAI6" s="344"/>
      <c r="PAJ6" s="344"/>
      <c r="PAK6" s="344"/>
      <c r="PAL6" s="344"/>
      <c r="PAM6" s="344"/>
      <c r="PAN6" s="344"/>
      <c r="PAO6" s="344"/>
      <c r="PAP6" s="344"/>
      <c r="PAQ6" s="344"/>
      <c r="PAR6" s="344"/>
      <c r="PAS6" s="344"/>
      <c r="PAT6" s="344"/>
      <c r="PAU6" s="344"/>
      <c r="PAV6" s="344"/>
      <c r="PAW6" s="344"/>
      <c r="PAX6" s="344"/>
      <c r="PAY6" s="344"/>
      <c r="PAZ6" s="344"/>
      <c r="PBA6" s="344"/>
      <c r="PBB6" s="344"/>
      <c r="PBC6" s="344"/>
      <c r="PBD6" s="344"/>
      <c r="PBE6" s="344"/>
      <c r="PBF6" s="344"/>
      <c r="PBG6" s="344"/>
      <c r="PBH6" s="344"/>
      <c r="PBI6" s="344"/>
      <c r="PBJ6" s="344"/>
      <c r="PBK6" s="344"/>
      <c r="PBL6" s="344"/>
      <c r="PBM6" s="344"/>
      <c r="PBN6" s="344"/>
      <c r="PBO6" s="344"/>
      <c r="PBP6" s="344"/>
      <c r="PBQ6" s="344"/>
      <c r="PBR6" s="344"/>
      <c r="PBS6" s="344"/>
      <c r="PBT6" s="344"/>
      <c r="PBU6" s="344"/>
      <c r="PBV6" s="344"/>
      <c r="PBW6" s="344"/>
      <c r="PBX6" s="344"/>
      <c r="PBY6" s="344"/>
      <c r="PBZ6" s="344"/>
      <c r="PCA6" s="344"/>
      <c r="PCB6" s="344"/>
      <c r="PCC6" s="344"/>
      <c r="PCD6" s="344"/>
      <c r="PCE6" s="344"/>
      <c r="PCF6" s="344"/>
      <c r="PCG6" s="344"/>
      <c r="PCH6" s="344"/>
      <c r="PCI6" s="344"/>
      <c r="PCJ6" s="344"/>
      <c r="PCK6" s="344"/>
      <c r="PCL6" s="344"/>
      <c r="PCM6" s="344"/>
      <c r="PCN6" s="344"/>
      <c r="PCO6" s="344"/>
      <c r="PCP6" s="344"/>
      <c r="PCQ6" s="344"/>
      <c r="PCR6" s="344"/>
      <c r="PCS6" s="344"/>
      <c r="PCT6" s="344"/>
      <c r="PCU6" s="344"/>
      <c r="PCV6" s="344"/>
      <c r="PCW6" s="344"/>
      <c r="PCX6" s="344"/>
      <c r="PCY6" s="344"/>
      <c r="PCZ6" s="344"/>
      <c r="PDA6" s="344"/>
      <c r="PDB6" s="344"/>
      <c r="PDC6" s="344"/>
      <c r="PDD6" s="344"/>
      <c r="PDE6" s="344"/>
      <c r="PDF6" s="344"/>
      <c r="PDG6" s="344"/>
      <c r="PDH6" s="344"/>
      <c r="PDI6" s="344"/>
      <c r="PDJ6" s="344"/>
      <c r="PDK6" s="344"/>
      <c r="PDL6" s="344"/>
      <c r="PDM6" s="344"/>
      <c r="PDN6" s="344"/>
      <c r="PDO6" s="344"/>
      <c r="PDP6" s="344"/>
      <c r="PDQ6" s="344"/>
      <c r="PDR6" s="344"/>
      <c r="PDS6" s="344"/>
      <c r="PDT6" s="344"/>
      <c r="PDU6" s="344"/>
      <c r="PDV6" s="344"/>
      <c r="PDW6" s="344"/>
      <c r="PDX6" s="344"/>
      <c r="PDY6" s="344"/>
      <c r="PDZ6" s="344"/>
      <c r="PEA6" s="344"/>
      <c r="PEB6" s="344"/>
      <c r="PEC6" s="344"/>
      <c r="PED6" s="344"/>
      <c r="PEE6" s="344"/>
      <c r="PEF6" s="344"/>
      <c r="PEG6" s="344"/>
      <c r="PEH6" s="344"/>
      <c r="PEI6" s="344"/>
      <c r="PEJ6" s="344"/>
      <c r="PEK6" s="344"/>
      <c r="PEL6" s="344"/>
      <c r="PEM6" s="344"/>
      <c r="PEN6" s="344"/>
      <c r="PEO6" s="344"/>
      <c r="PEP6" s="344"/>
      <c r="PEQ6" s="344"/>
      <c r="PER6" s="344"/>
      <c r="PES6" s="344"/>
      <c r="PET6" s="344"/>
      <c r="PEU6" s="344"/>
      <c r="PEV6" s="344"/>
      <c r="PEW6" s="344"/>
      <c r="PEX6" s="344"/>
      <c r="PEY6" s="344"/>
      <c r="PEZ6" s="344"/>
      <c r="PFA6" s="344"/>
      <c r="PFB6" s="344"/>
      <c r="PFC6" s="344"/>
      <c r="PFD6" s="344"/>
      <c r="PFE6" s="344"/>
      <c r="PFF6" s="344"/>
      <c r="PFG6" s="344"/>
      <c r="PFH6" s="344"/>
      <c r="PFI6" s="344"/>
      <c r="PFJ6" s="344"/>
      <c r="PFK6" s="344"/>
      <c r="PFL6" s="344"/>
      <c r="PFM6" s="344"/>
      <c r="PFN6" s="344"/>
      <c r="PFO6" s="344"/>
      <c r="PFP6" s="344"/>
      <c r="PFQ6" s="344"/>
      <c r="PFR6" s="344"/>
      <c r="PFS6" s="344"/>
      <c r="PFT6" s="344"/>
      <c r="PFU6" s="344"/>
      <c r="PFV6" s="344"/>
      <c r="PFW6" s="344"/>
      <c r="PFX6" s="344"/>
      <c r="PFY6" s="344"/>
      <c r="PFZ6" s="344"/>
      <c r="PGA6" s="344"/>
      <c r="PGB6" s="344"/>
      <c r="PGC6" s="344"/>
      <c r="PGD6" s="344"/>
      <c r="PGE6" s="344"/>
      <c r="PGF6" s="344"/>
      <c r="PGG6" s="344"/>
      <c r="PGH6" s="344"/>
      <c r="PGI6" s="344"/>
      <c r="PGJ6" s="344"/>
      <c r="PGK6" s="344"/>
      <c r="PGL6" s="344"/>
      <c r="PGM6" s="344"/>
      <c r="PGN6" s="344"/>
      <c r="PGO6" s="344"/>
      <c r="PGP6" s="344"/>
      <c r="PGQ6" s="344"/>
      <c r="PGR6" s="344"/>
      <c r="PGS6" s="344"/>
      <c r="PGT6" s="344"/>
      <c r="PGU6" s="344"/>
      <c r="PGV6" s="344"/>
      <c r="PGW6" s="344"/>
      <c r="PGX6" s="344"/>
      <c r="PGY6" s="344"/>
      <c r="PGZ6" s="344"/>
      <c r="PHA6" s="344"/>
      <c r="PHB6" s="344"/>
      <c r="PHC6" s="344"/>
      <c r="PHD6" s="344"/>
      <c r="PHE6" s="344"/>
      <c r="PHF6" s="344"/>
      <c r="PHG6" s="344"/>
      <c r="PHH6" s="344"/>
      <c r="PHI6" s="344"/>
      <c r="PHJ6" s="344"/>
      <c r="PHK6" s="344"/>
      <c r="PHL6" s="344"/>
      <c r="PHM6" s="344"/>
      <c r="PHN6" s="344"/>
      <c r="PHO6" s="344"/>
      <c r="PHP6" s="344"/>
      <c r="PHQ6" s="344"/>
      <c r="PHR6" s="344"/>
      <c r="PHS6" s="344"/>
      <c r="PHT6" s="344"/>
      <c r="PHU6" s="344"/>
      <c r="PHV6" s="344"/>
      <c r="PHW6" s="344"/>
      <c r="PHX6" s="344"/>
      <c r="PHY6" s="344"/>
      <c r="PHZ6" s="344"/>
      <c r="PIA6" s="344"/>
      <c r="PIB6" s="344"/>
      <c r="PIC6" s="344"/>
      <c r="PID6" s="344"/>
      <c r="PIE6" s="344"/>
      <c r="PIF6" s="344"/>
      <c r="PIG6" s="344"/>
      <c r="PIH6" s="344"/>
      <c r="PII6" s="344"/>
      <c r="PIJ6" s="344"/>
      <c r="PIK6" s="344"/>
      <c r="PIL6" s="344"/>
      <c r="PIM6" s="344"/>
      <c r="PIN6" s="344"/>
      <c r="PIO6" s="344"/>
      <c r="PIP6" s="344"/>
      <c r="PIQ6" s="344"/>
      <c r="PIR6" s="344"/>
      <c r="PIS6" s="344"/>
      <c r="PIT6" s="344"/>
      <c r="PIU6" s="344"/>
      <c r="PIV6" s="344"/>
      <c r="PIW6" s="344"/>
      <c r="PIX6" s="344"/>
      <c r="PIY6" s="344"/>
      <c r="PIZ6" s="344"/>
      <c r="PJA6" s="344"/>
      <c r="PJB6" s="344"/>
      <c r="PJC6" s="344"/>
      <c r="PJD6" s="344"/>
      <c r="PJE6" s="344"/>
      <c r="PJF6" s="344"/>
      <c r="PJG6" s="344"/>
      <c r="PJH6" s="344"/>
      <c r="PJI6" s="344"/>
      <c r="PJJ6" s="344"/>
      <c r="PJK6" s="344"/>
      <c r="PJL6" s="344"/>
      <c r="PJM6" s="344"/>
      <c r="PJN6" s="344"/>
      <c r="PJO6" s="344"/>
      <c r="PJP6" s="344"/>
      <c r="PJQ6" s="344"/>
      <c r="PJR6" s="344"/>
      <c r="PJS6" s="344"/>
      <c r="PJT6" s="344"/>
      <c r="PJU6" s="344"/>
      <c r="PJV6" s="344"/>
      <c r="PJW6" s="344"/>
      <c r="PJX6" s="344"/>
      <c r="PJY6" s="344"/>
      <c r="PJZ6" s="344"/>
      <c r="PKA6" s="344"/>
      <c r="PKB6" s="344"/>
      <c r="PKC6" s="344"/>
      <c r="PKD6" s="344"/>
      <c r="PKE6" s="344"/>
      <c r="PKF6" s="344"/>
      <c r="PKG6" s="344"/>
      <c r="PKH6" s="344"/>
      <c r="PKI6" s="344"/>
      <c r="PKJ6" s="344"/>
      <c r="PKK6" s="344"/>
      <c r="PKL6" s="344"/>
      <c r="PKM6" s="344"/>
      <c r="PKN6" s="344"/>
      <c r="PKO6" s="344"/>
      <c r="PKP6" s="344"/>
      <c r="PKQ6" s="344"/>
      <c r="PKR6" s="344"/>
      <c r="PKS6" s="344"/>
      <c r="PKT6" s="344"/>
      <c r="PKU6" s="344"/>
      <c r="PKV6" s="344"/>
      <c r="PKW6" s="344"/>
      <c r="PKX6" s="344"/>
      <c r="PKY6" s="344"/>
      <c r="PKZ6" s="344"/>
      <c r="PLA6" s="344"/>
      <c r="PLB6" s="344"/>
      <c r="PLC6" s="344"/>
      <c r="PLD6" s="344"/>
      <c r="PLE6" s="344"/>
      <c r="PLF6" s="344"/>
      <c r="PLG6" s="344"/>
      <c r="PLH6" s="344"/>
      <c r="PLI6" s="344"/>
      <c r="PLJ6" s="344"/>
      <c r="PLK6" s="344"/>
      <c r="PLL6" s="344"/>
      <c r="PLM6" s="344"/>
      <c r="PLN6" s="344"/>
      <c r="PLO6" s="344"/>
      <c r="PLP6" s="344"/>
      <c r="PLQ6" s="344"/>
      <c r="PLR6" s="344"/>
      <c r="PLS6" s="344"/>
      <c r="PLT6" s="344"/>
      <c r="PLU6" s="344"/>
      <c r="PLV6" s="344"/>
      <c r="PLW6" s="344"/>
      <c r="PLX6" s="344"/>
      <c r="PLY6" s="344"/>
      <c r="PLZ6" s="344"/>
      <c r="PMA6" s="344"/>
      <c r="PMB6" s="344"/>
      <c r="PMC6" s="344"/>
      <c r="PMD6" s="344"/>
      <c r="PME6" s="344"/>
      <c r="PMF6" s="344"/>
      <c r="PMG6" s="344"/>
      <c r="PMH6" s="344"/>
      <c r="PMI6" s="344"/>
      <c r="PMJ6" s="344"/>
      <c r="PMK6" s="344"/>
      <c r="PML6" s="344"/>
      <c r="PMM6" s="344"/>
      <c r="PMN6" s="344"/>
      <c r="PMO6" s="344"/>
      <c r="PMP6" s="344"/>
      <c r="PMQ6" s="344"/>
      <c r="PMR6" s="344"/>
      <c r="PMS6" s="344"/>
      <c r="PMT6" s="344"/>
      <c r="PMU6" s="344"/>
      <c r="PMV6" s="344"/>
      <c r="PMW6" s="344"/>
      <c r="PMX6" s="344"/>
      <c r="PMY6" s="344"/>
      <c r="PMZ6" s="344"/>
      <c r="PNA6" s="344"/>
      <c r="PNB6" s="344"/>
      <c r="PNC6" s="344"/>
      <c r="PND6" s="344"/>
      <c r="PNE6" s="344"/>
      <c r="PNF6" s="344"/>
      <c r="PNG6" s="344"/>
      <c r="PNH6" s="344"/>
      <c r="PNI6" s="344"/>
      <c r="PNJ6" s="344"/>
      <c r="PNK6" s="344"/>
      <c r="PNL6" s="344"/>
      <c r="PNM6" s="344"/>
      <c r="PNN6" s="344"/>
      <c r="PNO6" s="344"/>
      <c r="PNP6" s="344"/>
      <c r="PNQ6" s="344"/>
      <c r="PNR6" s="344"/>
      <c r="PNS6" s="344"/>
      <c r="PNT6" s="344"/>
      <c r="PNU6" s="344"/>
      <c r="PNV6" s="344"/>
      <c r="PNW6" s="344"/>
      <c r="PNX6" s="344"/>
      <c r="PNY6" s="344"/>
      <c r="PNZ6" s="344"/>
      <c r="POA6" s="344"/>
      <c r="POB6" s="344"/>
      <c r="POC6" s="344"/>
      <c r="POD6" s="344"/>
      <c r="POE6" s="344"/>
      <c r="POF6" s="344"/>
      <c r="POG6" s="344"/>
      <c r="POH6" s="344"/>
      <c r="POI6" s="344"/>
      <c r="POJ6" s="344"/>
      <c r="POK6" s="344"/>
      <c r="POL6" s="344"/>
      <c r="POM6" s="344"/>
      <c r="PON6" s="344"/>
      <c r="POO6" s="344"/>
      <c r="POP6" s="344"/>
      <c r="POQ6" s="344"/>
      <c r="POR6" s="344"/>
      <c r="POS6" s="344"/>
      <c r="POT6" s="344"/>
      <c r="POU6" s="344"/>
      <c r="POV6" s="344"/>
      <c r="POW6" s="344"/>
      <c r="POX6" s="344"/>
      <c r="POY6" s="344"/>
      <c r="POZ6" s="344"/>
      <c r="PPA6" s="344"/>
      <c r="PPB6" s="344"/>
      <c r="PPC6" s="344"/>
      <c r="PPD6" s="344"/>
      <c r="PPE6" s="344"/>
      <c r="PPF6" s="344"/>
      <c r="PPG6" s="344"/>
      <c r="PPH6" s="344"/>
      <c r="PPI6" s="344"/>
      <c r="PPJ6" s="344"/>
      <c r="PPK6" s="344"/>
      <c r="PPL6" s="344"/>
      <c r="PPM6" s="344"/>
      <c r="PPN6" s="344"/>
      <c r="PPO6" s="344"/>
      <c r="PPP6" s="344"/>
      <c r="PPQ6" s="344"/>
      <c r="PPR6" s="344"/>
      <c r="PPS6" s="344"/>
      <c r="PPT6" s="344"/>
      <c r="PPU6" s="344"/>
      <c r="PPV6" s="344"/>
      <c r="PPW6" s="344"/>
      <c r="PPX6" s="344"/>
      <c r="PPY6" s="344"/>
      <c r="PPZ6" s="344"/>
      <c r="PQA6" s="344"/>
      <c r="PQB6" s="344"/>
      <c r="PQC6" s="344"/>
      <c r="PQD6" s="344"/>
      <c r="PQE6" s="344"/>
      <c r="PQF6" s="344"/>
      <c r="PQG6" s="344"/>
      <c r="PQH6" s="344"/>
      <c r="PQI6" s="344"/>
      <c r="PQJ6" s="344"/>
      <c r="PQK6" s="344"/>
      <c r="PQL6" s="344"/>
      <c r="PQM6" s="344"/>
      <c r="PQN6" s="344"/>
      <c r="PQO6" s="344"/>
      <c r="PQP6" s="344"/>
      <c r="PQQ6" s="344"/>
      <c r="PQR6" s="344"/>
      <c r="PQS6" s="344"/>
      <c r="PQT6" s="344"/>
      <c r="PQU6" s="344"/>
      <c r="PQV6" s="344"/>
      <c r="PQW6" s="344"/>
      <c r="PQX6" s="344"/>
      <c r="PQY6" s="344"/>
      <c r="PQZ6" s="344"/>
      <c r="PRA6" s="344"/>
      <c r="PRB6" s="344"/>
      <c r="PRC6" s="344"/>
      <c r="PRD6" s="344"/>
      <c r="PRE6" s="344"/>
      <c r="PRF6" s="344"/>
      <c r="PRG6" s="344"/>
      <c r="PRH6" s="344"/>
      <c r="PRI6" s="344"/>
      <c r="PRJ6" s="344"/>
      <c r="PRK6" s="344"/>
      <c r="PRL6" s="344"/>
      <c r="PRM6" s="344"/>
      <c r="PRN6" s="344"/>
      <c r="PRO6" s="344"/>
      <c r="PRP6" s="344"/>
      <c r="PRQ6" s="344"/>
      <c r="PRR6" s="344"/>
      <c r="PRS6" s="344"/>
      <c r="PRT6" s="344"/>
      <c r="PRU6" s="344"/>
      <c r="PRV6" s="344"/>
      <c r="PRW6" s="344"/>
      <c r="PRX6" s="344"/>
      <c r="PRY6" s="344"/>
      <c r="PRZ6" s="344"/>
      <c r="PSA6" s="344"/>
      <c r="PSB6" s="344"/>
      <c r="PSC6" s="344"/>
      <c r="PSD6" s="344"/>
      <c r="PSE6" s="344"/>
      <c r="PSF6" s="344"/>
      <c r="PSG6" s="344"/>
      <c r="PSH6" s="344"/>
      <c r="PSI6" s="344"/>
      <c r="PSJ6" s="344"/>
      <c r="PSK6" s="344"/>
      <c r="PSL6" s="344"/>
      <c r="PSM6" s="344"/>
      <c r="PSN6" s="344"/>
      <c r="PSO6" s="344"/>
      <c r="PSP6" s="344"/>
      <c r="PSQ6" s="344"/>
      <c r="PSR6" s="344"/>
      <c r="PSS6" s="344"/>
      <c r="PST6" s="344"/>
      <c r="PSU6" s="344"/>
      <c r="PSV6" s="344"/>
      <c r="PSW6" s="344"/>
      <c r="PSX6" s="344"/>
      <c r="PSY6" s="344"/>
      <c r="PSZ6" s="344"/>
      <c r="PTA6" s="344"/>
      <c r="PTB6" s="344"/>
      <c r="PTC6" s="344"/>
      <c r="PTD6" s="344"/>
      <c r="PTE6" s="344"/>
      <c r="PTF6" s="344"/>
      <c r="PTG6" s="344"/>
      <c r="PTH6" s="344"/>
      <c r="PTI6" s="344"/>
      <c r="PTJ6" s="344"/>
      <c r="PTK6" s="344"/>
      <c r="PTL6" s="344"/>
      <c r="PTM6" s="344"/>
      <c r="PTN6" s="344"/>
      <c r="PTO6" s="344"/>
      <c r="PTP6" s="344"/>
      <c r="PTQ6" s="344"/>
      <c r="PTR6" s="344"/>
      <c r="PTS6" s="344"/>
      <c r="PTT6" s="344"/>
      <c r="PTU6" s="344"/>
      <c r="PTV6" s="344"/>
      <c r="PTW6" s="344"/>
      <c r="PTX6" s="344"/>
      <c r="PTY6" s="344"/>
      <c r="PTZ6" s="344"/>
      <c r="PUA6" s="344"/>
      <c r="PUB6" s="344"/>
      <c r="PUC6" s="344"/>
      <c r="PUD6" s="344"/>
      <c r="PUE6" s="344"/>
      <c r="PUF6" s="344"/>
      <c r="PUG6" s="344"/>
      <c r="PUH6" s="344"/>
      <c r="PUI6" s="344"/>
      <c r="PUJ6" s="344"/>
      <c r="PUK6" s="344"/>
      <c r="PUL6" s="344"/>
      <c r="PUM6" s="344"/>
      <c r="PUN6" s="344"/>
      <c r="PUO6" s="344"/>
      <c r="PUP6" s="344"/>
      <c r="PUQ6" s="344"/>
      <c r="PUR6" s="344"/>
      <c r="PUS6" s="344"/>
      <c r="PUT6" s="344"/>
      <c r="PUU6" s="344"/>
      <c r="PUV6" s="344"/>
      <c r="PUW6" s="344"/>
      <c r="PUX6" s="344"/>
      <c r="PUY6" s="344"/>
      <c r="PUZ6" s="344"/>
      <c r="PVA6" s="344"/>
      <c r="PVB6" s="344"/>
      <c r="PVC6" s="344"/>
      <c r="PVD6" s="344"/>
      <c r="PVE6" s="344"/>
      <c r="PVF6" s="344"/>
      <c r="PVG6" s="344"/>
      <c r="PVH6" s="344"/>
      <c r="PVI6" s="344"/>
      <c r="PVJ6" s="344"/>
      <c r="PVK6" s="344"/>
      <c r="PVL6" s="344"/>
      <c r="PVM6" s="344"/>
      <c r="PVN6" s="344"/>
      <c r="PVO6" s="344"/>
      <c r="PVP6" s="344"/>
      <c r="PVQ6" s="344"/>
      <c r="PVR6" s="344"/>
      <c r="PVS6" s="344"/>
      <c r="PVT6" s="344"/>
      <c r="PVU6" s="344"/>
      <c r="PVV6" s="344"/>
      <c r="PVW6" s="344"/>
      <c r="PVX6" s="344"/>
      <c r="PVY6" s="344"/>
      <c r="PVZ6" s="344"/>
      <c r="PWA6" s="344"/>
      <c r="PWB6" s="344"/>
      <c r="PWC6" s="344"/>
      <c r="PWD6" s="344"/>
      <c r="PWE6" s="344"/>
      <c r="PWF6" s="344"/>
      <c r="PWG6" s="344"/>
      <c r="PWH6" s="344"/>
      <c r="PWI6" s="344"/>
      <c r="PWJ6" s="344"/>
      <c r="PWK6" s="344"/>
      <c r="PWL6" s="344"/>
      <c r="PWM6" s="344"/>
      <c r="PWN6" s="344"/>
      <c r="PWO6" s="344"/>
      <c r="PWP6" s="344"/>
      <c r="PWQ6" s="344"/>
      <c r="PWR6" s="344"/>
      <c r="PWS6" s="344"/>
      <c r="PWT6" s="344"/>
      <c r="PWU6" s="344"/>
      <c r="PWV6" s="344"/>
      <c r="PWW6" s="344"/>
      <c r="PWX6" s="344"/>
      <c r="PWY6" s="344"/>
      <c r="PWZ6" s="344"/>
      <c r="PXA6" s="344"/>
      <c r="PXB6" s="344"/>
      <c r="PXC6" s="344"/>
      <c r="PXD6" s="344"/>
      <c r="PXE6" s="344"/>
      <c r="PXF6" s="344"/>
      <c r="PXG6" s="344"/>
      <c r="PXH6" s="344"/>
      <c r="PXI6" s="344"/>
      <c r="PXJ6" s="344"/>
      <c r="PXK6" s="344"/>
      <c r="PXL6" s="344"/>
      <c r="PXM6" s="344"/>
      <c r="PXN6" s="344"/>
      <c r="PXO6" s="344"/>
      <c r="PXP6" s="344"/>
      <c r="PXQ6" s="344"/>
      <c r="PXR6" s="344"/>
      <c r="PXS6" s="344"/>
      <c r="PXT6" s="344"/>
      <c r="PXU6" s="344"/>
      <c r="PXV6" s="344"/>
      <c r="PXW6" s="344"/>
      <c r="PXX6" s="344"/>
      <c r="PXY6" s="344"/>
      <c r="PXZ6" s="344"/>
      <c r="PYA6" s="344"/>
      <c r="PYB6" s="344"/>
      <c r="PYC6" s="344"/>
      <c r="PYD6" s="344"/>
      <c r="PYE6" s="344"/>
      <c r="PYF6" s="344"/>
      <c r="PYG6" s="344"/>
      <c r="PYH6" s="344"/>
      <c r="PYI6" s="344"/>
      <c r="PYJ6" s="344"/>
      <c r="PYK6" s="344"/>
      <c r="PYL6" s="344"/>
      <c r="PYM6" s="344"/>
      <c r="PYN6" s="344"/>
      <c r="PYO6" s="344"/>
      <c r="PYP6" s="344"/>
      <c r="PYQ6" s="344"/>
      <c r="PYR6" s="344"/>
      <c r="PYS6" s="344"/>
      <c r="PYT6" s="344"/>
      <c r="PYU6" s="344"/>
      <c r="PYV6" s="344"/>
      <c r="PYW6" s="344"/>
      <c r="PYX6" s="344"/>
      <c r="PYY6" s="344"/>
      <c r="PYZ6" s="344"/>
      <c r="PZA6" s="344"/>
      <c r="PZB6" s="344"/>
      <c r="PZC6" s="344"/>
      <c r="PZD6" s="344"/>
      <c r="PZE6" s="344"/>
      <c r="PZF6" s="344"/>
      <c r="PZG6" s="344"/>
      <c r="PZH6" s="344"/>
      <c r="PZI6" s="344"/>
      <c r="PZJ6" s="344"/>
      <c r="PZK6" s="344"/>
      <c r="PZL6" s="344"/>
      <c r="PZM6" s="344"/>
      <c r="PZN6" s="344"/>
      <c r="PZO6" s="344"/>
      <c r="PZP6" s="344"/>
      <c r="PZQ6" s="344"/>
      <c r="PZR6" s="344"/>
      <c r="PZS6" s="344"/>
      <c r="PZT6" s="344"/>
      <c r="PZU6" s="344"/>
      <c r="PZV6" s="344"/>
      <c r="PZW6" s="344"/>
      <c r="PZX6" s="344"/>
      <c r="PZY6" s="344"/>
      <c r="PZZ6" s="344"/>
      <c r="QAA6" s="344"/>
      <c r="QAB6" s="344"/>
      <c r="QAC6" s="344"/>
      <c r="QAD6" s="344"/>
      <c r="QAE6" s="344"/>
      <c r="QAF6" s="344"/>
      <c r="QAG6" s="344"/>
      <c r="QAH6" s="344"/>
      <c r="QAI6" s="344"/>
      <c r="QAJ6" s="344"/>
      <c r="QAK6" s="344"/>
      <c r="QAL6" s="344"/>
      <c r="QAM6" s="344"/>
      <c r="QAN6" s="344"/>
      <c r="QAO6" s="344"/>
      <c r="QAP6" s="344"/>
      <c r="QAQ6" s="344"/>
      <c r="QAR6" s="344"/>
      <c r="QAS6" s="344"/>
      <c r="QAT6" s="344"/>
      <c r="QAU6" s="344"/>
      <c r="QAV6" s="344"/>
      <c r="QAW6" s="344"/>
      <c r="QAX6" s="344"/>
      <c r="QAY6" s="344"/>
      <c r="QAZ6" s="344"/>
      <c r="QBA6" s="344"/>
      <c r="QBB6" s="344"/>
      <c r="QBC6" s="344"/>
      <c r="QBD6" s="344"/>
      <c r="QBE6" s="344"/>
      <c r="QBF6" s="344"/>
      <c r="QBG6" s="344"/>
      <c r="QBH6" s="344"/>
      <c r="QBI6" s="344"/>
      <c r="QBJ6" s="344"/>
      <c r="QBK6" s="344"/>
      <c r="QBL6" s="344"/>
      <c r="QBM6" s="344"/>
      <c r="QBN6" s="344"/>
      <c r="QBO6" s="344"/>
      <c r="QBP6" s="344"/>
      <c r="QBQ6" s="344"/>
      <c r="QBR6" s="344"/>
      <c r="QBS6" s="344"/>
      <c r="QBT6" s="344"/>
      <c r="QBU6" s="344"/>
      <c r="QBV6" s="344"/>
      <c r="QBW6" s="344"/>
      <c r="QBX6" s="344"/>
      <c r="QBY6" s="344"/>
      <c r="QBZ6" s="344"/>
      <c r="QCA6" s="344"/>
      <c r="QCB6" s="344"/>
      <c r="QCC6" s="344"/>
      <c r="QCD6" s="344"/>
      <c r="QCE6" s="344"/>
      <c r="QCF6" s="344"/>
      <c r="QCG6" s="344"/>
      <c r="QCH6" s="344"/>
      <c r="QCI6" s="344"/>
      <c r="QCJ6" s="344"/>
      <c r="QCK6" s="344"/>
      <c r="QCL6" s="344"/>
      <c r="QCM6" s="344"/>
      <c r="QCN6" s="344"/>
      <c r="QCO6" s="344"/>
      <c r="QCP6" s="344"/>
      <c r="QCQ6" s="344"/>
      <c r="QCR6" s="344"/>
      <c r="QCS6" s="344"/>
      <c r="QCT6" s="344"/>
      <c r="QCU6" s="344"/>
      <c r="QCV6" s="344"/>
      <c r="QCW6" s="344"/>
      <c r="QCX6" s="344"/>
      <c r="QCY6" s="344"/>
      <c r="QCZ6" s="344"/>
      <c r="QDA6" s="344"/>
      <c r="QDB6" s="344"/>
      <c r="QDC6" s="344"/>
      <c r="QDD6" s="344"/>
      <c r="QDE6" s="344"/>
      <c r="QDF6" s="344"/>
      <c r="QDG6" s="344"/>
      <c r="QDH6" s="344"/>
      <c r="QDI6" s="344"/>
      <c r="QDJ6" s="344"/>
      <c r="QDK6" s="344"/>
      <c r="QDL6" s="344"/>
      <c r="QDM6" s="344"/>
      <c r="QDN6" s="344"/>
      <c r="QDO6" s="344"/>
      <c r="QDP6" s="344"/>
      <c r="QDQ6" s="344"/>
      <c r="QDR6" s="344"/>
      <c r="QDS6" s="344"/>
      <c r="QDT6" s="344"/>
      <c r="QDU6" s="344"/>
      <c r="QDV6" s="344"/>
      <c r="QDW6" s="344"/>
      <c r="QDX6" s="344"/>
      <c r="QDY6" s="344"/>
      <c r="QDZ6" s="344"/>
      <c r="QEA6" s="344"/>
      <c r="QEB6" s="344"/>
      <c r="QEC6" s="344"/>
      <c r="QED6" s="344"/>
      <c r="QEE6" s="344"/>
      <c r="QEF6" s="344"/>
      <c r="QEG6" s="344"/>
      <c r="QEH6" s="344"/>
      <c r="QEI6" s="344"/>
      <c r="QEJ6" s="344"/>
      <c r="QEK6" s="344"/>
      <c r="QEL6" s="344"/>
      <c r="QEM6" s="344"/>
      <c r="QEN6" s="344"/>
      <c r="QEO6" s="344"/>
      <c r="QEP6" s="344"/>
      <c r="QEQ6" s="344"/>
      <c r="QER6" s="344"/>
      <c r="QES6" s="344"/>
      <c r="QET6" s="344"/>
      <c r="QEU6" s="344"/>
      <c r="QEV6" s="344"/>
      <c r="QEW6" s="344"/>
      <c r="QEX6" s="344"/>
      <c r="QEY6" s="344"/>
      <c r="QEZ6" s="344"/>
      <c r="QFA6" s="344"/>
      <c r="QFB6" s="344"/>
      <c r="QFC6" s="344"/>
      <c r="QFD6" s="344"/>
      <c r="QFE6" s="344"/>
      <c r="QFF6" s="344"/>
      <c r="QFG6" s="344"/>
      <c r="QFH6" s="344"/>
      <c r="QFI6" s="344"/>
      <c r="QFJ6" s="344"/>
      <c r="QFK6" s="344"/>
      <c r="QFL6" s="344"/>
      <c r="QFM6" s="344"/>
      <c r="QFN6" s="344"/>
      <c r="QFO6" s="344"/>
      <c r="QFP6" s="344"/>
      <c r="QFQ6" s="344"/>
      <c r="QFR6" s="344"/>
      <c r="QFS6" s="344"/>
      <c r="QFT6" s="344"/>
      <c r="QFU6" s="344"/>
      <c r="QFV6" s="344"/>
      <c r="QFW6" s="344"/>
      <c r="QFX6" s="344"/>
      <c r="QFY6" s="344"/>
      <c r="QFZ6" s="344"/>
      <c r="QGA6" s="344"/>
      <c r="QGB6" s="344"/>
      <c r="QGC6" s="344"/>
      <c r="QGD6" s="344"/>
      <c r="QGE6" s="344"/>
      <c r="QGF6" s="344"/>
      <c r="QGG6" s="344"/>
      <c r="QGH6" s="344"/>
      <c r="QGI6" s="344"/>
      <c r="QGJ6" s="344"/>
      <c r="QGK6" s="344"/>
      <c r="QGL6" s="344"/>
      <c r="QGM6" s="344"/>
      <c r="QGN6" s="344"/>
      <c r="QGO6" s="344"/>
      <c r="QGP6" s="344"/>
      <c r="QGQ6" s="344"/>
      <c r="QGR6" s="344"/>
      <c r="QGS6" s="344"/>
      <c r="QGT6" s="344"/>
      <c r="QGU6" s="344"/>
      <c r="QGV6" s="344"/>
      <c r="QGW6" s="344"/>
      <c r="QGX6" s="344"/>
      <c r="QGY6" s="344"/>
      <c r="QGZ6" s="344"/>
      <c r="QHA6" s="344"/>
      <c r="QHB6" s="344"/>
      <c r="QHC6" s="344"/>
      <c r="QHD6" s="344"/>
      <c r="QHE6" s="344"/>
      <c r="QHF6" s="344"/>
      <c r="QHG6" s="344"/>
      <c r="QHH6" s="344"/>
      <c r="QHI6" s="344"/>
      <c r="QHJ6" s="344"/>
      <c r="QHK6" s="344"/>
      <c r="QHL6" s="344"/>
      <c r="QHM6" s="344"/>
      <c r="QHN6" s="344"/>
      <c r="QHO6" s="344"/>
      <c r="QHP6" s="344"/>
      <c r="QHQ6" s="344"/>
      <c r="QHR6" s="344"/>
      <c r="QHS6" s="344"/>
      <c r="QHT6" s="344"/>
      <c r="QHU6" s="344"/>
      <c r="QHV6" s="344"/>
      <c r="QHW6" s="344"/>
      <c r="QHX6" s="344"/>
      <c r="QHY6" s="344"/>
      <c r="QHZ6" s="344"/>
      <c r="QIA6" s="344"/>
      <c r="QIB6" s="344"/>
      <c r="QIC6" s="344"/>
      <c r="QID6" s="344"/>
      <c r="QIE6" s="344"/>
      <c r="QIF6" s="344"/>
      <c r="QIG6" s="344"/>
      <c r="QIH6" s="344"/>
      <c r="QII6" s="344"/>
      <c r="QIJ6" s="344"/>
      <c r="QIK6" s="344"/>
      <c r="QIL6" s="344"/>
      <c r="QIM6" s="344"/>
      <c r="QIN6" s="344"/>
      <c r="QIO6" s="344"/>
      <c r="QIP6" s="344"/>
      <c r="QIQ6" s="344"/>
      <c r="QIR6" s="344"/>
      <c r="QIS6" s="344"/>
      <c r="QIT6" s="344"/>
      <c r="QIU6" s="344"/>
      <c r="QIV6" s="344"/>
      <c r="QIW6" s="344"/>
      <c r="QIX6" s="344"/>
      <c r="QIY6" s="344"/>
      <c r="QIZ6" s="344"/>
      <c r="QJA6" s="344"/>
      <c r="QJB6" s="344"/>
      <c r="QJC6" s="344"/>
      <c r="QJD6" s="344"/>
      <c r="QJE6" s="344"/>
      <c r="QJF6" s="344"/>
      <c r="QJG6" s="344"/>
      <c r="QJH6" s="344"/>
      <c r="QJI6" s="344"/>
      <c r="QJJ6" s="344"/>
      <c r="QJK6" s="344"/>
      <c r="QJL6" s="344"/>
      <c r="QJM6" s="344"/>
      <c r="QJN6" s="344"/>
      <c r="QJO6" s="344"/>
      <c r="QJP6" s="344"/>
      <c r="QJQ6" s="344"/>
      <c r="QJR6" s="344"/>
      <c r="QJS6" s="344"/>
      <c r="QJT6" s="344"/>
      <c r="QJU6" s="344"/>
      <c r="QJV6" s="344"/>
      <c r="QJW6" s="344"/>
      <c r="QJX6" s="344"/>
      <c r="QJY6" s="344"/>
      <c r="QJZ6" s="344"/>
      <c r="QKA6" s="344"/>
      <c r="QKB6" s="344"/>
      <c r="QKC6" s="344"/>
      <c r="QKD6" s="344"/>
      <c r="QKE6" s="344"/>
      <c r="QKF6" s="344"/>
      <c r="QKG6" s="344"/>
      <c r="QKH6" s="344"/>
      <c r="QKI6" s="344"/>
      <c r="QKJ6" s="344"/>
      <c r="QKK6" s="344"/>
      <c r="QKL6" s="344"/>
      <c r="QKM6" s="344"/>
      <c r="QKN6" s="344"/>
      <c r="QKO6" s="344"/>
      <c r="QKP6" s="344"/>
      <c r="QKQ6" s="344"/>
      <c r="QKR6" s="344"/>
      <c r="QKS6" s="344"/>
      <c r="QKT6" s="344"/>
      <c r="QKU6" s="344"/>
      <c r="QKV6" s="344"/>
      <c r="QKW6" s="344"/>
      <c r="QKX6" s="344"/>
      <c r="QKY6" s="344"/>
      <c r="QKZ6" s="344"/>
      <c r="QLA6" s="344"/>
      <c r="QLB6" s="344"/>
      <c r="QLC6" s="344"/>
      <c r="QLD6" s="344"/>
      <c r="QLE6" s="344"/>
      <c r="QLF6" s="344"/>
      <c r="QLG6" s="344"/>
      <c r="QLH6" s="344"/>
      <c r="QLI6" s="344"/>
      <c r="QLJ6" s="344"/>
      <c r="QLK6" s="344"/>
      <c r="QLL6" s="344"/>
      <c r="QLM6" s="344"/>
      <c r="QLN6" s="344"/>
      <c r="QLO6" s="344"/>
      <c r="QLP6" s="344"/>
      <c r="QLQ6" s="344"/>
      <c r="QLR6" s="344"/>
      <c r="QLS6" s="344"/>
      <c r="QLT6" s="344"/>
      <c r="QLU6" s="344"/>
      <c r="QLV6" s="344"/>
      <c r="QLW6" s="344"/>
      <c r="QLX6" s="344"/>
      <c r="QLY6" s="344"/>
      <c r="QLZ6" s="344"/>
      <c r="QMA6" s="344"/>
      <c r="QMB6" s="344"/>
      <c r="QMC6" s="344"/>
      <c r="QMD6" s="344"/>
      <c r="QME6" s="344"/>
      <c r="QMF6" s="344"/>
      <c r="QMG6" s="344"/>
      <c r="QMH6" s="344"/>
      <c r="QMI6" s="344"/>
      <c r="QMJ6" s="344"/>
      <c r="QMK6" s="344"/>
      <c r="QML6" s="344"/>
      <c r="QMM6" s="344"/>
      <c r="QMN6" s="344"/>
      <c r="QMO6" s="344"/>
      <c r="QMP6" s="344"/>
      <c r="QMQ6" s="344"/>
      <c r="QMR6" s="344"/>
      <c r="QMS6" s="344"/>
      <c r="QMT6" s="344"/>
      <c r="QMU6" s="344"/>
      <c r="QMV6" s="344"/>
      <c r="QMW6" s="344"/>
      <c r="QMX6" s="344"/>
      <c r="QMY6" s="344"/>
      <c r="QMZ6" s="344"/>
      <c r="QNA6" s="344"/>
      <c r="QNB6" s="344"/>
      <c r="QNC6" s="344"/>
      <c r="QND6" s="344"/>
      <c r="QNE6" s="344"/>
      <c r="QNF6" s="344"/>
      <c r="QNG6" s="344"/>
      <c r="QNH6" s="344"/>
      <c r="QNI6" s="344"/>
      <c r="QNJ6" s="344"/>
      <c r="QNK6" s="344"/>
      <c r="QNL6" s="344"/>
      <c r="QNM6" s="344"/>
      <c r="QNN6" s="344"/>
      <c r="QNO6" s="344"/>
      <c r="QNP6" s="344"/>
      <c r="QNQ6" s="344"/>
      <c r="QNR6" s="344"/>
      <c r="QNS6" s="344"/>
      <c r="QNT6" s="344"/>
      <c r="QNU6" s="344"/>
      <c r="QNV6" s="344"/>
      <c r="QNW6" s="344"/>
      <c r="QNX6" s="344"/>
      <c r="QNY6" s="344"/>
      <c r="QNZ6" s="344"/>
      <c r="QOA6" s="344"/>
      <c r="QOB6" s="344"/>
      <c r="QOC6" s="344"/>
      <c r="QOD6" s="344"/>
      <c r="QOE6" s="344"/>
      <c r="QOF6" s="344"/>
      <c r="QOG6" s="344"/>
      <c r="QOH6" s="344"/>
      <c r="QOI6" s="344"/>
      <c r="QOJ6" s="344"/>
      <c r="QOK6" s="344"/>
      <c r="QOL6" s="344"/>
      <c r="QOM6" s="344"/>
      <c r="QON6" s="344"/>
      <c r="QOO6" s="344"/>
      <c r="QOP6" s="344"/>
      <c r="QOQ6" s="344"/>
      <c r="QOR6" s="344"/>
      <c r="QOS6" s="344"/>
      <c r="QOT6" s="344"/>
      <c r="QOU6" s="344"/>
      <c r="QOV6" s="344"/>
      <c r="QOW6" s="344"/>
      <c r="QOX6" s="344"/>
      <c r="QOY6" s="344"/>
      <c r="QOZ6" s="344"/>
      <c r="QPA6" s="344"/>
      <c r="QPB6" s="344"/>
      <c r="QPC6" s="344"/>
      <c r="QPD6" s="344"/>
      <c r="QPE6" s="344"/>
      <c r="QPF6" s="344"/>
      <c r="QPG6" s="344"/>
      <c r="QPH6" s="344"/>
      <c r="QPI6" s="344"/>
      <c r="QPJ6" s="344"/>
      <c r="QPK6" s="344"/>
      <c r="QPL6" s="344"/>
      <c r="QPM6" s="344"/>
      <c r="QPN6" s="344"/>
      <c r="QPO6" s="344"/>
      <c r="QPP6" s="344"/>
      <c r="QPQ6" s="344"/>
      <c r="QPR6" s="344"/>
      <c r="QPS6" s="344"/>
      <c r="QPT6" s="344"/>
      <c r="QPU6" s="344"/>
      <c r="QPV6" s="344"/>
      <c r="QPW6" s="344"/>
      <c r="QPX6" s="344"/>
      <c r="QPY6" s="344"/>
      <c r="QPZ6" s="344"/>
      <c r="QQA6" s="344"/>
      <c r="QQB6" s="344"/>
      <c r="QQC6" s="344"/>
      <c r="QQD6" s="344"/>
      <c r="QQE6" s="344"/>
      <c r="QQF6" s="344"/>
      <c r="QQG6" s="344"/>
      <c r="QQH6" s="344"/>
      <c r="QQI6" s="344"/>
      <c r="QQJ6" s="344"/>
      <c r="QQK6" s="344"/>
      <c r="QQL6" s="344"/>
      <c r="QQM6" s="344"/>
      <c r="QQN6" s="344"/>
      <c r="QQO6" s="344"/>
      <c r="QQP6" s="344"/>
      <c r="QQQ6" s="344"/>
      <c r="QQR6" s="344"/>
      <c r="QQS6" s="344"/>
      <c r="QQT6" s="344"/>
      <c r="QQU6" s="344"/>
      <c r="QQV6" s="344"/>
      <c r="QQW6" s="344"/>
      <c r="QQX6" s="344"/>
      <c r="QQY6" s="344"/>
      <c r="QQZ6" s="344"/>
      <c r="QRA6" s="344"/>
      <c r="QRB6" s="344"/>
      <c r="QRC6" s="344"/>
      <c r="QRD6" s="344"/>
      <c r="QRE6" s="344"/>
      <c r="QRF6" s="344"/>
      <c r="QRG6" s="344"/>
      <c r="QRH6" s="344"/>
      <c r="QRI6" s="344"/>
      <c r="QRJ6" s="344"/>
      <c r="QRK6" s="344"/>
      <c r="QRL6" s="344"/>
      <c r="QRM6" s="344"/>
      <c r="QRN6" s="344"/>
      <c r="QRO6" s="344"/>
      <c r="QRP6" s="344"/>
      <c r="QRQ6" s="344"/>
      <c r="QRR6" s="344"/>
      <c r="QRS6" s="344"/>
      <c r="QRT6" s="344"/>
      <c r="QRU6" s="344"/>
      <c r="QRV6" s="344"/>
      <c r="QRW6" s="344"/>
      <c r="QRX6" s="344"/>
      <c r="QRY6" s="344"/>
      <c r="QRZ6" s="344"/>
      <c r="QSA6" s="344"/>
      <c r="QSB6" s="344"/>
      <c r="QSC6" s="344"/>
      <c r="QSD6" s="344"/>
      <c r="QSE6" s="344"/>
      <c r="QSF6" s="344"/>
      <c r="QSG6" s="344"/>
      <c r="QSH6" s="344"/>
      <c r="QSI6" s="344"/>
      <c r="QSJ6" s="344"/>
      <c r="QSK6" s="344"/>
      <c r="QSL6" s="344"/>
      <c r="QSM6" s="344"/>
      <c r="QSN6" s="344"/>
      <c r="QSO6" s="344"/>
      <c r="QSP6" s="344"/>
      <c r="QSQ6" s="344"/>
      <c r="QSR6" s="344"/>
      <c r="QSS6" s="344"/>
      <c r="QST6" s="344"/>
      <c r="QSU6" s="344"/>
      <c r="QSV6" s="344"/>
      <c r="QSW6" s="344"/>
      <c r="QSX6" s="344"/>
      <c r="QSY6" s="344"/>
      <c r="QSZ6" s="344"/>
      <c r="QTA6" s="344"/>
      <c r="QTB6" s="344"/>
      <c r="QTC6" s="344"/>
      <c r="QTD6" s="344"/>
      <c r="QTE6" s="344"/>
      <c r="QTF6" s="344"/>
      <c r="QTG6" s="344"/>
      <c r="QTH6" s="344"/>
      <c r="QTI6" s="344"/>
      <c r="QTJ6" s="344"/>
      <c r="QTK6" s="344"/>
      <c r="QTL6" s="344"/>
      <c r="QTM6" s="344"/>
      <c r="QTN6" s="344"/>
      <c r="QTO6" s="344"/>
      <c r="QTP6" s="344"/>
      <c r="QTQ6" s="344"/>
      <c r="QTR6" s="344"/>
      <c r="QTS6" s="344"/>
      <c r="QTT6" s="344"/>
      <c r="QTU6" s="344"/>
      <c r="QTV6" s="344"/>
      <c r="QTW6" s="344"/>
      <c r="QTX6" s="344"/>
      <c r="QTY6" s="344"/>
      <c r="QTZ6" s="344"/>
      <c r="QUA6" s="344"/>
      <c r="QUB6" s="344"/>
      <c r="QUC6" s="344"/>
      <c r="QUD6" s="344"/>
      <c r="QUE6" s="344"/>
      <c r="QUF6" s="344"/>
      <c r="QUG6" s="344"/>
      <c r="QUH6" s="344"/>
      <c r="QUI6" s="344"/>
      <c r="QUJ6" s="344"/>
      <c r="QUK6" s="344"/>
      <c r="QUL6" s="344"/>
      <c r="QUM6" s="344"/>
      <c r="QUN6" s="344"/>
      <c r="QUO6" s="344"/>
      <c r="QUP6" s="344"/>
      <c r="QUQ6" s="344"/>
      <c r="QUR6" s="344"/>
      <c r="QUS6" s="344"/>
      <c r="QUT6" s="344"/>
      <c r="QUU6" s="344"/>
      <c r="QUV6" s="344"/>
      <c r="QUW6" s="344"/>
      <c r="QUX6" s="344"/>
      <c r="QUY6" s="344"/>
      <c r="QUZ6" s="344"/>
      <c r="QVA6" s="344"/>
      <c r="QVB6" s="344"/>
      <c r="QVC6" s="344"/>
      <c r="QVD6" s="344"/>
      <c r="QVE6" s="344"/>
      <c r="QVF6" s="344"/>
      <c r="QVG6" s="344"/>
      <c r="QVH6" s="344"/>
      <c r="QVI6" s="344"/>
      <c r="QVJ6" s="344"/>
      <c r="QVK6" s="344"/>
      <c r="QVL6" s="344"/>
      <c r="QVM6" s="344"/>
      <c r="QVN6" s="344"/>
      <c r="QVO6" s="344"/>
      <c r="QVP6" s="344"/>
      <c r="QVQ6" s="344"/>
      <c r="QVR6" s="344"/>
      <c r="QVS6" s="344"/>
      <c r="QVT6" s="344"/>
      <c r="QVU6" s="344"/>
      <c r="QVV6" s="344"/>
      <c r="QVW6" s="344"/>
      <c r="QVX6" s="344"/>
      <c r="QVY6" s="344"/>
      <c r="QVZ6" s="344"/>
      <c r="QWA6" s="344"/>
      <c r="QWB6" s="344"/>
      <c r="QWC6" s="344"/>
      <c r="QWD6" s="344"/>
      <c r="QWE6" s="344"/>
      <c r="QWF6" s="344"/>
      <c r="QWG6" s="344"/>
      <c r="QWH6" s="344"/>
      <c r="QWI6" s="344"/>
      <c r="QWJ6" s="344"/>
      <c r="QWK6" s="344"/>
      <c r="QWL6" s="344"/>
      <c r="QWM6" s="344"/>
      <c r="QWN6" s="344"/>
      <c r="QWO6" s="344"/>
      <c r="QWP6" s="344"/>
      <c r="QWQ6" s="344"/>
      <c r="QWR6" s="344"/>
      <c r="QWS6" s="344"/>
      <c r="QWT6" s="344"/>
      <c r="QWU6" s="344"/>
      <c r="QWV6" s="344"/>
      <c r="QWW6" s="344"/>
      <c r="QWX6" s="344"/>
      <c r="QWY6" s="344"/>
      <c r="QWZ6" s="344"/>
      <c r="QXA6" s="344"/>
      <c r="QXB6" s="344"/>
      <c r="QXC6" s="344"/>
      <c r="QXD6" s="344"/>
      <c r="QXE6" s="344"/>
      <c r="QXF6" s="344"/>
      <c r="QXG6" s="344"/>
      <c r="QXH6" s="344"/>
      <c r="QXI6" s="344"/>
      <c r="QXJ6" s="344"/>
      <c r="QXK6" s="344"/>
      <c r="QXL6" s="344"/>
      <c r="QXM6" s="344"/>
      <c r="QXN6" s="344"/>
      <c r="QXO6" s="344"/>
      <c r="QXP6" s="344"/>
      <c r="QXQ6" s="344"/>
      <c r="QXR6" s="344"/>
      <c r="QXS6" s="344"/>
      <c r="QXT6" s="344"/>
      <c r="QXU6" s="344"/>
      <c r="QXV6" s="344"/>
      <c r="QXW6" s="344"/>
      <c r="QXX6" s="344"/>
      <c r="QXY6" s="344"/>
      <c r="QXZ6" s="344"/>
      <c r="QYA6" s="344"/>
      <c r="QYB6" s="344"/>
      <c r="QYC6" s="344"/>
      <c r="QYD6" s="344"/>
      <c r="QYE6" s="344"/>
      <c r="QYF6" s="344"/>
      <c r="QYG6" s="344"/>
      <c r="QYH6" s="344"/>
      <c r="QYI6" s="344"/>
      <c r="QYJ6" s="344"/>
      <c r="QYK6" s="344"/>
      <c r="QYL6" s="344"/>
      <c r="QYM6" s="344"/>
      <c r="QYN6" s="344"/>
      <c r="QYO6" s="344"/>
      <c r="QYP6" s="344"/>
      <c r="QYQ6" s="344"/>
      <c r="QYR6" s="344"/>
      <c r="QYS6" s="344"/>
      <c r="QYT6" s="344"/>
      <c r="QYU6" s="344"/>
      <c r="QYV6" s="344"/>
      <c r="QYW6" s="344"/>
      <c r="QYX6" s="344"/>
      <c r="QYY6" s="344"/>
      <c r="QYZ6" s="344"/>
      <c r="QZA6" s="344"/>
      <c r="QZB6" s="344"/>
      <c r="QZC6" s="344"/>
      <c r="QZD6" s="344"/>
      <c r="QZE6" s="344"/>
      <c r="QZF6" s="344"/>
      <c r="QZG6" s="344"/>
      <c r="QZH6" s="344"/>
      <c r="QZI6" s="344"/>
      <c r="QZJ6" s="344"/>
      <c r="QZK6" s="344"/>
      <c r="QZL6" s="344"/>
      <c r="QZM6" s="344"/>
      <c r="QZN6" s="344"/>
      <c r="QZO6" s="344"/>
      <c r="QZP6" s="344"/>
      <c r="QZQ6" s="344"/>
      <c r="QZR6" s="344"/>
      <c r="QZS6" s="344"/>
      <c r="QZT6" s="344"/>
      <c r="QZU6" s="344"/>
      <c r="QZV6" s="344"/>
      <c r="QZW6" s="344"/>
      <c r="QZX6" s="344"/>
      <c r="QZY6" s="344"/>
      <c r="QZZ6" s="344"/>
      <c r="RAA6" s="344"/>
      <c r="RAB6" s="344"/>
      <c r="RAC6" s="344"/>
      <c r="RAD6" s="344"/>
      <c r="RAE6" s="344"/>
      <c r="RAF6" s="344"/>
      <c r="RAG6" s="344"/>
      <c r="RAH6" s="344"/>
      <c r="RAI6" s="344"/>
      <c r="RAJ6" s="344"/>
      <c r="RAK6" s="344"/>
      <c r="RAL6" s="344"/>
      <c r="RAM6" s="344"/>
      <c r="RAN6" s="344"/>
      <c r="RAO6" s="344"/>
      <c r="RAP6" s="344"/>
      <c r="RAQ6" s="344"/>
      <c r="RAR6" s="344"/>
      <c r="RAS6" s="344"/>
      <c r="RAT6" s="344"/>
      <c r="RAU6" s="344"/>
      <c r="RAV6" s="344"/>
      <c r="RAW6" s="344"/>
      <c r="RAX6" s="344"/>
      <c r="RAY6" s="344"/>
      <c r="RAZ6" s="344"/>
      <c r="RBA6" s="344"/>
      <c r="RBB6" s="344"/>
      <c r="RBC6" s="344"/>
      <c r="RBD6" s="344"/>
      <c r="RBE6" s="344"/>
      <c r="RBF6" s="344"/>
      <c r="RBG6" s="344"/>
      <c r="RBH6" s="344"/>
      <c r="RBI6" s="344"/>
      <c r="RBJ6" s="344"/>
      <c r="RBK6" s="344"/>
      <c r="RBL6" s="344"/>
      <c r="RBM6" s="344"/>
      <c r="RBN6" s="344"/>
      <c r="RBO6" s="344"/>
      <c r="RBP6" s="344"/>
      <c r="RBQ6" s="344"/>
      <c r="RBR6" s="344"/>
      <c r="RBS6" s="344"/>
      <c r="RBT6" s="344"/>
      <c r="RBU6" s="344"/>
      <c r="RBV6" s="344"/>
      <c r="RBW6" s="344"/>
      <c r="RBX6" s="344"/>
      <c r="RBY6" s="344"/>
      <c r="RBZ6" s="344"/>
      <c r="RCA6" s="344"/>
      <c r="RCB6" s="344"/>
      <c r="RCC6" s="344"/>
      <c r="RCD6" s="344"/>
      <c r="RCE6" s="344"/>
      <c r="RCF6" s="344"/>
      <c r="RCG6" s="344"/>
      <c r="RCH6" s="344"/>
      <c r="RCI6" s="344"/>
      <c r="RCJ6" s="344"/>
      <c r="RCK6" s="344"/>
      <c r="RCL6" s="344"/>
      <c r="RCM6" s="344"/>
      <c r="RCN6" s="344"/>
      <c r="RCO6" s="344"/>
      <c r="RCP6" s="344"/>
      <c r="RCQ6" s="344"/>
      <c r="RCR6" s="344"/>
      <c r="RCS6" s="344"/>
      <c r="RCT6" s="344"/>
      <c r="RCU6" s="344"/>
      <c r="RCV6" s="344"/>
      <c r="RCW6" s="344"/>
      <c r="RCX6" s="344"/>
      <c r="RCY6" s="344"/>
      <c r="RCZ6" s="344"/>
      <c r="RDA6" s="344"/>
      <c r="RDB6" s="344"/>
      <c r="RDC6" s="344"/>
      <c r="RDD6" s="344"/>
      <c r="RDE6" s="344"/>
      <c r="RDF6" s="344"/>
      <c r="RDG6" s="344"/>
      <c r="RDH6" s="344"/>
      <c r="RDI6" s="344"/>
      <c r="RDJ6" s="344"/>
      <c r="RDK6" s="344"/>
      <c r="RDL6" s="344"/>
      <c r="RDM6" s="344"/>
      <c r="RDN6" s="344"/>
      <c r="RDO6" s="344"/>
      <c r="RDP6" s="344"/>
      <c r="RDQ6" s="344"/>
      <c r="RDR6" s="344"/>
      <c r="RDS6" s="344"/>
      <c r="RDT6" s="344"/>
      <c r="RDU6" s="344"/>
      <c r="RDV6" s="344"/>
      <c r="RDW6" s="344"/>
      <c r="RDX6" s="344"/>
      <c r="RDY6" s="344"/>
      <c r="RDZ6" s="344"/>
      <c r="REA6" s="344"/>
      <c r="REB6" s="344"/>
      <c r="REC6" s="344"/>
      <c r="RED6" s="344"/>
      <c r="REE6" s="344"/>
      <c r="REF6" s="344"/>
      <c r="REG6" s="344"/>
      <c r="REH6" s="344"/>
      <c r="REI6" s="344"/>
      <c r="REJ6" s="344"/>
      <c r="REK6" s="344"/>
      <c r="REL6" s="344"/>
      <c r="REM6" s="344"/>
      <c r="REN6" s="344"/>
      <c r="REO6" s="344"/>
      <c r="REP6" s="344"/>
      <c r="REQ6" s="344"/>
      <c r="RER6" s="344"/>
      <c r="RES6" s="344"/>
      <c r="RET6" s="344"/>
      <c r="REU6" s="344"/>
      <c r="REV6" s="344"/>
      <c r="REW6" s="344"/>
      <c r="REX6" s="344"/>
      <c r="REY6" s="344"/>
      <c r="REZ6" s="344"/>
      <c r="RFA6" s="344"/>
      <c r="RFB6" s="344"/>
      <c r="RFC6" s="344"/>
      <c r="RFD6" s="344"/>
      <c r="RFE6" s="344"/>
      <c r="RFF6" s="344"/>
      <c r="RFG6" s="344"/>
      <c r="RFH6" s="344"/>
      <c r="RFI6" s="344"/>
      <c r="RFJ6" s="344"/>
      <c r="RFK6" s="344"/>
      <c r="RFL6" s="344"/>
      <c r="RFM6" s="344"/>
      <c r="RFN6" s="344"/>
      <c r="RFO6" s="344"/>
      <c r="RFP6" s="344"/>
      <c r="RFQ6" s="344"/>
      <c r="RFR6" s="344"/>
      <c r="RFS6" s="344"/>
      <c r="RFT6" s="344"/>
      <c r="RFU6" s="344"/>
      <c r="RFV6" s="344"/>
      <c r="RFW6" s="344"/>
      <c r="RFX6" s="344"/>
      <c r="RFY6" s="344"/>
      <c r="RFZ6" s="344"/>
      <c r="RGA6" s="344"/>
      <c r="RGB6" s="344"/>
      <c r="RGC6" s="344"/>
      <c r="RGD6" s="344"/>
      <c r="RGE6" s="344"/>
      <c r="RGF6" s="344"/>
      <c r="RGG6" s="344"/>
      <c r="RGH6" s="344"/>
      <c r="RGI6" s="344"/>
      <c r="RGJ6" s="344"/>
      <c r="RGK6" s="344"/>
      <c r="RGL6" s="344"/>
      <c r="RGM6" s="344"/>
      <c r="RGN6" s="344"/>
      <c r="RGO6" s="344"/>
      <c r="RGP6" s="344"/>
      <c r="RGQ6" s="344"/>
      <c r="RGR6" s="344"/>
      <c r="RGS6" s="344"/>
      <c r="RGT6" s="344"/>
      <c r="RGU6" s="344"/>
      <c r="RGV6" s="344"/>
      <c r="RGW6" s="344"/>
      <c r="RGX6" s="344"/>
      <c r="RGY6" s="344"/>
      <c r="RGZ6" s="344"/>
      <c r="RHA6" s="344"/>
      <c r="RHB6" s="344"/>
      <c r="RHC6" s="344"/>
      <c r="RHD6" s="344"/>
      <c r="RHE6" s="344"/>
      <c r="RHF6" s="344"/>
      <c r="RHG6" s="344"/>
      <c r="RHH6" s="344"/>
      <c r="RHI6" s="344"/>
      <c r="RHJ6" s="344"/>
      <c r="RHK6" s="344"/>
      <c r="RHL6" s="344"/>
      <c r="RHM6" s="344"/>
      <c r="RHN6" s="344"/>
      <c r="RHO6" s="344"/>
      <c r="RHP6" s="344"/>
      <c r="RHQ6" s="344"/>
      <c r="RHR6" s="344"/>
      <c r="RHS6" s="344"/>
      <c r="RHT6" s="344"/>
      <c r="RHU6" s="344"/>
      <c r="RHV6" s="344"/>
      <c r="RHW6" s="344"/>
      <c r="RHX6" s="344"/>
      <c r="RHY6" s="344"/>
      <c r="RHZ6" s="344"/>
      <c r="RIA6" s="344"/>
      <c r="RIB6" s="344"/>
      <c r="RIC6" s="344"/>
      <c r="RID6" s="344"/>
      <c r="RIE6" s="344"/>
      <c r="RIF6" s="344"/>
      <c r="RIG6" s="344"/>
      <c r="RIH6" s="344"/>
      <c r="RII6" s="344"/>
      <c r="RIJ6" s="344"/>
      <c r="RIK6" s="344"/>
      <c r="RIL6" s="344"/>
      <c r="RIM6" s="344"/>
      <c r="RIN6" s="344"/>
      <c r="RIO6" s="344"/>
      <c r="RIP6" s="344"/>
      <c r="RIQ6" s="344"/>
      <c r="RIR6" s="344"/>
      <c r="RIS6" s="344"/>
      <c r="RIT6" s="344"/>
      <c r="RIU6" s="344"/>
      <c r="RIV6" s="344"/>
      <c r="RIW6" s="344"/>
      <c r="RIX6" s="344"/>
      <c r="RIY6" s="344"/>
      <c r="RIZ6" s="344"/>
      <c r="RJA6" s="344"/>
      <c r="RJB6" s="344"/>
      <c r="RJC6" s="344"/>
      <c r="RJD6" s="344"/>
      <c r="RJE6" s="344"/>
      <c r="RJF6" s="344"/>
      <c r="RJG6" s="344"/>
      <c r="RJH6" s="344"/>
      <c r="RJI6" s="344"/>
      <c r="RJJ6" s="344"/>
      <c r="RJK6" s="344"/>
      <c r="RJL6" s="344"/>
      <c r="RJM6" s="344"/>
      <c r="RJN6" s="344"/>
      <c r="RJO6" s="344"/>
      <c r="RJP6" s="344"/>
      <c r="RJQ6" s="344"/>
      <c r="RJR6" s="344"/>
      <c r="RJS6" s="344"/>
      <c r="RJT6" s="344"/>
      <c r="RJU6" s="344"/>
      <c r="RJV6" s="344"/>
      <c r="RJW6" s="344"/>
      <c r="RJX6" s="344"/>
      <c r="RJY6" s="344"/>
      <c r="RJZ6" s="344"/>
      <c r="RKA6" s="344"/>
      <c r="RKB6" s="344"/>
      <c r="RKC6" s="344"/>
      <c r="RKD6" s="344"/>
      <c r="RKE6" s="344"/>
      <c r="RKF6" s="344"/>
      <c r="RKG6" s="344"/>
      <c r="RKH6" s="344"/>
      <c r="RKI6" s="344"/>
      <c r="RKJ6" s="344"/>
      <c r="RKK6" s="344"/>
      <c r="RKL6" s="344"/>
      <c r="RKM6" s="344"/>
      <c r="RKN6" s="344"/>
      <c r="RKO6" s="344"/>
      <c r="RKP6" s="344"/>
      <c r="RKQ6" s="344"/>
      <c r="RKR6" s="344"/>
      <c r="RKS6" s="344"/>
      <c r="RKT6" s="344"/>
      <c r="RKU6" s="344"/>
      <c r="RKV6" s="344"/>
      <c r="RKW6" s="344"/>
      <c r="RKX6" s="344"/>
      <c r="RKY6" s="344"/>
      <c r="RKZ6" s="344"/>
      <c r="RLA6" s="344"/>
      <c r="RLB6" s="344"/>
      <c r="RLC6" s="344"/>
      <c r="RLD6" s="344"/>
      <c r="RLE6" s="344"/>
      <c r="RLF6" s="344"/>
      <c r="RLG6" s="344"/>
      <c r="RLH6" s="344"/>
      <c r="RLI6" s="344"/>
      <c r="RLJ6" s="344"/>
      <c r="RLK6" s="344"/>
      <c r="RLL6" s="344"/>
      <c r="RLM6" s="344"/>
      <c r="RLN6" s="344"/>
      <c r="RLO6" s="344"/>
      <c r="RLP6" s="344"/>
      <c r="RLQ6" s="344"/>
      <c r="RLR6" s="344"/>
      <c r="RLS6" s="344"/>
      <c r="RLT6" s="344"/>
      <c r="RLU6" s="344"/>
      <c r="RLV6" s="344"/>
      <c r="RLW6" s="344"/>
      <c r="RLX6" s="344"/>
      <c r="RLY6" s="344"/>
      <c r="RLZ6" s="344"/>
      <c r="RMA6" s="344"/>
      <c r="RMB6" s="344"/>
      <c r="RMC6" s="344"/>
      <c r="RMD6" s="344"/>
      <c r="RME6" s="344"/>
      <c r="RMF6" s="344"/>
      <c r="RMG6" s="344"/>
      <c r="RMH6" s="344"/>
      <c r="RMI6" s="344"/>
      <c r="RMJ6" s="344"/>
      <c r="RMK6" s="344"/>
      <c r="RML6" s="344"/>
      <c r="RMM6" s="344"/>
      <c r="RMN6" s="344"/>
      <c r="RMO6" s="344"/>
      <c r="RMP6" s="344"/>
      <c r="RMQ6" s="344"/>
      <c r="RMR6" s="344"/>
      <c r="RMS6" s="344"/>
      <c r="RMT6" s="344"/>
      <c r="RMU6" s="344"/>
      <c r="RMV6" s="344"/>
      <c r="RMW6" s="344"/>
      <c r="RMX6" s="344"/>
      <c r="RMY6" s="344"/>
      <c r="RMZ6" s="344"/>
      <c r="RNA6" s="344"/>
      <c r="RNB6" s="344"/>
      <c r="RNC6" s="344"/>
      <c r="RND6" s="344"/>
      <c r="RNE6" s="344"/>
      <c r="RNF6" s="344"/>
      <c r="RNG6" s="344"/>
      <c r="RNH6" s="344"/>
      <c r="RNI6" s="344"/>
      <c r="RNJ6" s="344"/>
      <c r="RNK6" s="344"/>
      <c r="RNL6" s="344"/>
      <c r="RNM6" s="344"/>
      <c r="RNN6" s="344"/>
      <c r="RNO6" s="344"/>
      <c r="RNP6" s="344"/>
      <c r="RNQ6" s="344"/>
      <c r="RNR6" s="344"/>
      <c r="RNS6" s="344"/>
      <c r="RNT6" s="344"/>
      <c r="RNU6" s="344"/>
      <c r="RNV6" s="344"/>
      <c r="RNW6" s="344"/>
      <c r="RNX6" s="344"/>
      <c r="RNY6" s="344"/>
      <c r="RNZ6" s="344"/>
      <c r="ROA6" s="344"/>
      <c r="ROB6" s="344"/>
      <c r="ROC6" s="344"/>
      <c r="ROD6" s="344"/>
      <c r="ROE6" s="344"/>
      <c r="ROF6" s="344"/>
      <c r="ROG6" s="344"/>
      <c r="ROH6" s="344"/>
      <c r="ROI6" s="344"/>
      <c r="ROJ6" s="344"/>
      <c r="ROK6" s="344"/>
      <c r="ROL6" s="344"/>
      <c r="ROM6" s="344"/>
      <c r="RON6" s="344"/>
      <c r="ROO6" s="344"/>
      <c r="ROP6" s="344"/>
      <c r="ROQ6" s="344"/>
      <c r="ROR6" s="344"/>
      <c r="ROS6" s="344"/>
      <c r="ROT6" s="344"/>
      <c r="ROU6" s="344"/>
      <c r="ROV6" s="344"/>
      <c r="ROW6" s="344"/>
      <c r="ROX6" s="344"/>
      <c r="ROY6" s="344"/>
      <c r="ROZ6" s="344"/>
      <c r="RPA6" s="344"/>
      <c r="RPB6" s="344"/>
      <c r="RPC6" s="344"/>
      <c r="RPD6" s="344"/>
      <c r="RPE6" s="344"/>
      <c r="RPF6" s="344"/>
      <c r="RPG6" s="344"/>
      <c r="RPH6" s="344"/>
      <c r="RPI6" s="344"/>
      <c r="RPJ6" s="344"/>
      <c r="RPK6" s="344"/>
      <c r="RPL6" s="344"/>
      <c r="RPM6" s="344"/>
      <c r="RPN6" s="344"/>
      <c r="RPO6" s="344"/>
      <c r="RPP6" s="344"/>
      <c r="RPQ6" s="344"/>
      <c r="RPR6" s="344"/>
      <c r="RPS6" s="344"/>
      <c r="RPT6" s="344"/>
      <c r="RPU6" s="344"/>
      <c r="RPV6" s="344"/>
      <c r="RPW6" s="344"/>
      <c r="RPX6" s="344"/>
      <c r="RPY6" s="344"/>
      <c r="RPZ6" s="344"/>
      <c r="RQA6" s="344"/>
      <c r="RQB6" s="344"/>
      <c r="RQC6" s="344"/>
      <c r="RQD6" s="344"/>
      <c r="RQE6" s="344"/>
      <c r="RQF6" s="344"/>
      <c r="RQG6" s="344"/>
      <c r="RQH6" s="344"/>
      <c r="RQI6" s="344"/>
      <c r="RQJ6" s="344"/>
      <c r="RQK6" s="344"/>
      <c r="RQL6" s="344"/>
      <c r="RQM6" s="344"/>
      <c r="RQN6" s="344"/>
      <c r="RQO6" s="344"/>
      <c r="RQP6" s="344"/>
      <c r="RQQ6" s="344"/>
      <c r="RQR6" s="344"/>
      <c r="RQS6" s="344"/>
      <c r="RQT6" s="344"/>
      <c r="RQU6" s="344"/>
      <c r="RQV6" s="344"/>
      <c r="RQW6" s="344"/>
      <c r="RQX6" s="344"/>
      <c r="RQY6" s="344"/>
      <c r="RQZ6" s="344"/>
      <c r="RRA6" s="344"/>
      <c r="RRB6" s="344"/>
      <c r="RRC6" s="344"/>
      <c r="RRD6" s="344"/>
      <c r="RRE6" s="344"/>
      <c r="RRF6" s="344"/>
      <c r="RRG6" s="344"/>
      <c r="RRH6" s="344"/>
      <c r="RRI6" s="344"/>
      <c r="RRJ6" s="344"/>
      <c r="RRK6" s="344"/>
      <c r="RRL6" s="344"/>
      <c r="RRM6" s="344"/>
      <c r="RRN6" s="344"/>
      <c r="RRO6" s="344"/>
      <c r="RRP6" s="344"/>
      <c r="RRQ6" s="344"/>
      <c r="RRR6" s="344"/>
      <c r="RRS6" s="344"/>
      <c r="RRT6" s="344"/>
      <c r="RRU6" s="344"/>
      <c r="RRV6" s="344"/>
      <c r="RRW6" s="344"/>
      <c r="RRX6" s="344"/>
      <c r="RRY6" s="344"/>
      <c r="RRZ6" s="344"/>
      <c r="RSA6" s="344"/>
      <c r="RSB6" s="344"/>
      <c r="RSC6" s="344"/>
      <c r="RSD6" s="344"/>
      <c r="RSE6" s="344"/>
      <c r="RSF6" s="344"/>
      <c r="RSG6" s="344"/>
      <c r="RSH6" s="344"/>
      <c r="RSI6" s="344"/>
      <c r="RSJ6" s="344"/>
      <c r="RSK6" s="344"/>
      <c r="RSL6" s="344"/>
      <c r="RSM6" s="344"/>
      <c r="RSN6" s="344"/>
      <c r="RSO6" s="344"/>
      <c r="RSP6" s="344"/>
      <c r="RSQ6" s="344"/>
      <c r="RSR6" s="344"/>
      <c r="RSS6" s="344"/>
      <c r="RST6" s="344"/>
      <c r="RSU6" s="344"/>
      <c r="RSV6" s="344"/>
      <c r="RSW6" s="344"/>
      <c r="RSX6" s="344"/>
      <c r="RSY6" s="344"/>
      <c r="RSZ6" s="344"/>
      <c r="RTA6" s="344"/>
      <c r="RTB6" s="344"/>
      <c r="RTC6" s="344"/>
      <c r="RTD6" s="344"/>
      <c r="RTE6" s="344"/>
      <c r="RTF6" s="344"/>
      <c r="RTG6" s="344"/>
      <c r="RTH6" s="344"/>
      <c r="RTI6" s="344"/>
      <c r="RTJ6" s="344"/>
      <c r="RTK6" s="344"/>
      <c r="RTL6" s="344"/>
      <c r="RTM6" s="344"/>
      <c r="RTN6" s="344"/>
      <c r="RTO6" s="344"/>
      <c r="RTP6" s="344"/>
      <c r="RTQ6" s="344"/>
      <c r="RTR6" s="344"/>
      <c r="RTS6" s="344"/>
      <c r="RTT6" s="344"/>
      <c r="RTU6" s="344"/>
      <c r="RTV6" s="344"/>
      <c r="RTW6" s="344"/>
      <c r="RTX6" s="344"/>
      <c r="RTY6" s="344"/>
      <c r="RTZ6" s="344"/>
      <c r="RUA6" s="344"/>
      <c r="RUB6" s="344"/>
      <c r="RUC6" s="344"/>
      <c r="RUD6" s="344"/>
      <c r="RUE6" s="344"/>
      <c r="RUF6" s="344"/>
      <c r="RUG6" s="344"/>
      <c r="RUH6" s="344"/>
      <c r="RUI6" s="344"/>
      <c r="RUJ6" s="344"/>
      <c r="RUK6" s="344"/>
      <c r="RUL6" s="344"/>
      <c r="RUM6" s="344"/>
      <c r="RUN6" s="344"/>
      <c r="RUO6" s="344"/>
      <c r="RUP6" s="344"/>
      <c r="RUQ6" s="344"/>
      <c r="RUR6" s="344"/>
      <c r="RUS6" s="344"/>
      <c r="RUT6" s="344"/>
      <c r="RUU6" s="344"/>
      <c r="RUV6" s="344"/>
      <c r="RUW6" s="344"/>
      <c r="RUX6" s="344"/>
      <c r="RUY6" s="344"/>
      <c r="RUZ6" s="344"/>
      <c r="RVA6" s="344"/>
      <c r="RVB6" s="344"/>
      <c r="RVC6" s="344"/>
      <c r="RVD6" s="344"/>
      <c r="RVE6" s="344"/>
      <c r="RVF6" s="344"/>
      <c r="RVG6" s="344"/>
      <c r="RVH6" s="344"/>
      <c r="RVI6" s="344"/>
      <c r="RVJ6" s="344"/>
      <c r="RVK6" s="344"/>
      <c r="RVL6" s="344"/>
      <c r="RVM6" s="344"/>
      <c r="RVN6" s="344"/>
      <c r="RVO6" s="344"/>
      <c r="RVP6" s="344"/>
      <c r="RVQ6" s="344"/>
      <c r="RVR6" s="344"/>
      <c r="RVS6" s="344"/>
      <c r="RVT6" s="344"/>
      <c r="RVU6" s="344"/>
      <c r="RVV6" s="344"/>
      <c r="RVW6" s="344"/>
      <c r="RVX6" s="344"/>
      <c r="RVY6" s="344"/>
      <c r="RVZ6" s="344"/>
      <c r="RWA6" s="344"/>
      <c r="RWB6" s="344"/>
      <c r="RWC6" s="344"/>
      <c r="RWD6" s="344"/>
      <c r="RWE6" s="344"/>
      <c r="RWF6" s="344"/>
      <c r="RWG6" s="344"/>
      <c r="RWH6" s="344"/>
      <c r="RWI6" s="344"/>
      <c r="RWJ6" s="344"/>
      <c r="RWK6" s="344"/>
      <c r="RWL6" s="344"/>
      <c r="RWM6" s="344"/>
      <c r="RWN6" s="344"/>
      <c r="RWO6" s="344"/>
      <c r="RWP6" s="344"/>
      <c r="RWQ6" s="344"/>
      <c r="RWR6" s="344"/>
      <c r="RWS6" s="344"/>
      <c r="RWT6" s="344"/>
      <c r="RWU6" s="344"/>
      <c r="RWV6" s="344"/>
      <c r="RWW6" s="344"/>
      <c r="RWX6" s="344"/>
      <c r="RWY6" s="344"/>
      <c r="RWZ6" s="344"/>
      <c r="RXA6" s="344"/>
      <c r="RXB6" s="344"/>
      <c r="RXC6" s="344"/>
      <c r="RXD6" s="344"/>
      <c r="RXE6" s="344"/>
      <c r="RXF6" s="344"/>
      <c r="RXG6" s="344"/>
      <c r="RXH6" s="344"/>
      <c r="RXI6" s="344"/>
      <c r="RXJ6" s="344"/>
      <c r="RXK6" s="344"/>
      <c r="RXL6" s="344"/>
      <c r="RXM6" s="344"/>
      <c r="RXN6" s="344"/>
      <c r="RXO6" s="344"/>
      <c r="RXP6" s="344"/>
      <c r="RXQ6" s="344"/>
      <c r="RXR6" s="344"/>
      <c r="RXS6" s="344"/>
      <c r="RXT6" s="344"/>
      <c r="RXU6" s="344"/>
      <c r="RXV6" s="344"/>
      <c r="RXW6" s="344"/>
      <c r="RXX6" s="344"/>
      <c r="RXY6" s="344"/>
      <c r="RXZ6" s="344"/>
      <c r="RYA6" s="344"/>
      <c r="RYB6" s="344"/>
      <c r="RYC6" s="344"/>
      <c r="RYD6" s="344"/>
      <c r="RYE6" s="344"/>
      <c r="RYF6" s="344"/>
      <c r="RYG6" s="344"/>
      <c r="RYH6" s="344"/>
      <c r="RYI6" s="344"/>
      <c r="RYJ6" s="344"/>
      <c r="RYK6" s="344"/>
      <c r="RYL6" s="344"/>
      <c r="RYM6" s="344"/>
      <c r="RYN6" s="344"/>
      <c r="RYO6" s="344"/>
      <c r="RYP6" s="344"/>
      <c r="RYQ6" s="344"/>
      <c r="RYR6" s="344"/>
      <c r="RYS6" s="344"/>
      <c r="RYT6" s="344"/>
      <c r="RYU6" s="344"/>
      <c r="RYV6" s="344"/>
      <c r="RYW6" s="344"/>
      <c r="RYX6" s="344"/>
      <c r="RYY6" s="344"/>
      <c r="RYZ6" s="344"/>
      <c r="RZA6" s="344"/>
      <c r="RZB6" s="344"/>
      <c r="RZC6" s="344"/>
      <c r="RZD6" s="344"/>
      <c r="RZE6" s="344"/>
      <c r="RZF6" s="344"/>
      <c r="RZG6" s="344"/>
      <c r="RZH6" s="344"/>
      <c r="RZI6" s="344"/>
      <c r="RZJ6" s="344"/>
      <c r="RZK6" s="344"/>
      <c r="RZL6" s="344"/>
      <c r="RZM6" s="344"/>
      <c r="RZN6" s="344"/>
      <c r="RZO6" s="344"/>
      <c r="RZP6" s="344"/>
      <c r="RZQ6" s="344"/>
      <c r="RZR6" s="344"/>
      <c r="RZS6" s="344"/>
      <c r="RZT6" s="344"/>
      <c r="RZU6" s="344"/>
      <c r="RZV6" s="344"/>
      <c r="RZW6" s="344"/>
      <c r="RZX6" s="344"/>
      <c r="RZY6" s="344"/>
      <c r="RZZ6" s="344"/>
      <c r="SAA6" s="344"/>
      <c r="SAB6" s="344"/>
      <c r="SAC6" s="344"/>
      <c r="SAD6" s="344"/>
      <c r="SAE6" s="344"/>
      <c r="SAF6" s="344"/>
      <c r="SAG6" s="344"/>
      <c r="SAH6" s="344"/>
      <c r="SAI6" s="344"/>
      <c r="SAJ6" s="344"/>
      <c r="SAK6" s="344"/>
      <c r="SAL6" s="344"/>
      <c r="SAM6" s="344"/>
      <c r="SAN6" s="344"/>
      <c r="SAO6" s="344"/>
      <c r="SAP6" s="344"/>
      <c r="SAQ6" s="344"/>
      <c r="SAR6" s="344"/>
      <c r="SAS6" s="344"/>
      <c r="SAT6" s="344"/>
      <c r="SAU6" s="344"/>
      <c r="SAV6" s="344"/>
      <c r="SAW6" s="344"/>
      <c r="SAX6" s="344"/>
      <c r="SAY6" s="344"/>
      <c r="SAZ6" s="344"/>
      <c r="SBA6" s="344"/>
      <c r="SBB6" s="344"/>
      <c r="SBC6" s="344"/>
      <c r="SBD6" s="344"/>
      <c r="SBE6" s="344"/>
      <c r="SBF6" s="344"/>
      <c r="SBG6" s="344"/>
      <c r="SBH6" s="344"/>
      <c r="SBI6" s="344"/>
      <c r="SBJ6" s="344"/>
      <c r="SBK6" s="344"/>
      <c r="SBL6" s="344"/>
      <c r="SBM6" s="344"/>
      <c r="SBN6" s="344"/>
      <c r="SBO6" s="344"/>
      <c r="SBP6" s="344"/>
      <c r="SBQ6" s="344"/>
      <c r="SBR6" s="344"/>
      <c r="SBS6" s="344"/>
      <c r="SBT6" s="344"/>
      <c r="SBU6" s="344"/>
      <c r="SBV6" s="344"/>
      <c r="SBW6" s="344"/>
      <c r="SBX6" s="344"/>
      <c r="SBY6" s="344"/>
      <c r="SBZ6" s="344"/>
      <c r="SCA6" s="344"/>
      <c r="SCB6" s="344"/>
      <c r="SCC6" s="344"/>
      <c r="SCD6" s="344"/>
      <c r="SCE6" s="344"/>
      <c r="SCF6" s="344"/>
      <c r="SCG6" s="344"/>
      <c r="SCH6" s="344"/>
      <c r="SCI6" s="344"/>
      <c r="SCJ6" s="344"/>
      <c r="SCK6" s="344"/>
      <c r="SCL6" s="344"/>
      <c r="SCM6" s="344"/>
      <c r="SCN6" s="344"/>
      <c r="SCO6" s="344"/>
      <c r="SCP6" s="344"/>
      <c r="SCQ6" s="344"/>
      <c r="SCR6" s="344"/>
      <c r="SCS6" s="344"/>
      <c r="SCT6" s="344"/>
      <c r="SCU6" s="344"/>
      <c r="SCV6" s="344"/>
      <c r="SCW6" s="344"/>
      <c r="SCX6" s="344"/>
      <c r="SCY6" s="344"/>
      <c r="SCZ6" s="344"/>
      <c r="SDA6" s="344"/>
      <c r="SDB6" s="344"/>
      <c r="SDC6" s="344"/>
      <c r="SDD6" s="344"/>
      <c r="SDE6" s="344"/>
      <c r="SDF6" s="344"/>
      <c r="SDG6" s="344"/>
      <c r="SDH6" s="344"/>
      <c r="SDI6" s="344"/>
      <c r="SDJ6" s="344"/>
      <c r="SDK6" s="344"/>
      <c r="SDL6" s="344"/>
      <c r="SDM6" s="344"/>
      <c r="SDN6" s="344"/>
      <c r="SDO6" s="344"/>
      <c r="SDP6" s="344"/>
      <c r="SDQ6" s="344"/>
      <c r="SDR6" s="344"/>
      <c r="SDS6" s="344"/>
      <c r="SDT6" s="344"/>
      <c r="SDU6" s="344"/>
      <c r="SDV6" s="344"/>
      <c r="SDW6" s="344"/>
      <c r="SDX6" s="344"/>
      <c r="SDY6" s="344"/>
      <c r="SDZ6" s="344"/>
      <c r="SEA6" s="344"/>
      <c r="SEB6" s="344"/>
      <c r="SEC6" s="344"/>
      <c r="SED6" s="344"/>
      <c r="SEE6" s="344"/>
      <c r="SEF6" s="344"/>
      <c r="SEG6" s="344"/>
      <c r="SEH6" s="344"/>
      <c r="SEI6" s="344"/>
      <c r="SEJ6" s="344"/>
      <c r="SEK6" s="344"/>
      <c r="SEL6" s="344"/>
      <c r="SEM6" s="344"/>
      <c r="SEN6" s="344"/>
      <c r="SEO6" s="344"/>
      <c r="SEP6" s="344"/>
      <c r="SEQ6" s="344"/>
      <c r="SER6" s="344"/>
      <c r="SES6" s="344"/>
      <c r="SET6" s="344"/>
      <c r="SEU6" s="344"/>
      <c r="SEV6" s="344"/>
      <c r="SEW6" s="344"/>
      <c r="SEX6" s="344"/>
      <c r="SEY6" s="344"/>
      <c r="SEZ6" s="344"/>
      <c r="SFA6" s="344"/>
      <c r="SFB6" s="344"/>
      <c r="SFC6" s="344"/>
      <c r="SFD6" s="344"/>
      <c r="SFE6" s="344"/>
      <c r="SFF6" s="344"/>
      <c r="SFG6" s="344"/>
      <c r="SFH6" s="344"/>
      <c r="SFI6" s="344"/>
      <c r="SFJ6" s="344"/>
      <c r="SFK6" s="344"/>
      <c r="SFL6" s="344"/>
      <c r="SFM6" s="344"/>
      <c r="SFN6" s="344"/>
      <c r="SFO6" s="344"/>
      <c r="SFP6" s="344"/>
      <c r="SFQ6" s="344"/>
      <c r="SFR6" s="344"/>
      <c r="SFS6" s="344"/>
      <c r="SFT6" s="344"/>
      <c r="SFU6" s="344"/>
      <c r="SFV6" s="344"/>
      <c r="SFW6" s="344"/>
      <c r="SFX6" s="344"/>
      <c r="SFY6" s="344"/>
      <c r="SFZ6" s="344"/>
      <c r="SGA6" s="344"/>
      <c r="SGB6" s="344"/>
      <c r="SGC6" s="344"/>
      <c r="SGD6" s="344"/>
      <c r="SGE6" s="344"/>
      <c r="SGF6" s="344"/>
      <c r="SGG6" s="344"/>
      <c r="SGH6" s="344"/>
      <c r="SGI6" s="344"/>
      <c r="SGJ6" s="344"/>
      <c r="SGK6" s="344"/>
      <c r="SGL6" s="344"/>
      <c r="SGM6" s="344"/>
      <c r="SGN6" s="344"/>
      <c r="SGO6" s="344"/>
      <c r="SGP6" s="344"/>
      <c r="SGQ6" s="344"/>
      <c r="SGR6" s="344"/>
      <c r="SGS6" s="344"/>
      <c r="SGT6" s="344"/>
      <c r="SGU6" s="344"/>
      <c r="SGV6" s="344"/>
      <c r="SGW6" s="344"/>
      <c r="SGX6" s="344"/>
      <c r="SGY6" s="344"/>
      <c r="SGZ6" s="344"/>
      <c r="SHA6" s="344"/>
      <c r="SHB6" s="344"/>
      <c r="SHC6" s="344"/>
      <c r="SHD6" s="344"/>
      <c r="SHE6" s="344"/>
      <c r="SHF6" s="344"/>
      <c r="SHG6" s="344"/>
      <c r="SHH6" s="344"/>
      <c r="SHI6" s="344"/>
      <c r="SHJ6" s="344"/>
      <c r="SHK6" s="344"/>
      <c r="SHL6" s="344"/>
      <c r="SHM6" s="344"/>
      <c r="SHN6" s="344"/>
      <c r="SHO6" s="344"/>
      <c r="SHP6" s="344"/>
      <c r="SHQ6" s="344"/>
      <c r="SHR6" s="344"/>
      <c r="SHS6" s="344"/>
      <c r="SHT6" s="344"/>
      <c r="SHU6" s="344"/>
      <c r="SHV6" s="344"/>
      <c r="SHW6" s="344"/>
      <c r="SHX6" s="344"/>
      <c r="SHY6" s="344"/>
      <c r="SHZ6" s="344"/>
      <c r="SIA6" s="344"/>
      <c r="SIB6" s="344"/>
      <c r="SIC6" s="344"/>
      <c r="SID6" s="344"/>
      <c r="SIE6" s="344"/>
      <c r="SIF6" s="344"/>
      <c r="SIG6" s="344"/>
      <c r="SIH6" s="344"/>
      <c r="SII6" s="344"/>
      <c r="SIJ6" s="344"/>
      <c r="SIK6" s="344"/>
      <c r="SIL6" s="344"/>
      <c r="SIM6" s="344"/>
      <c r="SIN6" s="344"/>
      <c r="SIO6" s="344"/>
      <c r="SIP6" s="344"/>
      <c r="SIQ6" s="344"/>
      <c r="SIR6" s="344"/>
      <c r="SIS6" s="344"/>
      <c r="SIT6" s="344"/>
      <c r="SIU6" s="344"/>
      <c r="SIV6" s="344"/>
      <c r="SIW6" s="344"/>
      <c r="SIX6" s="344"/>
      <c r="SIY6" s="344"/>
      <c r="SIZ6" s="344"/>
      <c r="SJA6" s="344"/>
      <c r="SJB6" s="344"/>
      <c r="SJC6" s="344"/>
      <c r="SJD6" s="344"/>
      <c r="SJE6" s="344"/>
      <c r="SJF6" s="344"/>
      <c r="SJG6" s="344"/>
      <c r="SJH6" s="344"/>
      <c r="SJI6" s="344"/>
      <c r="SJJ6" s="344"/>
      <c r="SJK6" s="344"/>
      <c r="SJL6" s="344"/>
      <c r="SJM6" s="344"/>
      <c r="SJN6" s="344"/>
      <c r="SJO6" s="344"/>
      <c r="SJP6" s="344"/>
      <c r="SJQ6" s="344"/>
      <c r="SJR6" s="344"/>
      <c r="SJS6" s="344"/>
      <c r="SJT6" s="344"/>
      <c r="SJU6" s="344"/>
      <c r="SJV6" s="344"/>
      <c r="SJW6" s="344"/>
      <c r="SJX6" s="344"/>
      <c r="SJY6" s="344"/>
      <c r="SJZ6" s="344"/>
      <c r="SKA6" s="344"/>
      <c r="SKB6" s="344"/>
      <c r="SKC6" s="344"/>
      <c r="SKD6" s="344"/>
      <c r="SKE6" s="344"/>
      <c r="SKF6" s="344"/>
      <c r="SKG6" s="344"/>
      <c r="SKH6" s="344"/>
      <c r="SKI6" s="344"/>
      <c r="SKJ6" s="344"/>
      <c r="SKK6" s="344"/>
      <c r="SKL6" s="344"/>
      <c r="SKM6" s="344"/>
      <c r="SKN6" s="344"/>
      <c r="SKO6" s="344"/>
      <c r="SKP6" s="344"/>
      <c r="SKQ6" s="344"/>
      <c r="SKR6" s="344"/>
      <c r="SKS6" s="344"/>
      <c r="SKT6" s="344"/>
      <c r="SKU6" s="344"/>
      <c r="SKV6" s="344"/>
      <c r="SKW6" s="344"/>
      <c r="SKX6" s="344"/>
      <c r="SKY6" s="344"/>
      <c r="SKZ6" s="344"/>
      <c r="SLA6" s="344"/>
      <c r="SLB6" s="344"/>
      <c r="SLC6" s="344"/>
      <c r="SLD6" s="344"/>
      <c r="SLE6" s="344"/>
      <c r="SLF6" s="344"/>
      <c r="SLG6" s="344"/>
      <c r="SLH6" s="344"/>
      <c r="SLI6" s="344"/>
      <c r="SLJ6" s="344"/>
      <c r="SLK6" s="344"/>
      <c r="SLL6" s="344"/>
      <c r="SLM6" s="344"/>
      <c r="SLN6" s="344"/>
      <c r="SLO6" s="344"/>
      <c r="SLP6" s="344"/>
      <c r="SLQ6" s="344"/>
      <c r="SLR6" s="344"/>
      <c r="SLS6" s="344"/>
      <c r="SLT6" s="344"/>
      <c r="SLU6" s="344"/>
      <c r="SLV6" s="344"/>
      <c r="SLW6" s="344"/>
      <c r="SLX6" s="344"/>
      <c r="SLY6" s="344"/>
      <c r="SLZ6" s="344"/>
      <c r="SMA6" s="344"/>
      <c r="SMB6" s="344"/>
      <c r="SMC6" s="344"/>
      <c r="SMD6" s="344"/>
      <c r="SME6" s="344"/>
      <c r="SMF6" s="344"/>
      <c r="SMG6" s="344"/>
      <c r="SMH6" s="344"/>
      <c r="SMI6" s="344"/>
      <c r="SMJ6" s="344"/>
      <c r="SMK6" s="344"/>
      <c r="SML6" s="344"/>
      <c r="SMM6" s="344"/>
      <c r="SMN6" s="344"/>
      <c r="SMO6" s="344"/>
      <c r="SMP6" s="344"/>
      <c r="SMQ6" s="344"/>
      <c r="SMR6" s="344"/>
      <c r="SMS6" s="344"/>
      <c r="SMT6" s="344"/>
      <c r="SMU6" s="344"/>
      <c r="SMV6" s="344"/>
      <c r="SMW6" s="344"/>
      <c r="SMX6" s="344"/>
      <c r="SMY6" s="344"/>
      <c r="SMZ6" s="344"/>
      <c r="SNA6" s="344"/>
      <c r="SNB6" s="344"/>
      <c r="SNC6" s="344"/>
      <c r="SND6" s="344"/>
      <c r="SNE6" s="344"/>
      <c r="SNF6" s="344"/>
      <c r="SNG6" s="344"/>
      <c r="SNH6" s="344"/>
      <c r="SNI6" s="344"/>
      <c r="SNJ6" s="344"/>
      <c r="SNK6" s="344"/>
      <c r="SNL6" s="344"/>
      <c r="SNM6" s="344"/>
      <c r="SNN6" s="344"/>
      <c r="SNO6" s="344"/>
      <c r="SNP6" s="344"/>
      <c r="SNQ6" s="344"/>
      <c r="SNR6" s="344"/>
      <c r="SNS6" s="344"/>
      <c r="SNT6" s="344"/>
      <c r="SNU6" s="344"/>
      <c r="SNV6" s="344"/>
      <c r="SNW6" s="344"/>
      <c r="SNX6" s="344"/>
      <c r="SNY6" s="344"/>
      <c r="SNZ6" s="344"/>
      <c r="SOA6" s="344"/>
      <c r="SOB6" s="344"/>
      <c r="SOC6" s="344"/>
      <c r="SOD6" s="344"/>
      <c r="SOE6" s="344"/>
      <c r="SOF6" s="344"/>
      <c r="SOG6" s="344"/>
      <c r="SOH6" s="344"/>
      <c r="SOI6" s="344"/>
      <c r="SOJ6" s="344"/>
      <c r="SOK6" s="344"/>
      <c r="SOL6" s="344"/>
      <c r="SOM6" s="344"/>
      <c r="SON6" s="344"/>
      <c r="SOO6" s="344"/>
      <c r="SOP6" s="344"/>
      <c r="SOQ6" s="344"/>
      <c r="SOR6" s="344"/>
      <c r="SOS6" s="344"/>
      <c r="SOT6" s="344"/>
      <c r="SOU6" s="344"/>
      <c r="SOV6" s="344"/>
      <c r="SOW6" s="344"/>
      <c r="SOX6" s="344"/>
      <c r="SOY6" s="344"/>
      <c r="SOZ6" s="344"/>
      <c r="SPA6" s="344"/>
      <c r="SPB6" s="344"/>
      <c r="SPC6" s="344"/>
      <c r="SPD6" s="344"/>
      <c r="SPE6" s="344"/>
      <c r="SPF6" s="344"/>
      <c r="SPG6" s="344"/>
      <c r="SPH6" s="344"/>
      <c r="SPI6" s="344"/>
      <c r="SPJ6" s="344"/>
      <c r="SPK6" s="344"/>
      <c r="SPL6" s="344"/>
      <c r="SPM6" s="344"/>
      <c r="SPN6" s="344"/>
      <c r="SPO6" s="344"/>
      <c r="SPP6" s="344"/>
      <c r="SPQ6" s="344"/>
      <c r="SPR6" s="344"/>
      <c r="SPS6" s="344"/>
      <c r="SPT6" s="344"/>
      <c r="SPU6" s="344"/>
      <c r="SPV6" s="344"/>
      <c r="SPW6" s="344"/>
      <c r="SPX6" s="344"/>
      <c r="SPY6" s="344"/>
      <c r="SPZ6" s="344"/>
      <c r="SQA6" s="344"/>
      <c r="SQB6" s="344"/>
      <c r="SQC6" s="344"/>
      <c r="SQD6" s="344"/>
      <c r="SQE6" s="344"/>
      <c r="SQF6" s="344"/>
      <c r="SQG6" s="344"/>
      <c r="SQH6" s="344"/>
      <c r="SQI6" s="344"/>
      <c r="SQJ6" s="344"/>
      <c r="SQK6" s="344"/>
      <c r="SQL6" s="344"/>
      <c r="SQM6" s="344"/>
      <c r="SQN6" s="344"/>
      <c r="SQO6" s="344"/>
      <c r="SQP6" s="344"/>
      <c r="SQQ6" s="344"/>
      <c r="SQR6" s="344"/>
      <c r="SQS6" s="344"/>
      <c r="SQT6" s="344"/>
      <c r="SQU6" s="344"/>
      <c r="SQV6" s="344"/>
      <c r="SQW6" s="344"/>
      <c r="SQX6" s="344"/>
      <c r="SQY6" s="344"/>
      <c r="SQZ6" s="344"/>
      <c r="SRA6" s="344"/>
      <c r="SRB6" s="344"/>
      <c r="SRC6" s="344"/>
      <c r="SRD6" s="344"/>
      <c r="SRE6" s="344"/>
      <c r="SRF6" s="344"/>
      <c r="SRG6" s="344"/>
      <c r="SRH6" s="344"/>
      <c r="SRI6" s="344"/>
      <c r="SRJ6" s="344"/>
      <c r="SRK6" s="344"/>
      <c r="SRL6" s="344"/>
      <c r="SRM6" s="344"/>
      <c r="SRN6" s="344"/>
      <c r="SRO6" s="344"/>
      <c r="SRP6" s="344"/>
      <c r="SRQ6" s="344"/>
      <c r="SRR6" s="344"/>
      <c r="SRS6" s="344"/>
      <c r="SRT6" s="344"/>
      <c r="SRU6" s="344"/>
      <c r="SRV6" s="344"/>
      <c r="SRW6" s="344"/>
      <c r="SRX6" s="344"/>
      <c r="SRY6" s="344"/>
      <c r="SRZ6" s="344"/>
      <c r="SSA6" s="344"/>
      <c r="SSB6" s="344"/>
      <c r="SSC6" s="344"/>
      <c r="SSD6" s="344"/>
      <c r="SSE6" s="344"/>
      <c r="SSF6" s="344"/>
      <c r="SSG6" s="344"/>
      <c r="SSH6" s="344"/>
      <c r="SSI6" s="344"/>
      <c r="SSJ6" s="344"/>
      <c r="SSK6" s="344"/>
      <c r="SSL6" s="344"/>
      <c r="SSM6" s="344"/>
      <c r="SSN6" s="344"/>
      <c r="SSO6" s="344"/>
      <c r="SSP6" s="344"/>
      <c r="SSQ6" s="344"/>
      <c r="SSR6" s="344"/>
      <c r="SSS6" s="344"/>
      <c r="SST6" s="344"/>
      <c r="SSU6" s="344"/>
      <c r="SSV6" s="344"/>
      <c r="SSW6" s="344"/>
      <c r="SSX6" s="344"/>
      <c r="SSY6" s="344"/>
      <c r="SSZ6" s="344"/>
      <c r="STA6" s="344"/>
      <c r="STB6" s="344"/>
      <c r="STC6" s="344"/>
      <c r="STD6" s="344"/>
      <c r="STE6" s="344"/>
      <c r="STF6" s="344"/>
      <c r="STG6" s="344"/>
      <c r="STH6" s="344"/>
      <c r="STI6" s="344"/>
      <c r="STJ6" s="344"/>
      <c r="STK6" s="344"/>
      <c r="STL6" s="344"/>
      <c r="STM6" s="344"/>
      <c r="STN6" s="344"/>
      <c r="STO6" s="344"/>
      <c r="STP6" s="344"/>
      <c r="STQ6" s="344"/>
      <c r="STR6" s="344"/>
      <c r="STS6" s="344"/>
      <c r="STT6" s="344"/>
      <c r="STU6" s="344"/>
      <c r="STV6" s="344"/>
      <c r="STW6" s="344"/>
      <c r="STX6" s="344"/>
      <c r="STY6" s="344"/>
      <c r="STZ6" s="344"/>
      <c r="SUA6" s="344"/>
      <c r="SUB6" s="344"/>
      <c r="SUC6" s="344"/>
      <c r="SUD6" s="344"/>
      <c r="SUE6" s="344"/>
      <c r="SUF6" s="344"/>
      <c r="SUG6" s="344"/>
      <c r="SUH6" s="344"/>
      <c r="SUI6" s="344"/>
      <c r="SUJ6" s="344"/>
      <c r="SUK6" s="344"/>
      <c r="SUL6" s="344"/>
      <c r="SUM6" s="344"/>
      <c r="SUN6" s="344"/>
      <c r="SUO6" s="344"/>
      <c r="SUP6" s="344"/>
      <c r="SUQ6" s="344"/>
      <c r="SUR6" s="344"/>
      <c r="SUS6" s="344"/>
      <c r="SUT6" s="344"/>
      <c r="SUU6" s="344"/>
      <c r="SUV6" s="344"/>
      <c r="SUW6" s="344"/>
      <c r="SUX6" s="344"/>
      <c r="SUY6" s="344"/>
      <c r="SUZ6" s="344"/>
      <c r="SVA6" s="344"/>
      <c r="SVB6" s="344"/>
      <c r="SVC6" s="344"/>
      <c r="SVD6" s="344"/>
      <c r="SVE6" s="344"/>
      <c r="SVF6" s="344"/>
      <c r="SVG6" s="344"/>
      <c r="SVH6" s="344"/>
      <c r="SVI6" s="344"/>
      <c r="SVJ6" s="344"/>
      <c r="SVK6" s="344"/>
      <c r="SVL6" s="344"/>
      <c r="SVM6" s="344"/>
      <c r="SVN6" s="344"/>
      <c r="SVO6" s="344"/>
      <c r="SVP6" s="344"/>
      <c r="SVQ6" s="344"/>
      <c r="SVR6" s="344"/>
      <c r="SVS6" s="344"/>
      <c r="SVT6" s="344"/>
      <c r="SVU6" s="344"/>
      <c r="SVV6" s="344"/>
      <c r="SVW6" s="344"/>
      <c r="SVX6" s="344"/>
      <c r="SVY6" s="344"/>
      <c r="SVZ6" s="344"/>
      <c r="SWA6" s="344"/>
      <c r="SWB6" s="344"/>
      <c r="SWC6" s="344"/>
      <c r="SWD6" s="344"/>
      <c r="SWE6" s="344"/>
      <c r="SWF6" s="344"/>
      <c r="SWG6" s="344"/>
      <c r="SWH6" s="344"/>
      <c r="SWI6" s="344"/>
      <c r="SWJ6" s="344"/>
      <c r="SWK6" s="344"/>
      <c r="SWL6" s="344"/>
      <c r="SWM6" s="344"/>
      <c r="SWN6" s="344"/>
      <c r="SWO6" s="344"/>
      <c r="SWP6" s="344"/>
      <c r="SWQ6" s="344"/>
      <c r="SWR6" s="344"/>
      <c r="SWS6" s="344"/>
      <c r="SWT6" s="344"/>
      <c r="SWU6" s="344"/>
      <c r="SWV6" s="344"/>
      <c r="SWW6" s="344"/>
      <c r="SWX6" s="344"/>
      <c r="SWY6" s="344"/>
      <c r="SWZ6" s="344"/>
      <c r="SXA6" s="344"/>
      <c r="SXB6" s="344"/>
      <c r="SXC6" s="344"/>
      <c r="SXD6" s="344"/>
      <c r="SXE6" s="344"/>
      <c r="SXF6" s="344"/>
      <c r="SXG6" s="344"/>
      <c r="SXH6" s="344"/>
      <c r="SXI6" s="344"/>
      <c r="SXJ6" s="344"/>
      <c r="SXK6" s="344"/>
      <c r="SXL6" s="344"/>
      <c r="SXM6" s="344"/>
      <c r="SXN6" s="344"/>
      <c r="SXO6" s="344"/>
      <c r="SXP6" s="344"/>
      <c r="SXQ6" s="344"/>
      <c r="SXR6" s="344"/>
      <c r="SXS6" s="344"/>
      <c r="SXT6" s="344"/>
      <c r="SXU6" s="344"/>
      <c r="SXV6" s="344"/>
      <c r="SXW6" s="344"/>
      <c r="SXX6" s="344"/>
      <c r="SXY6" s="344"/>
      <c r="SXZ6" s="344"/>
      <c r="SYA6" s="344"/>
      <c r="SYB6" s="344"/>
      <c r="SYC6" s="344"/>
      <c r="SYD6" s="344"/>
      <c r="SYE6" s="344"/>
      <c r="SYF6" s="344"/>
      <c r="SYG6" s="344"/>
      <c r="SYH6" s="344"/>
      <c r="SYI6" s="344"/>
      <c r="SYJ6" s="344"/>
      <c r="SYK6" s="344"/>
      <c r="SYL6" s="344"/>
      <c r="SYM6" s="344"/>
      <c r="SYN6" s="344"/>
      <c r="SYO6" s="344"/>
      <c r="SYP6" s="344"/>
      <c r="SYQ6" s="344"/>
      <c r="SYR6" s="344"/>
      <c r="SYS6" s="344"/>
      <c r="SYT6" s="344"/>
      <c r="SYU6" s="344"/>
      <c r="SYV6" s="344"/>
      <c r="SYW6" s="344"/>
      <c r="SYX6" s="344"/>
      <c r="SYY6" s="344"/>
      <c r="SYZ6" s="344"/>
      <c r="SZA6" s="344"/>
      <c r="SZB6" s="344"/>
      <c r="SZC6" s="344"/>
      <c r="SZD6" s="344"/>
      <c r="SZE6" s="344"/>
      <c r="SZF6" s="344"/>
      <c r="SZG6" s="344"/>
      <c r="SZH6" s="344"/>
      <c r="SZI6" s="344"/>
      <c r="SZJ6" s="344"/>
      <c r="SZK6" s="344"/>
      <c r="SZL6" s="344"/>
      <c r="SZM6" s="344"/>
      <c r="SZN6" s="344"/>
      <c r="SZO6" s="344"/>
      <c r="SZP6" s="344"/>
      <c r="SZQ6" s="344"/>
      <c r="SZR6" s="344"/>
      <c r="SZS6" s="344"/>
      <c r="SZT6" s="344"/>
      <c r="SZU6" s="344"/>
      <c r="SZV6" s="344"/>
      <c r="SZW6" s="344"/>
      <c r="SZX6" s="344"/>
      <c r="SZY6" s="344"/>
      <c r="SZZ6" s="344"/>
      <c r="TAA6" s="344"/>
      <c r="TAB6" s="344"/>
      <c r="TAC6" s="344"/>
      <c r="TAD6" s="344"/>
      <c r="TAE6" s="344"/>
      <c r="TAF6" s="344"/>
      <c r="TAG6" s="344"/>
      <c r="TAH6" s="344"/>
      <c r="TAI6" s="344"/>
      <c r="TAJ6" s="344"/>
      <c r="TAK6" s="344"/>
      <c r="TAL6" s="344"/>
      <c r="TAM6" s="344"/>
      <c r="TAN6" s="344"/>
      <c r="TAO6" s="344"/>
      <c r="TAP6" s="344"/>
      <c r="TAQ6" s="344"/>
      <c r="TAR6" s="344"/>
      <c r="TAS6" s="344"/>
      <c r="TAT6" s="344"/>
      <c r="TAU6" s="344"/>
      <c r="TAV6" s="344"/>
      <c r="TAW6" s="344"/>
      <c r="TAX6" s="344"/>
      <c r="TAY6" s="344"/>
      <c r="TAZ6" s="344"/>
      <c r="TBA6" s="344"/>
      <c r="TBB6" s="344"/>
      <c r="TBC6" s="344"/>
      <c r="TBD6" s="344"/>
      <c r="TBE6" s="344"/>
      <c r="TBF6" s="344"/>
      <c r="TBG6" s="344"/>
      <c r="TBH6" s="344"/>
      <c r="TBI6" s="344"/>
      <c r="TBJ6" s="344"/>
      <c r="TBK6" s="344"/>
      <c r="TBL6" s="344"/>
      <c r="TBM6" s="344"/>
      <c r="TBN6" s="344"/>
      <c r="TBO6" s="344"/>
      <c r="TBP6" s="344"/>
      <c r="TBQ6" s="344"/>
      <c r="TBR6" s="344"/>
      <c r="TBS6" s="344"/>
      <c r="TBT6" s="344"/>
      <c r="TBU6" s="344"/>
      <c r="TBV6" s="344"/>
      <c r="TBW6" s="344"/>
      <c r="TBX6" s="344"/>
      <c r="TBY6" s="344"/>
      <c r="TBZ6" s="344"/>
      <c r="TCA6" s="344"/>
      <c r="TCB6" s="344"/>
      <c r="TCC6" s="344"/>
      <c r="TCD6" s="344"/>
      <c r="TCE6" s="344"/>
      <c r="TCF6" s="344"/>
      <c r="TCG6" s="344"/>
      <c r="TCH6" s="344"/>
      <c r="TCI6" s="344"/>
      <c r="TCJ6" s="344"/>
      <c r="TCK6" s="344"/>
      <c r="TCL6" s="344"/>
      <c r="TCM6" s="344"/>
      <c r="TCN6" s="344"/>
      <c r="TCO6" s="344"/>
      <c r="TCP6" s="344"/>
      <c r="TCQ6" s="344"/>
      <c r="TCR6" s="344"/>
      <c r="TCS6" s="344"/>
      <c r="TCT6" s="344"/>
      <c r="TCU6" s="344"/>
      <c r="TCV6" s="344"/>
      <c r="TCW6" s="344"/>
      <c r="TCX6" s="344"/>
      <c r="TCY6" s="344"/>
      <c r="TCZ6" s="344"/>
      <c r="TDA6" s="344"/>
      <c r="TDB6" s="344"/>
      <c r="TDC6" s="344"/>
      <c r="TDD6" s="344"/>
      <c r="TDE6" s="344"/>
      <c r="TDF6" s="344"/>
      <c r="TDG6" s="344"/>
      <c r="TDH6" s="344"/>
      <c r="TDI6" s="344"/>
      <c r="TDJ6" s="344"/>
      <c r="TDK6" s="344"/>
      <c r="TDL6" s="344"/>
      <c r="TDM6" s="344"/>
      <c r="TDN6" s="344"/>
      <c r="TDO6" s="344"/>
      <c r="TDP6" s="344"/>
      <c r="TDQ6" s="344"/>
      <c r="TDR6" s="344"/>
      <c r="TDS6" s="344"/>
      <c r="TDT6" s="344"/>
      <c r="TDU6" s="344"/>
      <c r="TDV6" s="344"/>
      <c r="TDW6" s="344"/>
      <c r="TDX6" s="344"/>
      <c r="TDY6" s="344"/>
      <c r="TDZ6" s="344"/>
      <c r="TEA6" s="344"/>
      <c r="TEB6" s="344"/>
      <c r="TEC6" s="344"/>
      <c r="TED6" s="344"/>
      <c r="TEE6" s="344"/>
      <c r="TEF6" s="344"/>
      <c r="TEG6" s="344"/>
      <c r="TEH6" s="344"/>
      <c r="TEI6" s="344"/>
      <c r="TEJ6" s="344"/>
      <c r="TEK6" s="344"/>
      <c r="TEL6" s="344"/>
      <c r="TEM6" s="344"/>
      <c r="TEN6" s="344"/>
      <c r="TEO6" s="344"/>
      <c r="TEP6" s="344"/>
      <c r="TEQ6" s="344"/>
      <c r="TER6" s="344"/>
      <c r="TES6" s="344"/>
      <c r="TET6" s="344"/>
      <c r="TEU6" s="344"/>
      <c r="TEV6" s="344"/>
      <c r="TEW6" s="344"/>
      <c r="TEX6" s="344"/>
      <c r="TEY6" s="344"/>
      <c r="TEZ6" s="344"/>
      <c r="TFA6" s="344"/>
      <c r="TFB6" s="344"/>
      <c r="TFC6" s="344"/>
      <c r="TFD6" s="344"/>
      <c r="TFE6" s="344"/>
      <c r="TFF6" s="344"/>
      <c r="TFG6" s="344"/>
      <c r="TFH6" s="344"/>
      <c r="TFI6" s="344"/>
      <c r="TFJ6" s="344"/>
      <c r="TFK6" s="344"/>
      <c r="TFL6" s="344"/>
      <c r="TFM6" s="344"/>
      <c r="TFN6" s="344"/>
      <c r="TFO6" s="344"/>
      <c r="TFP6" s="344"/>
      <c r="TFQ6" s="344"/>
      <c r="TFR6" s="344"/>
      <c r="TFS6" s="344"/>
      <c r="TFT6" s="344"/>
      <c r="TFU6" s="344"/>
      <c r="TFV6" s="344"/>
      <c r="TFW6" s="344"/>
      <c r="TFX6" s="344"/>
      <c r="TFY6" s="344"/>
      <c r="TFZ6" s="344"/>
      <c r="TGA6" s="344"/>
      <c r="TGB6" s="344"/>
      <c r="TGC6" s="344"/>
      <c r="TGD6" s="344"/>
      <c r="TGE6" s="344"/>
      <c r="TGF6" s="344"/>
      <c r="TGG6" s="344"/>
      <c r="TGH6" s="344"/>
      <c r="TGI6" s="344"/>
      <c r="TGJ6" s="344"/>
      <c r="TGK6" s="344"/>
      <c r="TGL6" s="344"/>
      <c r="TGM6" s="344"/>
      <c r="TGN6" s="344"/>
      <c r="TGO6" s="344"/>
      <c r="TGP6" s="344"/>
      <c r="TGQ6" s="344"/>
      <c r="TGR6" s="344"/>
      <c r="TGS6" s="344"/>
      <c r="TGT6" s="344"/>
      <c r="TGU6" s="344"/>
      <c r="TGV6" s="344"/>
      <c r="TGW6" s="344"/>
      <c r="TGX6" s="344"/>
      <c r="TGY6" s="344"/>
      <c r="TGZ6" s="344"/>
      <c r="THA6" s="344"/>
      <c r="THB6" s="344"/>
      <c r="THC6" s="344"/>
      <c r="THD6" s="344"/>
      <c r="THE6" s="344"/>
      <c r="THF6" s="344"/>
      <c r="THG6" s="344"/>
      <c r="THH6" s="344"/>
      <c r="THI6" s="344"/>
      <c r="THJ6" s="344"/>
      <c r="THK6" s="344"/>
      <c r="THL6" s="344"/>
      <c r="THM6" s="344"/>
      <c r="THN6" s="344"/>
      <c r="THO6" s="344"/>
      <c r="THP6" s="344"/>
      <c r="THQ6" s="344"/>
      <c r="THR6" s="344"/>
      <c r="THS6" s="344"/>
      <c r="THT6" s="344"/>
      <c r="THU6" s="344"/>
      <c r="THV6" s="344"/>
      <c r="THW6" s="344"/>
      <c r="THX6" s="344"/>
      <c r="THY6" s="344"/>
      <c r="THZ6" s="344"/>
      <c r="TIA6" s="344"/>
      <c r="TIB6" s="344"/>
      <c r="TIC6" s="344"/>
      <c r="TID6" s="344"/>
      <c r="TIE6" s="344"/>
      <c r="TIF6" s="344"/>
      <c r="TIG6" s="344"/>
      <c r="TIH6" s="344"/>
      <c r="TII6" s="344"/>
      <c r="TIJ6" s="344"/>
      <c r="TIK6" s="344"/>
      <c r="TIL6" s="344"/>
      <c r="TIM6" s="344"/>
      <c r="TIN6" s="344"/>
      <c r="TIO6" s="344"/>
      <c r="TIP6" s="344"/>
      <c r="TIQ6" s="344"/>
      <c r="TIR6" s="344"/>
      <c r="TIS6" s="344"/>
      <c r="TIT6" s="344"/>
      <c r="TIU6" s="344"/>
      <c r="TIV6" s="344"/>
      <c r="TIW6" s="344"/>
      <c r="TIX6" s="344"/>
      <c r="TIY6" s="344"/>
      <c r="TIZ6" s="344"/>
      <c r="TJA6" s="344"/>
      <c r="TJB6" s="344"/>
      <c r="TJC6" s="344"/>
      <c r="TJD6" s="344"/>
      <c r="TJE6" s="344"/>
      <c r="TJF6" s="344"/>
      <c r="TJG6" s="344"/>
      <c r="TJH6" s="344"/>
      <c r="TJI6" s="344"/>
      <c r="TJJ6" s="344"/>
      <c r="TJK6" s="344"/>
      <c r="TJL6" s="344"/>
      <c r="TJM6" s="344"/>
      <c r="TJN6" s="344"/>
      <c r="TJO6" s="344"/>
      <c r="TJP6" s="344"/>
      <c r="TJQ6" s="344"/>
      <c r="TJR6" s="344"/>
      <c r="TJS6" s="344"/>
      <c r="TJT6" s="344"/>
      <c r="TJU6" s="344"/>
      <c r="TJV6" s="344"/>
      <c r="TJW6" s="344"/>
      <c r="TJX6" s="344"/>
      <c r="TJY6" s="344"/>
      <c r="TJZ6" s="344"/>
      <c r="TKA6" s="344"/>
      <c r="TKB6" s="344"/>
      <c r="TKC6" s="344"/>
      <c r="TKD6" s="344"/>
      <c r="TKE6" s="344"/>
      <c r="TKF6" s="344"/>
      <c r="TKG6" s="344"/>
      <c r="TKH6" s="344"/>
      <c r="TKI6" s="344"/>
      <c r="TKJ6" s="344"/>
      <c r="TKK6" s="344"/>
      <c r="TKL6" s="344"/>
      <c r="TKM6" s="344"/>
      <c r="TKN6" s="344"/>
      <c r="TKO6" s="344"/>
      <c r="TKP6" s="344"/>
      <c r="TKQ6" s="344"/>
      <c r="TKR6" s="344"/>
      <c r="TKS6" s="344"/>
      <c r="TKT6" s="344"/>
      <c r="TKU6" s="344"/>
      <c r="TKV6" s="344"/>
      <c r="TKW6" s="344"/>
      <c r="TKX6" s="344"/>
      <c r="TKY6" s="344"/>
      <c r="TKZ6" s="344"/>
      <c r="TLA6" s="344"/>
      <c r="TLB6" s="344"/>
      <c r="TLC6" s="344"/>
      <c r="TLD6" s="344"/>
      <c r="TLE6" s="344"/>
      <c r="TLF6" s="344"/>
      <c r="TLG6" s="344"/>
      <c r="TLH6" s="344"/>
      <c r="TLI6" s="344"/>
      <c r="TLJ6" s="344"/>
      <c r="TLK6" s="344"/>
      <c r="TLL6" s="344"/>
      <c r="TLM6" s="344"/>
      <c r="TLN6" s="344"/>
      <c r="TLO6" s="344"/>
      <c r="TLP6" s="344"/>
      <c r="TLQ6" s="344"/>
      <c r="TLR6" s="344"/>
      <c r="TLS6" s="344"/>
      <c r="TLT6" s="344"/>
      <c r="TLU6" s="344"/>
      <c r="TLV6" s="344"/>
      <c r="TLW6" s="344"/>
      <c r="TLX6" s="344"/>
      <c r="TLY6" s="344"/>
      <c r="TLZ6" s="344"/>
      <c r="TMA6" s="344"/>
      <c r="TMB6" s="344"/>
      <c r="TMC6" s="344"/>
      <c r="TMD6" s="344"/>
      <c r="TME6" s="344"/>
      <c r="TMF6" s="344"/>
      <c r="TMG6" s="344"/>
      <c r="TMH6" s="344"/>
      <c r="TMI6" s="344"/>
      <c r="TMJ6" s="344"/>
      <c r="TMK6" s="344"/>
      <c r="TML6" s="344"/>
      <c r="TMM6" s="344"/>
      <c r="TMN6" s="344"/>
      <c r="TMO6" s="344"/>
      <c r="TMP6" s="344"/>
      <c r="TMQ6" s="344"/>
      <c r="TMR6" s="344"/>
      <c r="TMS6" s="344"/>
      <c r="TMT6" s="344"/>
      <c r="TMU6" s="344"/>
      <c r="TMV6" s="344"/>
      <c r="TMW6" s="344"/>
      <c r="TMX6" s="344"/>
      <c r="TMY6" s="344"/>
      <c r="TMZ6" s="344"/>
      <c r="TNA6" s="344"/>
      <c r="TNB6" s="344"/>
      <c r="TNC6" s="344"/>
      <c r="TND6" s="344"/>
      <c r="TNE6" s="344"/>
      <c r="TNF6" s="344"/>
      <c r="TNG6" s="344"/>
      <c r="TNH6" s="344"/>
      <c r="TNI6" s="344"/>
      <c r="TNJ6" s="344"/>
      <c r="TNK6" s="344"/>
      <c r="TNL6" s="344"/>
      <c r="TNM6" s="344"/>
      <c r="TNN6" s="344"/>
      <c r="TNO6" s="344"/>
      <c r="TNP6" s="344"/>
      <c r="TNQ6" s="344"/>
      <c r="TNR6" s="344"/>
      <c r="TNS6" s="344"/>
      <c r="TNT6" s="344"/>
      <c r="TNU6" s="344"/>
      <c r="TNV6" s="344"/>
      <c r="TNW6" s="344"/>
      <c r="TNX6" s="344"/>
      <c r="TNY6" s="344"/>
      <c r="TNZ6" s="344"/>
      <c r="TOA6" s="344"/>
      <c r="TOB6" s="344"/>
      <c r="TOC6" s="344"/>
      <c r="TOD6" s="344"/>
      <c r="TOE6" s="344"/>
      <c r="TOF6" s="344"/>
      <c r="TOG6" s="344"/>
      <c r="TOH6" s="344"/>
      <c r="TOI6" s="344"/>
      <c r="TOJ6" s="344"/>
      <c r="TOK6" s="344"/>
      <c r="TOL6" s="344"/>
      <c r="TOM6" s="344"/>
      <c r="TON6" s="344"/>
      <c r="TOO6" s="344"/>
      <c r="TOP6" s="344"/>
      <c r="TOQ6" s="344"/>
      <c r="TOR6" s="344"/>
      <c r="TOS6" s="344"/>
      <c r="TOT6" s="344"/>
      <c r="TOU6" s="344"/>
      <c r="TOV6" s="344"/>
      <c r="TOW6" s="344"/>
      <c r="TOX6" s="344"/>
      <c r="TOY6" s="344"/>
      <c r="TOZ6" s="344"/>
      <c r="TPA6" s="344"/>
      <c r="TPB6" s="344"/>
      <c r="TPC6" s="344"/>
      <c r="TPD6" s="344"/>
      <c r="TPE6" s="344"/>
      <c r="TPF6" s="344"/>
      <c r="TPG6" s="344"/>
      <c r="TPH6" s="344"/>
      <c r="TPI6" s="344"/>
      <c r="TPJ6" s="344"/>
      <c r="TPK6" s="344"/>
      <c r="TPL6" s="344"/>
      <c r="TPM6" s="344"/>
      <c r="TPN6" s="344"/>
      <c r="TPO6" s="344"/>
      <c r="TPP6" s="344"/>
      <c r="TPQ6" s="344"/>
      <c r="TPR6" s="344"/>
      <c r="TPS6" s="344"/>
      <c r="TPT6" s="344"/>
      <c r="TPU6" s="344"/>
      <c r="TPV6" s="344"/>
      <c r="TPW6" s="344"/>
      <c r="TPX6" s="344"/>
      <c r="TPY6" s="344"/>
      <c r="TPZ6" s="344"/>
      <c r="TQA6" s="344"/>
      <c r="TQB6" s="344"/>
      <c r="TQC6" s="344"/>
      <c r="TQD6" s="344"/>
      <c r="TQE6" s="344"/>
      <c r="TQF6" s="344"/>
      <c r="TQG6" s="344"/>
      <c r="TQH6" s="344"/>
      <c r="TQI6" s="344"/>
      <c r="TQJ6" s="344"/>
      <c r="TQK6" s="344"/>
      <c r="TQL6" s="344"/>
      <c r="TQM6" s="344"/>
      <c r="TQN6" s="344"/>
      <c r="TQO6" s="344"/>
      <c r="TQP6" s="344"/>
      <c r="TQQ6" s="344"/>
      <c r="TQR6" s="344"/>
      <c r="TQS6" s="344"/>
      <c r="TQT6" s="344"/>
      <c r="TQU6" s="344"/>
      <c r="TQV6" s="344"/>
      <c r="TQW6" s="344"/>
      <c r="TQX6" s="344"/>
      <c r="TQY6" s="344"/>
      <c r="TQZ6" s="344"/>
      <c r="TRA6" s="344"/>
      <c r="TRB6" s="344"/>
      <c r="TRC6" s="344"/>
      <c r="TRD6" s="344"/>
      <c r="TRE6" s="344"/>
      <c r="TRF6" s="344"/>
      <c r="TRG6" s="344"/>
      <c r="TRH6" s="344"/>
      <c r="TRI6" s="344"/>
      <c r="TRJ6" s="344"/>
      <c r="TRK6" s="344"/>
      <c r="TRL6" s="344"/>
      <c r="TRM6" s="344"/>
      <c r="TRN6" s="344"/>
      <c r="TRO6" s="344"/>
      <c r="TRP6" s="344"/>
      <c r="TRQ6" s="344"/>
      <c r="TRR6" s="344"/>
      <c r="TRS6" s="344"/>
      <c r="TRT6" s="344"/>
      <c r="TRU6" s="344"/>
      <c r="TRV6" s="344"/>
      <c r="TRW6" s="344"/>
      <c r="TRX6" s="344"/>
      <c r="TRY6" s="344"/>
      <c r="TRZ6" s="344"/>
      <c r="TSA6" s="344"/>
      <c r="TSB6" s="344"/>
      <c r="TSC6" s="344"/>
      <c r="TSD6" s="344"/>
      <c r="TSE6" s="344"/>
      <c r="TSF6" s="344"/>
      <c r="TSG6" s="344"/>
      <c r="TSH6" s="344"/>
      <c r="TSI6" s="344"/>
      <c r="TSJ6" s="344"/>
      <c r="TSK6" s="344"/>
      <c r="TSL6" s="344"/>
      <c r="TSM6" s="344"/>
      <c r="TSN6" s="344"/>
      <c r="TSO6" s="344"/>
      <c r="TSP6" s="344"/>
      <c r="TSQ6" s="344"/>
      <c r="TSR6" s="344"/>
      <c r="TSS6" s="344"/>
      <c r="TST6" s="344"/>
      <c r="TSU6" s="344"/>
      <c r="TSV6" s="344"/>
      <c r="TSW6" s="344"/>
      <c r="TSX6" s="344"/>
      <c r="TSY6" s="344"/>
      <c r="TSZ6" s="344"/>
      <c r="TTA6" s="344"/>
      <c r="TTB6" s="344"/>
      <c r="TTC6" s="344"/>
      <c r="TTD6" s="344"/>
      <c r="TTE6" s="344"/>
      <c r="TTF6" s="344"/>
      <c r="TTG6" s="344"/>
      <c r="TTH6" s="344"/>
      <c r="TTI6" s="344"/>
      <c r="TTJ6" s="344"/>
      <c r="TTK6" s="344"/>
      <c r="TTL6" s="344"/>
      <c r="TTM6" s="344"/>
      <c r="TTN6" s="344"/>
      <c r="TTO6" s="344"/>
      <c r="TTP6" s="344"/>
      <c r="TTQ6" s="344"/>
      <c r="TTR6" s="344"/>
      <c r="TTS6" s="344"/>
      <c r="TTT6" s="344"/>
      <c r="TTU6" s="344"/>
      <c r="TTV6" s="344"/>
      <c r="TTW6" s="344"/>
      <c r="TTX6" s="344"/>
      <c r="TTY6" s="344"/>
      <c r="TTZ6" s="344"/>
      <c r="TUA6" s="344"/>
      <c r="TUB6" s="344"/>
      <c r="TUC6" s="344"/>
      <c r="TUD6" s="344"/>
      <c r="TUE6" s="344"/>
      <c r="TUF6" s="344"/>
      <c r="TUG6" s="344"/>
      <c r="TUH6" s="344"/>
      <c r="TUI6" s="344"/>
      <c r="TUJ6" s="344"/>
      <c r="TUK6" s="344"/>
      <c r="TUL6" s="344"/>
      <c r="TUM6" s="344"/>
      <c r="TUN6" s="344"/>
      <c r="TUO6" s="344"/>
      <c r="TUP6" s="344"/>
      <c r="TUQ6" s="344"/>
      <c r="TUR6" s="344"/>
      <c r="TUS6" s="344"/>
      <c r="TUT6" s="344"/>
      <c r="TUU6" s="344"/>
      <c r="TUV6" s="344"/>
      <c r="TUW6" s="344"/>
      <c r="TUX6" s="344"/>
      <c r="TUY6" s="344"/>
      <c r="TUZ6" s="344"/>
      <c r="TVA6" s="344"/>
      <c r="TVB6" s="344"/>
      <c r="TVC6" s="344"/>
      <c r="TVD6" s="344"/>
      <c r="TVE6" s="344"/>
      <c r="TVF6" s="344"/>
      <c r="TVG6" s="344"/>
      <c r="TVH6" s="344"/>
      <c r="TVI6" s="344"/>
      <c r="TVJ6" s="344"/>
      <c r="TVK6" s="344"/>
      <c r="TVL6" s="344"/>
      <c r="TVM6" s="344"/>
      <c r="TVN6" s="344"/>
      <c r="TVO6" s="344"/>
      <c r="TVP6" s="344"/>
      <c r="TVQ6" s="344"/>
      <c r="TVR6" s="344"/>
      <c r="TVS6" s="344"/>
      <c r="TVT6" s="344"/>
      <c r="TVU6" s="344"/>
      <c r="TVV6" s="344"/>
      <c r="TVW6" s="344"/>
      <c r="TVX6" s="344"/>
      <c r="TVY6" s="344"/>
      <c r="TVZ6" s="344"/>
      <c r="TWA6" s="344"/>
      <c r="TWB6" s="344"/>
      <c r="TWC6" s="344"/>
      <c r="TWD6" s="344"/>
      <c r="TWE6" s="344"/>
      <c r="TWF6" s="344"/>
      <c r="TWG6" s="344"/>
      <c r="TWH6" s="344"/>
      <c r="TWI6" s="344"/>
      <c r="TWJ6" s="344"/>
      <c r="TWK6" s="344"/>
      <c r="TWL6" s="344"/>
      <c r="TWM6" s="344"/>
      <c r="TWN6" s="344"/>
      <c r="TWO6" s="344"/>
      <c r="TWP6" s="344"/>
      <c r="TWQ6" s="344"/>
      <c r="TWR6" s="344"/>
      <c r="TWS6" s="344"/>
      <c r="TWT6" s="344"/>
      <c r="TWU6" s="344"/>
      <c r="TWV6" s="344"/>
      <c r="TWW6" s="344"/>
      <c r="TWX6" s="344"/>
      <c r="TWY6" s="344"/>
      <c r="TWZ6" s="344"/>
      <c r="TXA6" s="344"/>
      <c r="TXB6" s="344"/>
      <c r="TXC6" s="344"/>
      <c r="TXD6" s="344"/>
      <c r="TXE6" s="344"/>
      <c r="TXF6" s="344"/>
      <c r="TXG6" s="344"/>
      <c r="TXH6" s="344"/>
      <c r="TXI6" s="344"/>
      <c r="TXJ6" s="344"/>
      <c r="TXK6" s="344"/>
      <c r="TXL6" s="344"/>
      <c r="TXM6" s="344"/>
      <c r="TXN6" s="344"/>
      <c r="TXO6" s="344"/>
      <c r="TXP6" s="344"/>
      <c r="TXQ6" s="344"/>
      <c r="TXR6" s="344"/>
      <c r="TXS6" s="344"/>
      <c r="TXT6" s="344"/>
      <c r="TXU6" s="344"/>
      <c r="TXV6" s="344"/>
      <c r="TXW6" s="344"/>
      <c r="TXX6" s="344"/>
      <c r="TXY6" s="344"/>
      <c r="TXZ6" s="344"/>
      <c r="TYA6" s="344"/>
      <c r="TYB6" s="344"/>
      <c r="TYC6" s="344"/>
      <c r="TYD6" s="344"/>
      <c r="TYE6" s="344"/>
      <c r="TYF6" s="344"/>
      <c r="TYG6" s="344"/>
      <c r="TYH6" s="344"/>
      <c r="TYI6" s="344"/>
      <c r="TYJ6" s="344"/>
      <c r="TYK6" s="344"/>
      <c r="TYL6" s="344"/>
      <c r="TYM6" s="344"/>
      <c r="TYN6" s="344"/>
      <c r="TYO6" s="344"/>
      <c r="TYP6" s="344"/>
      <c r="TYQ6" s="344"/>
      <c r="TYR6" s="344"/>
      <c r="TYS6" s="344"/>
      <c r="TYT6" s="344"/>
      <c r="TYU6" s="344"/>
      <c r="TYV6" s="344"/>
      <c r="TYW6" s="344"/>
      <c r="TYX6" s="344"/>
      <c r="TYY6" s="344"/>
      <c r="TYZ6" s="344"/>
      <c r="TZA6" s="344"/>
      <c r="TZB6" s="344"/>
      <c r="TZC6" s="344"/>
      <c r="TZD6" s="344"/>
      <c r="TZE6" s="344"/>
      <c r="TZF6" s="344"/>
      <c r="TZG6" s="344"/>
      <c r="TZH6" s="344"/>
      <c r="TZI6" s="344"/>
      <c r="TZJ6" s="344"/>
      <c r="TZK6" s="344"/>
      <c r="TZL6" s="344"/>
      <c r="TZM6" s="344"/>
      <c r="TZN6" s="344"/>
      <c r="TZO6" s="344"/>
      <c r="TZP6" s="344"/>
      <c r="TZQ6" s="344"/>
      <c r="TZR6" s="344"/>
      <c r="TZS6" s="344"/>
      <c r="TZT6" s="344"/>
      <c r="TZU6" s="344"/>
      <c r="TZV6" s="344"/>
      <c r="TZW6" s="344"/>
      <c r="TZX6" s="344"/>
      <c r="TZY6" s="344"/>
      <c r="TZZ6" s="344"/>
      <c r="UAA6" s="344"/>
      <c r="UAB6" s="344"/>
      <c r="UAC6" s="344"/>
      <c r="UAD6" s="344"/>
      <c r="UAE6" s="344"/>
      <c r="UAF6" s="344"/>
      <c r="UAG6" s="344"/>
      <c r="UAH6" s="344"/>
      <c r="UAI6" s="344"/>
      <c r="UAJ6" s="344"/>
      <c r="UAK6" s="344"/>
      <c r="UAL6" s="344"/>
      <c r="UAM6" s="344"/>
      <c r="UAN6" s="344"/>
      <c r="UAO6" s="344"/>
      <c r="UAP6" s="344"/>
      <c r="UAQ6" s="344"/>
      <c r="UAR6" s="344"/>
      <c r="UAS6" s="344"/>
      <c r="UAT6" s="344"/>
      <c r="UAU6" s="344"/>
      <c r="UAV6" s="344"/>
      <c r="UAW6" s="344"/>
      <c r="UAX6" s="344"/>
      <c r="UAY6" s="344"/>
      <c r="UAZ6" s="344"/>
      <c r="UBA6" s="344"/>
      <c r="UBB6" s="344"/>
      <c r="UBC6" s="344"/>
      <c r="UBD6" s="344"/>
      <c r="UBE6" s="344"/>
      <c r="UBF6" s="344"/>
      <c r="UBG6" s="344"/>
      <c r="UBH6" s="344"/>
      <c r="UBI6" s="344"/>
      <c r="UBJ6" s="344"/>
      <c r="UBK6" s="344"/>
      <c r="UBL6" s="344"/>
      <c r="UBM6" s="344"/>
      <c r="UBN6" s="344"/>
      <c r="UBO6" s="344"/>
      <c r="UBP6" s="344"/>
      <c r="UBQ6" s="344"/>
      <c r="UBR6" s="344"/>
      <c r="UBS6" s="344"/>
      <c r="UBT6" s="344"/>
      <c r="UBU6" s="344"/>
      <c r="UBV6" s="344"/>
      <c r="UBW6" s="344"/>
      <c r="UBX6" s="344"/>
      <c r="UBY6" s="344"/>
      <c r="UBZ6" s="344"/>
      <c r="UCA6" s="344"/>
      <c r="UCB6" s="344"/>
      <c r="UCC6" s="344"/>
      <c r="UCD6" s="344"/>
      <c r="UCE6" s="344"/>
      <c r="UCF6" s="344"/>
      <c r="UCG6" s="344"/>
      <c r="UCH6" s="344"/>
      <c r="UCI6" s="344"/>
      <c r="UCJ6" s="344"/>
      <c r="UCK6" s="344"/>
      <c r="UCL6" s="344"/>
      <c r="UCM6" s="344"/>
      <c r="UCN6" s="344"/>
      <c r="UCO6" s="344"/>
      <c r="UCP6" s="344"/>
      <c r="UCQ6" s="344"/>
      <c r="UCR6" s="344"/>
      <c r="UCS6" s="344"/>
      <c r="UCT6" s="344"/>
      <c r="UCU6" s="344"/>
      <c r="UCV6" s="344"/>
      <c r="UCW6" s="344"/>
      <c r="UCX6" s="344"/>
      <c r="UCY6" s="344"/>
      <c r="UCZ6" s="344"/>
      <c r="UDA6" s="344"/>
      <c r="UDB6" s="344"/>
      <c r="UDC6" s="344"/>
      <c r="UDD6" s="344"/>
      <c r="UDE6" s="344"/>
      <c r="UDF6" s="344"/>
      <c r="UDG6" s="344"/>
      <c r="UDH6" s="344"/>
      <c r="UDI6" s="344"/>
      <c r="UDJ6" s="344"/>
      <c r="UDK6" s="344"/>
      <c r="UDL6" s="344"/>
      <c r="UDM6" s="344"/>
      <c r="UDN6" s="344"/>
      <c r="UDO6" s="344"/>
      <c r="UDP6" s="344"/>
      <c r="UDQ6" s="344"/>
      <c r="UDR6" s="344"/>
      <c r="UDS6" s="344"/>
      <c r="UDT6" s="344"/>
      <c r="UDU6" s="344"/>
      <c r="UDV6" s="344"/>
      <c r="UDW6" s="344"/>
      <c r="UDX6" s="344"/>
      <c r="UDY6" s="344"/>
      <c r="UDZ6" s="344"/>
      <c r="UEA6" s="344"/>
      <c r="UEB6" s="344"/>
      <c r="UEC6" s="344"/>
      <c r="UED6" s="344"/>
      <c r="UEE6" s="344"/>
      <c r="UEF6" s="344"/>
      <c r="UEG6" s="344"/>
      <c r="UEH6" s="344"/>
      <c r="UEI6" s="344"/>
      <c r="UEJ6" s="344"/>
      <c r="UEK6" s="344"/>
      <c r="UEL6" s="344"/>
      <c r="UEM6" s="344"/>
      <c r="UEN6" s="344"/>
      <c r="UEO6" s="344"/>
      <c r="UEP6" s="344"/>
      <c r="UEQ6" s="344"/>
      <c r="UER6" s="344"/>
      <c r="UES6" s="344"/>
      <c r="UET6" s="344"/>
      <c r="UEU6" s="344"/>
      <c r="UEV6" s="344"/>
      <c r="UEW6" s="344"/>
      <c r="UEX6" s="344"/>
      <c r="UEY6" s="344"/>
      <c r="UEZ6" s="344"/>
      <c r="UFA6" s="344"/>
      <c r="UFB6" s="344"/>
      <c r="UFC6" s="344"/>
      <c r="UFD6" s="344"/>
      <c r="UFE6" s="344"/>
      <c r="UFF6" s="344"/>
      <c r="UFG6" s="344"/>
      <c r="UFH6" s="344"/>
      <c r="UFI6" s="344"/>
      <c r="UFJ6" s="344"/>
      <c r="UFK6" s="344"/>
      <c r="UFL6" s="344"/>
      <c r="UFM6" s="344"/>
      <c r="UFN6" s="344"/>
      <c r="UFO6" s="344"/>
      <c r="UFP6" s="344"/>
      <c r="UFQ6" s="344"/>
      <c r="UFR6" s="344"/>
      <c r="UFS6" s="344"/>
      <c r="UFT6" s="344"/>
      <c r="UFU6" s="344"/>
      <c r="UFV6" s="344"/>
      <c r="UFW6" s="344"/>
      <c r="UFX6" s="344"/>
      <c r="UFY6" s="344"/>
      <c r="UFZ6" s="344"/>
      <c r="UGA6" s="344"/>
      <c r="UGB6" s="344"/>
      <c r="UGC6" s="344"/>
      <c r="UGD6" s="344"/>
      <c r="UGE6" s="344"/>
      <c r="UGF6" s="344"/>
      <c r="UGG6" s="344"/>
      <c r="UGH6" s="344"/>
      <c r="UGI6" s="344"/>
      <c r="UGJ6" s="344"/>
      <c r="UGK6" s="344"/>
      <c r="UGL6" s="344"/>
      <c r="UGM6" s="344"/>
      <c r="UGN6" s="344"/>
      <c r="UGO6" s="344"/>
      <c r="UGP6" s="344"/>
      <c r="UGQ6" s="344"/>
      <c r="UGR6" s="344"/>
      <c r="UGS6" s="344"/>
      <c r="UGT6" s="344"/>
      <c r="UGU6" s="344"/>
      <c r="UGV6" s="344"/>
      <c r="UGW6" s="344"/>
      <c r="UGX6" s="344"/>
      <c r="UGY6" s="344"/>
      <c r="UGZ6" s="344"/>
      <c r="UHA6" s="344"/>
      <c r="UHB6" s="344"/>
      <c r="UHC6" s="344"/>
      <c r="UHD6" s="344"/>
      <c r="UHE6" s="344"/>
      <c r="UHF6" s="344"/>
      <c r="UHG6" s="344"/>
      <c r="UHH6" s="344"/>
      <c r="UHI6" s="344"/>
      <c r="UHJ6" s="344"/>
      <c r="UHK6" s="344"/>
      <c r="UHL6" s="344"/>
      <c r="UHM6" s="344"/>
      <c r="UHN6" s="344"/>
      <c r="UHO6" s="344"/>
      <c r="UHP6" s="344"/>
      <c r="UHQ6" s="344"/>
      <c r="UHR6" s="344"/>
      <c r="UHS6" s="344"/>
      <c r="UHT6" s="344"/>
      <c r="UHU6" s="344"/>
      <c r="UHV6" s="344"/>
      <c r="UHW6" s="344"/>
      <c r="UHX6" s="344"/>
      <c r="UHY6" s="344"/>
      <c r="UHZ6" s="344"/>
      <c r="UIA6" s="344"/>
      <c r="UIB6" s="344"/>
      <c r="UIC6" s="344"/>
      <c r="UID6" s="344"/>
      <c r="UIE6" s="344"/>
      <c r="UIF6" s="344"/>
      <c r="UIG6" s="344"/>
      <c r="UIH6" s="344"/>
      <c r="UII6" s="344"/>
      <c r="UIJ6" s="344"/>
      <c r="UIK6" s="344"/>
      <c r="UIL6" s="344"/>
      <c r="UIM6" s="344"/>
      <c r="UIN6" s="344"/>
      <c r="UIO6" s="344"/>
      <c r="UIP6" s="344"/>
      <c r="UIQ6" s="344"/>
      <c r="UIR6" s="344"/>
      <c r="UIS6" s="344"/>
      <c r="UIT6" s="344"/>
      <c r="UIU6" s="344"/>
      <c r="UIV6" s="344"/>
      <c r="UIW6" s="344"/>
      <c r="UIX6" s="344"/>
      <c r="UIY6" s="344"/>
      <c r="UIZ6" s="344"/>
      <c r="UJA6" s="344"/>
      <c r="UJB6" s="344"/>
      <c r="UJC6" s="344"/>
      <c r="UJD6" s="344"/>
      <c r="UJE6" s="344"/>
      <c r="UJF6" s="344"/>
      <c r="UJG6" s="344"/>
      <c r="UJH6" s="344"/>
      <c r="UJI6" s="344"/>
      <c r="UJJ6" s="344"/>
      <c r="UJK6" s="344"/>
      <c r="UJL6" s="344"/>
      <c r="UJM6" s="344"/>
      <c r="UJN6" s="344"/>
      <c r="UJO6" s="344"/>
      <c r="UJP6" s="344"/>
      <c r="UJQ6" s="344"/>
      <c r="UJR6" s="344"/>
      <c r="UJS6" s="344"/>
      <c r="UJT6" s="344"/>
      <c r="UJU6" s="344"/>
      <c r="UJV6" s="344"/>
      <c r="UJW6" s="344"/>
      <c r="UJX6" s="344"/>
      <c r="UJY6" s="344"/>
      <c r="UJZ6" s="344"/>
      <c r="UKA6" s="344"/>
      <c r="UKB6" s="344"/>
      <c r="UKC6" s="344"/>
      <c r="UKD6" s="344"/>
      <c r="UKE6" s="344"/>
      <c r="UKF6" s="344"/>
      <c r="UKG6" s="344"/>
      <c r="UKH6" s="344"/>
      <c r="UKI6" s="344"/>
      <c r="UKJ6" s="344"/>
      <c r="UKK6" s="344"/>
      <c r="UKL6" s="344"/>
      <c r="UKM6" s="344"/>
      <c r="UKN6" s="344"/>
      <c r="UKO6" s="344"/>
      <c r="UKP6" s="344"/>
      <c r="UKQ6" s="344"/>
      <c r="UKR6" s="344"/>
      <c r="UKS6" s="344"/>
      <c r="UKT6" s="344"/>
      <c r="UKU6" s="344"/>
      <c r="UKV6" s="344"/>
      <c r="UKW6" s="344"/>
      <c r="UKX6" s="344"/>
      <c r="UKY6" s="344"/>
      <c r="UKZ6" s="344"/>
      <c r="ULA6" s="344"/>
      <c r="ULB6" s="344"/>
      <c r="ULC6" s="344"/>
      <c r="ULD6" s="344"/>
      <c r="ULE6" s="344"/>
      <c r="ULF6" s="344"/>
      <c r="ULG6" s="344"/>
      <c r="ULH6" s="344"/>
      <c r="ULI6" s="344"/>
      <c r="ULJ6" s="344"/>
      <c r="ULK6" s="344"/>
      <c r="ULL6" s="344"/>
      <c r="ULM6" s="344"/>
      <c r="ULN6" s="344"/>
      <c r="ULO6" s="344"/>
      <c r="ULP6" s="344"/>
      <c r="ULQ6" s="344"/>
      <c r="ULR6" s="344"/>
      <c r="ULS6" s="344"/>
      <c r="ULT6" s="344"/>
      <c r="ULU6" s="344"/>
      <c r="ULV6" s="344"/>
      <c r="ULW6" s="344"/>
      <c r="ULX6" s="344"/>
      <c r="ULY6" s="344"/>
      <c r="ULZ6" s="344"/>
      <c r="UMA6" s="344"/>
      <c r="UMB6" s="344"/>
      <c r="UMC6" s="344"/>
      <c r="UMD6" s="344"/>
      <c r="UME6" s="344"/>
      <c r="UMF6" s="344"/>
      <c r="UMG6" s="344"/>
      <c r="UMH6" s="344"/>
      <c r="UMI6" s="344"/>
      <c r="UMJ6" s="344"/>
      <c r="UMK6" s="344"/>
      <c r="UML6" s="344"/>
      <c r="UMM6" s="344"/>
      <c r="UMN6" s="344"/>
      <c r="UMO6" s="344"/>
      <c r="UMP6" s="344"/>
      <c r="UMQ6" s="344"/>
      <c r="UMR6" s="344"/>
      <c r="UMS6" s="344"/>
      <c r="UMT6" s="344"/>
      <c r="UMU6" s="344"/>
      <c r="UMV6" s="344"/>
      <c r="UMW6" s="344"/>
      <c r="UMX6" s="344"/>
      <c r="UMY6" s="344"/>
      <c r="UMZ6" s="344"/>
      <c r="UNA6" s="344"/>
      <c r="UNB6" s="344"/>
      <c r="UNC6" s="344"/>
      <c r="UND6" s="344"/>
      <c r="UNE6" s="344"/>
      <c r="UNF6" s="344"/>
      <c r="UNG6" s="344"/>
      <c r="UNH6" s="344"/>
      <c r="UNI6" s="344"/>
      <c r="UNJ6" s="344"/>
      <c r="UNK6" s="344"/>
      <c r="UNL6" s="344"/>
      <c r="UNM6" s="344"/>
      <c r="UNN6" s="344"/>
      <c r="UNO6" s="344"/>
      <c r="UNP6" s="344"/>
      <c r="UNQ6" s="344"/>
      <c r="UNR6" s="344"/>
      <c r="UNS6" s="344"/>
      <c r="UNT6" s="344"/>
      <c r="UNU6" s="344"/>
      <c r="UNV6" s="344"/>
      <c r="UNW6" s="344"/>
      <c r="UNX6" s="344"/>
      <c r="UNY6" s="344"/>
      <c r="UNZ6" s="344"/>
      <c r="UOA6" s="344"/>
      <c r="UOB6" s="344"/>
      <c r="UOC6" s="344"/>
      <c r="UOD6" s="344"/>
      <c r="UOE6" s="344"/>
      <c r="UOF6" s="344"/>
      <c r="UOG6" s="344"/>
      <c r="UOH6" s="344"/>
      <c r="UOI6" s="344"/>
      <c r="UOJ6" s="344"/>
      <c r="UOK6" s="344"/>
      <c r="UOL6" s="344"/>
      <c r="UOM6" s="344"/>
      <c r="UON6" s="344"/>
      <c r="UOO6" s="344"/>
      <c r="UOP6" s="344"/>
      <c r="UOQ6" s="344"/>
      <c r="UOR6" s="344"/>
      <c r="UOS6" s="344"/>
      <c r="UOT6" s="344"/>
      <c r="UOU6" s="344"/>
      <c r="UOV6" s="344"/>
      <c r="UOW6" s="344"/>
      <c r="UOX6" s="344"/>
      <c r="UOY6" s="344"/>
      <c r="UOZ6" s="344"/>
      <c r="UPA6" s="344"/>
      <c r="UPB6" s="344"/>
      <c r="UPC6" s="344"/>
      <c r="UPD6" s="344"/>
      <c r="UPE6" s="344"/>
      <c r="UPF6" s="344"/>
      <c r="UPG6" s="344"/>
      <c r="UPH6" s="344"/>
      <c r="UPI6" s="344"/>
      <c r="UPJ6" s="344"/>
      <c r="UPK6" s="344"/>
      <c r="UPL6" s="344"/>
      <c r="UPM6" s="344"/>
      <c r="UPN6" s="344"/>
      <c r="UPO6" s="344"/>
      <c r="UPP6" s="344"/>
      <c r="UPQ6" s="344"/>
      <c r="UPR6" s="344"/>
      <c r="UPS6" s="344"/>
      <c r="UPT6" s="344"/>
      <c r="UPU6" s="344"/>
      <c r="UPV6" s="344"/>
      <c r="UPW6" s="344"/>
      <c r="UPX6" s="344"/>
      <c r="UPY6" s="344"/>
      <c r="UPZ6" s="344"/>
      <c r="UQA6" s="344"/>
      <c r="UQB6" s="344"/>
      <c r="UQC6" s="344"/>
      <c r="UQD6" s="344"/>
      <c r="UQE6" s="344"/>
      <c r="UQF6" s="344"/>
      <c r="UQG6" s="344"/>
      <c r="UQH6" s="344"/>
      <c r="UQI6" s="344"/>
      <c r="UQJ6" s="344"/>
      <c r="UQK6" s="344"/>
      <c r="UQL6" s="344"/>
      <c r="UQM6" s="344"/>
      <c r="UQN6" s="344"/>
      <c r="UQO6" s="344"/>
      <c r="UQP6" s="344"/>
      <c r="UQQ6" s="344"/>
      <c r="UQR6" s="344"/>
      <c r="UQS6" s="344"/>
      <c r="UQT6" s="344"/>
      <c r="UQU6" s="344"/>
      <c r="UQV6" s="344"/>
      <c r="UQW6" s="344"/>
      <c r="UQX6" s="344"/>
      <c r="UQY6" s="344"/>
      <c r="UQZ6" s="344"/>
      <c r="URA6" s="344"/>
      <c r="URB6" s="344"/>
      <c r="URC6" s="344"/>
      <c r="URD6" s="344"/>
      <c r="URE6" s="344"/>
      <c r="URF6" s="344"/>
      <c r="URG6" s="344"/>
      <c r="URH6" s="344"/>
      <c r="URI6" s="344"/>
      <c r="URJ6" s="344"/>
      <c r="URK6" s="344"/>
      <c r="URL6" s="344"/>
      <c r="URM6" s="344"/>
      <c r="URN6" s="344"/>
      <c r="URO6" s="344"/>
      <c r="URP6" s="344"/>
      <c r="URQ6" s="344"/>
      <c r="URR6" s="344"/>
      <c r="URS6" s="344"/>
      <c r="URT6" s="344"/>
      <c r="URU6" s="344"/>
      <c r="URV6" s="344"/>
      <c r="URW6" s="344"/>
      <c r="URX6" s="344"/>
      <c r="URY6" s="344"/>
      <c r="URZ6" s="344"/>
      <c r="USA6" s="344"/>
      <c r="USB6" s="344"/>
      <c r="USC6" s="344"/>
      <c r="USD6" s="344"/>
      <c r="USE6" s="344"/>
      <c r="USF6" s="344"/>
      <c r="USG6" s="344"/>
      <c r="USH6" s="344"/>
      <c r="USI6" s="344"/>
      <c r="USJ6" s="344"/>
      <c r="USK6" s="344"/>
      <c r="USL6" s="344"/>
      <c r="USM6" s="344"/>
      <c r="USN6" s="344"/>
      <c r="USO6" s="344"/>
      <c r="USP6" s="344"/>
      <c r="USQ6" s="344"/>
      <c r="USR6" s="344"/>
      <c r="USS6" s="344"/>
      <c r="UST6" s="344"/>
      <c r="USU6" s="344"/>
      <c r="USV6" s="344"/>
      <c r="USW6" s="344"/>
      <c r="USX6" s="344"/>
      <c r="USY6" s="344"/>
      <c r="USZ6" s="344"/>
      <c r="UTA6" s="344"/>
      <c r="UTB6" s="344"/>
      <c r="UTC6" s="344"/>
      <c r="UTD6" s="344"/>
      <c r="UTE6" s="344"/>
      <c r="UTF6" s="344"/>
      <c r="UTG6" s="344"/>
      <c r="UTH6" s="344"/>
      <c r="UTI6" s="344"/>
      <c r="UTJ6" s="344"/>
      <c r="UTK6" s="344"/>
      <c r="UTL6" s="344"/>
      <c r="UTM6" s="344"/>
      <c r="UTN6" s="344"/>
      <c r="UTO6" s="344"/>
      <c r="UTP6" s="344"/>
      <c r="UTQ6" s="344"/>
      <c r="UTR6" s="344"/>
      <c r="UTS6" s="344"/>
      <c r="UTT6" s="344"/>
      <c r="UTU6" s="344"/>
      <c r="UTV6" s="344"/>
      <c r="UTW6" s="344"/>
      <c r="UTX6" s="344"/>
      <c r="UTY6" s="344"/>
      <c r="UTZ6" s="344"/>
      <c r="UUA6" s="344"/>
      <c r="UUB6" s="344"/>
      <c r="UUC6" s="344"/>
      <c r="UUD6" s="344"/>
      <c r="UUE6" s="344"/>
      <c r="UUF6" s="344"/>
      <c r="UUG6" s="344"/>
      <c r="UUH6" s="344"/>
      <c r="UUI6" s="344"/>
      <c r="UUJ6" s="344"/>
      <c r="UUK6" s="344"/>
      <c r="UUL6" s="344"/>
      <c r="UUM6" s="344"/>
      <c r="UUN6" s="344"/>
      <c r="UUO6" s="344"/>
      <c r="UUP6" s="344"/>
      <c r="UUQ6" s="344"/>
      <c r="UUR6" s="344"/>
      <c r="UUS6" s="344"/>
      <c r="UUT6" s="344"/>
      <c r="UUU6" s="344"/>
      <c r="UUV6" s="344"/>
      <c r="UUW6" s="344"/>
      <c r="UUX6" s="344"/>
      <c r="UUY6" s="344"/>
      <c r="UUZ6" s="344"/>
      <c r="UVA6" s="344"/>
      <c r="UVB6" s="344"/>
      <c r="UVC6" s="344"/>
      <c r="UVD6" s="344"/>
      <c r="UVE6" s="344"/>
      <c r="UVF6" s="344"/>
      <c r="UVG6" s="344"/>
      <c r="UVH6" s="344"/>
      <c r="UVI6" s="344"/>
      <c r="UVJ6" s="344"/>
      <c r="UVK6" s="344"/>
      <c r="UVL6" s="344"/>
      <c r="UVM6" s="344"/>
      <c r="UVN6" s="344"/>
      <c r="UVO6" s="344"/>
      <c r="UVP6" s="344"/>
      <c r="UVQ6" s="344"/>
      <c r="UVR6" s="344"/>
      <c r="UVS6" s="344"/>
      <c r="UVT6" s="344"/>
      <c r="UVU6" s="344"/>
      <c r="UVV6" s="344"/>
      <c r="UVW6" s="344"/>
      <c r="UVX6" s="344"/>
      <c r="UVY6" s="344"/>
      <c r="UVZ6" s="344"/>
      <c r="UWA6" s="344"/>
      <c r="UWB6" s="344"/>
      <c r="UWC6" s="344"/>
      <c r="UWD6" s="344"/>
      <c r="UWE6" s="344"/>
      <c r="UWF6" s="344"/>
      <c r="UWG6" s="344"/>
      <c r="UWH6" s="344"/>
      <c r="UWI6" s="344"/>
      <c r="UWJ6" s="344"/>
      <c r="UWK6" s="344"/>
      <c r="UWL6" s="344"/>
      <c r="UWM6" s="344"/>
      <c r="UWN6" s="344"/>
      <c r="UWO6" s="344"/>
      <c r="UWP6" s="344"/>
      <c r="UWQ6" s="344"/>
      <c r="UWR6" s="344"/>
      <c r="UWS6" s="344"/>
      <c r="UWT6" s="344"/>
      <c r="UWU6" s="344"/>
      <c r="UWV6" s="344"/>
      <c r="UWW6" s="344"/>
      <c r="UWX6" s="344"/>
      <c r="UWY6" s="344"/>
      <c r="UWZ6" s="344"/>
      <c r="UXA6" s="344"/>
      <c r="UXB6" s="344"/>
      <c r="UXC6" s="344"/>
      <c r="UXD6" s="344"/>
      <c r="UXE6" s="344"/>
      <c r="UXF6" s="344"/>
      <c r="UXG6" s="344"/>
      <c r="UXH6" s="344"/>
      <c r="UXI6" s="344"/>
      <c r="UXJ6" s="344"/>
      <c r="UXK6" s="344"/>
      <c r="UXL6" s="344"/>
      <c r="UXM6" s="344"/>
      <c r="UXN6" s="344"/>
      <c r="UXO6" s="344"/>
      <c r="UXP6" s="344"/>
      <c r="UXQ6" s="344"/>
      <c r="UXR6" s="344"/>
      <c r="UXS6" s="344"/>
      <c r="UXT6" s="344"/>
      <c r="UXU6" s="344"/>
      <c r="UXV6" s="344"/>
      <c r="UXW6" s="344"/>
      <c r="UXX6" s="344"/>
      <c r="UXY6" s="344"/>
      <c r="UXZ6" s="344"/>
      <c r="UYA6" s="344"/>
      <c r="UYB6" s="344"/>
      <c r="UYC6" s="344"/>
      <c r="UYD6" s="344"/>
      <c r="UYE6" s="344"/>
      <c r="UYF6" s="344"/>
      <c r="UYG6" s="344"/>
      <c r="UYH6" s="344"/>
      <c r="UYI6" s="344"/>
      <c r="UYJ6" s="344"/>
      <c r="UYK6" s="344"/>
      <c r="UYL6" s="344"/>
      <c r="UYM6" s="344"/>
      <c r="UYN6" s="344"/>
      <c r="UYO6" s="344"/>
      <c r="UYP6" s="344"/>
      <c r="UYQ6" s="344"/>
      <c r="UYR6" s="344"/>
      <c r="UYS6" s="344"/>
      <c r="UYT6" s="344"/>
      <c r="UYU6" s="344"/>
      <c r="UYV6" s="344"/>
      <c r="UYW6" s="344"/>
      <c r="UYX6" s="344"/>
      <c r="UYY6" s="344"/>
      <c r="UYZ6" s="344"/>
      <c r="UZA6" s="344"/>
      <c r="UZB6" s="344"/>
      <c r="UZC6" s="344"/>
      <c r="UZD6" s="344"/>
      <c r="UZE6" s="344"/>
      <c r="UZF6" s="344"/>
      <c r="UZG6" s="344"/>
      <c r="UZH6" s="344"/>
      <c r="UZI6" s="344"/>
      <c r="UZJ6" s="344"/>
      <c r="UZK6" s="344"/>
      <c r="UZL6" s="344"/>
      <c r="UZM6" s="344"/>
      <c r="UZN6" s="344"/>
      <c r="UZO6" s="344"/>
      <c r="UZP6" s="344"/>
      <c r="UZQ6" s="344"/>
      <c r="UZR6" s="344"/>
      <c r="UZS6" s="344"/>
      <c r="UZT6" s="344"/>
      <c r="UZU6" s="344"/>
      <c r="UZV6" s="344"/>
      <c r="UZW6" s="344"/>
      <c r="UZX6" s="344"/>
      <c r="UZY6" s="344"/>
      <c r="UZZ6" s="344"/>
      <c r="VAA6" s="344"/>
      <c r="VAB6" s="344"/>
      <c r="VAC6" s="344"/>
      <c r="VAD6" s="344"/>
      <c r="VAE6" s="344"/>
      <c r="VAF6" s="344"/>
      <c r="VAG6" s="344"/>
      <c r="VAH6" s="344"/>
      <c r="VAI6" s="344"/>
      <c r="VAJ6" s="344"/>
      <c r="VAK6" s="344"/>
      <c r="VAL6" s="344"/>
      <c r="VAM6" s="344"/>
      <c r="VAN6" s="344"/>
      <c r="VAO6" s="344"/>
      <c r="VAP6" s="344"/>
      <c r="VAQ6" s="344"/>
      <c r="VAR6" s="344"/>
      <c r="VAS6" s="344"/>
      <c r="VAT6" s="344"/>
      <c r="VAU6" s="344"/>
      <c r="VAV6" s="344"/>
      <c r="VAW6" s="344"/>
      <c r="VAX6" s="344"/>
      <c r="VAY6" s="344"/>
      <c r="VAZ6" s="344"/>
      <c r="VBA6" s="344"/>
      <c r="VBB6" s="344"/>
      <c r="VBC6" s="344"/>
      <c r="VBD6" s="344"/>
      <c r="VBE6" s="344"/>
      <c r="VBF6" s="344"/>
      <c r="VBG6" s="344"/>
      <c r="VBH6" s="344"/>
      <c r="VBI6" s="344"/>
      <c r="VBJ6" s="344"/>
      <c r="VBK6" s="344"/>
      <c r="VBL6" s="344"/>
      <c r="VBM6" s="344"/>
      <c r="VBN6" s="344"/>
      <c r="VBO6" s="344"/>
      <c r="VBP6" s="344"/>
      <c r="VBQ6" s="344"/>
      <c r="VBR6" s="344"/>
      <c r="VBS6" s="344"/>
      <c r="VBT6" s="344"/>
      <c r="VBU6" s="344"/>
      <c r="VBV6" s="344"/>
      <c r="VBW6" s="344"/>
      <c r="VBX6" s="344"/>
      <c r="VBY6" s="344"/>
      <c r="VBZ6" s="344"/>
      <c r="VCA6" s="344"/>
      <c r="VCB6" s="344"/>
      <c r="VCC6" s="344"/>
      <c r="VCD6" s="344"/>
      <c r="VCE6" s="344"/>
      <c r="VCF6" s="344"/>
      <c r="VCG6" s="344"/>
      <c r="VCH6" s="344"/>
      <c r="VCI6" s="344"/>
      <c r="VCJ6" s="344"/>
      <c r="VCK6" s="344"/>
      <c r="VCL6" s="344"/>
      <c r="VCM6" s="344"/>
      <c r="VCN6" s="344"/>
      <c r="VCO6" s="344"/>
      <c r="VCP6" s="344"/>
      <c r="VCQ6" s="344"/>
      <c r="VCR6" s="344"/>
      <c r="VCS6" s="344"/>
      <c r="VCT6" s="344"/>
      <c r="VCU6" s="344"/>
      <c r="VCV6" s="344"/>
      <c r="VCW6" s="344"/>
      <c r="VCX6" s="344"/>
      <c r="VCY6" s="344"/>
      <c r="VCZ6" s="344"/>
      <c r="VDA6" s="344"/>
      <c r="VDB6" s="344"/>
      <c r="VDC6" s="344"/>
      <c r="VDD6" s="344"/>
      <c r="VDE6" s="344"/>
      <c r="VDF6" s="344"/>
      <c r="VDG6" s="344"/>
      <c r="VDH6" s="344"/>
      <c r="VDI6" s="344"/>
      <c r="VDJ6" s="344"/>
      <c r="VDK6" s="344"/>
      <c r="VDL6" s="344"/>
      <c r="VDM6" s="344"/>
      <c r="VDN6" s="344"/>
      <c r="VDO6" s="344"/>
      <c r="VDP6" s="344"/>
      <c r="VDQ6" s="344"/>
      <c r="VDR6" s="344"/>
      <c r="VDS6" s="344"/>
      <c r="VDT6" s="344"/>
      <c r="VDU6" s="344"/>
      <c r="VDV6" s="344"/>
      <c r="VDW6" s="344"/>
      <c r="VDX6" s="344"/>
      <c r="VDY6" s="344"/>
      <c r="VDZ6" s="344"/>
      <c r="VEA6" s="344"/>
      <c r="VEB6" s="344"/>
      <c r="VEC6" s="344"/>
      <c r="VED6" s="344"/>
      <c r="VEE6" s="344"/>
      <c r="VEF6" s="344"/>
      <c r="VEG6" s="344"/>
      <c r="VEH6" s="344"/>
      <c r="VEI6" s="344"/>
      <c r="VEJ6" s="344"/>
      <c r="VEK6" s="344"/>
      <c r="VEL6" s="344"/>
      <c r="VEM6" s="344"/>
      <c r="VEN6" s="344"/>
      <c r="VEO6" s="344"/>
      <c r="VEP6" s="344"/>
      <c r="VEQ6" s="344"/>
      <c r="VER6" s="344"/>
      <c r="VES6" s="344"/>
      <c r="VET6" s="344"/>
      <c r="VEU6" s="344"/>
      <c r="VEV6" s="344"/>
      <c r="VEW6" s="344"/>
      <c r="VEX6" s="344"/>
      <c r="VEY6" s="344"/>
      <c r="VEZ6" s="344"/>
      <c r="VFA6" s="344"/>
      <c r="VFB6" s="344"/>
      <c r="VFC6" s="344"/>
      <c r="VFD6" s="344"/>
      <c r="VFE6" s="344"/>
      <c r="VFF6" s="344"/>
      <c r="VFG6" s="344"/>
      <c r="VFH6" s="344"/>
      <c r="VFI6" s="344"/>
      <c r="VFJ6" s="344"/>
      <c r="VFK6" s="344"/>
      <c r="VFL6" s="344"/>
      <c r="VFM6" s="344"/>
      <c r="VFN6" s="344"/>
      <c r="VFO6" s="344"/>
      <c r="VFP6" s="344"/>
      <c r="VFQ6" s="344"/>
      <c r="VFR6" s="344"/>
      <c r="VFS6" s="344"/>
      <c r="VFT6" s="344"/>
      <c r="VFU6" s="344"/>
      <c r="VFV6" s="344"/>
      <c r="VFW6" s="344"/>
      <c r="VFX6" s="344"/>
      <c r="VFY6" s="344"/>
      <c r="VFZ6" s="344"/>
      <c r="VGA6" s="344"/>
      <c r="VGB6" s="344"/>
      <c r="VGC6" s="344"/>
      <c r="VGD6" s="344"/>
      <c r="VGE6" s="344"/>
      <c r="VGF6" s="344"/>
      <c r="VGG6" s="344"/>
      <c r="VGH6" s="344"/>
      <c r="VGI6" s="344"/>
      <c r="VGJ6" s="344"/>
      <c r="VGK6" s="344"/>
      <c r="VGL6" s="344"/>
      <c r="VGM6" s="344"/>
      <c r="VGN6" s="344"/>
      <c r="VGO6" s="344"/>
      <c r="VGP6" s="344"/>
      <c r="VGQ6" s="344"/>
      <c r="VGR6" s="344"/>
      <c r="VGS6" s="344"/>
      <c r="VGT6" s="344"/>
      <c r="VGU6" s="344"/>
      <c r="VGV6" s="344"/>
      <c r="VGW6" s="344"/>
      <c r="VGX6" s="344"/>
      <c r="VGY6" s="344"/>
      <c r="VGZ6" s="344"/>
      <c r="VHA6" s="344"/>
      <c r="VHB6" s="344"/>
      <c r="VHC6" s="344"/>
      <c r="VHD6" s="344"/>
      <c r="VHE6" s="344"/>
      <c r="VHF6" s="344"/>
      <c r="VHG6" s="344"/>
      <c r="VHH6" s="344"/>
      <c r="VHI6" s="344"/>
      <c r="VHJ6" s="344"/>
      <c r="VHK6" s="344"/>
      <c r="VHL6" s="344"/>
      <c r="VHM6" s="344"/>
      <c r="VHN6" s="344"/>
      <c r="VHO6" s="344"/>
      <c r="VHP6" s="344"/>
      <c r="VHQ6" s="344"/>
      <c r="VHR6" s="344"/>
      <c r="VHS6" s="344"/>
      <c r="VHT6" s="344"/>
      <c r="VHU6" s="344"/>
      <c r="VHV6" s="344"/>
      <c r="VHW6" s="344"/>
      <c r="VHX6" s="344"/>
      <c r="VHY6" s="344"/>
      <c r="VHZ6" s="344"/>
      <c r="VIA6" s="344"/>
      <c r="VIB6" s="344"/>
      <c r="VIC6" s="344"/>
      <c r="VID6" s="344"/>
      <c r="VIE6" s="344"/>
      <c r="VIF6" s="344"/>
      <c r="VIG6" s="344"/>
      <c r="VIH6" s="344"/>
      <c r="VII6" s="344"/>
      <c r="VIJ6" s="344"/>
      <c r="VIK6" s="344"/>
      <c r="VIL6" s="344"/>
      <c r="VIM6" s="344"/>
      <c r="VIN6" s="344"/>
      <c r="VIO6" s="344"/>
      <c r="VIP6" s="344"/>
      <c r="VIQ6" s="344"/>
      <c r="VIR6" s="344"/>
      <c r="VIS6" s="344"/>
      <c r="VIT6" s="344"/>
      <c r="VIU6" s="344"/>
      <c r="VIV6" s="344"/>
      <c r="VIW6" s="344"/>
      <c r="VIX6" s="344"/>
      <c r="VIY6" s="344"/>
      <c r="VIZ6" s="344"/>
      <c r="VJA6" s="344"/>
      <c r="VJB6" s="344"/>
      <c r="VJC6" s="344"/>
      <c r="VJD6" s="344"/>
      <c r="VJE6" s="344"/>
      <c r="VJF6" s="344"/>
      <c r="VJG6" s="344"/>
      <c r="VJH6" s="344"/>
      <c r="VJI6" s="344"/>
      <c r="VJJ6" s="344"/>
      <c r="VJK6" s="344"/>
      <c r="VJL6" s="344"/>
      <c r="VJM6" s="344"/>
      <c r="VJN6" s="344"/>
      <c r="VJO6" s="344"/>
      <c r="VJP6" s="344"/>
      <c r="VJQ6" s="344"/>
      <c r="VJR6" s="344"/>
      <c r="VJS6" s="344"/>
      <c r="VJT6" s="344"/>
      <c r="VJU6" s="344"/>
      <c r="VJV6" s="344"/>
      <c r="VJW6" s="344"/>
      <c r="VJX6" s="344"/>
      <c r="VJY6" s="344"/>
      <c r="VJZ6" s="344"/>
      <c r="VKA6" s="344"/>
      <c r="VKB6" s="344"/>
      <c r="VKC6" s="344"/>
      <c r="VKD6" s="344"/>
      <c r="VKE6" s="344"/>
      <c r="VKF6" s="344"/>
      <c r="VKG6" s="344"/>
      <c r="VKH6" s="344"/>
      <c r="VKI6" s="344"/>
      <c r="VKJ6" s="344"/>
      <c r="VKK6" s="344"/>
      <c r="VKL6" s="344"/>
      <c r="VKM6" s="344"/>
      <c r="VKN6" s="344"/>
      <c r="VKO6" s="344"/>
      <c r="VKP6" s="344"/>
      <c r="VKQ6" s="344"/>
      <c r="VKR6" s="344"/>
      <c r="VKS6" s="344"/>
      <c r="VKT6" s="344"/>
      <c r="VKU6" s="344"/>
      <c r="VKV6" s="344"/>
      <c r="VKW6" s="344"/>
      <c r="VKX6" s="344"/>
      <c r="VKY6" s="344"/>
      <c r="VKZ6" s="344"/>
      <c r="VLA6" s="344"/>
      <c r="VLB6" s="344"/>
      <c r="VLC6" s="344"/>
      <c r="VLD6" s="344"/>
      <c r="VLE6" s="344"/>
      <c r="VLF6" s="344"/>
      <c r="VLG6" s="344"/>
      <c r="VLH6" s="344"/>
      <c r="VLI6" s="344"/>
      <c r="VLJ6" s="344"/>
      <c r="VLK6" s="344"/>
      <c r="VLL6" s="344"/>
      <c r="VLM6" s="344"/>
      <c r="VLN6" s="344"/>
      <c r="VLO6" s="344"/>
      <c r="VLP6" s="344"/>
      <c r="VLQ6" s="344"/>
      <c r="VLR6" s="344"/>
      <c r="VLS6" s="344"/>
      <c r="VLT6" s="344"/>
      <c r="VLU6" s="344"/>
      <c r="VLV6" s="344"/>
      <c r="VLW6" s="344"/>
      <c r="VLX6" s="344"/>
      <c r="VLY6" s="344"/>
      <c r="VLZ6" s="344"/>
      <c r="VMA6" s="344"/>
      <c r="VMB6" s="344"/>
      <c r="VMC6" s="344"/>
      <c r="VMD6" s="344"/>
      <c r="VME6" s="344"/>
      <c r="VMF6" s="344"/>
      <c r="VMG6" s="344"/>
      <c r="VMH6" s="344"/>
      <c r="VMI6" s="344"/>
      <c r="VMJ6" s="344"/>
      <c r="VMK6" s="344"/>
      <c r="VML6" s="344"/>
      <c r="VMM6" s="344"/>
      <c r="VMN6" s="344"/>
      <c r="VMO6" s="344"/>
      <c r="VMP6" s="344"/>
      <c r="VMQ6" s="344"/>
      <c r="VMR6" s="344"/>
      <c r="VMS6" s="344"/>
      <c r="VMT6" s="344"/>
      <c r="VMU6" s="344"/>
      <c r="VMV6" s="344"/>
      <c r="VMW6" s="344"/>
      <c r="VMX6" s="344"/>
      <c r="VMY6" s="344"/>
      <c r="VMZ6" s="344"/>
      <c r="VNA6" s="344"/>
      <c r="VNB6" s="344"/>
      <c r="VNC6" s="344"/>
      <c r="VND6" s="344"/>
      <c r="VNE6" s="344"/>
      <c r="VNF6" s="344"/>
      <c r="VNG6" s="344"/>
      <c r="VNH6" s="344"/>
      <c r="VNI6" s="344"/>
      <c r="VNJ6" s="344"/>
      <c r="VNK6" s="344"/>
      <c r="VNL6" s="344"/>
      <c r="VNM6" s="344"/>
      <c r="VNN6" s="344"/>
      <c r="VNO6" s="344"/>
      <c r="VNP6" s="344"/>
      <c r="VNQ6" s="344"/>
      <c r="VNR6" s="344"/>
      <c r="VNS6" s="344"/>
      <c r="VNT6" s="344"/>
      <c r="VNU6" s="344"/>
      <c r="VNV6" s="344"/>
      <c r="VNW6" s="344"/>
      <c r="VNX6" s="344"/>
      <c r="VNY6" s="344"/>
      <c r="VNZ6" s="344"/>
      <c r="VOA6" s="344"/>
      <c r="VOB6" s="344"/>
      <c r="VOC6" s="344"/>
      <c r="VOD6" s="344"/>
      <c r="VOE6" s="344"/>
      <c r="VOF6" s="344"/>
      <c r="VOG6" s="344"/>
      <c r="VOH6" s="344"/>
      <c r="VOI6" s="344"/>
      <c r="VOJ6" s="344"/>
      <c r="VOK6" s="344"/>
      <c r="VOL6" s="344"/>
      <c r="VOM6" s="344"/>
      <c r="VON6" s="344"/>
      <c r="VOO6" s="344"/>
      <c r="VOP6" s="344"/>
      <c r="VOQ6" s="344"/>
      <c r="VOR6" s="344"/>
      <c r="VOS6" s="344"/>
      <c r="VOT6" s="344"/>
      <c r="VOU6" s="344"/>
      <c r="VOV6" s="344"/>
      <c r="VOW6" s="344"/>
      <c r="VOX6" s="344"/>
      <c r="VOY6" s="344"/>
      <c r="VOZ6" s="344"/>
      <c r="VPA6" s="344"/>
      <c r="VPB6" s="344"/>
      <c r="VPC6" s="344"/>
      <c r="VPD6" s="344"/>
      <c r="VPE6" s="344"/>
      <c r="VPF6" s="344"/>
      <c r="VPG6" s="344"/>
      <c r="VPH6" s="344"/>
      <c r="VPI6" s="344"/>
      <c r="VPJ6" s="344"/>
      <c r="VPK6" s="344"/>
      <c r="VPL6" s="344"/>
      <c r="VPM6" s="344"/>
      <c r="VPN6" s="344"/>
      <c r="VPO6" s="344"/>
      <c r="VPP6" s="344"/>
      <c r="VPQ6" s="344"/>
      <c r="VPR6" s="344"/>
      <c r="VPS6" s="344"/>
      <c r="VPT6" s="344"/>
      <c r="VPU6" s="344"/>
      <c r="VPV6" s="344"/>
      <c r="VPW6" s="344"/>
      <c r="VPX6" s="344"/>
      <c r="VPY6" s="344"/>
      <c r="VPZ6" s="344"/>
      <c r="VQA6" s="344"/>
      <c r="VQB6" s="344"/>
      <c r="VQC6" s="344"/>
      <c r="VQD6" s="344"/>
      <c r="VQE6" s="344"/>
      <c r="VQF6" s="344"/>
      <c r="VQG6" s="344"/>
      <c r="VQH6" s="344"/>
      <c r="VQI6" s="344"/>
      <c r="VQJ6" s="344"/>
      <c r="VQK6" s="344"/>
      <c r="VQL6" s="344"/>
      <c r="VQM6" s="344"/>
      <c r="VQN6" s="344"/>
      <c r="VQO6" s="344"/>
      <c r="VQP6" s="344"/>
      <c r="VQQ6" s="344"/>
      <c r="VQR6" s="344"/>
      <c r="VQS6" s="344"/>
      <c r="VQT6" s="344"/>
      <c r="VQU6" s="344"/>
      <c r="VQV6" s="344"/>
      <c r="VQW6" s="344"/>
      <c r="VQX6" s="344"/>
      <c r="VQY6" s="344"/>
      <c r="VQZ6" s="344"/>
      <c r="VRA6" s="344"/>
      <c r="VRB6" s="344"/>
      <c r="VRC6" s="344"/>
      <c r="VRD6" s="344"/>
      <c r="VRE6" s="344"/>
      <c r="VRF6" s="344"/>
      <c r="VRG6" s="344"/>
      <c r="VRH6" s="344"/>
      <c r="VRI6" s="344"/>
      <c r="VRJ6" s="344"/>
      <c r="VRK6" s="344"/>
      <c r="VRL6" s="344"/>
      <c r="VRM6" s="344"/>
      <c r="VRN6" s="344"/>
      <c r="VRO6" s="344"/>
      <c r="VRP6" s="344"/>
      <c r="VRQ6" s="344"/>
      <c r="VRR6" s="344"/>
      <c r="VRS6" s="344"/>
      <c r="VRT6" s="344"/>
      <c r="VRU6" s="344"/>
      <c r="VRV6" s="344"/>
      <c r="VRW6" s="344"/>
      <c r="VRX6" s="344"/>
      <c r="VRY6" s="344"/>
      <c r="VRZ6" s="344"/>
      <c r="VSA6" s="344"/>
      <c r="VSB6" s="344"/>
      <c r="VSC6" s="344"/>
      <c r="VSD6" s="344"/>
      <c r="VSE6" s="344"/>
      <c r="VSF6" s="344"/>
      <c r="VSG6" s="344"/>
      <c r="VSH6" s="344"/>
      <c r="VSI6" s="344"/>
      <c r="VSJ6" s="344"/>
      <c r="VSK6" s="344"/>
      <c r="VSL6" s="344"/>
      <c r="VSM6" s="344"/>
      <c r="VSN6" s="344"/>
      <c r="VSO6" s="344"/>
      <c r="VSP6" s="344"/>
      <c r="VSQ6" s="344"/>
      <c r="VSR6" s="344"/>
      <c r="VSS6" s="344"/>
      <c r="VST6" s="344"/>
      <c r="VSU6" s="344"/>
      <c r="VSV6" s="344"/>
      <c r="VSW6" s="344"/>
      <c r="VSX6" s="344"/>
      <c r="VSY6" s="344"/>
      <c r="VSZ6" s="344"/>
      <c r="VTA6" s="344"/>
      <c r="VTB6" s="344"/>
      <c r="VTC6" s="344"/>
      <c r="VTD6" s="344"/>
      <c r="VTE6" s="344"/>
      <c r="VTF6" s="344"/>
      <c r="VTG6" s="344"/>
      <c r="VTH6" s="344"/>
      <c r="VTI6" s="344"/>
      <c r="VTJ6" s="344"/>
      <c r="VTK6" s="344"/>
      <c r="VTL6" s="344"/>
      <c r="VTM6" s="344"/>
      <c r="VTN6" s="344"/>
      <c r="VTO6" s="344"/>
      <c r="VTP6" s="344"/>
      <c r="VTQ6" s="344"/>
      <c r="VTR6" s="344"/>
      <c r="VTS6" s="344"/>
      <c r="VTT6" s="344"/>
      <c r="VTU6" s="344"/>
      <c r="VTV6" s="344"/>
      <c r="VTW6" s="344"/>
      <c r="VTX6" s="344"/>
      <c r="VTY6" s="344"/>
      <c r="VTZ6" s="344"/>
      <c r="VUA6" s="344"/>
      <c r="VUB6" s="344"/>
      <c r="VUC6" s="344"/>
      <c r="VUD6" s="344"/>
      <c r="VUE6" s="344"/>
      <c r="VUF6" s="344"/>
      <c r="VUG6" s="344"/>
      <c r="VUH6" s="344"/>
      <c r="VUI6" s="344"/>
      <c r="VUJ6" s="344"/>
      <c r="VUK6" s="344"/>
      <c r="VUL6" s="344"/>
      <c r="VUM6" s="344"/>
      <c r="VUN6" s="344"/>
      <c r="VUO6" s="344"/>
      <c r="VUP6" s="344"/>
      <c r="VUQ6" s="344"/>
      <c r="VUR6" s="344"/>
      <c r="VUS6" s="344"/>
      <c r="VUT6" s="344"/>
      <c r="VUU6" s="344"/>
      <c r="VUV6" s="344"/>
      <c r="VUW6" s="344"/>
      <c r="VUX6" s="344"/>
      <c r="VUY6" s="344"/>
      <c r="VUZ6" s="344"/>
      <c r="VVA6" s="344"/>
      <c r="VVB6" s="344"/>
      <c r="VVC6" s="344"/>
      <c r="VVD6" s="344"/>
      <c r="VVE6" s="344"/>
      <c r="VVF6" s="344"/>
      <c r="VVG6" s="344"/>
      <c r="VVH6" s="344"/>
      <c r="VVI6" s="344"/>
      <c r="VVJ6" s="344"/>
      <c r="VVK6" s="344"/>
      <c r="VVL6" s="344"/>
      <c r="VVM6" s="344"/>
      <c r="VVN6" s="344"/>
      <c r="VVO6" s="344"/>
      <c r="VVP6" s="344"/>
      <c r="VVQ6" s="344"/>
      <c r="VVR6" s="344"/>
      <c r="VVS6" s="344"/>
      <c r="VVT6" s="344"/>
      <c r="VVU6" s="344"/>
      <c r="VVV6" s="344"/>
      <c r="VVW6" s="344"/>
      <c r="VVX6" s="344"/>
      <c r="VVY6" s="344"/>
      <c r="VVZ6" s="344"/>
      <c r="VWA6" s="344"/>
      <c r="VWB6" s="344"/>
      <c r="VWC6" s="344"/>
      <c r="VWD6" s="344"/>
      <c r="VWE6" s="344"/>
      <c r="VWF6" s="344"/>
      <c r="VWG6" s="344"/>
      <c r="VWH6" s="344"/>
      <c r="VWI6" s="344"/>
      <c r="VWJ6" s="344"/>
      <c r="VWK6" s="344"/>
      <c r="VWL6" s="344"/>
      <c r="VWM6" s="344"/>
      <c r="VWN6" s="344"/>
      <c r="VWO6" s="344"/>
      <c r="VWP6" s="344"/>
      <c r="VWQ6" s="344"/>
      <c r="VWR6" s="344"/>
      <c r="VWS6" s="344"/>
      <c r="VWT6" s="344"/>
      <c r="VWU6" s="344"/>
      <c r="VWV6" s="344"/>
      <c r="VWW6" s="344"/>
      <c r="VWX6" s="344"/>
      <c r="VWY6" s="344"/>
      <c r="VWZ6" s="344"/>
      <c r="VXA6" s="344"/>
      <c r="VXB6" s="344"/>
      <c r="VXC6" s="344"/>
      <c r="VXD6" s="344"/>
      <c r="VXE6" s="344"/>
      <c r="VXF6" s="344"/>
      <c r="VXG6" s="344"/>
      <c r="VXH6" s="344"/>
      <c r="VXI6" s="344"/>
      <c r="VXJ6" s="344"/>
      <c r="VXK6" s="344"/>
      <c r="VXL6" s="344"/>
      <c r="VXM6" s="344"/>
      <c r="VXN6" s="344"/>
      <c r="VXO6" s="344"/>
      <c r="VXP6" s="344"/>
      <c r="VXQ6" s="344"/>
      <c r="VXR6" s="344"/>
      <c r="VXS6" s="344"/>
      <c r="VXT6" s="344"/>
      <c r="VXU6" s="344"/>
      <c r="VXV6" s="344"/>
      <c r="VXW6" s="344"/>
      <c r="VXX6" s="344"/>
      <c r="VXY6" s="344"/>
      <c r="VXZ6" s="344"/>
      <c r="VYA6" s="344"/>
      <c r="VYB6" s="344"/>
      <c r="VYC6" s="344"/>
      <c r="VYD6" s="344"/>
      <c r="VYE6" s="344"/>
      <c r="VYF6" s="344"/>
      <c r="VYG6" s="344"/>
      <c r="VYH6" s="344"/>
      <c r="VYI6" s="344"/>
      <c r="VYJ6" s="344"/>
      <c r="VYK6" s="344"/>
      <c r="VYL6" s="344"/>
      <c r="VYM6" s="344"/>
      <c r="VYN6" s="344"/>
      <c r="VYO6" s="344"/>
      <c r="VYP6" s="344"/>
      <c r="VYQ6" s="344"/>
      <c r="VYR6" s="344"/>
      <c r="VYS6" s="344"/>
      <c r="VYT6" s="344"/>
      <c r="VYU6" s="344"/>
      <c r="VYV6" s="344"/>
      <c r="VYW6" s="344"/>
      <c r="VYX6" s="344"/>
      <c r="VYY6" s="344"/>
      <c r="VYZ6" s="344"/>
      <c r="VZA6" s="344"/>
      <c r="VZB6" s="344"/>
      <c r="VZC6" s="344"/>
      <c r="VZD6" s="344"/>
      <c r="VZE6" s="344"/>
      <c r="VZF6" s="344"/>
      <c r="VZG6" s="344"/>
      <c r="VZH6" s="344"/>
      <c r="VZI6" s="344"/>
      <c r="VZJ6" s="344"/>
      <c r="VZK6" s="344"/>
      <c r="VZL6" s="344"/>
      <c r="VZM6" s="344"/>
      <c r="VZN6" s="344"/>
      <c r="VZO6" s="344"/>
      <c r="VZP6" s="344"/>
      <c r="VZQ6" s="344"/>
      <c r="VZR6" s="344"/>
      <c r="VZS6" s="344"/>
      <c r="VZT6" s="344"/>
      <c r="VZU6" s="344"/>
      <c r="VZV6" s="344"/>
      <c r="VZW6" s="344"/>
      <c r="VZX6" s="344"/>
      <c r="VZY6" s="344"/>
      <c r="VZZ6" s="344"/>
      <c r="WAA6" s="344"/>
      <c r="WAB6" s="344"/>
      <c r="WAC6" s="344"/>
      <c r="WAD6" s="344"/>
      <c r="WAE6" s="344"/>
      <c r="WAF6" s="344"/>
      <c r="WAG6" s="344"/>
      <c r="WAH6" s="344"/>
      <c r="WAI6" s="344"/>
      <c r="WAJ6" s="344"/>
      <c r="WAK6" s="344"/>
      <c r="WAL6" s="344"/>
      <c r="WAM6" s="344"/>
      <c r="WAN6" s="344"/>
      <c r="WAO6" s="344"/>
      <c r="WAP6" s="344"/>
      <c r="WAQ6" s="344"/>
      <c r="WAR6" s="344"/>
      <c r="WAS6" s="344"/>
      <c r="WAT6" s="344"/>
      <c r="WAU6" s="344"/>
      <c r="WAV6" s="344"/>
      <c r="WAW6" s="344"/>
      <c r="WAX6" s="344"/>
      <c r="WAY6" s="344"/>
      <c r="WAZ6" s="344"/>
      <c r="WBA6" s="344"/>
      <c r="WBB6" s="344"/>
      <c r="WBC6" s="344"/>
      <c r="WBD6" s="344"/>
      <c r="WBE6" s="344"/>
      <c r="WBF6" s="344"/>
      <c r="WBG6" s="344"/>
      <c r="WBH6" s="344"/>
      <c r="WBI6" s="344"/>
      <c r="WBJ6" s="344"/>
      <c r="WBK6" s="344"/>
      <c r="WBL6" s="344"/>
      <c r="WBM6" s="344"/>
      <c r="WBN6" s="344"/>
      <c r="WBO6" s="344"/>
      <c r="WBP6" s="344"/>
      <c r="WBQ6" s="344"/>
      <c r="WBR6" s="344"/>
      <c r="WBS6" s="344"/>
      <c r="WBT6" s="344"/>
      <c r="WBU6" s="344"/>
      <c r="WBV6" s="344"/>
      <c r="WBW6" s="344"/>
      <c r="WBX6" s="344"/>
      <c r="WBY6" s="344"/>
      <c r="WBZ6" s="344"/>
      <c r="WCA6" s="344"/>
      <c r="WCB6" s="344"/>
      <c r="WCC6" s="344"/>
      <c r="WCD6" s="344"/>
      <c r="WCE6" s="344"/>
      <c r="WCF6" s="344"/>
      <c r="WCG6" s="344"/>
      <c r="WCH6" s="344"/>
      <c r="WCI6" s="344"/>
      <c r="WCJ6" s="344"/>
      <c r="WCK6" s="344"/>
      <c r="WCL6" s="344"/>
      <c r="WCM6" s="344"/>
      <c r="WCN6" s="344"/>
      <c r="WCO6" s="344"/>
      <c r="WCP6" s="344"/>
      <c r="WCQ6" s="344"/>
      <c r="WCR6" s="344"/>
      <c r="WCS6" s="344"/>
      <c r="WCT6" s="344"/>
      <c r="WCU6" s="344"/>
      <c r="WCV6" s="344"/>
      <c r="WCW6" s="344"/>
      <c r="WCX6" s="344"/>
      <c r="WCY6" s="344"/>
      <c r="WCZ6" s="344"/>
      <c r="WDA6" s="344"/>
      <c r="WDB6" s="344"/>
      <c r="WDC6" s="344"/>
      <c r="WDD6" s="344"/>
      <c r="WDE6" s="344"/>
      <c r="WDF6" s="344"/>
      <c r="WDG6" s="344"/>
      <c r="WDH6" s="344"/>
      <c r="WDI6" s="344"/>
      <c r="WDJ6" s="344"/>
      <c r="WDK6" s="344"/>
      <c r="WDL6" s="344"/>
      <c r="WDM6" s="344"/>
      <c r="WDN6" s="344"/>
      <c r="WDO6" s="344"/>
      <c r="WDP6" s="344"/>
      <c r="WDQ6" s="344"/>
      <c r="WDR6" s="344"/>
      <c r="WDS6" s="344"/>
      <c r="WDT6" s="344"/>
      <c r="WDU6" s="344"/>
      <c r="WDV6" s="344"/>
      <c r="WDW6" s="344"/>
      <c r="WDX6" s="344"/>
      <c r="WDY6" s="344"/>
      <c r="WDZ6" s="344"/>
      <c r="WEA6" s="344"/>
      <c r="WEB6" s="344"/>
      <c r="WEC6" s="344"/>
      <c r="WED6" s="344"/>
      <c r="WEE6" s="344"/>
      <c r="WEF6" s="344"/>
      <c r="WEG6" s="344"/>
      <c r="WEH6" s="344"/>
      <c r="WEI6" s="344"/>
      <c r="WEJ6" s="344"/>
      <c r="WEK6" s="344"/>
      <c r="WEL6" s="344"/>
      <c r="WEM6" s="344"/>
      <c r="WEN6" s="344"/>
      <c r="WEO6" s="344"/>
      <c r="WEP6" s="344"/>
      <c r="WEQ6" s="344"/>
      <c r="WER6" s="344"/>
      <c r="WES6" s="344"/>
      <c r="WET6" s="344"/>
      <c r="WEU6" s="344"/>
      <c r="WEV6" s="344"/>
      <c r="WEW6" s="344"/>
      <c r="WEX6" s="344"/>
      <c r="WEY6" s="344"/>
      <c r="WEZ6" s="344"/>
      <c r="WFA6" s="344"/>
      <c r="WFB6" s="344"/>
      <c r="WFC6" s="344"/>
      <c r="WFD6" s="344"/>
      <c r="WFE6" s="344"/>
      <c r="WFF6" s="344"/>
      <c r="WFG6" s="344"/>
      <c r="WFH6" s="344"/>
      <c r="WFI6" s="344"/>
      <c r="WFJ6" s="344"/>
      <c r="WFK6" s="344"/>
      <c r="WFL6" s="344"/>
      <c r="WFM6" s="344"/>
      <c r="WFN6" s="344"/>
      <c r="WFO6" s="344"/>
      <c r="WFP6" s="344"/>
      <c r="WFQ6" s="344"/>
      <c r="WFR6" s="344"/>
      <c r="WFS6" s="344"/>
      <c r="WFT6" s="344"/>
      <c r="WFU6" s="344"/>
      <c r="WFV6" s="344"/>
      <c r="WFW6" s="344"/>
      <c r="WFX6" s="344"/>
      <c r="WFY6" s="344"/>
      <c r="WFZ6" s="344"/>
      <c r="WGA6" s="344"/>
      <c r="WGB6" s="344"/>
      <c r="WGC6" s="344"/>
      <c r="WGD6" s="344"/>
      <c r="WGE6" s="344"/>
      <c r="WGF6" s="344"/>
      <c r="WGG6" s="344"/>
      <c r="WGH6" s="344"/>
      <c r="WGI6" s="344"/>
      <c r="WGJ6" s="344"/>
      <c r="WGK6" s="344"/>
      <c r="WGL6" s="344"/>
      <c r="WGM6" s="344"/>
      <c r="WGN6" s="344"/>
      <c r="WGO6" s="344"/>
      <c r="WGP6" s="344"/>
      <c r="WGQ6" s="344"/>
      <c r="WGR6" s="344"/>
      <c r="WGS6" s="344"/>
      <c r="WGT6" s="344"/>
      <c r="WGU6" s="344"/>
      <c r="WGV6" s="344"/>
      <c r="WGW6" s="344"/>
      <c r="WGX6" s="344"/>
      <c r="WGY6" s="344"/>
      <c r="WGZ6" s="344"/>
      <c r="WHA6" s="344"/>
      <c r="WHB6" s="344"/>
      <c r="WHC6" s="344"/>
      <c r="WHD6" s="344"/>
      <c r="WHE6" s="344"/>
      <c r="WHF6" s="344"/>
      <c r="WHG6" s="344"/>
      <c r="WHH6" s="344"/>
      <c r="WHI6" s="344"/>
      <c r="WHJ6" s="344"/>
      <c r="WHK6" s="344"/>
      <c r="WHL6" s="344"/>
      <c r="WHM6" s="344"/>
      <c r="WHN6" s="344"/>
      <c r="WHO6" s="344"/>
      <c r="WHP6" s="344"/>
      <c r="WHQ6" s="344"/>
      <c r="WHR6" s="344"/>
      <c r="WHS6" s="344"/>
      <c r="WHT6" s="344"/>
      <c r="WHU6" s="344"/>
      <c r="WHV6" s="344"/>
      <c r="WHW6" s="344"/>
      <c r="WHX6" s="344"/>
      <c r="WHY6" s="344"/>
      <c r="WHZ6" s="344"/>
      <c r="WIA6" s="344"/>
      <c r="WIB6" s="344"/>
      <c r="WIC6" s="344"/>
      <c r="WID6" s="344"/>
      <c r="WIE6" s="344"/>
      <c r="WIF6" s="344"/>
      <c r="WIG6" s="344"/>
      <c r="WIH6" s="344"/>
      <c r="WII6" s="344"/>
      <c r="WIJ6" s="344"/>
      <c r="WIK6" s="344"/>
      <c r="WIL6" s="344"/>
      <c r="WIM6" s="344"/>
      <c r="WIN6" s="344"/>
      <c r="WIO6" s="344"/>
      <c r="WIP6" s="344"/>
      <c r="WIQ6" s="344"/>
      <c r="WIR6" s="344"/>
      <c r="WIS6" s="344"/>
      <c r="WIT6" s="344"/>
      <c r="WIU6" s="344"/>
      <c r="WIV6" s="344"/>
      <c r="WIW6" s="344"/>
      <c r="WIX6" s="344"/>
      <c r="WIY6" s="344"/>
      <c r="WIZ6" s="344"/>
      <c r="WJA6" s="344"/>
      <c r="WJB6" s="344"/>
      <c r="WJC6" s="344"/>
      <c r="WJD6" s="344"/>
      <c r="WJE6" s="344"/>
      <c r="WJF6" s="344"/>
      <c r="WJG6" s="344"/>
      <c r="WJH6" s="344"/>
      <c r="WJI6" s="344"/>
      <c r="WJJ6" s="344"/>
      <c r="WJK6" s="344"/>
      <c r="WJL6" s="344"/>
      <c r="WJM6" s="344"/>
      <c r="WJN6" s="344"/>
      <c r="WJO6" s="344"/>
      <c r="WJP6" s="344"/>
      <c r="WJQ6" s="344"/>
      <c r="WJR6" s="344"/>
      <c r="WJS6" s="344"/>
      <c r="WJT6" s="344"/>
      <c r="WJU6" s="344"/>
      <c r="WJV6" s="344"/>
      <c r="WJW6" s="344"/>
      <c r="WJX6" s="344"/>
      <c r="WJY6" s="344"/>
      <c r="WJZ6" s="344"/>
      <c r="WKA6" s="344"/>
      <c r="WKB6" s="344"/>
      <c r="WKC6" s="344"/>
      <c r="WKD6" s="344"/>
      <c r="WKE6" s="344"/>
      <c r="WKF6" s="344"/>
      <c r="WKG6" s="344"/>
      <c r="WKH6" s="344"/>
      <c r="WKI6" s="344"/>
      <c r="WKJ6" s="344"/>
      <c r="WKK6" s="344"/>
      <c r="WKL6" s="344"/>
      <c r="WKM6" s="344"/>
      <c r="WKN6" s="344"/>
      <c r="WKO6" s="344"/>
      <c r="WKP6" s="344"/>
      <c r="WKQ6" s="344"/>
      <c r="WKR6" s="344"/>
      <c r="WKS6" s="344"/>
      <c r="WKT6" s="344"/>
      <c r="WKU6" s="344"/>
      <c r="WKV6" s="344"/>
      <c r="WKW6" s="344"/>
      <c r="WKX6" s="344"/>
      <c r="WKY6" s="344"/>
      <c r="WKZ6" s="344"/>
      <c r="WLA6" s="344"/>
      <c r="WLB6" s="344"/>
      <c r="WLC6" s="344"/>
      <c r="WLD6" s="344"/>
      <c r="WLE6" s="344"/>
      <c r="WLF6" s="344"/>
      <c r="WLG6" s="344"/>
      <c r="WLH6" s="344"/>
      <c r="WLI6" s="344"/>
      <c r="WLJ6" s="344"/>
      <c r="WLK6" s="344"/>
      <c r="WLL6" s="344"/>
      <c r="WLM6" s="344"/>
      <c r="WLN6" s="344"/>
      <c r="WLO6" s="344"/>
      <c r="WLP6" s="344"/>
      <c r="WLQ6" s="344"/>
      <c r="WLR6" s="344"/>
      <c r="WLS6" s="344"/>
      <c r="WLT6" s="344"/>
      <c r="WLU6" s="344"/>
      <c r="WLV6" s="344"/>
      <c r="WLW6" s="344"/>
      <c r="WLX6" s="344"/>
      <c r="WLY6" s="344"/>
      <c r="WLZ6" s="344"/>
      <c r="WMA6" s="344"/>
      <c r="WMB6" s="344"/>
      <c r="WMC6" s="344"/>
      <c r="WMD6" s="344"/>
      <c r="WME6" s="344"/>
      <c r="WMF6" s="344"/>
      <c r="WMG6" s="344"/>
      <c r="WMH6" s="344"/>
      <c r="WMI6" s="344"/>
      <c r="WMJ6" s="344"/>
      <c r="WMK6" s="344"/>
      <c r="WML6" s="344"/>
      <c r="WMM6" s="344"/>
      <c r="WMN6" s="344"/>
      <c r="WMO6" s="344"/>
      <c r="WMP6" s="344"/>
      <c r="WMQ6" s="344"/>
      <c r="WMR6" s="344"/>
      <c r="WMS6" s="344"/>
      <c r="WMT6" s="344"/>
      <c r="WMU6" s="344"/>
      <c r="WMV6" s="344"/>
      <c r="WMW6" s="344"/>
      <c r="WMX6" s="344"/>
      <c r="WMY6" s="344"/>
      <c r="WMZ6" s="344"/>
      <c r="WNA6" s="344"/>
      <c r="WNB6" s="344"/>
      <c r="WNC6" s="344"/>
      <c r="WND6" s="344"/>
      <c r="WNE6" s="344"/>
      <c r="WNF6" s="344"/>
      <c r="WNG6" s="344"/>
      <c r="WNH6" s="344"/>
      <c r="WNI6" s="344"/>
      <c r="WNJ6" s="344"/>
      <c r="WNK6" s="344"/>
      <c r="WNL6" s="344"/>
      <c r="WNM6" s="344"/>
      <c r="WNN6" s="344"/>
      <c r="WNO6" s="344"/>
      <c r="WNP6" s="344"/>
      <c r="WNQ6" s="344"/>
      <c r="WNR6" s="344"/>
      <c r="WNS6" s="344"/>
      <c r="WNT6" s="344"/>
      <c r="WNU6" s="344"/>
      <c r="WNV6" s="344"/>
      <c r="WNW6" s="344"/>
      <c r="WNX6" s="344"/>
      <c r="WNY6" s="344"/>
      <c r="WNZ6" s="344"/>
      <c r="WOA6" s="344"/>
      <c r="WOB6" s="344"/>
      <c r="WOC6" s="344"/>
      <c r="WOD6" s="344"/>
      <c r="WOE6" s="344"/>
      <c r="WOF6" s="344"/>
      <c r="WOG6" s="344"/>
      <c r="WOH6" s="344"/>
      <c r="WOI6" s="344"/>
      <c r="WOJ6" s="344"/>
      <c r="WOK6" s="344"/>
      <c r="WOL6" s="344"/>
      <c r="WOM6" s="344"/>
      <c r="WON6" s="344"/>
      <c r="WOO6" s="344"/>
      <c r="WOP6" s="344"/>
      <c r="WOQ6" s="344"/>
      <c r="WOR6" s="344"/>
      <c r="WOS6" s="344"/>
      <c r="WOT6" s="344"/>
      <c r="WOU6" s="344"/>
      <c r="WOV6" s="344"/>
      <c r="WOW6" s="344"/>
      <c r="WOX6" s="344"/>
      <c r="WOY6" s="344"/>
      <c r="WOZ6" s="344"/>
      <c r="WPA6" s="344"/>
      <c r="WPB6" s="344"/>
      <c r="WPC6" s="344"/>
      <c r="WPD6" s="344"/>
      <c r="WPE6" s="344"/>
      <c r="WPF6" s="344"/>
      <c r="WPG6" s="344"/>
      <c r="WPH6" s="344"/>
      <c r="WPI6" s="344"/>
      <c r="WPJ6" s="344"/>
      <c r="WPK6" s="344"/>
      <c r="WPL6" s="344"/>
      <c r="WPM6" s="344"/>
      <c r="WPN6" s="344"/>
      <c r="WPO6" s="344"/>
      <c r="WPP6" s="344"/>
      <c r="WPQ6" s="344"/>
      <c r="WPR6" s="344"/>
      <c r="WPS6" s="344"/>
      <c r="WPT6" s="344"/>
      <c r="WPU6" s="344"/>
      <c r="WPV6" s="344"/>
      <c r="WPW6" s="344"/>
      <c r="WPX6" s="344"/>
      <c r="WPY6" s="344"/>
      <c r="WPZ6" s="344"/>
      <c r="WQA6" s="344"/>
      <c r="WQB6" s="344"/>
      <c r="WQC6" s="344"/>
      <c r="WQD6" s="344"/>
      <c r="WQE6" s="344"/>
      <c r="WQF6" s="344"/>
      <c r="WQG6" s="344"/>
      <c r="WQH6" s="344"/>
      <c r="WQI6" s="344"/>
      <c r="WQJ6" s="344"/>
      <c r="WQK6" s="344"/>
      <c r="WQL6" s="344"/>
      <c r="WQM6" s="344"/>
      <c r="WQN6" s="344"/>
      <c r="WQO6" s="344"/>
      <c r="WQP6" s="344"/>
      <c r="WQQ6" s="344"/>
      <c r="WQR6" s="344"/>
      <c r="WQS6" s="344"/>
      <c r="WQT6" s="344"/>
      <c r="WQU6" s="344"/>
      <c r="WQV6" s="344"/>
      <c r="WQW6" s="344"/>
      <c r="WQX6" s="344"/>
      <c r="WQY6" s="344"/>
      <c r="WQZ6" s="344"/>
      <c r="WRA6" s="344"/>
      <c r="WRB6" s="344"/>
      <c r="WRC6" s="344"/>
      <c r="WRD6" s="344"/>
      <c r="WRE6" s="344"/>
      <c r="WRF6" s="344"/>
      <c r="WRG6" s="344"/>
      <c r="WRH6" s="344"/>
      <c r="WRI6" s="344"/>
      <c r="WRJ6" s="344"/>
      <c r="WRK6" s="344"/>
      <c r="WRL6" s="344"/>
      <c r="WRM6" s="344"/>
      <c r="WRN6" s="344"/>
      <c r="WRO6" s="344"/>
      <c r="WRP6" s="344"/>
      <c r="WRQ6" s="344"/>
      <c r="WRR6" s="344"/>
      <c r="WRS6" s="344"/>
      <c r="WRT6" s="344"/>
      <c r="WRU6" s="344"/>
      <c r="WRV6" s="344"/>
      <c r="WRW6" s="344"/>
      <c r="WRX6" s="344"/>
      <c r="WRY6" s="344"/>
      <c r="WRZ6" s="344"/>
      <c r="WSA6" s="344"/>
      <c r="WSB6" s="344"/>
      <c r="WSC6" s="344"/>
      <c r="WSD6" s="344"/>
      <c r="WSE6" s="344"/>
      <c r="WSF6" s="344"/>
      <c r="WSG6" s="344"/>
      <c r="WSH6" s="344"/>
      <c r="WSI6" s="344"/>
      <c r="WSJ6" s="344"/>
      <c r="WSK6" s="344"/>
      <c r="WSL6" s="344"/>
      <c r="WSM6" s="344"/>
      <c r="WSN6" s="344"/>
      <c r="WSO6" s="344"/>
      <c r="WSP6" s="344"/>
      <c r="WSQ6" s="344"/>
      <c r="WSR6" s="344"/>
      <c r="WSS6" s="344"/>
      <c r="WST6" s="344"/>
      <c r="WSU6" s="344"/>
      <c r="WSV6" s="344"/>
      <c r="WSW6" s="344"/>
      <c r="WSX6" s="344"/>
      <c r="WSY6" s="344"/>
      <c r="WSZ6" s="344"/>
      <c r="WTA6" s="344"/>
      <c r="WTB6" s="344"/>
      <c r="WTC6" s="344"/>
      <c r="WTD6" s="344"/>
      <c r="WTE6" s="344"/>
      <c r="WTF6" s="344"/>
      <c r="WTG6" s="344"/>
      <c r="WTH6" s="344"/>
      <c r="WTI6" s="344"/>
      <c r="WTJ6" s="344"/>
      <c r="WTK6" s="344"/>
      <c r="WTL6" s="344"/>
      <c r="WTM6" s="344"/>
      <c r="WTN6" s="344"/>
      <c r="WTO6" s="344"/>
      <c r="WTP6" s="344"/>
      <c r="WTQ6" s="344"/>
      <c r="WTR6" s="344"/>
      <c r="WTS6" s="344"/>
      <c r="WTT6" s="344"/>
      <c r="WTU6" s="344"/>
      <c r="WTV6" s="344"/>
      <c r="WTW6" s="344"/>
      <c r="WTX6" s="344"/>
      <c r="WTY6" s="344"/>
      <c r="WTZ6" s="344"/>
      <c r="WUA6" s="344"/>
      <c r="WUB6" s="344"/>
      <c r="WUC6" s="344"/>
      <c r="WUD6" s="344"/>
      <c r="WUE6" s="344"/>
      <c r="WUF6" s="344"/>
      <c r="WUG6" s="344"/>
      <c r="WUH6" s="344"/>
      <c r="WUI6" s="344"/>
      <c r="WUJ6" s="344"/>
      <c r="WUK6" s="344"/>
      <c r="WUL6" s="344"/>
      <c r="WUM6" s="344"/>
      <c r="WUN6" s="344"/>
      <c r="WUO6" s="344"/>
      <c r="WUP6" s="344"/>
      <c r="WUQ6" s="344"/>
      <c r="WUR6" s="344"/>
      <c r="WUS6" s="344"/>
      <c r="WUT6" s="344"/>
      <c r="WUU6" s="344"/>
      <c r="WUV6" s="344"/>
      <c r="WUW6" s="344"/>
      <c r="WUX6" s="344"/>
      <c r="WUY6" s="344"/>
      <c r="WUZ6" s="344"/>
      <c r="WVA6" s="344"/>
      <c r="WVB6" s="344"/>
      <c r="WVC6" s="344"/>
      <c r="WVD6" s="344"/>
      <c r="WVE6" s="344"/>
      <c r="WVF6" s="344"/>
      <c r="WVG6" s="344"/>
      <c r="WVH6" s="344"/>
      <c r="WVI6" s="344"/>
      <c r="WVJ6" s="344"/>
      <c r="WVK6" s="344"/>
      <c r="WVL6" s="344"/>
      <c r="WVM6" s="344"/>
      <c r="WVN6" s="344"/>
      <c r="WVO6" s="344"/>
      <c r="WVP6" s="344"/>
      <c r="WVQ6" s="344"/>
      <c r="WVR6" s="344"/>
      <c r="WVS6" s="344"/>
      <c r="WVT6" s="344"/>
      <c r="WVU6" s="344"/>
      <c r="WVV6" s="344"/>
      <c r="WVW6" s="344"/>
      <c r="WVX6" s="344"/>
      <c r="WVY6" s="344"/>
      <c r="WVZ6" s="344"/>
      <c r="WWA6" s="344"/>
      <c r="WWB6" s="344"/>
      <c r="WWC6" s="344"/>
      <c r="WWD6" s="344"/>
      <c r="WWE6" s="344"/>
      <c r="WWF6" s="344"/>
      <c r="WWG6" s="344"/>
      <c r="WWH6" s="344"/>
      <c r="WWI6" s="344"/>
      <c r="WWJ6" s="344"/>
      <c r="WWK6" s="344"/>
      <c r="WWL6" s="344"/>
      <c r="WWM6" s="344"/>
      <c r="WWN6" s="344"/>
      <c r="WWO6" s="344"/>
      <c r="WWP6" s="344"/>
      <c r="WWQ6" s="344"/>
      <c r="WWR6" s="344"/>
      <c r="WWS6" s="344"/>
      <c r="WWT6" s="344"/>
      <c r="WWU6" s="344"/>
      <c r="WWV6" s="344"/>
      <c r="WWW6" s="344"/>
      <c r="WWX6" s="344"/>
      <c r="WWY6" s="344"/>
      <c r="WWZ6" s="344"/>
      <c r="WXA6" s="344"/>
      <c r="WXB6" s="344"/>
      <c r="WXC6" s="344"/>
      <c r="WXD6" s="344"/>
      <c r="WXE6" s="344"/>
      <c r="WXF6" s="344"/>
      <c r="WXG6" s="344"/>
      <c r="WXH6" s="344"/>
      <c r="WXI6" s="344"/>
      <c r="WXJ6" s="344"/>
      <c r="WXK6" s="344"/>
      <c r="WXL6" s="344"/>
      <c r="WXM6" s="344"/>
      <c r="WXN6" s="344"/>
      <c r="WXO6" s="344"/>
      <c r="WXP6" s="344"/>
      <c r="WXQ6" s="344"/>
      <c r="WXR6" s="344"/>
      <c r="WXS6" s="344"/>
      <c r="WXT6" s="344"/>
      <c r="WXU6" s="344"/>
      <c r="WXV6" s="344"/>
      <c r="WXW6" s="344"/>
      <c r="WXX6" s="344"/>
      <c r="WXY6" s="344"/>
      <c r="WXZ6" s="344"/>
      <c r="WYA6" s="344"/>
      <c r="WYB6" s="344"/>
      <c r="WYC6" s="344"/>
      <c r="WYD6" s="344"/>
      <c r="WYE6" s="344"/>
      <c r="WYF6" s="344"/>
      <c r="WYG6" s="344"/>
      <c r="WYH6" s="344"/>
      <c r="WYI6" s="344"/>
      <c r="WYJ6" s="344"/>
      <c r="WYK6" s="344"/>
      <c r="WYL6" s="344"/>
      <c r="WYM6" s="344"/>
      <c r="WYN6" s="344"/>
      <c r="WYO6" s="344"/>
      <c r="WYP6" s="344"/>
      <c r="WYQ6" s="344"/>
      <c r="WYR6" s="344"/>
      <c r="WYS6" s="344"/>
      <c r="WYT6" s="344"/>
      <c r="WYU6" s="344"/>
      <c r="WYV6" s="344"/>
      <c r="WYW6" s="344"/>
      <c r="WYX6" s="344"/>
      <c r="WYY6" s="344"/>
      <c r="WYZ6" s="344"/>
      <c r="WZA6" s="344"/>
      <c r="WZB6" s="344"/>
      <c r="WZC6" s="344"/>
      <c r="WZD6" s="344"/>
      <c r="WZE6" s="344"/>
      <c r="WZF6" s="344"/>
      <c r="WZG6" s="344"/>
      <c r="WZH6" s="344"/>
      <c r="WZI6" s="344"/>
      <c r="WZJ6" s="344"/>
      <c r="WZK6" s="344"/>
      <c r="WZL6" s="344"/>
      <c r="WZM6" s="344"/>
      <c r="WZN6" s="344"/>
      <c r="WZO6" s="344"/>
      <c r="WZP6" s="344"/>
      <c r="WZQ6" s="344"/>
      <c r="WZR6" s="344"/>
      <c r="WZS6" s="344"/>
      <c r="WZT6" s="344"/>
      <c r="WZU6" s="344"/>
      <c r="WZV6" s="344"/>
      <c r="WZW6" s="344"/>
      <c r="WZX6" s="344"/>
      <c r="WZY6" s="344"/>
      <c r="WZZ6" s="344"/>
      <c r="XAA6" s="344"/>
      <c r="XAB6" s="344"/>
      <c r="XAC6" s="344"/>
      <c r="XAD6" s="344"/>
      <c r="XAE6" s="344"/>
      <c r="XAF6" s="344"/>
      <c r="XAG6" s="344"/>
      <c r="XAH6" s="344"/>
      <c r="XAI6" s="344"/>
      <c r="XAJ6" s="344"/>
      <c r="XAK6" s="344"/>
      <c r="XAL6" s="344"/>
      <c r="XAM6" s="344"/>
      <c r="XAN6" s="344"/>
      <c r="XAO6" s="344"/>
      <c r="XAP6" s="344"/>
      <c r="XAQ6" s="344"/>
      <c r="XAR6" s="344"/>
      <c r="XAS6" s="344"/>
      <c r="XAT6" s="344"/>
      <c r="XAU6" s="344"/>
      <c r="XAV6" s="344"/>
      <c r="XAW6" s="344"/>
      <c r="XAX6" s="344"/>
      <c r="XAY6" s="344"/>
      <c r="XAZ6" s="344"/>
      <c r="XBA6" s="344"/>
      <c r="XBB6" s="344"/>
      <c r="XBC6" s="344"/>
      <c r="XBD6" s="344"/>
      <c r="XBE6" s="344"/>
      <c r="XBF6" s="344"/>
      <c r="XBG6" s="344"/>
      <c r="XBH6" s="344"/>
      <c r="XBI6" s="344"/>
      <c r="XBJ6" s="344"/>
      <c r="XBK6" s="344"/>
      <c r="XBL6" s="344"/>
      <c r="XBM6" s="344"/>
      <c r="XBN6" s="344"/>
      <c r="XBO6" s="344"/>
      <c r="XBP6" s="344"/>
      <c r="XBQ6" s="344"/>
      <c r="XBR6" s="344"/>
      <c r="XBS6" s="344"/>
      <c r="XBT6" s="344"/>
      <c r="XBU6" s="344"/>
      <c r="XBV6" s="344"/>
      <c r="XBW6" s="344"/>
      <c r="XBX6" s="344"/>
      <c r="XBY6" s="344"/>
      <c r="XBZ6" s="344"/>
      <c r="XCA6" s="344"/>
      <c r="XCB6" s="344"/>
      <c r="XCC6" s="344"/>
      <c r="XCD6" s="344"/>
      <c r="XCE6" s="344"/>
      <c r="XCF6" s="344"/>
      <c r="XCG6" s="344"/>
      <c r="XCH6" s="344"/>
      <c r="XCI6" s="344"/>
      <c r="XCJ6" s="344"/>
      <c r="XCK6" s="344"/>
      <c r="XCL6" s="344"/>
      <c r="XCM6" s="344"/>
      <c r="XCN6" s="344"/>
      <c r="XCO6" s="344"/>
      <c r="XCP6" s="344"/>
      <c r="XCQ6" s="344"/>
      <c r="XCR6" s="344"/>
      <c r="XCS6" s="344"/>
      <c r="XCT6" s="344"/>
      <c r="XCU6" s="344"/>
      <c r="XCV6" s="344"/>
      <c r="XCW6" s="344"/>
      <c r="XCX6" s="344"/>
      <c r="XCY6" s="344"/>
      <c r="XCZ6" s="344"/>
      <c r="XDA6" s="344"/>
      <c r="XDB6" s="344"/>
      <c r="XDC6" s="344"/>
      <c r="XDD6" s="344"/>
      <c r="XDE6" s="344"/>
      <c r="XDF6" s="344"/>
      <c r="XDG6" s="344"/>
      <c r="XDH6" s="344"/>
      <c r="XDI6" s="344"/>
      <c r="XDJ6" s="344"/>
      <c r="XDK6" s="344"/>
      <c r="XDL6" s="344"/>
      <c r="XDM6" s="344"/>
      <c r="XDN6" s="344"/>
      <c r="XDO6" s="344"/>
      <c r="XDP6" s="344"/>
      <c r="XDQ6" s="344"/>
      <c r="XDR6" s="344"/>
      <c r="XDS6" s="344"/>
      <c r="XDT6" s="344"/>
      <c r="XDU6" s="344"/>
      <c r="XDV6" s="344"/>
      <c r="XDW6" s="344"/>
      <c r="XDX6" s="344"/>
      <c r="XDY6" s="344"/>
      <c r="XDZ6" s="344"/>
      <c r="XEA6" s="344"/>
      <c r="XEB6" s="344"/>
      <c r="XEC6" s="344"/>
      <c r="XED6" s="344"/>
      <c r="XEE6" s="344"/>
      <c r="XEF6" s="344"/>
      <c r="XEG6" s="344"/>
      <c r="XEH6" s="344"/>
      <c r="XEI6" s="344"/>
      <c r="XEJ6" s="344"/>
      <c r="XEK6" s="344"/>
      <c r="XEL6" s="344"/>
      <c r="XEM6" s="344"/>
      <c r="XEN6" s="344"/>
      <c r="XEO6" s="344"/>
      <c r="XEP6" s="344"/>
      <c r="XEQ6" s="344"/>
      <c r="XER6" s="344"/>
      <c r="XES6" s="344"/>
      <c r="XET6" s="344"/>
      <c r="XEU6" s="344"/>
      <c r="XEV6" s="344"/>
      <c r="XEW6" s="344"/>
      <c r="XEX6" s="344"/>
      <c r="XEY6" s="344"/>
      <c r="XEZ6" s="344"/>
      <c r="XFA6" s="344"/>
      <c r="XFB6" s="344"/>
      <c r="XFC6" s="344"/>
      <c r="XFD6" s="344"/>
    </row>
    <row r="7" spans="2:16384" x14ac:dyDescent="0.25">
      <c r="C7" s="344"/>
      <c r="D7" s="136" t="s">
        <v>166</v>
      </c>
      <c r="E7" s="136" t="s">
        <v>167</v>
      </c>
      <c r="F7" s="136" t="s">
        <v>168</v>
      </c>
      <c r="G7" s="136" t="s">
        <v>169</v>
      </c>
      <c r="H7" s="136" t="s">
        <v>170</v>
      </c>
      <c r="I7" s="136" t="s">
        <v>171</v>
      </c>
      <c r="J7" s="136" t="s">
        <v>172</v>
      </c>
      <c r="K7" s="136" t="s">
        <v>173</v>
      </c>
      <c r="L7" s="136" t="s">
        <v>174</v>
      </c>
      <c r="AG7" s="344"/>
      <c r="AH7" s="344"/>
      <c r="AI7" s="344"/>
      <c r="AJ7" s="344"/>
      <c r="AK7" s="344"/>
      <c r="AL7" s="344"/>
      <c r="AM7" s="344"/>
      <c r="AN7" s="344"/>
      <c r="AO7" s="344"/>
      <c r="AP7" s="344"/>
      <c r="AQ7" s="344"/>
      <c r="AR7" s="344"/>
      <c r="AS7" s="344"/>
      <c r="AT7" s="344"/>
      <c r="AU7" s="344"/>
      <c r="AV7" s="344"/>
      <c r="AW7" s="344"/>
      <c r="AX7" s="344"/>
      <c r="AY7" s="344"/>
      <c r="AZ7" s="344"/>
      <c r="BA7" s="344"/>
      <c r="BB7" s="344"/>
      <c r="BC7" s="344"/>
      <c r="BD7" s="344"/>
      <c r="BE7" s="344"/>
      <c r="BF7" s="344"/>
      <c r="BG7" s="344"/>
      <c r="BH7" s="344"/>
      <c r="BI7" s="344"/>
      <c r="BJ7" s="344"/>
      <c r="BK7" s="344"/>
      <c r="BL7" s="344"/>
      <c r="BM7" s="344"/>
      <c r="BN7" s="344"/>
      <c r="BO7" s="344"/>
      <c r="BP7" s="344"/>
      <c r="BQ7" s="344"/>
      <c r="BR7" s="344"/>
      <c r="BS7" s="344"/>
      <c r="BT7" s="344"/>
      <c r="BU7" s="344"/>
      <c r="BV7" s="344"/>
      <c r="BW7" s="344"/>
      <c r="BX7" s="344"/>
      <c r="BY7" s="344"/>
      <c r="BZ7" s="344"/>
      <c r="CA7" s="344"/>
      <c r="CB7" s="344"/>
      <c r="CC7" s="344"/>
      <c r="CD7" s="344"/>
      <c r="CE7" s="344"/>
      <c r="CF7" s="344"/>
      <c r="CG7" s="344"/>
      <c r="CH7" s="344"/>
      <c r="CI7" s="344"/>
      <c r="CJ7" s="344"/>
      <c r="CK7" s="344"/>
      <c r="CL7" s="344"/>
      <c r="CM7" s="344"/>
      <c r="CN7" s="344"/>
      <c r="CO7" s="344"/>
      <c r="CP7" s="344"/>
      <c r="CQ7" s="344"/>
      <c r="CR7" s="344"/>
      <c r="CS7" s="344"/>
      <c r="CT7" s="344"/>
      <c r="CU7" s="344"/>
      <c r="CV7" s="344"/>
      <c r="CW7" s="344"/>
      <c r="CX7" s="344"/>
      <c r="CY7" s="344"/>
      <c r="CZ7" s="344"/>
      <c r="DA7" s="344"/>
      <c r="DB7" s="344"/>
      <c r="DC7" s="344"/>
      <c r="DD7" s="344"/>
      <c r="DE7" s="344"/>
      <c r="DF7" s="344"/>
      <c r="DG7" s="344"/>
      <c r="DH7" s="344"/>
      <c r="DI7" s="344"/>
      <c r="DJ7" s="344"/>
      <c r="DK7" s="344"/>
      <c r="DL7" s="344"/>
      <c r="DM7" s="344"/>
      <c r="DN7" s="344"/>
      <c r="DO7" s="344"/>
      <c r="DP7" s="344"/>
      <c r="DQ7" s="344"/>
      <c r="DR7" s="344"/>
      <c r="DS7" s="344"/>
      <c r="DT7" s="344"/>
      <c r="DU7" s="344"/>
      <c r="DV7" s="344"/>
      <c r="DW7" s="344"/>
      <c r="DX7" s="344"/>
      <c r="DY7" s="344"/>
      <c r="DZ7" s="344"/>
      <c r="EA7" s="344"/>
      <c r="EB7" s="344"/>
      <c r="EC7" s="344"/>
      <c r="ED7" s="344"/>
      <c r="EE7" s="344"/>
      <c r="EF7" s="344"/>
      <c r="EG7" s="344"/>
      <c r="EH7" s="344"/>
      <c r="EI7" s="344"/>
      <c r="EJ7" s="344"/>
      <c r="EK7" s="344"/>
      <c r="EL7" s="344"/>
      <c r="EM7" s="344"/>
      <c r="EN7" s="344"/>
      <c r="EO7" s="344"/>
      <c r="EP7" s="344"/>
      <c r="EQ7" s="344"/>
      <c r="ER7" s="344"/>
      <c r="ES7" s="344"/>
      <c r="ET7" s="344"/>
      <c r="EU7" s="344"/>
      <c r="EV7" s="344"/>
      <c r="EW7" s="344"/>
      <c r="EX7" s="344"/>
      <c r="EY7" s="344"/>
      <c r="EZ7" s="344"/>
      <c r="FA7" s="344"/>
      <c r="FB7" s="344"/>
      <c r="FC7" s="344"/>
      <c r="FD7" s="344"/>
      <c r="FE7" s="344"/>
      <c r="FF7" s="344"/>
      <c r="FG7" s="344"/>
      <c r="FH7" s="344"/>
      <c r="FI7" s="344"/>
      <c r="FJ7" s="344"/>
      <c r="FK7" s="344"/>
      <c r="FL7" s="344"/>
      <c r="FM7" s="344"/>
      <c r="FN7" s="344"/>
      <c r="FO7" s="344"/>
      <c r="FP7" s="344"/>
      <c r="FQ7" s="344"/>
      <c r="FR7" s="344"/>
      <c r="FS7" s="344"/>
      <c r="FT7" s="344"/>
      <c r="FU7" s="344"/>
      <c r="FV7" s="344"/>
      <c r="FW7" s="344"/>
      <c r="FX7" s="344"/>
      <c r="FY7" s="344"/>
      <c r="FZ7" s="344"/>
      <c r="GA7" s="344"/>
      <c r="GB7" s="344"/>
      <c r="GC7" s="344"/>
      <c r="GD7" s="344"/>
      <c r="GE7" s="344"/>
      <c r="GF7" s="344"/>
      <c r="GG7" s="344"/>
      <c r="GH7" s="344"/>
      <c r="GI7" s="344"/>
      <c r="GJ7" s="344"/>
      <c r="GK7" s="344"/>
      <c r="GL7" s="344"/>
      <c r="GM7" s="344"/>
      <c r="GN7" s="344"/>
      <c r="GO7" s="344"/>
      <c r="GP7" s="344"/>
      <c r="GQ7" s="344"/>
      <c r="GR7" s="344"/>
      <c r="GS7" s="344"/>
      <c r="GT7" s="344"/>
      <c r="GU7" s="344"/>
      <c r="GV7" s="344"/>
      <c r="GW7" s="344"/>
      <c r="GX7" s="344"/>
      <c r="GY7" s="344"/>
      <c r="GZ7" s="344"/>
      <c r="HA7" s="344"/>
      <c r="HB7" s="344"/>
      <c r="HC7" s="344"/>
      <c r="HD7" s="344"/>
      <c r="HE7" s="344"/>
      <c r="HF7" s="344"/>
      <c r="HG7" s="344"/>
      <c r="HH7" s="344"/>
      <c r="HI7" s="344"/>
      <c r="HJ7" s="344"/>
      <c r="HK7" s="344"/>
      <c r="HL7" s="344"/>
      <c r="HM7" s="344"/>
      <c r="HN7" s="344"/>
      <c r="HO7" s="344"/>
      <c r="HP7" s="344"/>
      <c r="HQ7" s="344"/>
      <c r="HR7" s="344"/>
      <c r="HS7" s="344"/>
      <c r="HT7" s="344"/>
      <c r="HU7" s="344"/>
      <c r="HV7" s="344"/>
      <c r="HW7" s="344"/>
      <c r="HX7" s="344"/>
      <c r="HY7" s="344"/>
      <c r="HZ7" s="344"/>
      <c r="IA7" s="344"/>
      <c r="IB7" s="344"/>
      <c r="IC7" s="344"/>
      <c r="ID7" s="344"/>
      <c r="IE7" s="344"/>
      <c r="IF7" s="344"/>
      <c r="IG7" s="344"/>
      <c r="IH7" s="344"/>
      <c r="II7" s="344"/>
      <c r="IJ7" s="344"/>
      <c r="IK7" s="344"/>
      <c r="IL7" s="344"/>
      <c r="IM7" s="344"/>
      <c r="IN7" s="344"/>
      <c r="IO7" s="344"/>
      <c r="IP7" s="344"/>
      <c r="IQ7" s="344"/>
      <c r="IR7" s="344"/>
      <c r="IS7" s="344"/>
      <c r="IT7" s="344"/>
      <c r="IU7" s="344"/>
      <c r="IV7" s="344"/>
      <c r="IW7" s="344"/>
      <c r="IX7" s="344"/>
      <c r="IY7" s="344"/>
      <c r="IZ7" s="344"/>
      <c r="JA7" s="344"/>
      <c r="JB7" s="344"/>
      <c r="JC7" s="344"/>
      <c r="JD7" s="344"/>
      <c r="JE7" s="344"/>
      <c r="JF7" s="344"/>
      <c r="JG7" s="344"/>
      <c r="JH7" s="344"/>
      <c r="JI7" s="344"/>
      <c r="JJ7" s="344"/>
      <c r="JK7" s="344"/>
      <c r="JL7" s="344"/>
      <c r="JM7" s="344"/>
      <c r="JN7" s="344"/>
      <c r="JO7" s="344"/>
      <c r="JP7" s="344"/>
      <c r="JQ7" s="344"/>
      <c r="JR7" s="344"/>
      <c r="JS7" s="344"/>
      <c r="JT7" s="344"/>
      <c r="JU7" s="344"/>
      <c r="JV7" s="344"/>
      <c r="JW7" s="344"/>
      <c r="JX7" s="344"/>
      <c r="JY7" s="344"/>
      <c r="JZ7" s="344"/>
      <c r="KA7" s="344"/>
      <c r="KB7" s="344"/>
      <c r="KC7" s="344"/>
      <c r="KD7" s="344"/>
      <c r="KE7" s="344"/>
      <c r="KF7" s="344"/>
      <c r="KG7" s="344"/>
      <c r="KH7" s="344"/>
      <c r="KI7" s="344"/>
      <c r="KJ7" s="344"/>
      <c r="KK7" s="344"/>
      <c r="KL7" s="344"/>
      <c r="KM7" s="344"/>
      <c r="KN7" s="344"/>
      <c r="KO7" s="344"/>
      <c r="KP7" s="344"/>
      <c r="KQ7" s="344"/>
      <c r="KR7" s="344"/>
      <c r="KS7" s="344"/>
      <c r="KT7" s="344"/>
      <c r="KU7" s="344"/>
      <c r="KV7" s="344"/>
      <c r="KW7" s="344"/>
      <c r="KX7" s="344"/>
      <c r="KY7" s="344"/>
      <c r="KZ7" s="344"/>
      <c r="LA7" s="344"/>
      <c r="LB7" s="344"/>
      <c r="LC7" s="344"/>
      <c r="LD7" s="344"/>
      <c r="LE7" s="344"/>
      <c r="LF7" s="344"/>
      <c r="LG7" s="344"/>
      <c r="LH7" s="344"/>
      <c r="LI7" s="344"/>
      <c r="LJ7" s="344"/>
      <c r="LK7" s="344"/>
      <c r="LL7" s="344"/>
      <c r="LM7" s="344"/>
      <c r="LN7" s="344"/>
      <c r="LO7" s="344"/>
      <c r="LP7" s="344"/>
      <c r="LQ7" s="344"/>
      <c r="LR7" s="344"/>
      <c r="LS7" s="344"/>
      <c r="LT7" s="344"/>
      <c r="LU7" s="344"/>
      <c r="LV7" s="344"/>
      <c r="LW7" s="344"/>
      <c r="LX7" s="344"/>
      <c r="LY7" s="344"/>
      <c r="LZ7" s="344"/>
      <c r="MA7" s="344"/>
      <c r="MB7" s="344"/>
      <c r="MC7" s="344"/>
      <c r="MD7" s="344"/>
      <c r="ME7" s="344"/>
      <c r="MF7" s="344"/>
      <c r="MG7" s="344"/>
      <c r="MH7" s="344"/>
      <c r="MI7" s="344"/>
      <c r="MJ7" s="344"/>
      <c r="MK7" s="344"/>
      <c r="ML7" s="344"/>
      <c r="MM7" s="344"/>
      <c r="MN7" s="344"/>
      <c r="MO7" s="344"/>
      <c r="MP7" s="344"/>
      <c r="MQ7" s="344"/>
      <c r="MR7" s="344"/>
      <c r="MS7" s="344"/>
      <c r="MT7" s="344"/>
      <c r="MU7" s="344"/>
      <c r="MV7" s="344"/>
      <c r="MW7" s="344"/>
      <c r="MX7" s="344"/>
      <c r="MY7" s="344"/>
      <c r="MZ7" s="344"/>
      <c r="NA7" s="344"/>
      <c r="NB7" s="344"/>
      <c r="NC7" s="344"/>
      <c r="ND7" s="344"/>
      <c r="NE7" s="344"/>
      <c r="NF7" s="344"/>
      <c r="NG7" s="344"/>
      <c r="NH7" s="344"/>
      <c r="NI7" s="344"/>
      <c r="NJ7" s="344"/>
      <c r="NK7" s="344"/>
      <c r="NL7" s="344"/>
      <c r="NM7" s="344"/>
      <c r="NN7" s="344"/>
      <c r="NO7" s="344"/>
      <c r="NP7" s="344"/>
      <c r="NQ7" s="344"/>
      <c r="NR7" s="344"/>
      <c r="NS7" s="344"/>
      <c r="NT7" s="344"/>
      <c r="NU7" s="344"/>
      <c r="NV7" s="344"/>
      <c r="NW7" s="344"/>
      <c r="NX7" s="344"/>
      <c r="NY7" s="344"/>
      <c r="NZ7" s="344"/>
      <c r="OA7" s="344"/>
      <c r="OB7" s="344"/>
      <c r="OC7" s="344"/>
      <c r="OD7" s="344"/>
      <c r="OE7" s="344"/>
      <c r="OF7" s="344"/>
      <c r="OG7" s="344"/>
      <c r="OH7" s="344"/>
      <c r="OI7" s="344"/>
      <c r="OJ7" s="344"/>
      <c r="OK7" s="344"/>
      <c r="OL7" s="344"/>
      <c r="OM7" s="344"/>
      <c r="ON7" s="344"/>
      <c r="OO7" s="344"/>
      <c r="OP7" s="344"/>
      <c r="OQ7" s="344"/>
      <c r="OR7" s="344"/>
      <c r="OS7" s="344"/>
      <c r="OT7" s="344"/>
      <c r="OU7" s="344"/>
      <c r="OV7" s="344"/>
      <c r="OW7" s="344"/>
      <c r="OX7" s="344"/>
      <c r="OY7" s="344"/>
      <c r="OZ7" s="344"/>
      <c r="PA7" s="344"/>
      <c r="PB7" s="344"/>
      <c r="PC7" s="344"/>
      <c r="PD7" s="344"/>
      <c r="PE7" s="344"/>
      <c r="PF7" s="344"/>
      <c r="PG7" s="344"/>
      <c r="PH7" s="344"/>
      <c r="PI7" s="344"/>
      <c r="PJ7" s="344"/>
      <c r="PK7" s="344"/>
      <c r="PL7" s="344"/>
      <c r="PM7" s="344"/>
      <c r="PN7" s="344"/>
      <c r="PO7" s="344"/>
      <c r="PP7" s="344"/>
      <c r="PQ7" s="344"/>
      <c r="PR7" s="344"/>
      <c r="PS7" s="344"/>
      <c r="PT7" s="344"/>
      <c r="PU7" s="344"/>
      <c r="PV7" s="344"/>
      <c r="PW7" s="344"/>
      <c r="PX7" s="344"/>
      <c r="PY7" s="344"/>
      <c r="PZ7" s="344"/>
      <c r="QA7" s="344"/>
      <c r="QB7" s="344"/>
      <c r="QC7" s="344"/>
      <c r="QD7" s="344"/>
      <c r="QE7" s="344"/>
      <c r="QF7" s="344"/>
      <c r="QG7" s="344"/>
      <c r="QH7" s="344"/>
      <c r="QI7" s="344"/>
      <c r="QJ7" s="344"/>
      <c r="QK7" s="344"/>
      <c r="QL7" s="344"/>
      <c r="QM7" s="344"/>
      <c r="QN7" s="344"/>
      <c r="QO7" s="344"/>
      <c r="QP7" s="344"/>
      <c r="QQ7" s="344"/>
      <c r="QR7" s="344"/>
      <c r="QS7" s="344"/>
      <c r="QT7" s="344"/>
      <c r="QU7" s="344"/>
      <c r="QV7" s="344"/>
      <c r="QW7" s="344"/>
      <c r="QX7" s="344"/>
      <c r="QY7" s="344"/>
      <c r="QZ7" s="344"/>
      <c r="RA7" s="344"/>
      <c r="RB7" s="344"/>
      <c r="RC7" s="344"/>
      <c r="RD7" s="344"/>
      <c r="RE7" s="344"/>
      <c r="RF7" s="344"/>
      <c r="RG7" s="344"/>
      <c r="RH7" s="344"/>
      <c r="RI7" s="344"/>
      <c r="RJ7" s="344"/>
      <c r="RK7" s="344"/>
      <c r="RL7" s="344"/>
      <c r="RM7" s="344"/>
      <c r="RN7" s="344"/>
      <c r="RO7" s="344"/>
      <c r="RP7" s="344"/>
      <c r="RQ7" s="344"/>
      <c r="RR7" s="344"/>
      <c r="RS7" s="344"/>
      <c r="RT7" s="344"/>
      <c r="RU7" s="344"/>
      <c r="RV7" s="344"/>
      <c r="RW7" s="344"/>
      <c r="RX7" s="344"/>
      <c r="RY7" s="344"/>
      <c r="RZ7" s="344"/>
      <c r="SA7" s="344"/>
      <c r="SB7" s="344"/>
      <c r="SC7" s="344"/>
      <c r="SD7" s="344"/>
      <c r="SE7" s="344"/>
      <c r="SF7" s="344"/>
      <c r="SG7" s="344"/>
      <c r="SH7" s="344"/>
      <c r="SI7" s="344"/>
      <c r="SJ7" s="344"/>
      <c r="SK7" s="344"/>
      <c r="SL7" s="344"/>
      <c r="SM7" s="344"/>
      <c r="SN7" s="344"/>
      <c r="SO7" s="344"/>
      <c r="SP7" s="344"/>
      <c r="SQ7" s="344"/>
      <c r="SR7" s="344"/>
      <c r="SS7" s="344"/>
      <c r="ST7" s="344"/>
      <c r="SU7" s="344"/>
      <c r="SV7" s="344"/>
      <c r="SW7" s="344"/>
      <c r="SX7" s="344"/>
      <c r="SY7" s="344"/>
      <c r="SZ7" s="344"/>
      <c r="TA7" s="344"/>
      <c r="TB7" s="344"/>
      <c r="TC7" s="344"/>
      <c r="TD7" s="344"/>
      <c r="TE7" s="344"/>
      <c r="TF7" s="344"/>
      <c r="TG7" s="344"/>
      <c r="TH7" s="344"/>
      <c r="TI7" s="344"/>
      <c r="TJ7" s="344"/>
      <c r="TK7" s="344"/>
      <c r="TL7" s="344"/>
      <c r="TM7" s="344"/>
      <c r="TN7" s="344"/>
      <c r="TO7" s="344"/>
      <c r="TP7" s="344"/>
      <c r="TQ7" s="344"/>
      <c r="TR7" s="344"/>
      <c r="TS7" s="344"/>
      <c r="TT7" s="344"/>
      <c r="TU7" s="344"/>
      <c r="TV7" s="344"/>
      <c r="TW7" s="344"/>
      <c r="TX7" s="344"/>
      <c r="TY7" s="344"/>
      <c r="TZ7" s="344"/>
      <c r="UA7" s="344"/>
      <c r="UB7" s="344"/>
      <c r="UC7" s="344"/>
      <c r="UD7" s="344"/>
      <c r="UE7" s="344"/>
      <c r="UF7" s="344"/>
      <c r="UG7" s="344"/>
      <c r="UH7" s="344"/>
      <c r="UI7" s="344"/>
      <c r="UJ7" s="344"/>
      <c r="UK7" s="344"/>
      <c r="UL7" s="344"/>
      <c r="UM7" s="344"/>
      <c r="UN7" s="344"/>
      <c r="UO7" s="344"/>
      <c r="UP7" s="344"/>
      <c r="UQ7" s="344"/>
      <c r="UR7" s="344"/>
      <c r="US7" s="344"/>
      <c r="UT7" s="344"/>
      <c r="UU7" s="344"/>
      <c r="UV7" s="344"/>
      <c r="UW7" s="344"/>
      <c r="UX7" s="344"/>
      <c r="UY7" s="344"/>
      <c r="UZ7" s="344"/>
      <c r="VA7" s="344"/>
      <c r="VB7" s="344"/>
      <c r="VC7" s="344"/>
      <c r="VD7" s="344"/>
      <c r="VE7" s="344"/>
      <c r="VF7" s="344"/>
      <c r="VG7" s="344"/>
      <c r="VH7" s="344"/>
      <c r="VI7" s="344"/>
      <c r="VJ7" s="344"/>
      <c r="VK7" s="344"/>
      <c r="VL7" s="344"/>
      <c r="VM7" s="344"/>
      <c r="VN7" s="344"/>
      <c r="VO7" s="344"/>
      <c r="VP7" s="344"/>
      <c r="VQ7" s="344"/>
      <c r="VR7" s="344"/>
      <c r="VS7" s="344"/>
      <c r="VT7" s="344"/>
      <c r="VU7" s="344"/>
      <c r="VV7" s="344"/>
      <c r="VW7" s="344"/>
      <c r="VX7" s="344"/>
      <c r="VY7" s="344"/>
      <c r="VZ7" s="344"/>
      <c r="WA7" s="344"/>
      <c r="WB7" s="344"/>
      <c r="WC7" s="344"/>
      <c r="WD7" s="344"/>
      <c r="WE7" s="344"/>
      <c r="WF7" s="344"/>
      <c r="WG7" s="344"/>
      <c r="WH7" s="344"/>
      <c r="WI7" s="344"/>
      <c r="WJ7" s="344"/>
      <c r="WK7" s="344"/>
      <c r="WL7" s="344"/>
      <c r="WM7" s="344"/>
      <c r="WN7" s="344"/>
      <c r="WO7" s="344"/>
      <c r="WP7" s="344"/>
      <c r="WQ7" s="344"/>
      <c r="WR7" s="344"/>
      <c r="WS7" s="344"/>
      <c r="WT7" s="344"/>
      <c r="WU7" s="344"/>
      <c r="WV7" s="344"/>
      <c r="WW7" s="344"/>
      <c r="WX7" s="344"/>
      <c r="WY7" s="344"/>
      <c r="WZ7" s="344"/>
      <c r="XA7" s="344"/>
      <c r="XB7" s="344"/>
      <c r="XC7" s="344"/>
      <c r="XD7" s="344"/>
      <c r="XE7" s="344"/>
      <c r="XF7" s="344"/>
      <c r="XG7" s="344"/>
      <c r="XH7" s="344"/>
      <c r="XI7" s="344"/>
      <c r="XJ7" s="344"/>
      <c r="XK7" s="344"/>
      <c r="XL7" s="344"/>
      <c r="XM7" s="344"/>
      <c r="XN7" s="344"/>
      <c r="XO7" s="344"/>
      <c r="XP7" s="344"/>
      <c r="XQ7" s="344"/>
      <c r="XR7" s="344"/>
      <c r="XS7" s="344"/>
      <c r="XT7" s="344"/>
      <c r="XU7" s="344"/>
      <c r="XV7" s="344"/>
      <c r="XW7" s="344"/>
      <c r="XX7" s="344"/>
      <c r="XY7" s="344"/>
      <c r="XZ7" s="344"/>
      <c r="YA7" s="344"/>
      <c r="YB7" s="344"/>
      <c r="YC7" s="344"/>
      <c r="YD7" s="344"/>
      <c r="YE7" s="344"/>
      <c r="YF7" s="344"/>
      <c r="YG7" s="344"/>
      <c r="YH7" s="344"/>
      <c r="YI7" s="344"/>
      <c r="YJ7" s="344"/>
      <c r="YK7" s="344"/>
      <c r="YL7" s="344"/>
      <c r="YM7" s="344"/>
      <c r="YN7" s="344"/>
      <c r="YO7" s="344"/>
      <c r="YP7" s="344"/>
      <c r="YQ7" s="344"/>
      <c r="YR7" s="344"/>
      <c r="YS7" s="344"/>
      <c r="YT7" s="344"/>
      <c r="YU7" s="344"/>
      <c r="YV7" s="344"/>
      <c r="YW7" s="344"/>
      <c r="YX7" s="344"/>
      <c r="YY7" s="344"/>
      <c r="YZ7" s="344"/>
      <c r="ZA7" s="344"/>
      <c r="ZB7" s="344"/>
      <c r="ZC7" s="344"/>
      <c r="ZD7" s="344"/>
      <c r="ZE7" s="344"/>
      <c r="ZF7" s="344"/>
      <c r="ZG7" s="344"/>
      <c r="ZH7" s="344"/>
      <c r="ZI7" s="344"/>
      <c r="ZJ7" s="344"/>
      <c r="ZK7" s="344"/>
      <c r="ZL7" s="344"/>
      <c r="ZM7" s="344"/>
      <c r="ZN7" s="344"/>
      <c r="ZO7" s="344"/>
      <c r="ZP7" s="344"/>
      <c r="ZQ7" s="344"/>
      <c r="ZR7" s="344"/>
      <c r="ZS7" s="344"/>
      <c r="ZT7" s="344"/>
      <c r="ZU7" s="344"/>
      <c r="ZV7" s="344"/>
      <c r="ZW7" s="344"/>
      <c r="ZX7" s="344"/>
      <c r="ZY7" s="344"/>
      <c r="ZZ7" s="344"/>
      <c r="AAA7" s="344"/>
      <c r="AAB7" s="344"/>
      <c r="AAC7" s="344"/>
      <c r="AAD7" s="344"/>
      <c r="AAE7" s="344"/>
      <c r="AAF7" s="344"/>
      <c r="AAG7" s="344"/>
      <c r="AAH7" s="344"/>
      <c r="AAI7" s="344"/>
      <c r="AAJ7" s="344"/>
      <c r="AAK7" s="344"/>
      <c r="AAL7" s="344"/>
      <c r="AAM7" s="344"/>
      <c r="AAN7" s="344"/>
      <c r="AAO7" s="344"/>
      <c r="AAP7" s="344"/>
      <c r="AAQ7" s="344"/>
      <c r="AAR7" s="344"/>
      <c r="AAS7" s="344"/>
      <c r="AAT7" s="344"/>
      <c r="AAU7" s="344"/>
      <c r="AAV7" s="344"/>
      <c r="AAW7" s="344"/>
      <c r="AAX7" s="344"/>
      <c r="AAY7" s="344"/>
      <c r="AAZ7" s="344"/>
      <c r="ABA7" s="344"/>
      <c r="ABB7" s="344"/>
      <c r="ABC7" s="344"/>
      <c r="ABD7" s="344"/>
      <c r="ABE7" s="344"/>
      <c r="ABF7" s="344"/>
      <c r="ABG7" s="344"/>
      <c r="ABH7" s="344"/>
      <c r="ABI7" s="344"/>
      <c r="ABJ7" s="344"/>
      <c r="ABK7" s="344"/>
      <c r="ABL7" s="344"/>
      <c r="ABM7" s="344"/>
      <c r="ABN7" s="344"/>
      <c r="ABO7" s="344"/>
      <c r="ABP7" s="344"/>
      <c r="ABQ7" s="344"/>
      <c r="ABR7" s="344"/>
      <c r="ABS7" s="344"/>
      <c r="ABT7" s="344"/>
      <c r="ABU7" s="344"/>
      <c r="ABV7" s="344"/>
      <c r="ABW7" s="344"/>
      <c r="ABX7" s="344"/>
      <c r="ABY7" s="344"/>
      <c r="ABZ7" s="344"/>
      <c r="ACA7" s="344"/>
      <c r="ACB7" s="344"/>
      <c r="ACC7" s="344"/>
      <c r="ACD7" s="344"/>
      <c r="ACE7" s="344"/>
      <c r="ACF7" s="344"/>
      <c r="ACG7" s="344"/>
      <c r="ACH7" s="344"/>
      <c r="ACI7" s="344"/>
      <c r="ACJ7" s="344"/>
      <c r="ACK7" s="344"/>
      <c r="ACL7" s="344"/>
      <c r="ACM7" s="344"/>
      <c r="ACN7" s="344"/>
      <c r="ACO7" s="344"/>
      <c r="ACP7" s="344"/>
      <c r="ACQ7" s="344"/>
      <c r="ACR7" s="344"/>
      <c r="ACS7" s="344"/>
      <c r="ACT7" s="344"/>
      <c r="ACU7" s="344"/>
      <c r="ACV7" s="344"/>
      <c r="ACW7" s="344"/>
      <c r="ACX7" s="344"/>
      <c r="ACY7" s="344"/>
      <c r="ACZ7" s="344"/>
      <c r="ADA7" s="344"/>
      <c r="ADB7" s="344"/>
      <c r="ADC7" s="344"/>
      <c r="ADD7" s="344"/>
      <c r="ADE7" s="344"/>
      <c r="ADF7" s="344"/>
      <c r="ADG7" s="344"/>
      <c r="ADH7" s="344"/>
      <c r="ADI7" s="344"/>
      <c r="ADJ7" s="344"/>
      <c r="ADK7" s="344"/>
      <c r="ADL7" s="344"/>
      <c r="ADM7" s="344"/>
      <c r="ADN7" s="344"/>
      <c r="ADO7" s="344"/>
      <c r="ADP7" s="344"/>
      <c r="ADQ7" s="344"/>
      <c r="ADR7" s="344"/>
      <c r="ADS7" s="344"/>
      <c r="ADT7" s="344"/>
      <c r="ADU7" s="344"/>
      <c r="ADV7" s="344"/>
      <c r="ADW7" s="344"/>
      <c r="ADX7" s="344"/>
      <c r="ADY7" s="344"/>
      <c r="ADZ7" s="344"/>
      <c r="AEA7" s="344"/>
      <c r="AEB7" s="344"/>
      <c r="AEC7" s="344"/>
      <c r="AED7" s="344"/>
      <c r="AEE7" s="344"/>
      <c r="AEF7" s="344"/>
      <c r="AEG7" s="344"/>
      <c r="AEH7" s="344"/>
      <c r="AEI7" s="344"/>
      <c r="AEJ7" s="344"/>
      <c r="AEK7" s="344"/>
      <c r="AEL7" s="344"/>
      <c r="AEM7" s="344"/>
      <c r="AEN7" s="344"/>
      <c r="AEO7" s="344"/>
      <c r="AEP7" s="344"/>
      <c r="AEQ7" s="344"/>
      <c r="AER7" s="344"/>
      <c r="AES7" s="344"/>
      <c r="AET7" s="344"/>
      <c r="AEU7" s="344"/>
      <c r="AEV7" s="344"/>
      <c r="AEW7" s="344"/>
      <c r="AEX7" s="344"/>
      <c r="AEY7" s="344"/>
      <c r="AEZ7" s="344"/>
      <c r="AFA7" s="344"/>
      <c r="AFB7" s="344"/>
      <c r="AFC7" s="344"/>
      <c r="AFD7" s="344"/>
      <c r="AFE7" s="344"/>
      <c r="AFF7" s="344"/>
      <c r="AFG7" s="344"/>
      <c r="AFH7" s="344"/>
      <c r="AFI7" s="344"/>
      <c r="AFJ7" s="344"/>
      <c r="AFK7" s="344"/>
      <c r="AFL7" s="344"/>
      <c r="AFM7" s="344"/>
      <c r="AFN7" s="344"/>
      <c r="AFO7" s="344"/>
      <c r="AFP7" s="344"/>
      <c r="AFQ7" s="344"/>
      <c r="AFR7" s="344"/>
      <c r="AFS7" s="344"/>
      <c r="AFT7" s="344"/>
      <c r="AFU7" s="344"/>
      <c r="AFV7" s="344"/>
      <c r="AFW7" s="344"/>
      <c r="AFX7" s="344"/>
      <c r="AFY7" s="344"/>
      <c r="AFZ7" s="344"/>
      <c r="AGA7" s="344"/>
      <c r="AGB7" s="344"/>
      <c r="AGC7" s="344"/>
      <c r="AGD7" s="344"/>
      <c r="AGE7" s="344"/>
      <c r="AGF7" s="344"/>
      <c r="AGG7" s="344"/>
      <c r="AGH7" s="344"/>
      <c r="AGI7" s="344"/>
      <c r="AGJ7" s="344"/>
      <c r="AGK7" s="344"/>
      <c r="AGL7" s="344"/>
      <c r="AGM7" s="344"/>
      <c r="AGN7" s="344"/>
      <c r="AGO7" s="344"/>
      <c r="AGP7" s="344"/>
      <c r="AGQ7" s="344"/>
      <c r="AGR7" s="344"/>
      <c r="AGS7" s="344"/>
      <c r="AGT7" s="344"/>
      <c r="AGU7" s="344"/>
      <c r="AGV7" s="344"/>
      <c r="AGW7" s="344"/>
      <c r="AGX7" s="344"/>
      <c r="AGY7" s="344"/>
      <c r="AGZ7" s="344"/>
      <c r="AHA7" s="344"/>
      <c r="AHB7" s="344"/>
      <c r="AHC7" s="344"/>
      <c r="AHD7" s="344"/>
      <c r="AHE7" s="344"/>
      <c r="AHF7" s="344"/>
      <c r="AHG7" s="344"/>
      <c r="AHH7" s="344"/>
      <c r="AHI7" s="344"/>
      <c r="AHJ7" s="344"/>
      <c r="AHK7" s="344"/>
      <c r="AHL7" s="344"/>
      <c r="AHM7" s="344"/>
      <c r="AHN7" s="344"/>
      <c r="AHO7" s="344"/>
      <c r="AHP7" s="344"/>
      <c r="AHQ7" s="344"/>
      <c r="AHR7" s="344"/>
      <c r="AHS7" s="344"/>
      <c r="AHT7" s="344"/>
      <c r="AHU7" s="344"/>
      <c r="AHV7" s="344"/>
      <c r="AHW7" s="344"/>
      <c r="AHX7" s="344"/>
      <c r="AHY7" s="344"/>
      <c r="AHZ7" s="344"/>
      <c r="AIA7" s="344"/>
      <c r="AIB7" s="344"/>
      <c r="AIC7" s="344"/>
      <c r="AID7" s="344"/>
      <c r="AIE7" s="344"/>
      <c r="AIF7" s="344"/>
      <c r="AIG7" s="344"/>
      <c r="AIH7" s="344"/>
      <c r="AII7" s="344"/>
      <c r="AIJ7" s="344"/>
      <c r="AIK7" s="344"/>
      <c r="AIL7" s="344"/>
      <c r="AIM7" s="344"/>
      <c r="AIN7" s="344"/>
      <c r="AIO7" s="344"/>
      <c r="AIP7" s="344"/>
      <c r="AIQ7" s="344"/>
      <c r="AIR7" s="344"/>
      <c r="AIS7" s="344"/>
      <c r="AIT7" s="344"/>
      <c r="AIU7" s="344"/>
      <c r="AIV7" s="344"/>
      <c r="AIW7" s="344"/>
      <c r="AIX7" s="344"/>
      <c r="AIY7" s="344"/>
      <c r="AIZ7" s="344"/>
      <c r="AJA7" s="344"/>
      <c r="AJB7" s="344"/>
      <c r="AJC7" s="344"/>
      <c r="AJD7" s="344"/>
      <c r="AJE7" s="344"/>
      <c r="AJF7" s="344"/>
      <c r="AJG7" s="344"/>
      <c r="AJH7" s="344"/>
      <c r="AJI7" s="344"/>
      <c r="AJJ7" s="344"/>
      <c r="AJK7" s="344"/>
      <c r="AJL7" s="344"/>
      <c r="AJM7" s="344"/>
      <c r="AJN7" s="344"/>
      <c r="AJO7" s="344"/>
      <c r="AJP7" s="344"/>
      <c r="AJQ7" s="344"/>
      <c r="AJR7" s="344"/>
      <c r="AJS7" s="344"/>
      <c r="AJT7" s="344"/>
      <c r="AJU7" s="344"/>
      <c r="AJV7" s="344"/>
      <c r="AJW7" s="344"/>
      <c r="AJX7" s="344"/>
      <c r="AJY7" s="344"/>
      <c r="AJZ7" s="344"/>
      <c r="AKA7" s="344"/>
      <c r="AKB7" s="344"/>
      <c r="AKC7" s="344"/>
      <c r="AKD7" s="344"/>
      <c r="AKE7" s="344"/>
      <c r="AKF7" s="344"/>
      <c r="AKG7" s="344"/>
      <c r="AKH7" s="344"/>
      <c r="AKI7" s="344"/>
      <c r="AKJ7" s="344"/>
      <c r="AKK7" s="344"/>
      <c r="AKL7" s="344"/>
      <c r="AKM7" s="344"/>
      <c r="AKN7" s="344"/>
      <c r="AKO7" s="344"/>
      <c r="AKP7" s="344"/>
      <c r="AKQ7" s="344"/>
      <c r="AKR7" s="344"/>
      <c r="AKS7" s="344"/>
      <c r="AKT7" s="344"/>
      <c r="AKU7" s="344"/>
      <c r="AKV7" s="344"/>
      <c r="AKW7" s="344"/>
      <c r="AKX7" s="344"/>
      <c r="AKY7" s="344"/>
      <c r="AKZ7" s="344"/>
      <c r="ALA7" s="344"/>
      <c r="ALB7" s="344"/>
      <c r="ALC7" s="344"/>
      <c r="ALD7" s="344"/>
      <c r="ALE7" s="344"/>
      <c r="ALF7" s="344"/>
      <c r="ALG7" s="344"/>
      <c r="ALH7" s="344"/>
      <c r="ALI7" s="344"/>
      <c r="ALJ7" s="344"/>
      <c r="ALK7" s="344"/>
      <c r="ALL7" s="344"/>
      <c r="ALM7" s="344"/>
      <c r="ALN7" s="344"/>
      <c r="ALO7" s="344"/>
      <c r="ALP7" s="344"/>
      <c r="ALQ7" s="344"/>
      <c r="ALR7" s="344"/>
      <c r="ALS7" s="344"/>
      <c r="ALT7" s="344"/>
      <c r="ALU7" s="344"/>
      <c r="ALV7" s="344"/>
      <c r="ALW7" s="344"/>
      <c r="ALX7" s="344"/>
      <c r="ALY7" s="344"/>
      <c r="ALZ7" s="344"/>
      <c r="AMA7" s="344"/>
      <c r="AMB7" s="344"/>
      <c r="AMC7" s="344"/>
      <c r="AMD7" s="344"/>
      <c r="AME7" s="344"/>
      <c r="AMF7" s="344"/>
      <c r="AMG7" s="344"/>
      <c r="AMH7" s="344"/>
      <c r="AMI7" s="344"/>
      <c r="AMJ7" s="344"/>
      <c r="AMK7" s="344"/>
      <c r="AML7" s="344"/>
      <c r="AMM7" s="344"/>
      <c r="AMN7" s="344"/>
      <c r="AMO7" s="344"/>
      <c r="AMP7" s="344"/>
      <c r="AMQ7" s="344"/>
      <c r="AMR7" s="344"/>
      <c r="AMS7" s="344"/>
      <c r="AMT7" s="344"/>
      <c r="AMU7" s="344"/>
      <c r="AMV7" s="344"/>
      <c r="AMW7" s="344"/>
      <c r="AMX7" s="344"/>
      <c r="AMY7" s="344"/>
      <c r="AMZ7" s="344"/>
      <c r="ANA7" s="344"/>
      <c r="ANB7" s="344"/>
      <c r="ANC7" s="344"/>
      <c r="AND7" s="344"/>
      <c r="ANE7" s="344"/>
      <c r="ANF7" s="344"/>
      <c r="ANG7" s="344"/>
      <c r="ANH7" s="344"/>
      <c r="ANI7" s="344"/>
      <c r="ANJ7" s="344"/>
      <c r="ANK7" s="344"/>
      <c r="ANL7" s="344"/>
      <c r="ANM7" s="344"/>
      <c r="ANN7" s="344"/>
      <c r="ANO7" s="344"/>
      <c r="ANP7" s="344"/>
      <c r="ANQ7" s="344"/>
      <c r="ANR7" s="344"/>
      <c r="ANS7" s="344"/>
      <c r="ANT7" s="344"/>
      <c r="ANU7" s="344"/>
      <c r="ANV7" s="344"/>
      <c r="ANW7" s="344"/>
      <c r="ANX7" s="344"/>
      <c r="ANY7" s="344"/>
      <c r="ANZ7" s="344"/>
      <c r="AOA7" s="344"/>
      <c r="AOB7" s="344"/>
      <c r="AOC7" s="344"/>
      <c r="AOD7" s="344"/>
      <c r="AOE7" s="344"/>
      <c r="AOF7" s="344"/>
      <c r="AOG7" s="344"/>
      <c r="AOH7" s="344"/>
      <c r="AOI7" s="344"/>
      <c r="AOJ7" s="344"/>
      <c r="AOK7" s="344"/>
      <c r="AOL7" s="344"/>
      <c r="AOM7" s="344"/>
      <c r="AON7" s="344"/>
      <c r="AOO7" s="344"/>
      <c r="AOP7" s="344"/>
      <c r="AOQ7" s="344"/>
      <c r="AOR7" s="344"/>
      <c r="AOS7" s="344"/>
      <c r="AOT7" s="344"/>
      <c r="AOU7" s="344"/>
      <c r="AOV7" s="344"/>
      <c r="AOW7" s="344"/>
      <c r="AOX7" s="344"/>
      <c r="AOY7" s="344"/>
      <c r="AOZ7" s="344"/>
      <c r="APA7" s="344"/>
      <c r="APB7" s="344"/>
      <c r="APC7" s="344"/>
      <c r="APD7" s="344"/>
      <c r="APE7" s="344"/>
      <c r="APF7" s="344"/>
      <c r="APG7" s="344"/>
      <c r="APH7" s="344"/>
      <c r="API7" s="344"/>
      <c r="APJ7" s="344"/>
      <c r="APK7" s="344"/>
      <c r="APL7" s="344"/>
      <c r="APM7" s="344"/>
      <c r="APN7" s="344"/>
      <c r="APO7" s="344"/>
      <c r="APP7" s="344"/>
      <c r="APQ7" s="344"/>
      <c r="APR7" s="344"/>
      <c r="APS7" s="344"/>
      <c r="APT7" s="344"/>
      <c r="APU7" s="344"/>
      <c r="APV7" s="344"/>
      <c r="APW7" s="344"/>
      <c r="APX7" s="344"/>
      <c r="APY7" s="344"/>
      <c r="APZ7" s="344"/>
      <c r="AQA7" s="344"/>
      <c r="AQB7" s="344"/>
      <c r="AQC7" s="344"/>
      <c r="AQD7" s="344"/>
      <c r="AQE7" s="344"/>
      <c r="AQF7" s="344"/>
      <c r="AQG7" s="344"/>
      <c r="AQH7" s="344"/>
      <c r="AQI7" s="344"/>
      <c r="AQJ7" s="344"/>
      <c r="AQK7" s="344"/>
      <c r="AQL7" s="344"/>
      <c r="AQM7" s="344"/>
      <c r="AQN7" s="344"/>
      <c r="AQO7" s="344"/>
      <c r="AQP7" s="344"/>
      <c r="AQQ7" s="344"/>
      <c r="AQR7" s="344"/>
      <c r="AQS7" s="344"/>
      <c r="AQT7" s="344"/>
      <c r="AQU7" s="344"/>
      <c r="AQV7" s="344"/>
      <c r="AQW7" s="344"/>
      <c r="AQX7" s="344"/>
      <c r="AQY7" s="344"/>
      <c r="AQZ7" s="344"/>
      <c r="ARA7" s="344"/>
      <c r="ARB7" s="344"/>
      <c r="ARC7" s="344"/>
      <c r="ARD7" s="344"/>
      <c r="ARE7" s="344"/>
      <c r="ARF7" s="344"/>
      <c r="ARG7" s="344"/>
      <c r="ARH7" s="344"/>
      <c r="ARI7" s="344"/>
      <c r="ARJ7" s="344"/>
      <c r="ARK7" s="344"/>
      <c r="ARL7" s="344"/>
      <c r="ARM7" s="344"/>
      <c r="ARN7" s="344"/>
      <c r="ARO7" s="344"/>
      <c r="ARP7" s="344"/>
      <c r="ARQ7" s="344"/>
      <c r="ARR7" s="344"/>
      <c r="ARS7" s="344"/>
      <c r="ART7" s="344"/>
      <c r="ARU7" s="344"/>
      <c r="ARV7" s="344"/>
      <c r="ARW7" s="344"/>
      <c r="ARX7" s="344"/>
      <c r="ARY7" s="344"/>
      <c r="ARZ7" s="344"/>
      <c r="ASA7" s="344"/>
      <c r="ASB7" s="344"/>
      <c r="ASC7" s="344"/>
      <c r="ASD7" s="344"/>
      <c r="ASE7" s="344"/>
      <c r="ASF7" s="344"/>
      <c r="ASG7" s="344"/>
      <c r="ASH7" s="344"/>
      <c r="ASI7" s="344"/>
      <c r="ASJ7" s="344"/>
      <c r="ASK7" s="344"/>
      <c r="ASL7" s="344"/>
      <c r="ASM7" s="344"/>
      <c r="ASN7" s="344"/>
      <c r="ASO7" s="344"/>
      <c r="ASP7" s="344"/>
      <c r="ASQ7" s="344"/>
      <c r="ASR7" s="344"/>
      <c r="ASS7" s="344"/>
      <c r="AST7" s="344"/>
      <c r="ASU7" s="344"/>
      <c r="ASV7" s="344"/>
      <c r="ASW7" s="344"/>
      <c r="ASX7" s="344"/>
      <c r="ASY7" s="344"/>
      <c r="ASZ7" s="344"/>
      <c r="ATA7" s="344"/>
      <c r="ATB7" s="344"/>
      <c r="ATC7" s="344"/>
      <c r="ATD7" s="344"/>
      <c r="ATE7" s="344"/>
      <c r="ATF7" s="344"/>
      <c r="ATG7" s="344"/>
      <c r="ATH7" s="344"/>
      <c r="ATI7" s="344"/>
      <c r="ATJ7" s="344"/>
      <c r="ATK7" s="344"/>
      <c r="ATL7" s="344"/>
      <c r="ATM7" s="344"/>
      <c r="ATN7" s="344"/>
      <c r="ATO7" s="344"/>
      <c r="ATP7" s="344"/>
      <c r="ATQ7" s="344"/>
      <c r="ATR7" s="344"/>
      <c r="ATS7" s="344"/>
      <c r="ATT7" s="344"/>
      <c r="ATU7" s="344"/>
      <c r="ATV7" s="344"/>
      <c r="ATW7" s="344"/>
      <c r="ATX7" s="344"/>
      <c r="ATY7" s="344"/>
      <c r="ATZ7" s="344"/>
      <c r="AUA7" s="344"/>
      <c r="AUB7" s="344"/>
      <c r="AUC7" s="344"/>
      <c r="AUD7" s="344"/>
      <c r="AUE7" s="344"/>
      <c r="AUF7" s="344"/>
      <c r="AUG7" s="344"/>
      <c r="AUH7" s="344"/>
      <c r="AUI7" s="344"/>
      <c r="AUJ7" s="344"/>
      <c r="AUK7" s="344"/>
      <c r="AUL7" s="344"/>
      <c r="AUM7" s="344"/>
      <c r="AUN7" s="344"/>
      <c r="AUO7" s="344"/>
      <c r="AUP7" s="344"/>
      <c r="AUQ7" s="344"/>
      <c r="AUR7" s="344"/>
      <c r="AUS7" s="344"/>
      <c r="AUT7" s="344"/>
      <c r="AUU7" s="344"/>
      <c r="AUV7" s="344"/>
      <c r="AUW7" s="344"/>
      <c r="AUX7" s="344"/>
      <c r="AUY7" s="344"/>
      <c r="AUZ7" s="344"/>
      <c r="AVA7" s="344"/>
      <c r="AVB7" s="344"/>
      <c r="AVC7" s="344"/>
      <c r="AVD7" s="344"/>
      <c r="AVE7" s="344"/>
      <c r="AVF7" s="344"/>
      <c r="AVG7" s="344"/>
      <c r="AVH7" s="344"/>
      <c r="AVI7" s="344"/>
      <c r="AVJ7" s="344"/>
      <c r="AVK7" s="344"/>
      <c r="AVL7" s="344"/>
      <c r="AVM7" s="344"/>
      <c r="AVN7" s="344"/>
      <c r="AVO7" s="344"/>
      <c r="AVP7" s="344"/>
      <c r="AVQ7" s="344"/>
      <c r="AVR7" s="344"/>
      <c r="AVS7" s="344"/>
      <c r="AVT7" s="344"/>
      <c r="AVU7" s="344"/>
      <c r="AVV7" s="344"/>
      <c r="AVW7" s="344"/>
      <c r="AVX7" s="344"/>
      <c r="AVY7" s="344"/>
      <c r="AVZ7" s="344"/>
      <c r="AWA7" s="344"/>
      <c r="AWB7" s="344"/>
      <c r="AWC7" s="344"/>
      <c r="AWD7" s="344"/>
      <c r="AWE7" s="344"/>
      <c r="AWF7" s="344"/>
      <c r="AWG7" s="344"/>
      <c r="AWH7" s="344"/>
      <c r="AWI7" s="344"/>
      <c r="AWJ7" s="344"/>
      <c r="AWK7" s="344"/>
      <c r="AWL7" s="344"/>
      <c r="AWM7" s="344"/>
      <c r="AWN7" s="344"/>
      <c r="AWO7" s="344"/>
      <c r="AWP7" s="344"/>
      <c r="AWQ7" s="344"/>
      <c r="AWR7" s="344"/>
      <c r="AWS7" s="344"/>
      <c r="AWT7" s="344"/>
      <c r="AWU7" s="344"/>
      <c r="AWV7" s="344"/>
      <c r="AWW7" s="344"/>
      <c r="AWX7" s="344"/>
      <c r="AWY7" s="344"/>
      <c r="AWZ7" s="344"/>
      <c r="AXA7" s="344"/>
      <c r="AXB7" s="344"/>
      <c r="AXC7" s="344"/>
      <c r="AXD7" s="344"/>
      <c r="AXE7" s="344"/>
      <c r="AXF7" s="344"/>
      <c r="AXG7" s="344"/>
      <c r="AXH7" s="344"/>
      <c r="AXI7" s="344"/>
      <c r="AXJ7" s="344"/>
      <c r="AXK7" s="344"/>
      <c r="AXL7" s="344"/>
      <c r="AXM7" s="344"/>
      <c r="AXN7" s="344"/>
      <c r="AXO7" s="344"/>
      <c r="AXP7" s="344"/>
      <c r="AXQ7" s="344"/>
      <c r="AXR7" s="344"/>
      <c r="AXS7" s="344"/>
      <c r="AXT7" s="344"/>
      <c r="AXU7" s="344"/>
      <c r="AXV7" s="344"/>
      <c r="AXW7" s="344"/>
      <c r="AXX7" s="344"/>
      <c r="AXY7" s="344"/>
      <c r="AXZ7" s="344"/>
      <c r="AYA7" s="344"/>
      <c r="AYB7" s="344"/>
      <c r="AYC7" s="344"/>
      <c r="AYD7" s="344"/>
      <c r="AYE7" s="344"/>
      <c r="AYF7" s="344"/>
      <c r="AYG7" s="344"/>
      <c r="AYH7" s="344"/>
      <c r="AYI7" s="344"/>
      <c r="AYJ7" s="344"/>
      <c r="AYK7" s="344"/>
      <c r="AYL7" s="344"/>
      <c r="AYM7" s="344"/>
      <c r="AYN7" s="344"/>
      <c r="AYO7" s="344"/>
      <c r="AYP7" s="344"/>
      <c r="AYQ7" s="344"/>
      <c r="AYR7" s="344"/>
      <c r="AYS7" s="344"/>
      <c r="AYT7" s="344"/>
      <c r="AYU7" s="344"/>
      <c r="AYV7" s="344"/>
      <c r="AYW7" s="344"/>
      <c r="AYX7" s="344"/>
      <c r="AYY7" s="344"/>
      <c r="AYZ7" s="344"/>
      <c r="AZA7" s="344"/>
      <c r="AZB7" s="344"/>
      <c r="AZC7" s="344"/>
      <c r="AZD7" s="344"/>
      <c r="AZE7" s="344"/>
      <c r="AZF7" s="344"/>
      <c r="AZG7" s="344"/>
      <c r="AZH7" s="344"/>
      <c r="AZI7" s="344"/>
      <c r="AZJ7" s="344"/>
      <c r="AZK7" s="344"/>
      <c r="AZL7" s="344"/>
      <c r="AZM7" s="344"/>
      <c r="AZN7" s="344"/>
      <c r="AZO7" s="344"/>
      <c r="AZP7" s="344"/>
      <c r="AZQ7" s="344"/>
      <c r="AZR7" s="344"/>
      <c r="AZS7" s="344"/>
      <c r="AZT7" s="344"/>
      <c r="AZU7" s="344"/>
      <c r="AZV7" s="344"/>
      <c r="AZW7" s="344"/>
      <c r="AZX7" s="344"/>
      <c r="AZY7" s="344"/>
      <c r="AZZ7" s="344"/>
      <c r="BAA7" s="344"/>
      <c r="BAB7" s="344"/>
      <c r="BAC7" s="344"/>
      <c r="BAD7" s="344"/>
      <c r="BAE7" s="344"/>
      <c r="BAF7" s="344"/>
      <c r="BAG7" s="344"/>
      <c r="BAH7" s="344"/>
      <c r="BAI7" s="344"/>
      <c r="BAJ7" s="344"/>
      <c r="BAK7" s="344"/>
      <c r="BAL7" s="344"/>
      <c r="BAM7" s="344"/>
      <c r="BAN7" s="344"/>
      <c r="BAO7" s="344"/>
      <c r="BAP7" s="344"/>
      <c r="BAQ7" s="344"/>
      <c r="BAR7" s="344"/>
      <c r="BAS7" s="344"/>
      <c r="BAT7" s="344"/>
      <c r="BAU7" s="344"/>
      <c r="BAV7" s="344"/>
      <c r="BAW7" s="344"/>
      <c r="BAX7" s="344"/>
      <c r="BAY7" s="344"/>
      <c r="BAZ7" s="344"/>
      <c r="BBA7" s="344"/>
      <c r="BBB7" s="344"/>
      <c r="BBC7" s="344"/>
      <c r="BBD7" s="344"/>
      <c r="BBE7" s="344"/>
      <c r="BBF7" s="344"/>
      <c r="BBG7" s="344"/>
      <c r="BBH7" s="344"/>
      <c r="BBI7" s="344"/>
      <c r="BBJ7" s="344"/>
      <c r="BBK7" s="344"/>
      <c r="BBL7" s="344"/>
      <c r="BBM7" s="344"/>
      <c r="BBN7" s="344"/>
      <c r="BBO7" s="344"/>
      <c r="BBP7" s="344"/>
      <c r="BBQ7" s="344"/>
      <c r="BBR7" s="344"/>
      <c r="BBS7" s="344"/>
      <c r="BBT7" s="344"/>
      <c r="BBU7" s="344"/>
      <c r="BBV7" s="344"/>
      <c r="BBW7" s="344"/>
      <c r="BBX7" s="344"/>
      <c r="BBY7" s="344"/>
      <c r="BBZ7" s="344"/>
      <c r="BCA7" s="344"/>
      <c r="BCB7" s="344"/>
      <c r="BCC7" s="344"/>
      <c r="BCD7" s="344"/>
      <c r="BCE7" s="344"/>
      <c r="BCF7" s="344"/>
      <c r="BCG7" s="344"/>
      <c r="BCH7" s="344"/>
      <c r="BCI7" s="344"/>
      <c r="BCJ7" s="344"/>
      <c r="BCK7" s="344"/>
      <c r="BCL7" s="344"/>
      <c r="BCM7" s="344"/>
      <c r="BCN7" s="344"/>
      <c r="BCO7" s="344"/>
      <c r="BCP7" s="344"/>
      <c r="BCQ7" s="344"/>
      <c r="BCR7" s="344"/>
      <c r="BCS7" s="344"/>
      <c r="BCT7" s="344"/>
      <c r="BCU7" s="344"/>
      <c r="BCV7" s="344"/>
      <c r="BCW7" s="344"/>
      <c r="BCX7" s="344"/>
      <c r="BCY7" s="344"/>
      <c r="BCZ7" s="344"/>
      <c r="BDA7" s="344"/>
      <c r="BDB7" s="344"/>
      <c r="BDC7" s="344"/>
      <c r="BDD7" s="344"/>
      <c r="BDE7" s="344"/>
      <c r="BDF7" s="344"/>
      <c r="BDG7" s="344"/>
      <c r="BDH7" s="344"/>
      <c r="BDI7" s="344"/>
      <c r="BDJ7" s="344"/>
      <c r="BDK7" s="344"/>
      <c r="BDL7" s="344"/>
      <c r="BDM7" s="344"/>
      <c r="BDN7" s="344"/>
      <c r="BDO7" s="344"/>
      <c r="BDP7" s="344"/>
      <c r="BDQ7" s="344"/>
      <c r="BDR7" s="344"/>
      <c r="BDS7" s="344"/>
      <c r="BDT7" s="344"/>
      <c r="BDU7" s="344"/>
      <c r="BDV7" s="344"/>
      <c r="BDW7" s="344"/>
      <c r="BDX7" s="344"/>
      <c r="BDY7" s="344"/>
      <c r="BDZ7" s="344"/>
      <c r="BEA7" s="344"/>
      <c r="BEB7" s="344"/>
      <c r="BEC7" s="344"/>
      <c r="BED7" s="344"/>
      <c r="BEE7" s="344"/>
      <c r="BEF7" s="344"/>
      <c r="BEG7" s="344"/>
      <c r="BEH7" s="344"/>
      <c r="BEI7" s="344"/>
      <c r="BEJ7" s="344"/>
      <c r="BEK7" s="344"/>
      <c r="BEL7" s="344"/>
      <c r="BEM7" s="344"/>
      <c r="BEN7" s="344"/>
      <c r="BEO7" s="344"/>
      <c r="BEP7" s="344"/>
      <c r="BEQ7" s="344"/>
      <c r="BER7" s="344"/>
      <c r="BES7" s="344"/>
      <c r="BET7" s="344"/>
      <c r="BEU7" s="344"/>
      <c r="BEV7" s="344"/>
      <c r="BEW7" s="344"/>
      <c r="BEX7" s="344"/>
      <c r="BEY7" s="344"/>
      <c r="BEZ7" s="344"/>
      <c r="BFA7" s="344"/>
      <c r="BFB7" s="344"/>
      <c r="BFC7" s="344"/>
      <c r="BFD7" s="344"/>
      <c r="BFE7" s="344"/>
      <c r="BFF7" s="344"/>
      <c r="BFG7" s="344"/>
      <c r="BFH7" s="344"/>
      <c r="BFI7" s="344"/>
      <c r="BFJ7" s="344"/>
      <c r="BFK7" s="344"/>
      <c r="BFL7" s="344"/>
      <c r="BFM7" s="344"/>
      <c r="BFN7" s="344"/>
      <c r="BFO7" s="344"/>
      <c r="BFP7" s="344"/>
      <c r="BFQ7" s="344"/>
      <c r="BFR7" s="344"/>
      <c r="BFS7" s="344"/>
      <c r="BFT7" s="344"/>
      <c r="BFU7" s="344"/>
      <c r="BFV7" s="344"/>
      <c r="BFW7" s="344"/>
      <c r="BFX7" s="344"/>
      <c r="BFY7" s="344"/>
      <c r="BFZ7" s="344"/>
      <c r="BGA7" s="344"/>
      <c r="BGB7" s="344"/>
      <c r="BGC7" s="344"/>
      <c r="BGD7" s="344"/>
      <c r="BGE7" s="344"/>
      <c r="BGF7" s="344"/>
      <c r="BGG7" s="344"/>
      <c r="BGH7" s="344"/>
      <c r="BGI7" s="344"/>
      <c r="BGJ7" s="344"/>
      <c r="BGK7" s="344"/>
      <c r="BGL7" s="344"/>
      <c r="BGM7" s="344"/>
      <c r="BGN7" s="344"/>
      <c r="BGO7" s="344"/>
      <c r="BGP7" s="344"/>
      <c r="BGQ7" s="344"/>
      <c r="BGR7" s="344"/>
      <c r="BGS7" s="344"/>
      <c r="BGT7" s="344"/>
      <c r="BGU7" s="344"/>
      <c r="BGV7" s="344"/>
      <c r="BGW7" s="344"/>
      <c r="BGX7" s="344"/>
      <c r="BGY7" s="344"/>
      <c r="BGZ7" s="344"/>
      <c r="BHA7" s="344"/>
      <c r="BHB7" s="344"/>
      <c r="BHC7" s="344"/>
      <c r="BHD7" s="344"/>
      <c r="BHE7" s="344"/>
      <c r="BHF7" s="344"/>
      <c r="BHG7" s="344"/>
      <c r="BHH7" s="344"/>
      <c r="BHI7" s="344"/>
      <c r="BHJ7" s="344"/>
      <c r="BHK7" s="344"/>
      <c r="BHL7" s="344"/>
      <c r="BHM7" s="344"/>
      <c r="BHN7" s="344"/>
      <c r="BHO7" s="344"/>
      <c r="BHP7" s="344"/>
      <c r="BHQ7" s="344"/>
      <c r="BHR7" s="344"/>
      <c r="BHS7" s="344"/>
      <c r="BHT7" s="344"/>
      <c r="BHU7" s="344"/>
      <c r="BHV7" s="344"/>
      <c r="BHW7" s="344"/>
      <c r="BHX7" s="344"/>
      <c r="BHY7" s="344"/>
      <c r="BHZ7" s="344"/>
      <c r="BIA7" s="344"/>
      <c r="BIB7" s="344"/>
      <c r="BIC7" s="344"/>
      <c r="BID7" s="344"/>
      <c r="BIE7" s="344"/>
      <c r="BIF7" s="344"/>
      <c r="BIG7" s="344"/>
      <c r="BIH7" s="344"/>
      <c r="BII7" s="344"/>
      <c r="BIJ7" s="344"/>
      <c r="BIK7" s="344"/>
      <c r="BIL7" s="344"/>
      <c r="BIM7" s="344"/>
      <c r="BIN7" s="344"/>
      <c r="BIO7" s="344"/>
      <c r="BIP7" s="344"/>
      <c r="BIQ7" s="344"/>
      <c r="BIR7" s="344"/>
      <c r="BIS7" s="344"/>
      <c r="BIT7" s="344"/>
      <c r="BIU7" s="344"/>
      <c r="BIV7" s="344"/>
      <c r="BIW7" s="344"/>
      <c r="BIX7" s="344"/>
      <c r="BIY7" s="344"/>
      <c r="BIZ7" s="344"/>
      <c r="BJA7" s="344"/>
      <c r="BJB7" s="344"/>
      <c r="BJC7" s="344"/>
      <c r="BJD7" s="344"/>
      <c r="BJE7" s="344"/>
      <c r="BJF7" s="344"/>
      <c r="BJG7" s="344"/>
      <c r="BJH7" s="344"/>
      <c r="BJI7" s="344"/>
      <c r="BJJ7" s="344"/>
      <c r="BJK7" s="344"/>
      <c r="BJL7" s="344"/>
      <c r="BJM7" s="344"/>
      <c r="BJN7" s="344"/>
      <c r="BJO7" s="344"/>
      <c r="BJP7" s="344"/>
      <c r="BJQ7" s="344"/>
      <c r="BJR7" s="344"/>
      <c r="BJS7" s="344"/>
      <c r="BJT7" s="344"/>
      <c r="BJU7" s="344"/>
      <c r="BJV7" s="344"/>
      <c r="BJW7" s="344"/>
      <c r="BJX7" s="344"/>
      <c r="BJY7" s="344"/>
      <c r="BJZ7" s="344"/>
      <c r="BKA7" s="344"/>
      <c r="BKB7" s="344"/>
      <c r="BKC7" s="344"/>
      <c r="BKD7" s="344"/>
      <c r="BKE7" s="344"/>
      <c r="BKF7" s="344"/>
      <c r="BKG7" s="344"/>
      <c r="BKH7" s="344"/>
      <c r="BKI7" s="344"/>
      <c r="BKJ7" s="344"/>
      <c r="BKK7" s="344"/>
      <c r="BKL7" s="344"/>
      <c r="BKM7" s="344"/>
      <c r="BKN7" s="344"/>
      <c r="BKO7" s="344"/>
      <c r="BKP7" s="344"/>
      <c r="BKQ7" s="344"/>
      <c r="BKR7" s="344"/>
      <c r="BKS7" s="344"/>
      <c r="BKT7" s="344"/>
      <c r="BKU7" s="344"/>
      <c r="BKV7" s="344"/>
      <c r="BKW7" s="344"/>
      <c r="BKX7" s="344"/>
      <c r="BKY7" s="344"/>
      <c r="BKZ7" s="344"/>
      <c r="BLA7" s="344"/>
      <c r="BLB7" s="344"/>
      <c r="BLC7" s="344"/>
      <c r="BLD7" s="344"/>
      <c r="BLE7" s="344"/>
      <c r="BLF7" s="344"/>
      <c r="BLG7" s="344"/>
      <c r="BLH7" s="344"/>
      <c r="BLI7" s="344"/>
      <c r="BLJ7" s="344"/>
      <c r="BLK7" s="344"/>
      <c r="BLL7" s="344"/>
      <c r="BLM7" s="344"/>
      <c r="BLN7" s="344"/>
      <c r="BLO7" s="344"/>
      <c r="BLP7" s="344"/>
      <c r="BLQ7" s="344"/>
      <c r="BLR7" s="344"/>
      <c r="BLS7" s="344"/>
      <c r="BLT7" s="344"/>
      <c r="BLU7" s="344"/>
      <c r="BLV7" s="344"/>
      <c r="BLW7" s="344"/>
      <c r="BLX7" s="344"/>
      <c r="BLY7" s="344"/>
      <c r="BLZ7" s="344"/>
      <c r="BMA7" s="344"/>
      <c r="BMB7" s="344"/>
      <c r="BMC7" s="344"/>
      <c r="BMD7" s="344"/>
      <c r="BME7" s="344"/>
      <c r="BMF7" s="344"/>
      <c r="BMG7" s="344"/>
      <c r="BMH7" s="344"/>
      <c r="BMI7" s="344"/>
      <c r="BMJ7" s="344"/>
      <c r="BMK7" s="344"/>
      <c r="BML7" s="344"/>
      <c r="BMM7" s="344"/>
      <c r="BMN7" s="344"/>
      <c r="BMO7" s="344"/>
      <c r="BMP7" s="344"/>
      <c r="BMQ7" s="344"/>
      <c r="BMR7" s="344"/>
      <c r="BMS7" s="344"/>
      <c r="BMT7" s="344"/>
      <c r="BMU7" s="344"/>
      <c r="BMV7" s="344"/>
      <c r="BMW7" s="344"/>
      <c r="BMX7" s="344"/>
      <c r="BMY7" s="344"/>
      <c r="BMZ7" s="344"/>
      <c r="BNA7" s="344"/>
      <c r="BNB7" s="344"/>
      <c r="BNC7" s="344"/>
      <c r="BND7" s="344"/>
      <c r="BNE7" s="344"/>
      <c r="BNF7" s="344"/>
      <c r="BNG7" s="344"/>
      <c r="BNH7" s="344"/>
      <c r="BNI7" s="344"/>
      <c r="BNJ7" s="344"/>
      <c r="BNK7" s="344"/>
      <c r="BNL7" s="344"/>
      <c r="BNM7" s="344"/>
      <c r="BNN7" s="344"/>
      <c r="BNO7" s="344"/>
      <c r="BNP7" s="344"/>
      <c r="BNQ7" s="344"/>
      <c r="BNR7" s="344"/>
      <c r="BNS7" s="344"/>
      <c r="BNT7" s="344"/>
      <c r="BNU7" s="344"/>
      <c r="BNV7" s="344"/>
      <c r="BNW7" s="344"/>
      <c r="BNX7" s="344"/>
      <c r="BNY7" s="344"/>
      <c r="BNZ7" s="344"/>
      <c r="BOA7" s="344"/>
      <c r="BOB7" s="344"/>
      <c r="BOC7" s="344"/>
      <c r="BOD7" s="344"/>
      <c r="BOE7" s="344"/>
      <c r="BOF7" s="344"/>
      <c r="BOG7" s="344"/>
      <c r="BOH7" s="344"/>
      <c r="BOI7" s="344"/>
      <c r="BOJ7" s="344"/>
      <c r="BOK7" s="344"/>
      <c r="BOL7" s="344"/>
      <c r="BOM7" s="344"/>
      <c r="BON7" s="344"/>
      <c r="BOO7" s="344"/>
      <c r="BOP7" s="344"/>
      <c r="BOQ7" s="344"/>
      <c r="BOR7" s="344"/>
      <c r="BOS7" s="344"/>
      <c r="BOT7" s="344"/>
      <c r="BOU7" s="344"/>
      <c r="BOV7" s="344"/>
      <c r="BOW7" s="344"/>
      <c r="BOX7" s="344"/>
      <c r="BOY7" s="344"/>
      <c r="BOZ7" s="344"/>
      <c r="BPA7" s="344"/>
      <c r="BPB7" s="344"/>
      <c r="BPC7" s="344"/>
      <c r="BPD7" s="344"/>
      <c r="BPE7" s="344"/>
      <c r="BPF7" s="344"/>
      <c r="BPG7" s="344"/>
      <c r="BPH7" s="344"/>
      <c r="BPI7" s="344"/>
      <c r="BPJ7" s="344"/>
      <c r="BPK7" s="344"/>
      <c r="BPL7" s="344"/>
      <c r="BPM7" s="344"/>
      <c r="BPN7" s="344"/>
      <c r="BPO7" s="344"/>
      <c r="BPP7" s="344"/>
      <c r="BPQ7" s="344"/>
      <c r="BPR7" s="344"/>
      <c r="BPS7" s="344"/>
      <c r="BPT7" s="344"/>
      <c r="BPU7" s="344"/>
      <c r="BPV7" s="344"/>
      <c r="BPW7" s="344"/>
      <c r="BPX7" s="344"/>
      <c r="BPY7" s="344"/>
      <c r="BPZ7" s="344"/>
      <c r="BQA7" s="344"/>
      <c r="BQB7" s="344"/>
      <c r="BQC7" s="344"/>
      <c r="BQD7" s="344"/>
      <c r="BQE7" s="344"/>
      <c r="BQF7" s="344"/>
      <c r="BQG7" s="344"/>
      <c r="BQH7" s="344"/>
      <c r="BQI7" s="344"/>
      <c r="BQJ7" s="344"/>
      <c r="BQK7" s="344"/>
      <c r="BQL7" s="344"/>
      <c r="BQM7" s="344"/>
      <c r="BQN7" s="344"/>
      <c r="BQO7" s="344"/>
      <c r="BQP7" s="344"/>
      <c r="BQQ7" s="344"/>
      <c r="BQR7" s="344"/>
      <c r="BQS7" s="344"/>
      <c r="BQT7" s="344"/>
      <c r="BQU7" s="344"/>
      <c r="BQV7" s="344"/>
      <c r="BQW7" s="344"/>
      <c r="BQX7" s="344"/>
      <c r="BQY7" s="344"/>
      <c r="BQZ7" s="344"/>
      <c r="BRA7" s="344"/>
      <c r="BRB7" s="344"/>
      <c r="BRC7" s="344"/>
      <c r="BRD7" s="344"/>
      <c r="BRE7" s="344"/>
      <c r="BRF7" s="344"/>
      <c r="BRG7" s="344"/>
      <c r="BRH7" s="344"/>
      <c r="BRI7" s="344"/>
      <c r="BRJ7" s="344"/>
      <c r="BRK7" s="344"/>
      <c r="BRL7" s="344"/>
      <c r="BRM7" s="344"/>
      <c r="BRN7" s="344"/>
      <c r="BRO7" s="344"/>
      <c r="BRP7" s="344"/>
      <c r="BRQ7" s="344"/>
      <c r="BRR7" s="344"/>
      <c r="BRS7" s="344"/>
      <c r="BRT7" s="344"/>
      <c r="BRU7" s="344"/>
      <c r="BRV7" s="344"/>
      <c r="BRW7" s="344"/>
      <c r="BRX7" s="344"/>
      <c r="BRY7" s="344"/>
      <c r="BRZ7" s="344"/>
      <c r="BSA7" s="344"/>
      <c r="BSB7" s="344"/>
      <c r="BSC7" s="344"/>
      <c r="BSD7" s="344"/>
      <c r="BSE7" s="344"/>
      <c r="BSF7" s="344"/>
      <c r="BSG7" s="344"/>
      <c r="BSH7" s="344"/>
      <c r="BSI7" s="344"/>
      <c r="BSJ7" s="344"/>
      <c r="BSK7" s="344"/>
      <c r="BSL7" s="344"/>
      <c r="BSM7" s="344"/>
      <c r="BSN7" s="344"/>
      <c r="BSO7" s="344"/>
      <c r="BSP7" s="344"/>
      <c r="BSQ7" s="344"/>
      <c r="BSR7" s="344"/>
      <c r="BSS7" s="344"/>
      <c r="BST7" s="344"/>
      <c r="BSU7" s="344"/>
      <c r="BSV7" s="344"/>
      <c r="BSW7" s="344"/>
      <c r="BSX7" s="344"/>
      <c r="BSY7" s="344"/>
      <c r="BSZ7" s="344"/>
      <c r="BTA7" s="344"/>
      <c r="BTB7" s="344"/>
      <c r="BTC7" s="344"/>
      <c r="BTD7" s="344"/>
      <c r="BTE7" s="344"/>
      <c r="BTF7" s="344"/>
      <c r="BTG7" s="344"/>
      <c r="BTH7" s="344"/>
      <c r="BTI7" s="344"/>
      <c r="BTJ7" s="344"/>
      <c r="BTK7" s="344"/>
      <c r="BTL7" s="344"/>
      <c r="BTM7" s="344"/>
      <c r="BTN7" s="344"/>
      <c r="BTO7" s="344"/>
      <c r="BTP7" s="344"/>
      <c r="BTQ7" s="344"/>
      <c r="BTR7" s="344"/>
      <c r="BTS7" s="344"/>
      <c r="BTT7" s="344"/>
      <c r="BTU7" s="344"/>
      <c r="BTV7" s="344"/>
      <c r="BTW7" s="344"/>
      <c r="BTX7" s="344"/>
      <c r="BTY7" s="344"/>
      <c r="BTZ7" s="344"/>
      <c r="BUA7" s="344"/>
      <c r="BUB7" s="344"/>
      <c r="BUC7" s="344"/>
      <c r="BUD7" s="344"/>
      <c r="BUE7" s="344"/>
      <c r="BUF7" s="344"/>
      <c r="BUG7" s="344"/>
      <c r="BUH7" s="344"/>
      <c r="BUI7" s="344"/>
      <c r="BUJ7" s="344"/>
      <c r="BUK7" s="344"/>
      <c r="BUL7" s="344"/>
      <c r="BUM7" s="344"/>
      <c r="BUN7" s="344"/>
      <c r="BUO7" s="344"/>
      <c r="BUP7" s="344"/>
      <c r="BUQ7" s="344"/>
      <c r="BUR7" s="344"/>
      <c r="BUS7" s="344"/>
      <c r="BUT7" s="344"/>
      <c r="BUU7" s="344"/>
      <c r="BUV7" s="344"/>
      <c r="BUW7" s="344"/>
      <c r="BUX7" s="344"/>
      <c r="BUY7" s="344"/>
      <c r="BUZ7" s="344"/>
      <c r="BVA7" s="344"/>
      <c r="BVB7" s="344"/>
      <c r="BVC7" s="344"/>
      <c r="BVD7" s="344"/>
      <c r="BVE7" s="344"/>
      <c r="BVF7" s="344"/>
      <c r="BVG7" s="344"/>
      <c r="BVH7" s="344"/>
      <c r="BVI7" s="344"/>
      <c r="BVJ7" s="344"/>
      <c r="BVK7" s="344"/>
      <c r="BVL7" s="344"/>
      <c r="BVM7" s="344"/>
      <c r="BVN7" s="344"/>
      <c r="BVO7" s="344"/>
      <c r="BVP7" s="344"/>
      <c r="BVQ7" s="344"/>
      <c r="BVR7" s="344"/>
      <c r="BVS7" s="344"/>
      <c r="BVT7" s="344"/>
      <c r="BVU7" s="344"/>
      <c r="BVV7" s="344"/>
      <c r="BVW7" s="344"/>
      <c r="BVX7" s="344"/>
      <c r="BVY7" s="344"/>
      <c r="BVZ7" s="344"/>
      <c r="BWA7" s="344"/>
      <c r="BWB7" s="344"/>
      <c r="BWC7" s="344"/>
      <c r="BWD7" s="344"/>
      <c r="BWE7" s="344"/>
      <c r="BWF7" s="344"/>
      <c r="BWG7" s="344"/>
      <c r="BWH7" s="344"/>
      <c r="BWI7" s="344"/>
      <c r="BWJ7" s="344"/>
      <c r="BWK7" s="344"/>
      <c r="BWL7" s="344"/>
      <c r="BWM7" s="344"/>
      <c r="BWN7" s="344"/>
      <c r="BWO7" s="344"/>
      <c r="BWP7" s="344"/>
      <c r="BWQ7" s="344"/>
      <c r="BWR7" s="344"/>
      <c r="BWS7" s="344"/>
      <c r="BWT7" s="344"/>
      <c r="BWU7" s="344"/>
      <c r="BWV7" s="344"/>
      <c r="BWW7" s="344"/>
      <c r="BWX7" s="344"/>
      <c r="BWY7" s="344"/>
      <c r="BWZ7" s="344"/>
      <c r="BXA7" s="344"/>
      <c r="BXB7" s="344"/>
      <c r="BXC7" s="344"/>
      <c r="BXD7" s="344"/>
      <c r="BXE7" s="344"/>
      <c r="BXF7" s="344"/>
      <c r="BXG7" s="344"/>
      <c r="BXH7" s="344"/>
      <c r="BXI7" s="344"/>
      <c r="BXJ7" s="344"/>
      <c r="BXK7" s="344"/>
      <c r="BXL7" s="344"/>
      <c r="BXM7" s="344"/>
      <c r="BXN7" s="344"/>
      <c r="BXO7" s="344"/>
      <c r="BXP7" s="344"/>
      <c r="BXQ7" s="344"/>
      <c r="BXR7" s="344"/>
      <c r="BXS7" s="344"/>
      <c r="BXT7" s="344"/>
      <c r="BXU7" s="344"/>
      <c r="BXV7" s="344"/>
      <c r="BXW7" s="344"/>
      <c r="BXX7" s="344"/>
      <c r="BXY7" s="344"/>
      <c r="BXZ7" s="344"/>
      <c r="BYA7" s="344"/>
      <c r="BYB7" s="344"/>
      <c r="BYC7" s="344"/>
      <c r="BYD7" s="344"/>
      <c r="BYE7" s="344"/>
      <c r="BYF7" s="344"/>
      <c r="BYG7" s="344"/>
      <c r="BYH7" s="344"/>
      <c r="BYI7" s="344"/>
      <c r="BYJ7" s="344"/>
      <c r="BYK7" s="344"/>
      <c r="BYL7" s="344"/>
      <c r="BYM7" s="344"/>
      <c r="BYN7" s="344"/>
      <c r="BYO7" s="344"/>
      <c r="BYP7" s="344"/>
      <c r="BYQ7" s="344"/>
      <c r="BYR7" s="344"/>
      <c r="BYS7" s="344"/>
      <c r="BYT7" s="344"/>
      <c r="BYU7" s="344"/>
      <c r="BYV7" s="344"/>
      <c r="BYW7" s="344"/>
      <c r="BYX7" s="344"/>
      <c r="BYY7" s="344"/>
      <c r="BYZ7" s="344"/>
      <c r="BZA7" s="344"/>
      <c r="BZB7" s="344"/>
      <c r="BZC7" s="344"/>
      <c r="BZD7" s="344"/>
      <c r="BZE7" s="344"/>
      <c r="BZF7" s="344"/>
      <c r="BZG7" s="344"/>
      <c r="BZH7" s="344"/>
      <c r="BZI7" s="344"/>
      <c r="BZJ7" s="344"/>
      <c r="BZK7" s="344"/>
      <c r="BZL7" s="344"/>
      <c r="BZM7" s="344"/>
      <c r="BZN7" s="344"/>
      <c r="BZO7" s="344"/>
      <c r="BZP7" s="344"/>
      <c r="BZQ7" s="344"/>
      <c r="BZR7" s="344"/>
      <c r="BZS7" s="344"/>
      <c r="BZT7" s="344"/>
      <c r="BZU7" s="344"/>
      <c r="BZV7" s="344"/>
      <c r="BZW7" s="344"/>
      <c r="BZX7" s="344"/>
      <c r="BZY7" s="344"/>
      <c r="BZZ7" s="344"/>
      <c r="CAA7" s="344"/>
      <c r="CAB7" s="344"/>
      <c r="CAC7" s="344"/>
      <c r="CAD7" s="344"/>
      <c r="CAE7" s="344"/>
      <c r="CAF7" s="344"/>
      <c r="CAG7" s="344"/>
      <c r="CAH7" s="344"/>
      <c r="CAI7" s="344"/>
      <c r="CAJ7" s="344"/>
      <c r="CAK7" s="344"/>
      <c r="CAL7" s="344"/>
      <c r="CAM7" s="344"/>
      <c r="CAN7" s="344"/>
      <c r="CAO7" s="344"/>
      <c r="CAP7" s="344"/>
      <c r="CAQ7" s="344"/>
      <c r="CAR7" s="344"/>
      <c r="CAS7" s="344"/>
      <c r="CAT7" s="344"/>
      <c r="CAU7" s="344"/>
      <c r="CAV7" s="344"/>
      <c r="CAW7" s="344"/>
      <c r="CAX7" s="344"/>
      <c r="CAY7" s="344"/>
      <c r="CAZ7" s="344"/>
      <c r="CBA7" s="344"/>
      <c r="CBB7" s="344"/>
      <c r="CBC7" s="344"/>
      <c r="CBD7" s="344"/>
      <c r="CBE7" s="344"/>
      <c r="CBF7" s="344"/>
      <c r="CBG7" s="344"/>
      <c r="CBH7" s="344"/>
      <c r="CBI7" s="344"/>
      <c r="CBJ7" s="344"/>
      <c r="CBK7" s="344"/>
      <c r="CBL7" s="344"/>
      <c r="CBM7" s="344"/>
      <c r="CBN7" s="344"/>
      <c r="CBO7" s="344"/>
      <c r="CBP7" s="344"/>
      <c r="CBQ7" s="344"/>
      <c r="CBR7" s="344"/>
      <c r="CBS7" s="344"/>
      <c r="CBT7" s="344"/>
      <c r="CBU7" s="344"/>
      <c r="CBV7" s="344"/>
      <c r="CBW7" s="344"/>
      <c r="CBX7" s="344"/>
      <c r="CBY7" s="344"/>
      <c r="CBZ7" s="344"/>
      <c r="CCA7" s="344"/>
      <c r="CCB7" s="344"/>
      <c r="CCC7" s="344"/>
      <c r="CCD7" s="344"/>
      <c r="CCE7" s="344"/>
      <c r="CCF7" s="344"/>
      <c r="CCG7" s="344"/>
      <c r="CCH7" s="344"/>
      <c r="CCI7" s="344"/>
      <c r="CCJ7" s="344"/>
      <c r="CCK7" s="344"/>
      <c r="CCL7" s="344"/>
      <c r="CCM7" s="344"/>
      <c r="CCN7" s="344"/>
      <c r="CCO7" s="344"/>
      <c r="CCP7" s="344"/>
      <c r="CCQ7" s="344"/>
      <c r="CCR7" s="344"/>
      <c r="CCS7" s="344"/>
      <c r="CCT7" s="344"/>
      <c r="CCU7" s="344"/>
      <c r="CCV7" s="344"/>
      <c r="CCW7" s="344"/>
      <c r="CCX7" s="344"/>
      <c r="CCY7" s="344"/>
      <c r="CCZ7" s="344"/>
      <c r="CDA7" s="344"/>
      <c r="CDB7" s="344"/>
      <c r="CDC7" s="344"/>
      <c r="CDD7" s="344"/>
      <c r="CDE7" s="344"/>
      <c r="CDF7" s="344"/>
      <c r="CDG7" s="344"/>
      <c r="CDH7" s="344"/>
      <c r="CDI7" s="344"/>
      <c r="CDJ7" s="344"/>
      <c r="CDK7" s="344"/>
      <c r="CDL7" s="344"/>
      <c r="CDM7" s="344"/>
      <c r="CDN7" s="344"/>
      <c r="CDO7" s="344"/>
      <c r="CDP7" s="344"/>
      <c r="CDQ7" s="344"/>
      <c r="CDR7" s="344"/>
      <c r="CDS7" s="344"/>
      <c r="CDT7" s="344"/>
      <c r="CDU7" s="344"/>
      <c r="CDV7" s="344"/>
      <c r="CDW7" s="344"/>
      <c r="CDX7" s="344"/>
      <c r="CDY7" s="344"/>
      <c r="CDZ7" s="344"/>
      <c r="CEA7" s="344"/>
      <c r="CEB7" s="344"/>
      <c r="CEC7" s="344"/>
      <c r="CED7" s="344"/>
      <c r="CEE7" s="344"/>
      <c r="CEF7" s="344"/>
      <c r="CEG7" s="344"/>
      <c r="CEH7" s="344"/>
      <c r="CEI7" s="344"/>
      <c r="CEJ7" s="344"/>
      <c r="CEK7" s="344"/>
      <c r="CEL7" s="344"/>
      <c r="CEM7" s="344"/>
      <c r="CEN7" s="344"/>
      <c r="CEO7" s="344"/>
      <c r="CEP7" s="344"/>
      <c r="CEQ7" s="344"/>
      <c r="CER7" s="344"/>
      <c r="CES7" s="344"/>
      <c r="CET7" s="344"/>
      <c r="CEU7" s="344"/>
      <c r="CEV7" s="344"/>
      <c r="CEW7" s="344"/>
      <c r="CEX7" s="344"/>
      <c r="CEY7" s="344"/>
      <c r="CEZ7" s="344"/>
      <c r="CFA7" s="344"/>
      <c r="CFB7" s="344"/>
      <c r="CFC7" s="344"/>
      <c r="CFD7" s="344"/>
      <c r="CFE7" s="344"/>
      <c r="CFF7" s="344"/>
      <c r="CFG7" s="344"/>
      <c r="CFH7" s="344"/>
      <c r="CFI7" s="344"/>
      <c r="CFJ7" s="344"/>
      <c r="CFK7" s="344"/>
      <c r="CFL7" s="344"/>
      <c r="CFM7" s="344"/>
      <c r="CFN7" s="344"/>
      <c r="CFO7" s="344"/>
      <c r="CFP7" s="344"/>
      <c r="CFQ7" s="344"/>
      <c r="CFR7" s="344"/>
      <c r="CFS7" s="344"/>
      <c r="CFT7" s="344"/>
      <c r="CFU7" s="344"/>
      <c r="CFV7" s="344"/>
      <c r="CFW7" s="344"/>
      <c r="CFX7" s="344"/>
      <c r="CFY7" s="344"/>
      <c r="CFZ7" s="344"/>
      <c r="CGA7" s="344"/>
      <c r="CGB7" s="344"/>
      <c r="CGC7" s="344"/>
      <c r="CGD7" s="344"/>
      <c r="CGE7" s="344"/>
      <c r="CGF7" s="344"/>
      <c r="CGG7" s="344"/>
      <c r="CGH7" s="344"/>
      <c r="CGI7" s="344"/>
      <c r="CGJ7" s="344"/>
      <c r="CGK7" s="344"/>
      <c r="CGL7" s="344"/>
      <c r="CGM7" s="344"/>
      <c r="CGN7" s="344"/>
      <c r="CGO7" s="344"/>
      <c r="CGP7" s="344"/>
      <c r="CGQ7" s="344"/>
      <c r="CGR7" s="344"/>
      <c r="CGS7" s="344"/>
      <c r="CGT7" s="344"/>
      <c r="CGU7" s="344"/>
      <c r="CGV7" s="344"/>
      <c r="CGW7" s="344"/>
      <c r="CGX7" s="344"/>
      <c r="CGY7" s="344"/>
      <c r="CGZ7" s="344"/>
      <c r="CHA7" s="344"/>
      <c r="CHB7" s="344"/>
      <c r="CHC7" s="344"/>
      <c r="CHD7" s="344"/>
      <c r="CHE7" s="344"/>
      <c r="CHF7" s="344"/>
      <c r="CHG7" s="344"/>
      <c r="CHH7" s="344"/>
      <c r="CHI7" s="344"/>
      <c r="CHJ7" s="344"/>
      <c r="CHK7" s="344"/>
      <c r="CHL7" s="344"/>
      <c r="CHM7" s="344"/>
      <c r="CHN7" s="344"/>
      <c r="CHO7" s="344"/>
      <c r="CHP7" s="344"/>
      <c r="CHQ7" s="344"/>
      <c r="CHR7" s="344"/>
      <c r="CHS7" s="344"/>
      <c r="CHT7" s="344"/>
      <c r="CHU7" s="344"/>
      <c r="CHV7" s="344"/>
      <c r="CHW7" s="344"/>
      <c r="CHX7" s="344"/>
      <c r="CHY7" s="344"/>
      <c r="CHZ7" s="344"/>
      <c r="CIA7" s="344"/>
      <c r="CIB7" s="344"/>
      <c r="CIC7" s="344"/>
      <c r="CID7" s="344"/>
      <c r="CIE7" s="344"/>
      <c r="CIF7" s="344"/>
      <c r="CIG7" s="344"/>
      <c r="CIH7" s="344"/>
      <c r="CII7" s="344"/>
      <c r="CIJ7" s="344"/>
      <c r="CIK7" s="344"/>
      <c r="CIL7" s="344"/>
      <c r="CIM7" s="344"/>
      <c r="CIN7" s="344"/>
      <c r="CIO7" s="344"/>
      <c r="CIP7" s="344"/>
      <c r="CIQ7" s="344"/>
      <c r="CIR7" s="344"/>
      <c r="CIS7" s="344"/>
      <c r="CIT7" s="344"/>
      <c r="CIU7" s="344"/>
      <c r="CIV7" s="344"/>
      <c r="CIW7" s="344"/>
      <c r="CIX7" s="344"/>
      <c r="CIY7" s="344"/>
      <c r="CIZ7" s="344"/>
      <c r="CJA7" s="344"/>
      <c r="CJB7" s="344"/>
      <c r="CJC7" s="344"/>
      <c r="CJD7" s="344"/>
      <c r="CJE7" s="344"/>
      <c r="CJF7" s="344"/>
      <c r="CJG7" s="344"/>
      <c r="CJH7" s="344"/>
      <c r="CJI7" s="344"/>
      <c r="CJJ7" s="344"/>
      <c r="CJK7" s="344"/>
      <c r="CJL7" s="344"/>
      <c r="CJM7" s="344"/>
      <c r="CJN7" s="344"/>
      <c r="CJO7" s="344"/>
      <c r="CJP7" s="344"/>
      <c r="CJQ7" s="344"/>
      <c r="CJR7" s="344"/>
      <c r="CJS7" s="344"/>
      <c r="CJT7" s="344"/>
      <c r="CJU7" s="344"/>
      <c r="CJV7" s="344"/>
      <c r="CJW7" s="344"/>
      <c r="CJX7" s="344"/>
      <c r="CJY7" s="344"/>
      <c r="CJZ7" s="344"/>
      <c r="CKA7" s="344"/>
      <c r="CKB7" s="344"/>
      <c r="CKC7" s="344"/>
      <c r="CKD7" s="344"/>
      <c r="CKE7" s="344"/>
      <c r="CKF7" s="344"/>
      <c r="CKG7" s="344"/>
      <c r="CKH7" s="344"/>
      <c r="CKI7" s="344"/>
      <c r="CKJ7" s="344"/>
      <c r="CKK7" s="344"/>
      <c r="CKL7" s="344"/>
      <c r="CKM7" s="344"/>
      <c r="CKN7" s="344"/>
      <c r="CKO7" s="344"/>
      <c r="CKP7" s="344"/>
      <c r="CKQ7" s="344"/>
      <c r="CKR7" s="344"/>
      <c r="CKS7" s="344"/>
      <c r="CKT7" s="344"/>
      <c r="CKU7" s="344"/>
      <c r="CKV7" s="344"/>
      <c r="CKW7" s="344"/>
      <c r="CKX7" s="344"/>
      <c r="CKY7" s="344"/>
      <c r="CKZ7" s="344"/>
      <c r="CLA7" s="344"/>
      <c r="CLB7" s="344"/>
      <c r="CLC7" s="344"/>
      <c r="CLD7" s="344"/>
      <c r="CLE7" s="344"/>
      <c r="CLF7" s="344"/>
      <c r="CLG7" s="344"/>
      <c r="CLH7" s="344"/>
      <c r="CLI7" s="344"/>
      <c r="CLJ7" s="344"/>
      <c r="CLK7" s="344"/>
      <c r="CLL7" s="344"/>
      <c r="CLM7" s="344"/>
      <c r="CLN7" s="344"/>
      <c r="CLO7" s="344"/>
      <c r="CLP7" s="344"/>
      <c r="CLQ7" s="344"/>
      <c r="CLR7" s="344"/>
      <c r="CLS7" s="344"/>
      <c r="CLT7" s="344"/>
      <c r="CLU7" s="344"/>
      <c r="CLV7" s="344"/>
      <c r="CLW7" s="344"/>
      <c r="CLX7" s="344"/>
      <c r="CLY7" s="344"/>
      <c r="CLZ7" s="344"/>
      <c r="CMA7" s="344"/>
      <c r="CMB7" s="344"/>
      <c r="CMC7" s="344"/>
      <c r="CMD7" s="344"/>
      <c r="CME7" s="344"/>
      <c r="CMF7" s="344"/>
      <c r="CMG7" s="344"/>
      <c r="CMH7" s="344"/>
      <c r="CMI7" s="344"/>
      <c r="CMJ7" s="344"/>
      <c r="CMK7" s="344"/>
      <c r="CML7" s="344"/>
      <c r="CMM7" s="344"/>
      <c r="CMN7" s="344"/>
      <c r="CMO7" s="344"/>
      <c r="CMP7" s="344"/>
      <c r="CMQ7" s="344"/>
      <c r="CMR7" s="344"/>
      <c r="CMS7" s="344"/>
      <c r="CMT7" s="344"/>
      <c r="CMU7" s="344"/>
      <c r="CMV7" s="344"/>
      <c r="CMW7" s="344"/>
      <c r="CMX7" s="344"/>
      <c r="CMY7" s="344"/>
      <c r="CMZ7" s="344"/>
      <c r="CNA7" s="344"/>
      <c r="CNB7" s="344"/>
      <c r="CNC7" s="344"/>
      <c r="CND7" s="344"/>
      <c r="CNE7" s="344"/>
      <c r="CNF7" s="344"/>
      <c r="CNG7" s="344"/>
      <c r="CNH7" s="344"/>
      <c r="CNI7" s="344"/>
      <c r="CNJ7" s="344"/>
      <c r="CNK7" s="344"/>
      <c r="CNL7" s="344"/>
      <c r="CNM7" s="344"/>
      <c r="CNN7" s="344"/>
      <c r="CNO7" s="344"/>
      <c r="CNP7" s="344"/>
      <c r="CNQ7" s="344"/>
      <c r="CNR7" s="344"/>
      <c r="CNS7" s="344"/>
      <c r="CNT7" s="344"/>
      <c r="CNU7" s="344"/>
      <c r="CNV7" s="344"/>
      <c r="CNW7" s="344"/>
      <c r="CNX7" s="344"/>
      <c r="CNY7" s="344"/>
      <c r="CNZ7" s="344"/>
      <c r="COA7" s="344"/>
      <c r="COB7" s="344"/>
      <c r="COC7" s="344"/>
      <c r="COD7" s="344"/>
      <c r="COE7" s="344"/>
      <c r="COF7" s="344"/>
      <c r="COG7" s="344"/>
      <c r="COH7" s="344"/>
      <c r="COI7" s="344"/>
      <c r="COJ7" s="344"/>
      <c r="COK7" s="344"/>
      <c r="COL7" s="344"/>
      <c r="COM7" s="344"/>
      <c r="CON7" s="344"/>
      <c r="COO7" s="344"/>
      <c r="COP7" s="344"/>
      <c r="COQ7" s="344"/>
      <c r="COR7" s="344"/>
      <c r="COS7" s="344"/>
      <c r="COT7" s="344"/>
      <c r="COU7" s="344"/>
      <c r="COV7" s="344"/>
      <c r="COW7" s="344"/>
      <c r="COX7" s="344"/>
      <c r="COY7" s="344"/>
      <c r="COZ7" s="344"/>
      <c r="CPA7" s="344"/>
      <c r="CPB7" s="344"/>
      <c r="CPC7" s="344"/>
      <c r="CPD7" s="344"/>
      <c r="CPE7" s="344"/>
      <c r="CPF7" s="344"/>
      <c r="CPG7" s="344"/>
      <c r="CPH7" s="344"/>
      <c r="CPI7" s="344"/>
      <c r="CPJ7" s="344"/>
      <c r="CPK7" s="344"/>
      <c r="CPL7" s="344"/>
      <c r="CPM7" s="344"/>
      <c r="CPN7" s="344"/>
      <c r="CPO7" s="344"/>
      <c r="CPP7" s="344"/>
      <c r="CPQ7" s="344"/>
      <c r="CPR7" s="344"/>
      <c r="CPS7" s="344"/>
      <c r="CPT7" s="344"/>
      <c r="CPU7" s="344"/>
      <c r="CPV7" s="344"/>
      <c r="CPW7" s="344"/>
      <c r="CPX7" s="344"/>
      <c r="CPY7" s="344"/>
      <c r="CPZ7" s="344"/>
      <c r="CQA7" s="344"/>
      <c r="CQB7" s="344"/>
      <c r="CQC7" s="344"/>
      <c r="CQD7" s="344"/>
      <c r="CQE7" s="344"/>
      <c r="CQF7" s="344"/>
      <c r="CQG7" s="344"/>
      <c r="CQH7" s="344"/>
      <c r="CQI7" s="344"/>
      <c r="CQJ7" s="344"/>
      <c r="CQK7" s="344"/>
      <c r="CQL7" s="344"/>
      <c r="CQM7" s="344"/>
      <c r="CQN7" s="344"/>
      <c r="CQO7" s="344"/>
      <c r="CQP7" s="344"/>
      <c r="CQQ7" s="344"/>
      <c r="CQR7" s="344"/>
      <c r="CQS7" s="344"/>
      <c r="CQT7" s="344"/>
      <c r="CQU7" s="344"/>
      <c r="CQV7" s="344"/>
      <c r="CQW7" s="344"/>
      <c r="CQX7" s="344"/>
      <c r="CQY7" s="344"/>
      <c r="CQZ7" s="344"/>
      <c r="CRA7" s="344"/>
      <c r="CRB7" s="344"/>
      <c r="CRC7" s="344"/>
      <c r="CRD7" s="344"/>
      <c r="CRE7" s="344"/>
      <c r="CRF7" s="344"/>
      <c r="CRG7" s="344"/>
      <c r="CRH7" s="344"/>
      <c r="CRI7" s="344"/>
      <c r="CRJ7" s="344"/>
      <c r="CRK7" s="344"/>
      <c r="CRL7" s="344"/>
      <c r="CRM7" s="344"/>
      <c r="CRN7" s="344"/>
      <c r="CRO7" s="344"/>
      <c r="CRP7" s="344"/>
      <c r="CRQ7" s="344"/>
      <c r="CRR7" s="344"/>
      <c r="CRS7" s="344"/>
      <c r="CRT7" s="344"/>
      <c r="CRU7" s="344"/>
      <c r="CRV7" s="344"/>
      <c r="CRW7" s="344"/>
      <c r="CRX7" s="344"/>
      <c r="CRY7" s="344"/>
      <c r="CRZ7" s="344"/>
      <c r="CSA7" s="344"/>
      <c r="CSB7" s="344"/>
      <c r="CSC7" s="344"/>
      <c r="CSD7" s="344"/>
      <c r="CSE7" s="344"/>
      <c r="CSF7" s="344"/>
      <c r="CSG7" s="344"/>
      <c r="CSH7" s="344"/>
      <c r="CSI7" s="344"/>
      <c r="CSJ7" s="344"/>
      <c r="CSK7" s="344"/>
      <c r="CSL7" s="344"/>
      <c r="CSM7" s="344"/>
      <c r="CSN7" s="344"/>
      <c r="CSO7" s="344"/>
      <c r="CSP7" s="344"/>
      <c r="CSQ7" s="344"/>
      <c r="CSR7" s="344"/>
      <c r="CSS7" s="344"/>
      <c r="CST7" s="344"/>
      <c r="CSU7" s="344"/>
      <c r="CSV7" s="344"/>
      <c r="CSW7" s="344"/>
      <c r="CSX7" s="344"/>
      <c r="CSY7" s="344"/>
      <c r="CSZ7" s="344"/>
      <c r="CTA7" s="344"/>
      <c r="CTB7" s="344"/>
      <c r="CTC7" s="344"/>
      <c r="CTD7" s="344"/>
      <c r="CTE7" s="344"/>
      <c r="CTF7" s="344"/>
      <c r="CTG7" s="344"/>
      <c r="CTH7" s="344"/>
      <c r="CTI7" s="344"/>
      <c r="CTJ7" s="344"/>
      <c r="CTK7" s="344"/>
      <c r="CTL7" s="344"/>
      <c r="CTM7" s="344"/>
      <c r="CTN7" s="344"/>
      <c r="CTO7" s="344"/>
      <c r="CTP7" s="344"/>
      <c r="CTQ7" s="344"/>
      <c r="CTR7" s="344"/>
      <c r="CTS7" s="344"/>
      <c r="CTT7" s="344"/>
      <c r="CTU7" s="344"/>
      <c r="CTV7" s="344"/>
      <c r="CTW7" s="344"/>
      <c r="CTX7" s="344"/>
      <c r="CTY7" s="344"/>
      <c r="CTZ7" s="344"/>
      <c r="CUA7" s="344"/>
      <c r="CUB7" s="344"/>
      <c r="CUC7" s="344"/>
      <c r="CUD7" s="344"/>
      <c r="CUE7" s="344"/>
      <c r="CUF7" s="344"/>
      <c r="CUG7" s="344"/>
      <c r="CUH7" s="344"/>
      <c r="CUI7" s="344"/>
      <c r="CUJ7" s="344"/>
      <c r="CUK7" s="344"/>
      <c r="CUL7" s="344"/>
      <c r="CUM7" s="344"/>
      <c r="CUN7" s="344"/>
      <c r="CUO7" s="344"/>
      <c r="CUP7" s="344"/>
      <c r="CUQ7" s="344"/>
      <c r="CUR7" s="344"/>
      <c r="CUS7" s="344"/>
      <c r="CUT7" s="344"/>
      <c r="CUU7" s="344"/>
      <c r="CUV7" s="344"/>
      <c r="CUW7" s="344"/>
      <c r="CUX7" s="344"/>
      <c r="CUY7" s="344"/>
      <c r="CUZ7" s="344"/>
      <c r="CVA7" s="344"/>
      <c r="CVB7" s="344"/>
      <c r="CVC7" s="344"/>
      <c r="CVD7" s="344"/>
      <c r="CVE7" s="344"/>
      <c r="CVF7" s="344"/>
      <c r="CVG7" s="344"/>
      <c r="CVH7" s="344"/>
      <c r="CVI7" s="344"/>
      <c r="CVJ7" s="344"/>
      <c r="CVK7" s="344"/>
      <c r="CVL7" s="344"/>
      <c r="CVM7" s="344"/>
      <c r="CVN7" s="344"/>
      <c r="CVO7" s="344"/>
      <c r="CVP7" s="344"/>
      <c r="CVQ7" s="344"/>
      <c r="CVR7" s="344"/>
      <c r="CVS7" s="344"/>
      <c r="CVT7" s="344"/>
      <c r="CVU7" s="344"/>
      <c r="CVV7" s="344"/>
      <c r="CVW7" s="344"/>
      <c r="CVX7" s="344"/>
      <c r="CVY7" s="344"/>
      <c r="CVZ7" s="344"/>
      <c r="CWA7" s="344"/>
      <c r="CWB7" s="344"/>
      <c r="CWC7" s="344"/>
      <c r="CWD7" s="344"/>
      <c r="CWE7" s="344"/>
      <c r="CWF7" s="344"/>
      <c r="CWG7" s="344"/>
      <c r="CWH7" s="344"/>
      <c r="CWI7" s="344"/>
      <c r="CWJ7" s="344"/>
      <c r="CWK7" s="344"/>
      <c r="CWL7" s="344"/>
      <c r="CWM7" s="344"/>
      <c r="CWN7" s="344"/>
      <c r="CWO7" s="344"/>
      <c r="CWP7" s="344"/>
      <c r="CWQ7" s="344"/>
      <c r="CWR7" s="344"/>
      <c r="CWS7" s="344"/>
      <c r="CWT7" s="344"/>
      <c r="CWU7" s="344"/>
      <c r="CWV7" s="344"/>
      <c r="CWW7" s="344"/>
      <c r="CWX7" s="344"/>
      <c r="CWY7" s="344"/>
      <c r="CWZ7" s="344"/>
      <c r="CXA7" s="344"/>
      <c r="CXB7" s="344"/>
      <c r="CXC7" s="344"/>
      <c r="CXD7" s="344"/>
      <c r="CXE7" s="344"/>
      <c r="CXF7" s="344"/>
      <c r="CXG7" s="344"/>
      <c r="CXH7" s="344"/>
      <c r="CXI7" s="344"/>
      <c r="CXJ7" s="344"/>
      <c r="CXK7" s="344"/>
      <c r="CXL7" s="344"/>
      <c r="CXM7" s="344"/>
      <c r="CXN7" s="344"/>
      <c r="CXO7" s="344"/>
      <c r="CXP7" s="344"/>
      <c r="CXQ7" s="344"/>
      <c r="CXR7" s="344"/>
      <c r="CXS7" s="344"/>
      <c r="CXT7" s="344"/>
      <c r="CXU7" s="344"/>
      <c r="CXV7" s="344"/>
      <c r="CXW7" s="344"/>
      <c r="CXX7" s="344"/>
      <c r="CXY7" s="344"/>
      <c r="CXZ7" s="344"/>
      <c r="CYA7" s="344"/>
      <c r="CYB7" s="344"/>
      <c r="CYC7" s="344"/>
      <c r="CYD7" s="344"/>
      <c r="CYE7" s="344"/>
      <c r="CYF7" s="344"/>
      <c r="CYG7" s="344"/>
      <c r="CYH7" s="344"/>
      <c r="CYI7" s="344"/>
      <c r="CYJ7" s="344"/>
      <c r="CYK7" s="344"/>
      <c r="CYL7" s="344"/>
      <c r="CYM7" s="344"/>
      <c r="CYN7" s="344"/>
      <c r="CYO7" s="344"/>
      <c r="CYP7" s="344"/>
      <c r="CYQ7" s="344"/>
      <c r="CYR7" s="344"/>
      <c r="CYS7" s="344"/>
      <c r="CYT7" s="344"/>
      <c r="CYU7" s="344"/>
      <c r="CYV7" s="344"/>
      <c r="CYW7" s="344"/>
      <c r="CYX7" s="344"/>
      <c r="CYY7" s="344"/>
      <c r="CYZ7" s="344"/>
      <c r="CZA7" s="344"/>
      <c r="CZB7" s="344"/>
      <c r="CZC7" s="344"/>
      <c r="CZD7" s="344"/>
      <c r="CZE7" s="344"/>
      <c r="CZF7" s="344"/>
      <c r="CZG7" s="344"/>
      <c r="CZH7" s="344"/>
      <c r="CZI7" s="344"/>
      <c r="CZJ7" s="344"/>
      <c r="CZK7" s="344"/>
      <c r="CZL7" s="344"/>
      <c r="CZM7" s="344"/>
      <c r="CZN7" s="344"/>
      <c r="CZO7" s="344"/>
      <c r="CZP7" s="344"/>
      <c r="CZQ7" s="344"/>
      <c r="CZR7" s="344"/>
      <c r="CZS7" s="344"/>
      <c r="CZT7" s="344"/>
      <c r="CZU7" s="344"/>
      <c r="CZV7" s="344"/>
      <c r="CZW7" s="344"/>
      <c r="CZX7" s="344"/>
      <c r="CZY7" s="344"/>
      <c r="CZZ7" s="344"/>
      <c r="DAA7" s="344"/>
      <c r="DAB7" s="344"/>
      <c r="DAC7" s="344"/>
      <c r="DAD7" s="344"/>
      <c r="DAE7" s="344"/>
      <c r="DAF7" s="344"/>
      <c r="DAG7" s="344"/>
      <c r="DAH7" s="344"/>
      <c r="DAI7" s="344"/>
      <c r="DAJ7" s="344"/>
      <c r="DAK7" s="344"/>
      <c r="DAL7" s="344"/>
      <c r="DAM7" s="344"/>
      <c r="DAN7" s="344"/>
      <c r="DAO7" s="344"/>
      <c r="DAP7" s="344"/>
      <c r="DAQ7" s="344"/>
      <c r="DAR7" s="344"/>
      <c r="DAS7" s="344"/>
      <c r="DAT7" s="344"/>
      <c r="DAU7" s="344"/>
      <c r="DAV7" s="344"/>
      <c r="DAW7" s="344"/>
      <c r="DAX7" s="344"/>
      <c r="DAY7" s="344"/>
      <c r="DAZ7" s="344"/>
      <c r="DBA7" s="344"/>
      <c r="DBB7" s="344"/>
      <c r="DBC7" s="344"/>
      <c r="DBD7" s="344"/>
      <c r="DBE7" s="344"/>
      <c r="DBF7" s="344"/>
      <c r="DBG7" s="344"/>
      <c r="DBH7" s="344"/>
      <c r="DBI7" s="344"/>
      <c r="DBJ7" s="344"/>
      <c r="DBK7" s="344"/>
      <c r="DBL7" s="344"/>
      <c r="DBM7" s="344"/>
      <c r="DBN7" s="344"/>
      <c r="DBO7" s="344"/>
      <c r="DBP7" s="344"/>
      <c r="DBQ7" s="344"/>
      <c r="DBR7" s="344"/>
      <c r="DBS7" s="344"/>
      <c r="DBT7" s="344"/>
      <c r="DBU7" s="344"/>
      <c r="DBV7" s="344"/>
      <c r="DBW7" s="344"/>
      <c r="DBX7" s="344"/>
      <c r="DBY7" s="344"/>
      <c r="DBZ7" s="344"/>
      <c r="DCA7" s="344"/>
      <c r="DCB7" s="344"/>
      <c r="DCC7" s="344"/>
      <c r="DCD7" s="344"/>
      <c r="DCE7" s="344"/>
      <c r="DCF7" s="344"/>
      <c r="DCG7" s="344"/>
      <c r="DCH7" s="344"/>
      <c r="DCI7" s="344"/>
      <c r="DCJ7" s="344"/>
      <c r="DCK7" s="344"/>
      <c r="DCL7" s="344"/>
      <c r="DCM7" s="344"/>
      <c r="DCN7" s="344"/>
      <c r="DCO7" s="344"/>
      <c r="DCP7" s="344"/>
      <c r="DCQ7" s="344"/>
      <c r="DCR7" s="344"/>
      <c r="DCS7" s="344"/>
      <c r="DCT7" s="344"/>
      <c r="DCU7" s="344"/>
      <c r="DCV7" s="344"/>
      <c r="DCW7" s="344"/>
      <c r="DCX7" s="344"/>
      <c r="DCY7" s="344"/>
      <c r="DCZ7" s="344"/>
      <c r="DDA7" s="344"/>
      <c r="DDB7" s="344"/>
      <c r="DDC7" s="344"/>
      <c r="DDD7" s="344"/>
      <c r="DDE7" s="344"/>
      <c r="DDF7" s="344"/>
      <c r="DDG7" s="344"/>
      <c r="DDH7" s="344"/>
      <c r="DDI7" s="344"/>
      <c r="DDJ7" s="344"/>
      <c r="DDK7" s="344"/>
      <c r="DDL7" s="344"/>
      <c r="DDM7" s="344"/>
      <c r="DDN7" s="344"/>
      <c r="DDO7" s="344"/>
      <c r="DDP7" s="344"/>
      <c r="DDQ7" s="344"/>
      <c r="DDR7" s="344"/>
      <c r="DDS7" s="344"/>
      <c r="DDT7" s="344"/>
      <c r="DDU7" s="344"/>
      <c r="DDV7" s="344"/>
      <c r="DDW7" s="344"/>
      <c r="DDX7" s="344"/>
      <c r="DDY7" s="344"/>
      <c r="DDZ7" s="344"/>
      <c r="DEA7" s="344"/>
      <c r="DEB7" s="344"/>
      <c r="DEC7" s="344"/>
      <c r="DED7" s="344"/>
      <c r="DEE7" s="344"/>
      <c r="DEF7" s="344"/>
      <c r="DEG7" s="344"/>
      <c r="DEH7" s="344"/>
      <c r="DEI7" s="344"/>
      <c r="DEJ7" s="344"/>
      <c r="DEK7" s="344"/>
      <c r="DEL7" s="344"/>
      <c r="DEM7" s="344"/>
      <c r="DEN7" s="344"/>
      <c r="DEO7" s="344"/>
      <c r="DEP7" s="344"/>
      <c r="DEQ7" s="344"/>
      <c r="DER7" s="344"/>
      <c r="DES7" s="344"/>
      <c r="DET7" s="344"/>
      <c r="DEU7" s="344"/>
      <c r="DEV7" s="344"/>
      <c r="DEW7" s="344"/>
      <c r="DEX7" s="344"/>
      <c r="DEY7" s="344"/>
      <c r="DEZ7" s="344"/>
      <c r="DFA7" s="344"/>
      <c r="DFB7" s="344"/>
      <c r="DFC7" s="344"/>
      <c r="DFD7" s="344"/>
      <c r="DFE7" s="344"/>
      <c r="DFF7" s="344"/>
      <c r="DFG7" s="344"/>
      <c r="DFH7" s="344"/>
      <c r="DFI7" s="344"/>
      <c r="DFJ7" s="344"/>
      <c r="DFK7" s="344"/>
      <c r="DFL7" s="344"/>
      <c r="DFM7" s="344"/>
      <c r="DFN7" s="344"/>
      <c r="DFO7" s="344"/>
      <c r="DFP7" s="344"/>
      <c r="DFQ7" s="344"/>
      <c r="DFR7" s="344"/>
      <c r="DFS7" s="344"/>
      <c r="DFT7" s="344"/>
      <c r="DFU7" s="344"/>
      <c r="DFV7" s="344"/>
      <c r="DFW7" s="344"/>
      <c r="DFX7" s="344"/>
      <c r="DFY7" s="344"/>
      <c r="DFZ7" s="344"/>
      <c r="DGA7" s="344"/>
      <c r="DGB7" s="344"/>
      <c r="DGC7" s="344"/>
      <c r="DGD7" s="344"/>
      <c r="DGE7" s="344"/>
      <c r="DGF7" s="344"/>
      <c r="DGG7" s="344"/>
      <c r="DGH7" s="344"/>
      <c r="DGI7" s="344"/>
      <c r="DGJ7" s="344"/>
      <c r="DGK7" s="344"/>
      <c r="DGL7" s="344"/>
      <c r="DGM7" s="344"/>
      <c r="DGN7" s="344"/>
      <c r="DGO7" s="344"/>
      <c r="DGP7" s="344"/>
      <c r="DGQ7" s="344"/>
      <c r="DGR7" s="344"/>
      <c r="DGS7" s="344"/>
      <c r="DGT7" s="344"/>
      <c r="DGU7" s="344"/>
      <c r="DGV7" s="344"/>
      <c r="DGW7" s="344"/>
      <c r="DGX7" s="344"/>
      <c r="DGY7" s="344"/>
      <c r="DGZ7" s="344"/>
      <c r="DHA7" s="344"/>
      <c r="DHB7" s="344"/>
      <c r="DHC7" s="344"/>
      <c r="DHD7" s="344"/>
      <c r="DHE7" s="344"/>
      <c r="DHF7" s="344"/>
      <c r="DHG7" s="344"/>
      <c r="DHH7" s="344"/>
      <c r="DHI7" s="344"/>
      <c r="DHJ7" s="344"/>
      <c r="DHK7" s="344"/>
      <c r="DHL7" s="344"/>
      <c r="DHM7" s="344"/>
      <c r="DHN7" s="344"/>
      <c r="DHO7" s="344"/>
      <c r="DHP7" s="344"/>
      <c r="DHQ7" s="344"/>
      <c r="DHR7" s="344"/>
      <c r="DHS7" s="344"/>
      <c r="DHT7" s="344"/>
      <c r="DHU7" s="344"/>
      <c r="DHV7" s="344"/>
      <c r="DHW7" s="344"/>
      <c r="DHX7" s="344"/>
      <c r="DHY7" s="344"/>
      <c r="DHZ7" s="344"/>
      <c r="DIA7" s="344"/>
      <c r="DIB7" s="344"/>
      <c r="DIC7" s="344"/>
      <c r="DID7" s="344"/>
      <c r="DIE7" s="344"/>
      <c r="DIF7" s="344"/>
      <c r="DIG7" s="344"/>
      <c r="DIH7" s="344"/>
      <c r="DII7" s="344"/>
      <c r="DIJ7" s="344"/>
      <c r="DIK7" s="344"/>
      <c r="DIL7" s="344"/>
      <c r="DIM7" s="344"/>
      <c r="DIN7" s="344"/>
      <c r="DIO7" s="344"/>
      <c r="DIP7" s="344"/>
      <c r="DIQ7" s="344"/>
      <c r="DIR7" s="344"/>
      <c r="DIS7" s="344"/>
      <c r="DIT7" s="344"/>
      <c r="DIU7" s="344"/>
      <c r="DIV7" s="344"/>
      <c r="DIW7" s="344"/>
      <c r="DIX7" s="344"/>
      <c r="DIY7" s="344"/>
      <c r="DIZ7" s="344"/>
      <c r="DJA7" s="344"/>
      <c r="DJB7" s="344"/>
      <c r="DJC7" s="344"/>
      <c r="DJD7" s="344"/>
      <c r="DJE7" s="344"/>
      <c r="DJF7" s="344"/>
      <c r="DJG7" s="344"/>
      <c r="DJH7" s="344"/>
      <c r="DJI7" s="344"/>
      <c r="DJJ7" s="344"/>
      <c r="DJK7" s="344"/>
      <c r="DJL7" s="344"/>
      <c r="DJM7" s="344"/>
      <c r="DJN7" s="344"/>
      <c r="DJO7" s="344"/>
      <c r="DJP7" s="344"/>
      <c r="DJQ7" s="344"/>
      <c r="DJR7" s="344"/>
      <c r="DJS7" s="344"/>
      <c r="DJT7" s="344"/>
      <c r="DJU7" s="344"/>
      <c r="DJV7" s="344"/>
      <c r="DJW7" s="344"/>
      <c r="DJX7" s="344"/>
      <c r="DJY7" s="344"/>
      <c r="DJZ7" s="344"/>
      <c r="DKA7" s="344"/>
      <c r="DKB7" s="344"/>
      <c r="DKC7" s="344"/>
      <c r="DKD7" s="344"/>
      <c r="DKE7" s="344"/>
      <c r="DKF7" s="344"/>
      <c r="DKG7" s="344"/>
      <c r="DKH7" s="344"/>
      <c r="DKI7" s="344"/>
      <c r="DKJ7" s="344"/>
      <c r="DKK7" s="344"/>
      <c r="DKL7" s="344"/>
      <c r="DKM7" s="344"/>
      <c r="DKN7" s="344"/>
      <c r="DKO7" s="344"/>
      <c r="DKP7" s="344"/>
      <c r="DKQ7" s="344"/>
      <c r="DKR7" s="344"/>
      <c r="DKS7" s="344"/>
      <c r="DKT7" s="344"/>
      <c r="DKU7" s="344"/>
      <c r="DKV7" s="344"/>
      <c r="DKW7" s="344"/>
      <c r="DKX7" s="344"/>
      <c r="DKY7" s="344"/>
      <c r="DKZ7" s="344"/>
      <c r="DLA7" s="344"/>
      <c r="DLB7" s="344"/>
      <c r="DLC7" s="344"/>
      <c r="DLD7" s="344"/>
      <c r="DLE7" s="344"/>
      <c r="DLF7" s="344"/>
      <c r="DLG7" s="344"/>
      <c r="DLH7" s="344"/>
      <c r="DLI7" s="344"/>
      <c r="DLJ7" s="344"/>
      <c r="DLK7" s="344"/>
      <c r="DLL7" s="344"/>
      <c r="DLM7" s="344"/>
      <c r="DLN7" s="344"/>
      <c r="DLO7" s="344"/>
      <c r="DLP7" s="344"/>
      <c r="DLQ7" s="344"/>
      <c r="DLR7" s="344"/>
      <c r="DLS7" s="344"/>
      <c r="DLT7" s="344"/>
      <c r="DLU7" s="344"/>
      <c r="DLV7" s="344"/>
      <c r="DLW7" s="344"/>
      <c r="DLX7" s="344"/>
      <c r="DLY7" s="344"/>
      <c r="DLZ7" s="344"/>
      <c r="DMA7" s="344"/>
      <c r="DMB7" s="344"/>
      <c r="DMC7" s="344"/>
      <c r="DMD7" s="344"/>
      <c r="DME7" s="344"/>
      <c r="DMF7" s="344"/>
      <c r="DMG7" s="344"/>
      <c r="DMH7" s="344"/>
      <c r="DMI7" s="344"/>
      <c r="DMJ7" s="344"/>
      <c r="DMK7" s="344"/>
      <c r="DML7" s="344"/>
      <c r="DMM7" s="344"/>
      <c r="DMN7" s="344"/>
      <c r="DMO7" s="344"/>
      <c r="DMP7" s="344"/>
      <c r="DMQ7" s="344"/>
      <c r="DMR7" s="344"/>
      <c r="DMS7" s="344"/>
      <c r="DMT7" s="344"/>
      <c r="DMU7" s="344"/>
      <c r="DMV7" s="344"/>
      <c r="DMW7" s="344"/>
      <c r="DMX7" s="344"/>
      <c r="DMY7" s="344"/>
      <c r="DMZ7" s="344"/>
      <c r="DNA7" s="344"/>
      <c r="DNB7" s="344"/>
      <c r="DNC7" s="344"/>
      <c r="DND7" s="344"/>
      <c r="DNE7" s="344"/>
      <c r="DNF7" s="344"/>
      <c r="DNG7" s="344"/>
      <c r="DNH7" s="344"/>
      <c r="DNI7" s="344"/>
      <c r="DNJ7" s="344"/>
      <c r="DNK7" s="344"/>
      <c r="DNL7" s="344"/>
      <c r="DNM7" s="344"/>
      <c r="DNN7" s="344"/>
      <c r="DNO7" s="344"/>
      <c r="DNP7" s="344"/>
      <c r="DNQ7" s="344"/>
      <c r="DNR7" s="344"/>
      <c r="DNS7" s="344"/>
      <c r="DNT7" s="344"/>
      <c r="DNU7" s="344"/>
      <c r="DNV7" s="344"/>
      <c r="DNW7" s="344"/>
      <c r="DNX7" s="344"/>
      <c r="DNY7" s="344"/>
      <c r="DNZ7" s="344"/>
      <c r="DOA7" s="344"/>
      <c r="DOB7" s="344"/>
      <c r="DOC7" s="344"/>
      <c r="DOD7" s="344"/>
      <c r="DOE7" s="344"/>
      <c r="DOF7" s="344"/>
      <c r="DOG7" s="344"/>
      <c r="DOH7" s="344"/>
      <c r="DOI7" s="344"/>
      <c r="DOJ7" s="344"/>
      <c r="DOK7" s="344"/>
      <c r="DOL7" s="344"/>
      <c r="DOM7" s="344"/>
      <c r="DON7" s="344"/>
      <c r="DOO7" s="344"/>
      <c r="DOP7" s="344"/>
      <c r="DOQ7" s="344"/>
      <c r="DOR7" s="344"/>
      <c r="DOS7" s="344"/>
      <c r="DOT7" s="344"/>
      <c r="DOU7" s="344"/>
      <c r="DOV7" s="344"/>
      <c r="DOW7" s="344"/>
      <c r="DOX7" s="344"/>
      <c r="DOY7" s="344"/>
      <c r="DOZ7" s="344"/>
      <c r="DPA7" s="344"/>
      <c r="DPB7" s="344"/>
      <c r="DPC7" s="344"/>
      <c r="DPD7" s="344"/>
      <c r="DPE7" s="344"/>
      <c r="DPF7" s="344"/>
      <c r="DPG7" s="344"/>
      <c r="DPH7" s="344"/>
      <c r="DPI7" s="344"/>
      <c r="DPJ7" s="344"/>
      <c r="DPK7" s="344"/>
      <c r="DPL7" s="344"/>
      <c r="DPM7" s="344"/>
      <c r="DPN7" s="344"/>
      <c r="DPO7" s="344"/>
      <c r="DPP7" s="344"/>
      <c r="DPQ7" s="344"/>
      <c r="DPR7" s="344"/>
      <c r="DPS7" s="344"/>
      <c r="DPT7" s="344"/>
      <c r="DPU7" s="344"/>
      <c r="DPV7" s="344"/>
      <c r="DPW7" s="344"/>
      <c r="DPX7" s="344"/>
      <c r="DPY7" s="344"/>
      <c r="DPZ7" s="344"/>
      <c r="DQA7" s="344"/>
      <c r="DQB7" s="344"/>
      <c r="DQC7" s="344"/>
      <c r="DQD7" s="344"/>
      <c r="DQE7" s="344"/>
      <c r="DQF7" s="344"/>
      <c r="DQG7" s="344"/>
      <c r="DQH7" s="344"/>
      <c r="DQI7" s="344"/>
      <c r="DQJ7" s="344"/>
      <c r="DQK7" s="344"/>
      <c r="DQL7" s="344"/>
      <c r="DQM7" s="344"/>
      <c r="DQN7" s="344"/>
      <c r="DQO7" s="344"/>
      <c r="DQP7" s="344"/>
      <c r="DQQ7" s="344"/>
      <c r="DQR7" s="344"/>
      <c r="DQS7" s="344"/>
      <c r="DQT7" s="344"/>
      <c r="DQU7" s="344"/>
      <c r="DQV7" s="344"/>
      <c r="DQW7" s="344"/>
      <c r="DQX7" s="344"/>
      <c r="DQY7" s="344"/>
      <c r="DQZ7" s="344"/>
      <c r="DRA7" s="344"/>
      <c r="DRB7" s="344"/>
      <c r="DRC7" s="344"/>
      <c r="DRD7" s="344"/>
      <c r="DRE7" s="344"/>
      <c r="DRF7" s="344"/>
      <c r="DRG7" s="344"/>
      <c r="DRH7" s="344"/>
      <c r="DRI7" s="344"/>
      <c r="DRJ7" s="344"/>
      <c r="DRK7" s="344"/>
      <c r="DRL7" s="344"/>
      <c r="DRM7" s="344"/>
      <c r="DRN7" s="344"/>
      <c r="DRO7" s="344"/>
      <c r="DRP7" s="344"/>
      <c r="DRQ7" s="344"/>
      <c r="DRR7" s="344"/>
      <c r="DRS7" s="344"/>
      <c r="DRT7" s="344"/>
      <c r="DRU7" s="344"/>
      <c r="DRV7" s="344"/>
      <c r="DRW7" s="344"/>
      <c r="DRX7" s="344"/>
      <c r="DRY7" s="344"/>
      <c r="DRZ7" s="344"/>
      <c r="DSA7" s="344"/>
      <c r="DSB7" s="344"/>
      <c r="DSC7" s="344"/>
      <c r="DSD7" s="344"/>
      <c r="DSE7" s="344"/>
      <c r="DSF7" s="344"/>
      <c r="DSG7" s="344"/>
      <c r="DSH7" s="344"/>
      <c r="DSI7" s="344"/>
      <c r="DSJ7" s="344"/>
      <c r="DSK7" s="344"/>
      <c r="DSL7" s="344"/>
      <c r="DSM7" s="344"/>
      <c r="DSN7" s="344"/>
      <c r="DSO7" s="344"/>
      <c r="DSP7" s="344"/>
      <c r="DSQ7" s="344"/>
      <c r="DSR7" s="344"/>
      <c r="DSS7" s="344"/>
      <c r="DST7" s="344"/>
      <c r="DSU7" s="344"/>
      <c r="DSV7" s="344"/>
      <c r="DSW7" s="344"/>
      <c r="DSX7" s="344"/>
      <c r="DSY7" s="344"/>
      <c r="DSZ7" s="344"/>
      <c r="DTA7" s="344"/>
      <c r="DTB7" s="344"/>
      <c r="DTC7" s="344"/>
      <c r="DTD7" s="344"/>
      <c r="DTE7" s="344"/>
      <c r="DTF7" s="344"/>
      <c r="DTG7" s="344"/>
      <c r="DTH7" s="344"/>
      <c r="DTI7" s="344"/>
      <c r="DTJ7" s="344"/>
      <c r="DTK7" s="344"/>
      <c r="DTL7" s="344"/>
      <c r="DTM7" s="344"/>
      <c r="DTN7" s="344"/>
      <c r="DTO7" s="344"/>
      <c r="DTP7" s="344"/>
      <c r="DTQ7" s="344"/>
      <c r="DTR7" s="344"/>
      <c r="DTS7" s="344"/>
      <c r="DTT7" s="344"/>
      <c r="DTU7" s="344"/>
      <c r="DTV7" s="344"/>
      <c r="DTW7" s="344"/>
      <c r="DTX7" s="344"/>
      <c r="DTY7" s="344"/>
      <c r="DTZ7" s="344"/>
      <c r="DUA7" s="344"/>
      <c r="DUB7" s="344"/>
      <c r="DUC7" s="344"/>
      <c r="DUD7" s="344"/>
      <c r="DUE7" s="344"/>
      <c r="DUF7" s="344"/>
      <c r="DUG7" s="344"/>
      <c r="DUH7" s="344"/>
      <c r="DUI7" s="344"/>
      <c r="DUJ7" s="344"/>
      <c r="DUK7" s="344"/>
      <c r="DUL7" s="344"/>
      <c r="DUM7" s="344"/>
      <c r="DUN7" s="344"/>
      <c r="DUO7" s="344"/>
      <c r="DUP7" s="344"/>
      <c r="DUQ7" s="344"/>
      <c r="DUR7" s="344"/>
      <c r="DUS7" s="344"/>
      <c r="DUT7" s="344"/>
      <c r="DUU7" s="344"/>
      <c r="DUV7" s="344"/>
      <c r="DUW7" s="344"/>
      <c r="DUX7" s="344"/>
      <c r="DUY7" s="344"/>
      <c r="DUZ7" s="344"/>
      <c r="DVA7" s="344"/>
      <c r="DVB7" s="344"/>
      <c r="DVC7" s="344"/>
      <c r="DVD7" s="344"/>
      <c r="DVE7" s="344"/>
      <c r="DVF7" s="344"/>
      <c r="DVG7" s="344"/>
      <c r="DVH7" s="344"/>
      <c r="DVI7" s="344"/>
      <c r="DVJ7" s="344"/>
      <c r="DVK7" s="344"/>
      <c r="DVL7" s="344"/>
      <c r="DVM7" s="344"/>
      <c r="DVN7" s="344"/>
      <c r="DVO7" s="344"/>
      <c r="DVP7" s="344"/>
      <c r="DVQ7" s="344"/>
      <c r="DVR7" s="344"/>
      <c r="DVS7" s="344"/>
      <c r="DVT7" s="344"/>
      <c r="DVU7" s="344"/>
      <c r="DVV7" s="344"/>
      <c r="DVW7" s="344"/>
      <c r="DVX7" s="344"/>
      <c r="DVY7" s="344"/>
      <c r="DVZ7" s="344"/>
      <c r="DWA7" s="344"/>
      <c r="DWB7" s="344"/>
      <c r="DWC7" s="344"/>
      <c r="DWD7" s="344"/>
      <c r="DWE7" s="344"/>
      <c r="DWF7" s="344"/>
      <c r="DWG7" s="344"/>
      <c r="DWH7" s="344"/>
      <c r="DWI7" s="344"/>
      <c r="DWJ7" s="344"/>
      <c r="DWK7" s="344"/>
      <c r="DWL7" s="344"/>
      <c r="DWM7" s="344"/>
      <c r="DWN7" s="344"/>
      <c r="DWO7" s="344"/>
      <c r="DWP7" s="344"/>
      <c r="DWQ7" s="344"/>
      <c r="DWR7" s="344"/>
      <c r="DWS7" s="344"/>
      <c r="DWT7" s="344"/>
      <c r="DWU7" s="344"/>
      <c r="DWV7" s="344"/>
      <c r="DWW7" s="344"/>
      <c r="DWX7" s="344"/>
      <c r="DWY7" s="344"/>
      <c r="DWZ7" s="344"/>
      <c r="DXA7" s="344"/>
      <c r="DXB7" s="344"/>
      <c r="DXC7" s="344"/>
      <c r="DXD7" s="344"/>
      <c r="DXE7" s="344"/>
      <c r="DXF7" s="344"/>
      <c r="DXG7" s="344"/>
      <c r="DXH7" s="344"/>
      <c r="DXI7" s="344"/>
      <c r="DXJ7" s="344"/>
      <c r="DXK7" s="344"/>
      <c r="DXL7" s="344"/>
      <c r="DXM7" s="344"/>
      <c r="DXN7" s="344"/>
      <c r="DXO7" s="344"/>
      <c r="DXP7" s="344"/>
      <c r="DXQ7" s="344"/>
      <c r="DXR7" s="344"/>
      <c r="DXS7" s="344"/>
      <c r="DXT7" s="344"/>
      <c r="DXU7" s="344"/>
      <c r="DXV7" s="344"/>
      <c r="DXW7" s="344"/>
      <c r="DXX7" s="344"/>
      <c r="DXY7" s="344"/>
      <c r="DXZ7" s="344"/>
      <c r="DYA7" s="344"/>
      <c r="DYB7" s="344"/>
      <c r="DYC7" s="344"/>
      <c r="DYD7" s="344"/>
      <c r="DYE7" s="344"/>
      <c r="DYF7" s="344"/>
      <c r="DYG7" s="344"/>
      <c r="DYH7" s="344"/>
      <c r="DYI7" s="344"/>
      <c r="DYJ7" s="344"/>
      <c r="DYK7" s="344"/>
      <c r="DYL7" s="344"/>
      <c r="DYM7" s="344"/>
      <c r="DYN7" s="344"/>
      <c r="DYO7" s="344"/>
      <c r="DYP7" s="344"/>
      <c r="DYQ7" s="344"/>
      <c r="DYR7" s="344"/>
      <c r="DYS7" s="344"/>
      <c r="DYT7" s="344"/>
      <c r="DYU7" s="344"/>
      <c r="DYV7" s="344"/>
      <c r="DYW7" s="344"/>
      <c r="DYX7" s="344"/>
      <c r="DYY7" s="344"/>
      <c r="DYZ7" s="344"/>
      <c r="DZA7" s="344"/>
      <c r="DZB7" s="344"/>
      <c r="DZC7" s="344"/>
      <c r="DZD7" s="344"/>
      <c r="DZE7" s="344"/>
      <c r="DZF7" s="344"/>
      <c r="DZG7" s="344"/>
      <c r="DZH7" s="344"/>
      <c r="DZI7" s="344"/>
      <c r="DZJ7" s="344"/>
      <c r="DZK7" s="344"/>
      <c r="DZL7" s="344"/>
      <c r="DZM7" s="344"/>
      <c r="DZN7" s="344"/>
      <c r="DZO7" s="344"/>
      <c r="DZP7" s="344"/>
      <c r="DZQ7" s="344"/>
      <c r="DZR7" s="344"/>
      <c r="DZS7" s="344"/>
      <c r="DZT7" s="344"/>
      <c r="DZU7" s="344"/>
      <c r="DZV7" s="344"/>
      <c r="DZW7" s="344"/>
      <c r="DZX7" s="344"/>
      <c r="DZY7" s="344"/>
      <c r="DZZ7" s="344"/>
      <c r="EAA7" s="344"/>
      <c r="EAB7" s="344"/>
      <c r="EAC7" s="344"/>
      <c r="EAD7" s="344"/>
      <c r="EAE7" s="344"/>
      <c r="EAF7" s="344"/>
      <c r="EAG7" s="344"/>
      <c r="EAH7" s="344"/>
      <c r="EAI7" s="344"/>
      <c r="EAJ7" s="344"/>
      <c r="EAK7" s="344"/>
      <c r="EAL7" s="344"/>
      <c r="EAM7" s="344"/>
      <c r="EAN7" s="344"/>
      <c r="EAO7" s="344"/>
      <c r="EAP7" s="344"/>
      <c r="EAQ7" s="344"/>
      <c r="EAR7" s="344"/>
      <c r="EAS7" s="344"/>
      <c r="EAT7" s="344"/>
      <c r="EAU7" s="344"/>
      <c r="EAV7" s="344"/>
      <c r="EAW7" s="344"/>
      <c r="EAX7" s="344"/>
      <c r="EAY7" s="344"/>
      <c r="EAZ7" s="344"/>
      <c r="EBA7" s="344"/>
      <c r="EBB7" s="344"/>
      <c r="EBC7" s="344"/>
      <c r="EBD7" s="344"/>
      <c r="EBE7" s="344"/>
      <c r="EBF7" s="344"/>
      <c r="EBG7" s="344"/>
      <c r="EBH7" s="344"/>
      <c r="EBI7" s="344"/>
      <c r="EBJ7" s="344"/>
      <c r="EBK7" s="344"/>
      <c r="EBL7" s="344"/>
      <c r="EBM7" s="344"/>
      <c r="EBN7" s="344"/>
      <c r="EBO7" s="344"/>
      <c r="EBP7" s="344"/>
      <c r="EBQ7" s="344"/>
      <c r="EBR7" s="344"/>
      <c r="EBS7" s="344"/>
      <c r="EBT7" s="344"/>
      <c r="EBU7" s="344"/>
      <c r="EBV7" s="344"/>
      <c r="EBW7" s="344"/>
      <c r="EBX7" s="344"/>
      <c r="EBY7" s="344"/>
      <c r="EBZ7" s="344"/>
      <c r="ECA7" s="344"/>
      <c r="ECB7" s="344"/>
      <c r="ECC7" s="344"/>
      <c r="ECD7" s="344"/>
      <c r="ECE7" s="344"/>
      <c r="ECF7" s="344"/>
      <c r="ECG7" s="344"/>
      <c r="ECH7" s="344"/>
      <c r="ECI7" s="344"/>
      <c r="ECJ7" s="344"/>
      <c r="ECK7" s="344"/>
      <c r="ECL7" s="344"/>
      <c r="ECM7" s="344"/>
      <c r="ECN7" s="344"/>
      <c r="ECO7" s="344"/>
      <c r="ECP7" s="344"/>
      <c r="ECQ7" s="344"/>
      <c r="ECR7" s="344"/>
      <c r="ECS7" s="344"/>
      <c r="ECT7" s="344"/>
      <c r="ECU7" s="344"/>
      <c r="ECV7" s="344"/>
      <c r="ECW7" s="344"/>
      <c r="ECX7" s="344"/>
      <c r="ECY7" s="344"/>
      <c r="ECZ7" s="344"/>
      <c r="EDA7" s="344"/>
      <c r="EDB7" s="344"/>
      <c r="EDC7" s="344"/>
      <c r="EDD7" s="344"/>
      <c r="EDE7" s="344"/>
      <c r="EDF7" s="344"/>
      <c r="EDG7" s="344"/>
      <c r="EDH7" s="344"/>
      <c r="EDI7" s="344"/>
      <c r="EDJ7" s="344"/>
      <c r="EDK7" s="344"/>
      <c r="EDL7" s="344"/>
      <c r="EDM7" s="344"/>
      <c r="EDN7" s="344"/>
      <c r="EDO7" s="344"/>
      <c r="EDP7" s="344"/>
      <c r="EDQ7" s="344"/>
      <c r="EDR7" s="344"/>
      <c r="EDS7" s="344"/>
      <c r="EDT7" s="344"/>
      <c r="EDU7" s="344"/>
      <c r="EDV7" s="344"/>
      <c r="EDW7" s="344"/>
      <c r="EDX7" s="344"/>
      <c r="EDY7" s="344"/>
      <c r="EDZ7" s="344"/>
      <c r="EEA7" s="344"/>
      <c r="EEB7" s="344"/>
      <c r="EEC7" s="344"/>
      <c r="EED7" s="344"/>
      <c r="EEE7" s="344"/>
      <c r="EEF7" s="344"/>
      <c r="EEG7" s="344"/>
      <c r="EEH7" s="344"/>
      <c r="EEI7" s="344"/>
      <c r="EEJ7" s="344"/>
      <c r="EEK7" s="344"/>
      <c r="EEL7" s="344"/>
      <c r="EEM7" s="344"/>
      <c r="EEN7" s="344"/>
      <c r="EEO7" s="344"/>
      <c r="EEP7" s="344"/>
      <c r="EEQ7" s="344"/>
      <c r="EER7" s="344"/>
      <c r="EES7" s="344"/>
      <c r="EET7" s="344"/>
      <c r="EEU7" s="344"/>
      <c r="EEV7" s="344"/>
      <c r="EEW7" s="344"/>
      <c r="EEX7" s="344"/>
      <c r="EEY7" s="344"/>
      <c r="EEZ7" s="344"/>
      <c r="EFA7" s="344"/>
      <c r="EFB7" s="344"/>
      <c r="EFC7" s="344"/>
      <c r="EFD7" s="344"/>
      <c r="EFE7" s="344"/>
      <c r="EFF7" s="344"/>
      <c r="EFG7" s="344"/>
      <c r="EFH7" s="344"/>
      <c r="EFI7" s="344"/>
      <c r="EFJ7" s="344"/>
      <c r="EFK7" s="344"/>
      <c r="EFL7" s="344"/>
      <c r="EFM7" s="344"/>
      <c r="EFN7" s="344"/>
      <c r="EFO7" s="344"/>
      <c r="EFP7" s="344"/>
      <c r="EFQ7" s="344"/>
      <c r="EFR7" s="344"/>
      <c r="EFS7" s="344"/>
      <c r="EFT7" s="344"/>
      <c r="EFU7" s="344"/>
      <c r="EFV7" s="344"/>
      <c r="EFW7" s="344"/>
      <c r="EFX7" s="344"/>
      <c r="EFY7" s="344"/>
      <c r="EFZ7" s="344"/>
      <c r="EGA7" s="344"/>
      <c r="EGB7" s="344"/>
      <c r="EGC7" s="344"/>
      <c r="EGD7" s="344"/>
      <c r="EGE7" s="344"/>
      <c r="EGF7" s="344"/>
      <c r="EGG7" s="344"/>
      <c r="EGH7" s="344"/>
      <c r="EGI7" s="344"/>
      <c r="EGJ7" s="344"/>
      <c r="EGK7" s="344"/>
      <c r="EGL7" s="344"/>
      <c r="EGM7" s="344"/>
      <c r="EGN7" s="344"/>
      <c r="EGO7" s="344"/>
      <c r="EGP7" s="344"/>
      <c r="EGQ7" s="344"/>
      <c r="EGR7" s="344"/>
      <c r="EGS7" s="344"/>
      <c r="EGT7" s="344"/>
      <c r="EGU7" s="344"/>
      <c r="EGV7" s="344"/>
      <c r="EGW7" s="344"/>
      <c r="EGX7" s="344"/>
      <c r="EGY7" s="344"/>
      <c r="EGZ7" s="344"/>
      <c r="EHA7" s="344"/>
      <c r="EHB7" s="344"/>
      <c r="EHC7" s="344"/>
      <c r="EHD7" s="344"/>
      <c r="EHE7" s="344"/>
      <c r="EHF7" s="344"/>
      <c r="EHG7" s="344"/>
      <c r="EHH7" s="344"/>
      <c r="EHI7" s="344"/>
      <c r="EHJ7" s="344"/>
      <c r="EHK7" s="344"/>
      <c r="EHL7" s="344"/>
      <c r="EHM7" s="344"/>
      <c r="EHN7" s="344"/>
      <c r="EHO7" s="344"/>
      <c r="EHP7" s="344"/>
      <c r="EHQ7" s="344"/>
      <c r="EHR7" s="344"/>
      <c r="EHS7" s="344"/>
      <c r="EHT7" s="344"/>
      <c r="EHU7" s="344"/>
      <c r="EHV7" s="344"/>
      <c r="EHW7" s="344"/>
      <c r="EHX7" s="344"/>
      <c r="EHY7" s="344"/>
      <c r="EHZ7" s="344"/>
      <c r="EIA7" s="344"/>
      <c r="EIB7" s="344"/>
      <c r="EIC7" s="344"/>
      <c r="EID7" s="344"/>
      <c r="EIE7" s="344"/>
      <c r="EIF7" s="344"/>
      <c r="EIG7" s="344"/>
      <c r="EIH7" s="344"/>
      <c r="EII7" s="344"/>
      <c r="EIJ7" s="344"/>
      <c r="EIK7" s="344"/>
      <c r="EIL7" s="344"/>
      <c r="EIM7" s="344"/>
      <c r="EIN7" s="344"/>
      <c r="EIO7" s="344"/>
      <c r="EIP7" s="344"/>
      <c r="EIQ7" s="344"/>
      <c r="EIR7" s="344"/>
      <c r="EIS7" s="344"/>
      <c r="EIT7" s="344"/>
      <c r="EIU7" s="344"/>
      <c r="EIV7" s="344"/>
      <c r="EIW7" s="344"/>
      <c r="EIX7" s="344"/>
      <c r="EIY7" s="344"/>
      <c r="EIZ7" s="344"/>
      <c r="EJA7" s="344"/>
      <c r="EJB7" s="344"/>
      <c r="EJC7" s="344"/>
      <c r="EJD7" s="344"/>
      <c r="EJE7" s="344"/>
      <c r="EJF7" s="344"/>
      <c r="EJG7" s="344"/>
      <c r="EJH7" s="344"/>
      <c r="EJI7" s="344"/>
      <c r="EJJ7" s="344"/>
      <c r="EJK7" s="344"/>
      <c r="EJL7" s="344"/>
      <c r="EJM7" s="344"/>
      <c r="EJN7" s="344"/>
      <c r="EJO7" s="344"/>
      <c r="EJP7" s="344"/>
      <c r="EJQ7" s="344"/>
      <c r="EJR7" s="344"/>
      <c r="EJS7" s="344"/>
      <c r="EJT7" s="344"/>
      <c r="EJU7" s="344"/>
      <c r="EJV7" s="344"/>
      <c r="EJW7" s="344"/>
      <c r="EJX7" s="344"/>
      <c r="EJY7" s="344"/>
      <c r="EJZ7" s="344"/>
      <c r="EKA7" s="344"/>
      <c r="EKB7" s="344"/>
      <c r="EKC7" s="344"/>
      <c r="EKD7" s="344"/>
      <c r="EKE7" s="344"/>
      <c r="EKF7" s="344"/>
      <c r="EKG7" s="344"/>
      <c r="EKH7" s="344"/>
      <c r="EKI7" s="344"/>
      <c r="EKJ7" s="344"/>
      <c r="EKK7" s="344"/>
      <c r="EKL7" s="344"/>
      <c r="EKM7" s="344"/>
      <c r="EKN7" s="344"/>
      <c r="EKO7" s="344"/>
      <c r="EKP7" s="344"/>
      <c r="EKQ7" s="344"/>
      <c r="EKR7" s="344"/>
      <c r="EKS7" s="344"/>
      <c r="EKT7" s="344"/>
      <c r="EKU7" s="344"/>
      <c r="EKV7" s="344"/>
      <c r="EKW7" s="344"/>
      <c r="EKX7" s="344"/>
      <c r="EKY7" s="344"/>
      <c r="EKZ7" s="344"/>
      <c r="ELA7" s="344"/>
      <c r="ELB7" s="344"/>
      <c r="ELC7" s="344"/>
      <c r="ELD7" s="344"/>
      <c r="ELE7" s="344"/>
      <c r="ELF7" s="344"/>
      <c r="ELG7" s="344"/>
      <c r="ELH7" s="344"/>
      <c r="ELI7" s="344"/>
      <c r="ELJ7" s="344"/>
      <c r="ELK7" s="344"/>
      <c r="ELL7" s="344"/>
      <c r="ELM7" s="344"/>
      <c r="ELN7" s="344"/>
      <c r="ELO7" s="344"/>
      <c r="ELP7" s="344"/>
      <c r="ELQ7" s="344"/>
      <c r="ELR7" s="344"/>
      <c r="ELS7" s="344"/>
      <c r="ELT7" s="344"/>
      <c r="ELU7" s="344"/>
      <c r="ELV7" s="344"/>
      <c r="ELW7" s="344"/>
      <c r="ELX7" s="344"/>
      <c r="ELY7" s="344"/>
      <c r="ELZ7" s="344"/>
      <c r="EMA7" s="344"/>
      <c r="EMB7" s="344"/>
      <c r="EMC7" s="344"/>
      <c r="EMD7" s="344"/>
      <c r="EME7" s="344"/>
      <c r="EMF7" s="344"/>
      <c r="EMG7" s="344"/>
      <c r="EMH7" s="344"/>
      <c r="EMI7" s="344"/>
      <c r="EMJ7" s="344"/>
      <c r="EMK7" s="344"/>
      <c r="EML7" s="344"/>
      <c r="EMM7" s="344"/>
      <c r="EMN7" s="344"/>
      <c r="EMO7" s="344"/>
      <c r="EMP7" s="344"/>
      <c r="EMQ7" s="344"/>
      <c r="EMR7" s="344"/>
      <c r="EMS7" s="344"/>
      <c r="EMT7" s="344"/>
      <c r="EMU7" s="344"/>
      <c r="EMV7" s="344"/>
      <c r="EMW7" s="344"/>
      <c r="EMX7" s="344"/>
      <c r="EMY7" s="344"/>
      <c r="EMZ7" s="344"/>
      <c r="ENA7" s="344"/>
      <c r="ENB7" s="344"/>
      <c r="ENC7" s="344"/>
      <c r="END7" s="344"/>
      <c r="ENE7" s="344"/>
      <c r="ENF7" s="344"/>
      <c r="ENG7" s="344"/>
      <c r="ENH7" s="344"/>
      <c r="ENI7" s="344"/>
      <c r="ENJ7" s="344"/>
      <c r="ENK7" s="344"/>
      <c r="ENL7" s="344"/>
      <c r="ENM7" s="344"/>
      <c r="ENN7" s="344"/>
      <c r="ENO7" s="344"/>
      <c r="ENP7" s="344"/>
      <c r="ENQ7" s="344"/>
      <c r="ENR7" s="344"/>
      <c r="ENS7" s="344"/>
      <c r="ENT7" s="344"/>
      <c r="ENU7" s="344"/>
      <c r="ENV7" s="344"/>
      <c r="ENW7" s="344"/>
      <c r="ENX7" s="344"/>
      <c r="ENY7" s="344"/>
      <c r="ENZ7" s="344"/>
      <c r="EOA7" s="344"/>
      <c r="EOB7" s="344"/>
      <c r="EOC7" s="344"/>
      <c r="EOD7" s="344"/>
      <c r="EOE7" s="344"/>
      <c r="EOF7" s="344"/>
      <c r="EOG7" s="344"/>
      <c r="EOH7" s="344"/>
      <c r="EOI7" s="344"/>
      <c r="EOJ7" s="344"/>
      <c r="EOK7" s="344"/>
      <c r="EOL7" s="344"/>
      <c r="EOM7" s="344"/>
      <c r="EON7" s="344"/>
      <c r="EOO7" s="344"/>
      <c r="EOP7" s="344"/>
      <c r="EOQ7" s="344"/>
      <c r="EOR7" s="344"/>
      <c r="EOS7" s="344"/>
      <c r="EOT7" s="344"/>
      <c r="EOU7" s="344"/>
      <c r="EOV7" s="344"/>
      <c r="EOW7" s="344"/>
      <c r="EOX7" s="344"/>
      <c r="EOY7" s="344"/>
      <c r="EOZ7" s="344"/>
      <c r="EPA7" s="344"/>
      <c r="EPB7" s="344"/>
      <c r="EPC7" s="344"/>
      <c r="EPD7" s="344"/>
      <c r="EPE7" s="344"/>
      <c r="EPF7" s="344"/>
      <c r="EPG7" s="344"/>
      <c r="EPH7" s="344"/>
      <c r="EPI7" s="344"/>
      <c r="EPJ7" s="344"/>
      <c r="EPK7" s="344"/>
      <c r="EPL7" s="344"/>
      <c r="EPM7" s="344"/>
      <c r="EPN7" s="344"/>
      <c r="EPO7" s="344"/>
      <c r="EPP7" s="344"/>
      <c r="EPQ7" s="344"/>
      <c r="EPR7" s="344"/>
      <c r="EPS7" s="344"/>
      <c r="EPT7" s="344"/>
      <c r="EPU7" s="344"/>
      <c r="EPV7" s="344"/>
      <c r="EPW7" s="344"/>
      <c r="EPX7" s="344"/>
      <c r="EPY7" s="344"/>
      <c r="EPZ7" s="344"/>
      <c r="EQA7" s="344"/>
      <c r="EQB7" s="344"/>
      <c r="EQC7" s="344"/>
      <c r="EQD7" s="344"/>
      <c r="EQE7" s="344"/>
      <c r="EQF7" s="344"/>
      <c r="EQG7" s="344"/>
      <c r="EQH7" s="344"/>
      <c r="EQI7" s="344"/>
      <c r="EQJ7" s="344"/>
      <c r="EQK7" s="344"/>
      <c r="EQL7" s="344"/>
      <c r="EQM7" s="344"/>
      <c r="EQN7" s="344"/>
      <c r="EQO7" s="344"/>
      <c r="EQP7" s="344"/>
      <c r="EQQ7" s="344"/>
      <c r="EQR7" s="344"/>
      <c r="EQS7" s="344"/>
      <c r="EQT7" s="344"/>
      <c r="EQU7" s="344"/>
      <c r="EQV7" s="344"/>
      <c r="EQW7" s="344"/>
      <c r="EQX7" s="344"/>
      <c r="EQY7" s="344"/>
      <c r="EQZ7" s="344"/>
      <c r="ERA7" s="344"/>
      <c r="ERB7" s="344"/>
      <c r="ERC7" s="344"/>
      <c r="ERD7" s="344"/>
      <c r="ERE7" s="344"/>
      <c r="ERF7" s="344"/>
      <c r="ERG7" s="344"/>
      <c r="ERH7" s="344"/>
      <c r="ERI7" s="344"/>
      <c r="ERJ7" s="344"/>
      <c r="ERK7" s="344"/>
      <c r="ERL7" s="344"/>
      <c r="ERM7" s="344"/>
      <c r="ERN7" s="344"/>
      <c r="ERO7" s="344"/>
      <c r="ERP7" s="344"/>
      <c r="ERQ7" s="344"/>
      <c r="ERR7" s="344"/>
      <c r="ERS7" s="344"/>
      <c r="ERT7" s="344"/>
      <c r="ERU7" s="344"/>
      <c r="ERV7" s="344"/>
      <c r="ERW7" s="344"/>
      <c r="ERX7" s="344"/>
      <c r="ERY7" s="344"/>
      <c r="ERZ7" s="344"/>
      <c r="ESA7" s="344"/>
      <c r="ESB7" s="344"/>
      <c r="ESC7" s="344"/>
      <c r="ESD7" s="344"/>
      <c r="ESE7" s="344"/>
      <c r="ESF7" s="344"/>
      <c r="ESG7" s="344"/>
      <c r="ESH7" s="344"/>
      <c r="ESI7" s="344"/>
      <c r="ESJ7" s="344"/>
      <c r="ESK7" s="344"/>
      <c r="ESL7" s="344"/>
      <c r="ESM7" s="344"/>
      <c r="ESN7" s="344"/>
      <c r="ESO7" s="344"/>
      <c r="ESP7" s="344"/>
      <c r="ESQ7" s="344"/>
      <c r="ESR7" s="344"/>
      <c r="ESS7" s="344"/>
      <c r="EST7" s="344"/>
      <c r="ESU7" s="344"/>
      <c r="ESV7" s="344"/>
      <c r="ESW7" s="344"/>
      <c r="ESX7" s="344"/>
      <c r="ESY7" s="344"/>
      <c r="ESZ7" s="344"/>
      <c r="ETA7" s="344"/>
      <c r="ETB7" s="344"/>
      <c r="ETC7" s="344"/>
      <c r="ETD7" s="344"/>
      <c r="ETE7" s="344"/>
      <c r="ETF7" s="344"/>
      <c r="ETG7" s="344"/>
      <c r="ETH7" s="344"/>
      <c r="ETI7" s="344"/>
      <c r="ETJ7" s="344"/>
      <c r="ETK7" s="344"/>
      <c r="ETL7" s="344"/>
      <c r="ETM7" s="344"/>
      <c r="ETN7" s="344"/>
      <c r="ETO7" s="344"/>
      <c r="ETP7" s="344"/>
      <c r="ETQ7" s="344"/>
      <c r="ETR7" s="344"/>
      <c r="ETS7" s="344"/>
      <c r="ETT7" s="344"/>
      <c r="ETU7" s="344"/>
      <c r="ETV7" s="344"/>
      <c r="ETW7" s="344"/>
      <c r="ETX7" s="344"/>
      <c r="ETY7" s="344"/>
      <c r="ETZ7" s="344"/>
      <c r="EUA7" s="344"/>
      <c r="EUB7" s="344"/>
      <c r="EUC7" s="344"/>
      <c r="EUD7" s="344"/>
      <c r="EUE7" s="344"/>
      <c r="EUF7" s="344"/>
      <c r="EUG7" s="344"/>
      <c r="EUH7" s="344"/>
      <c r="EUI7" s="344"/>
      <c r="EUJ7" s="344"/>
      <c r="EUK7" s="344"/>
      <c r="EUL7" s="344"/>
      <c r="EUM7" s="344"/>
      <c r="EUN7" s="344"/>
      <c r="EUO7" s="344"/>
      <c r="EUP7" s="344"/>
      <c r="EUQ7" s="344"/>
      <c r="EUR7" s="344"/>
      <c r="EUS7" s="344"/>
      <c r="EUT7" s="344"/>
      <c r="EUU7" s="344"/>
      <c r="EUV7" s="344"/>
      <c r="EUW7" s="344"/>
      <c r="EUX7" s="344"/>
      <c r="EUY7" s="344"/>
      <c r="EUZ7" s="344"/>
      <c r="EVA7" s="344"/>
      <c r="EVB7" s="344"/>
      <c r="EVC7" s="344"/>
      <c r="EVD7" s="344"/>
      <c r="EVE7" s="344"/>
      <c r="EVF7" s="344"/>
      <c r="EVG7" s="344"/>
      <c r="EVH7" s="344"/>
      <c r="EVI7" s="344"/>
      <c r="EVJ7" s="344"/>
      <c r="EVK7" s="344"/>
      <c r="EVL7" s="344"/>
      <c r="EVM7" s="344"/>
      <c r="EVN7" s="344"/>
      <c r="EVO7" s="344"/>
      <c r="EVP7" s="344"/>
      <c r="EVQ7" s="344"/>
      <c r="EVR7" s="344"/>
      <c r="EVS7" s="344"/>
      <c r="EVT7" s="344"/>
      <c r="EVU7" s="344"/>
      <c r="EVV7" s="344"/>
      <c r="EVW7" s="344"/>
      <c r="EVX7" s="344"/>
      <c r="EVY7" s="344"/>
      <c r="EVZ7" s="344"/>
      <c r="EWA7" s="344"/>
      <c r="EWB7" s="344"/>
      <c r="EWC7" s="344"/>
      <c r="EWD7" s="344"/>
      <c r="EWE7" s="344"/>
      <c r="EWF7" s="344"/>
      <c r="EWG7" s="344"/>
      <c r="EWH7" s="344"/>
      <c r="EWI7" s="344"/>
      <c r="EWJ7" s="344"/>
      <c r="EWK7" s="344"/>
      <c r="EWL7" s="344"/>
      <c r="EWM7" s="344"/>
      <c r="EWN7" s="344"/>
      <c r="EWO7" s="344"/>
      <c r="EWP7" s="344"/>
      <c r="EWQ7" s="344"/>
      <c r="EWR7" s="344"/>
      <c r="EWS7" s="344"/>
      <c r="EWT7" s="344"/>
      <c r="EWU7" s="344"/>
      <c r="EWV7" s="344"/>
      <c r="EWW7" s="344"/>
      <c r="EWX7" s="344"/>
      <c r="EWY7" s="344"/>
      <c r="EWZ7" s="344"/>
      <c r="EXA7" s="344"/>
      <c r="EXB7" s="344"/>
      <c r="EXC7" s="344"/>
      <c r="EXD7" s="344"/>
      <c r="EXE7" s="344"/>
      <c r="EXF7" s="344"/>
      <c r="EXG7" s="344"/>
      <c r="EXH7" s="344"/>
      <c r="EXI7" s="344"/>
      <c r="EXJ7" s="344"/>
      <c r="EXK7" s="344"/>
      <c r="EXL7" s="344"/>
      <c r="EXM7" s="344"/>
      <c r="EXN7" s="344"/>
      <c r="EXO7" s="344"/>
      <c r="EXP7" s="344"/>
      <c r="EXQ7" s="344"/>
      <c r="EXR7" s="344"/>
      <c r="EXS7" s="344"/>
      <c r="EXT7" s="344"/>
      <c r="EXU7" s="344"/>
      <c r="EXV7" s="344"/>
      <c r="EXW7" s="344"/>
      <c r="EXX7" s="344"/>
      <c r="EXY7" s="344"/>
      <c r="EXZ7" s="344"/>
      <c r="EYA7" s="344"/>
      <c r="EYB7" s="344"/>
      <c r="EYC7" s="344"/>
      <c r="EYD7" s="344"/>
      <c r="EYE7" s="344"/>
      <c r="EYF7" s="344"/>
      <c r="EYG7" s="344"/>
      <c r="EYH7" s="344"/>
      <c r="EYI7" s="344"/>
      <c r="EYJ7" s="344"/>
      <c r="EYK7" s="344"/>
      <c r="EYL7" s="344"/>
      <c r="EYM7" s="344"/>
      <c r="EYN7" s="344"/>
      <c r="EYO7" s="344"/>
      <c r="EYP7" s="344"/>
      <c r="EYQ7" s="344"/>
      <c r="EYR7" s="344"/>
      <c r="EYS7" s="344"/>
      <c r="EYT7" s="344"/>
      <c r="EYU7" s="344"/>
      <c r="EYV7" s="344"/>
      <c r="EYW7" s="344"/>
      <c r="EYX7" s="344"/>
      <c r="EYY7" s="344"/>
      <c r="EYZ7" s="344"/>
      <c r="EZA7" s="344"/>
      <c r="EZB7" s="344"/>
      <c r="EZC7" s="344"/>
      <c r="EZD7" s="344"/>
      <c r="EZE7" s="344"/>
      <c r="EZF7" s="344"/>
      <c r="EZG7" s="344"/>
      <c r="EZH7" s="344"/>
      <c r="EZI7" s="344"/>
      <c r="EZJ7" s="344"/>
      <c r="EZK7" s="344"/>
      <c r="EZL7" s="344"/>
      <c r="EZM7" s="344"/>
      <c r="EZN7" s="344"/>
      <c r="EZO7" s="344"/>
      <c r="EZP7" s="344"/>
      <c r="EZQ7" s="344"/>
      <c r="EZR7" s="344"/>
      <c r="EZS7" s="344"/>
      <c r="EZT7" s="344"/>
      <c r="EZU7" s="344"/>
      <c r="EZV7" s="344"/>
      <c r="EZW7" s="344"/>
      <c r="EZX7" s="344"/>
      <c r="EZY7" s="344"/>
      <c r="EZZ7" s="344"/>
      <c r="FAA7" s="344"/>
      <c r="FAB7" s="344"/>
      <c r="FAC7" s="344"/>
      <c r="FAD7" s="344"/>
      <c r="FAE7" s="344"/>
      <c r="FAF7" s="344"/>
      <c r="FAG7" s="344"/>
      <c r="FAH7" s="344"/>
      <c r="FAI7" s="344"/>
      <c r="FAJ7" s="344"/>
      <c r="FAK7" s="344"/>
      <c r="FAL7" s="344"/>
      <c r="FAM7" s="344"/>
      <c r="FAN7" s="344"/>
      <c r="FAO7" s="344"/>
      <c r="FAP7" s="344"/>
      <c r="FAQ7" s="344"/>
      <c r="FAR7" s="344"/>
      <c r="FAS7" s="344"/>
      <c r="FAT7" s="344"/>
      <c r="FAU7" s="344"/>
      <c r="FAV7" s="344"/>
      <c r="FAW7" s="344"/>
      <c r="FAX7" s="344"/>
      <c r="FAY7" s="344"/>
      <c r="FAZ7" s="344"/>
      <c r="FBA7" s="344"/>
      <c r="FBB7" s="344"/>
      <c r="FBC7" s="344"/>
      <c r="FBD7" s="344"/>
      <c r="FBE7" s="344"/>
      <c r="FBF7" s="344"/>
      <c r="FBG7" s="344"/>
      <c r="FBH7" s="344"/>
      <c r="FBI7" s="344"/>
      <c r="FBJ7" s="344"/>
      <c r="FBK7" s="344"/>
      <c r="FBL7" s="344"/>
      <c r="FBM7" s="344"/>
      <c r="FBN7" s="344"/>
      <c r="FBO7" s="344"/>
      <c r="FBP7" s="344"/>
      <c r="FBQ7" s="344"/>
      <c r="FBR7" s="344"/>
      <c r="FBS7" s="344"/>
      <c r="FBT7" s="344"/>
      <c r="FBU7" s="344"/>
      <c r="FBV7" s="344"/>
      <c r="FBW7" s="344"/>
      <c r="FBX7" s="344"/>
      <c r="FBY7" s="344"/>
      <c r="FBZ7" s="344"/>
      <c r="FCA7" s="344"/>
      <c r="FCB7" s="344"/>
      <c r="FCC7" s="344"/>
      <c r="FCD7" s="344"/>
      <c r="FCE7" s="344"/>
      <c r="FCF7" s="344"/>
      <c r="FCG7" s="344"/>
      <c r="FCH7" s="344"/>
      <c r="FCI7" s="344"/>
      <c r="FCJ7" s="344"/>
      <c r="FCK7" s="344"/>
      <c r="FCL7" s="344"/>
      <c r="FCM7" s="344"/>
      <c r="FCN7" s="344"/>
      <c r="FCO7" s="344"/>
      <c r="FCP7" s="344"/>
      <c r="FCQ7" s="344"/>
      <c r="FCR7" s="344"/>
      <c r="FCS7" s="344"/>
      <c r="FCT7" s="344"/>
      <c r="FCU7" s="344"/>
      <c r="FCV7" s="344"/>
      <c r="FCW7" s="344"/>
      <c r="FCX7" s="344"/>
      <c r="FCY7" s="344"/>
      <c r="FCZ7" s="344"/>
      <c r="FDA7" s="344"/>
      <c r="FDB7" s="344"/>
      <c r="FDC7" s="344"/>
      <c r="FDD7" s="344"/>
      <c r="FDE7" s="344"/>
      <c r="FDF7" s="344"/>
      <c r="FDG7" s="344"/>
      <c r="FDH7" s="344"/>
      <c r="FDI7" s="344"/>
      <c r="FDJ7" s="344"/>
      <c r="FDK7" s="344"/>
      <c r="FDL7" s="344"/>
      <c r="FDM7" s="344"/>
      <c r="FDN7" s="344"/>
      <c r="FDO7" s="344"/>
      <c r="FDP7" s="344"/>
      <c r="FDQ7" s="344"/>
      <c r="FDR7" s="344"/>
      <c r="FDS7" s="344"/>
      <c r="FDT7" s="344"/>
      <c r="FDU7" s="344"/>
      <c r="FDV7" s="344"/>
      <c r="FDW7" s="344"/>
      <c r="FDX7" s="344"/>
      <c r="FDY7" s="344"/>
      <c r="FDZ7" s="344"/>
      <c r="FEA7" s="344"/>
      <c r="FEB7" s="344"/>
      <c r="FEC7" s="344"/>
      <c r="FED7" s="344"/>
      <c r="FEE7" s="344"/>
      <c r="FEF7" s="344"/>
      <c r="FEG7" s="344"/>
      <c r="FEH7" s="344"/>
      <c r="FEI7" s="344"/>
      <c r="FEJ7" s="344"/>
      <c r="FEK7" s="344"/>
      <c r="FEL7" s="344"/>
      <c r="FEM7" s="344"/>
      <c r="FEN7" s="344"/>
      <c r="FEO7" s="344"/>
      <c r="FEP7" s="344"/>
      <c r="FEQ7" s="344"/>
      <c r="FER7" s="344"/>
      <c r="FES7" s="344"/>
      <c r="FET7" s="344"/>
      <c r="FEU7" s="344"/>
      <c r="FEV7" s="344"/>
      <c r="FEW7" s="344"/>
      <c r="FEX7" s="344"/>
      <c r="FEY7" s="344"/>
      <c r="FEZ7" s="344"/>
      <c r="FFA7" s="344"/>
      <c r="FFB7" s="344"/>
      <c r="FFC7" s="344"/>
      <c r="FFD7" s="344"/>
      <c r="FFE7" s="344"/>
      <c r="FFF7" s="344"/>
      <c r="FFG7" s="344"/>
      <c r="FFH7" s="344"/>
      <c r="FFI7" s="344"/>
      <c r="FFJ7" s="344"/>
      <c r="FFK7" s="344"/>
      <c r="FFL7" s="344"/>
      <c r="FFM7" s="344"/>
      <c r="FFN7" s="344"/>
      <c r="FFO7" s="344"/>
      <c r="FFP7" s="344"/>
      <c r="FFQ7" s="344"/>
      <c r="FFR7" s="344"/>
      <c r="FFS7" s="344"/>
      <c r="FFT7" s="344"/>
      <c r="FFU7" s="344"/>
      <c r="FFV7" s="344"/>
      <c r="FFW7" s="344"/>
      <c r="FFX7" s="344"/>
      <c r="FFY7" s="344"/>
      <c r="FFZ7" s="344"/>
      <c r="FGA7" s="344"/>
      <c r="FGB7" s="344"/>
      <c r="FGC7" s="344"/>
      <c r="FGD7" s="344"/>
      <c r="FGE7" s="344"/>
      <c r="FGF7" s="344"/>
      <c r="FGG7" s="344"/>
      <c r="FGH7" s="344"/>
      <c r="FGI7" s="344"/>
      <c r="FGJ7" s="344"/>
      <c r="FGK7" s="344"/>
      <c r="FGL7" s="344"/>
      <c r="FGM7" s="344"/>
      <c r="FGN7" s="344"/>
      <c r="FGO7" s="344"/>
      <c r="FGP7" s="344"/>
      <c r="FGQ7" s="344"/>
      <c r="FGR7" s="344"/>
      <c r="FGS7" s="344"/>
      <c r="FGT7" s="344"/>
      <c r="FGU7" s="344"/>
      <c r="FGV7" s="344"/>
      <c r="FGW7" s="344"/>
      <c r="FGX7" s="344"/>
      <c r="FGY7" s="344"/>
      <c r="FGZ7" s="344"/>
      <c r="FHA7" s="344"/>
      <c r="FHB7" s="344"/>
      <c r="FHC7" s="344"/>
      <c r="FHD7" s="344"/>
      <c r="FHE7" s="344"/>
      <c r="FHF7" s="344"/>
      <c r="FHG7" s="344"/>
      <c r="FHH7" s="344"/>
      <c r="FHI7" s="344"/>
      <c r="FHJ7" s="344"/>
      <c r="FHK7" s="344"/>
      <c r="FHL7" s="344"/>
      <c r="FHM7" s="344"/>
      <c r="FHN7" s="344"/>
      <c r="FHO7" s="344"/>
      <c r="FHP7" s="344"/>
      <c r="FHQ7" s="344"/>
      <c r="FHR7" s="344"/>
      <c r="FHS7" s="344"/>
      <c r="FHT7" s="344"/>
      <c r="FHU7" s="344"/>
      <c r="FHV7" s="344"/>
      <c r="FHW7" s="344"/>
      <c r="FHX7" s="344"/>
      <c r="FHY7" s="344"/>
      <c r="FHZ7" s="344"/>
      <c r="FIA7" s="344"/>
      <c r="FIB7" s="344"/>
      <c r="FIC7" s="344"/>
      <c r="FID7" s="344"/>
      <c r="FIE7" s="344"/>
      <c r="FIF7" s="344"/>
      <c r="FIG7" s="344"/>
      <c r="FIH7" s="344"/>
      <c r="FII7" s="344"/>
      <c r="FIJ7" s="344"/>
      <c r="FIK7" s="344"/>
      <c r="FIL7" s="344"/>
      <c r="FIM7" s="344"/>
      <c r="FIN7" s="344"/>
      <c r="FIO7" s="344"/>
      <c r="FIP7" s="344"/>
      <c r="FIQ7" s="344"/>
      <c r="FIR7" s="344"/>
      <c r="FIS7" s="344"/>
      <c r="FIT7" s="344"/>
      <c r="FIU7" s="344"/>
      <c r="FIV7" s="344"/>
      <c r="FIW7" s="344"/>
      <c r="FIX7" s="344"/>
      <c r="FIY7" s="344"/>
      <c r="FIZ7" s="344"/>
      <c r="FJA7" s="344"/>
      <c r="FJB7" s="344"/>
      <c r="FJC7" s="344"/>
      <c r="FJD7" s="344"/>
      <c r="FJE7" s="344"/>
      <c r="FJF7" s="344"/>
      <c r="FJG7" s="344"/>
      <c r="FJH7" s="344"/>
      <c r="FJI7" s="344"/>
      <c r="FJJ7" s="344"/>
      <c r="FJK7" s="344"/>
      <c r="FJL7" s="344"/>
      <c r="FJM7" s="344"/>
      <c r="FJN7" s="344"/>
      <c r="FJO7" s="344"/>
      <c r="FJP7" s="344"/>
      <c r="FJQ7" s="344"/>
      <c r="FJR7" s="344"/>
      <c r="FJS7" s="344"/>
      <c r="FJT7" s="344"/>
      <c r="FJU7" s="344"/>
      <c r="FJV7" s="344"/>
      <c r="FJW7" s="344"/>
      <c r="FJX7" s="344"/>
      <c r="FJY7" s="344"/>
      <c r="FJZ7" s="344"/>
      <c r="FKA7" s="344"/>
      <c r="FKB7" s="344"/>
      <c r="FKC7" s="344"/>
      <c r="FKD7" s="344"/>
      <c r="FKE7" s="344"/>
      <c r="FKF7" s="344"/>
      <c r="FKG7" s="344"/>
      <c r="FKH7" s="344"/>
      <c r="FKI7" s="344"/>
      <c r="FKJ7" s="344"/>
      <c r="FKK7" s="344"/>
      <c r="FKL7" s="344"/>
      <c r="FKM7" s="344"/>
      <c r="FKN7" s="344"/>
      <c r="FKO7" s="344"/>
      <c r="FKP7" s="344"/>
      <c r="FKQ7" s="344"/>
      <c r="FKR7" s="344"/>
      <c r="FKS7" s="344"/>
      <c r="FKT7" s="344"/>
      <c r="FKU7" s="344"/>
      <c r="FKV7" s="344"/>
      <c r="FKW7" s="344"/>
      <c r="FKX7" s="344"/>
      <c r="FKY7" s="344"/>
      <c r="FKZ7" s="344"/>
      <c r="FLA7" s="344"/>
      <c r="FLB7" s="344"/>
      <c r="FLC7" s="344"/>
      <c r="FLD7" s="344"/>
      <c r="FLE7" s="344"/>
      <c r="FLF7" s="344"/>
      <c r="FLG7" s="344"/>
      <c r="FLH7" s="344"/>
      <c r="FLI7" s="344"/>
      <c r="FLJ7" s="344"/>
      <c r="FLK7" s="344"/>
      <c r="FLL7" s="344"/>
      <c r="FLM7" s="344"/>
      <c r="FLN7" s="344"/>
      <c r="FLO7" s="344"/>
      <c r="FLP7" s="344"/>
      <c r="FLQ7" s="344"/>
      <c r="FLR7" s="344"/>
      <c r="FLS7" s="344"/>
      <c r="FLT7" s="344"/>
      <c r="FLU7" s="344"/>
      <c r="FLV7" s="344"/>
      <c r="FLW7" s="344"/>
      <c r="FLX7" s="344"/>
      <c r="FLY7" s="344"/>
      <c r="FLZ7" s="344"/>
      <c r="FMA7" s="344"/>
      <c r="FMB7" s="344"/>
      <c r="FMC7" s="344"/>
      <c r="FMD7" s="344"/>
      <c r="FME7" s="344"/>
      <c r="FMF7" s="344"/>
      <c r="FMG7" s="344"/>
      <c r="FMH7" s="344"/>
      <c r="FMI7" s="344"/>
      <c r="FMJ7" s="344"/>
      <c r="FMK7" s="344"/>
      <c r="FML7" s="344"/>
      <c r="FMM7" s="344"/>
      <c r="FMN7" s="344"/>
      <c r="FMO7" s="344"/>
      <c r="FMP7" s="344"/>
      <c r="FMQ7" s="344"/>
      <c r="FMR7" s="344"/>
      <c r="FMS7" s="344"/>
      <c r="FMT7" s="344"/>
      <c r="FMU7" s="344"/>
      <c r="FMV7" s="344"/>
      <c r="FMW7" s="344"/>
      <c r="FMX7" s="344"/>
      <c r="FMY7" s="344"/>
      <c r="FMZ7" s="344"/>
      <c r="FNA7" s="344"/>
      <c r="FNB7" s="344"/>
      <c r="FNC7" s="344"/>
      <c r="FND7" s="344"/>
      <c r="FNE7" s="344"/>
      <c r="FNF7" s="344"/>
      <c r="FNG7" s="344"/>
      <c r="FNH7" s="344"/>
      <c r="FNI7" s="344"/>
      <c r="FNJ7" s="344"/>
      <c r="FNK7" s="344"/>
      <c r="FNL7" s="344"/>
      <c r="FNM7" s="344"/>
      <c r="FNN7" s="344"/>
      <c r="FNO7" s="344"/>
      <c r="FNP7" s="344"/>
      <c r="FNQ7" s="344"/>
      <c r="FNR7" s="344"/>
      <c r="FNS7" s="344"/>
      <c r="FNT7" s="344"/>
      <c r="FNU7" s="344"/>
      <c r="FNV7" s="344"/>
      <c r="FNW7" s="344"/>
      <c r="FNX7" s="344"/>
      <c r="FNY7" s="344"/>
      <c r="FNZ7" s="344"/>
      <c r="FOA7" s="344"/>
      <c r="FOB7" s="344"/>
      <c r="FOC7" s="344"/>
      <c r="FOD7" s="344"/>
      <c r="FOE7" s="344"/>
      <c r="FOF7" s="344"/>
      <c r="FOG7" s="344"/>
      <c r="FOH7" s="344"/>
      <c r="FOI7" s="344"/>
      <c r="FOJ7" s="344"/>
      <c r="FOK7" s="344"/>
      <c r="FOL7" s="344"/>
      <c r="FOM7" s="344"/>
      <c r="FON7" s="344"/>
      <c r="FOO7" s="344"/>
      <c r="FOP7" s="344"/>
      <c r="FOQ7" s="344"/>
      <c r="FOR7" s="344"/>
      <c r="FOS7" s="344"/>
      <c r="FOT7" s="344"/>
      <c r="FOU7" s="344"/>
      <c r="FOV7" s="344"/>
      <c r="FOW7" s="344"/>
      <c r="FOX7" s="344"/>
      <c r="FOY7" s="344"/>
      <c r="FOZ7" s="344"/>
      <c r="FPA7" s="344"/>
      <c r="FPB7" s="344"/>
      <c r="FPC7" s="344"/>
      <c r="FPD7" s="344"/>
      <c r="FPE7" s="344"/>
      <c r="FPF7" s="344"/>
      <c r="FPG7" s="344"/>
      <c r="FPH7" s="344"/>
      <c r="FPI7" s="344"/>
      <c r="FPJ7" s="344"/>
      <c r="FPK7" s="344"/>
      <c r="FPL7" s="344"/>
      <c r="FPM7" s="344"/>
      <c r="FPN7" s="344"/>
      <c r="FPO7" s="344"/>
      <c r="FPP7" s="344"/>
      <c r="FPQ7" s="344"/>
      <c r="FPR7" s="344"/>
      <c r="FPS7" s="344"/>
      <c r="FPT7" s="344"/>
      <c r="FPU7" s="344"/>
      <c r="FPV7" s="344"/>
      <c r="FPW7" s="344"/>
      <c r="FPX7" s="344"/>
      <c r="FPY7" s="344"/>
      <c r="FPZ7" s="344"/>
      <c r="FQA7" s="344"/>
      <c r="FQB7" s="344"/>
      <c r="FQC7" s="344"/>
      <c r="FQD7" s="344"/>
      <c r="FQE7" s="344"/>
      <c r="FQF7" s="344"/>
      <c r="FQG7" s="344"/>
      <c r="FQH7" s="344"/>
      <c r="FQI7" s="344"/>
      <c r="FQJ7" s="344"/>
      <c r="FQK7" s="344"/>
      <c r="FQL7" s="344"/>
      <c r="FQM7" s="344"/>
      <c r="FQN7" s="344"/>
      <c r="FQO7" s="344"/>
      <c r="FQP7" s="344"/>
      <c r="FQQ7" s="344"/>
      <c r="FQR7" s="344"/>
      <c r="FQS7" s="344"/>
      <c r="FQT7" s="344"/>
      <c r="FQU7" s="344"/>
      <c r="FQV7" s="344"/>
      <c r="FQW7" s="344"/>
      <c r="FQX7" s="344"/>
      <c r="FQY7" s="344"/>
      <c r="FQZ7" s="344"/>
      <c r="FRA7" s="344"/>
      <c r="FRB7" s="344"/>
      <c r="FRC7" s="344"/>
      <c r="FRD7" s="344"/>
      <c r="FRE7" s="344"/>
      <c r="FRF7" s="344"/>
      <c r="FRG7" s="344"/>
      <c r="FRH7" s="344"/>
      <c r="FRI7" s="344"/>
      <c r="FRJ7" s="344"/>
      <c r="FRK7" s="344"/>
      <c r="FRL7" s="344"/>
      <c r="FRM7" s="344"/>
      <c r="FRN7" s="344"/>
      <c r="FRO7" s="344"/>
      <c r="FRP7" s="344"/>
      <c r="FRQ7" s="344"/>
      <c r="FRR7" s="344"/>
      <c r="FRS7" s="344"/>
      <c r="FRT7" s="344"/>
      <c r="FRU7" s="344"/>
      <c r="FRV7" s="344"/>
      <c r="FRW7" s="344"/>
      <c r="FRX7" s="344"/>
      <c r="FRY7" s="344"/>
      <c r="FRZ7" s="344"/>
      <c r="FSA7" s="344"/>
      <c r="FSB7" s="344"/>
      <c r="FSC7" s="344"/>
      <c r="FSD7" s="344"/>
      <c r="FSE7" s="344"/>
      <c r="FSF7" s="344"/>
      <c r="FSG7" s="344"/>
      <c r="FSH7" s="344"/>
      <c r="FSI7" s="344"/>
      <c r="FSJ7" s="344"/>
      <c r="FSK7" s="344"/>
      <c r="FSL7" s="344"/>
      <c r="FSM7" s="344"/>
      <c r="FSN7" s="344"/>
      <c r="FSO7" s="344"/>
      <c r="FSP7" s="344"/>
      <c r="FSQ7" s="344"/>
      <c r="FSR7" s="344"/>
      <c r="FSS7" s="344"/>
      <c r="FST7" s="344"/>
      <c r="FSU7" s="344"/>
      <c r="FSV7" s="344"/>
      <c r="FSW7" s="344"/>
      <c r="FSX7" s="344"/>
      <c r="FSY7" s="344"/>
      <c r="FSZ7" s="344"/>
      <c r="FTA7" s="344"/>
      <c r="FTB7" s="344"/>
      <c r="FTC7" s="344"/>
      <c r="FTD7" s="344"/>
      <c r="FTE7" s="344"/>
      <c r="FTF7" s="344"/>
      <c r="FTG7" s="344"/>
      <c r="FTH7" s="344"/>
      <c r="FTI7" s="344"/>
      <c r="FTJ7" s="344"/>
      <c r="FTK7" s="344"/>
      <c r="FTL7" s="344"/>
      <c r="FTM7" s="344"/>
      <c r="FTN7" s="344"/>
      <c r="FTO7" s="344"/>
      <c r="FTP7" s="344"/>
      <c r="FTQ7" s="344"/>
      <c r="FTR7" s="344"/>
      <c r="FTS7" s="344"/>
      <c r="FTT7" s="344"/>
      <c r="FTU7" s="344"/>
      <c r="FTV7" s="344"/>
      <c r="FTW7" s="344"/>
      <c r="FTX7" s="344"/>
      <c r="FTY7" s="344"/>
      <c r="FTZ7" s="344"/>
      <c r="FUA7" s="344"/>
      <c r="FUB7" s="344"/>
      <c r="FUC7" s="344"/>
      <c r="FUD7" s="344"/>
      <c r="FUE7" s="344"/>
      <c r="FUF7" s="344"/>
      <c r="FUG7" s="344"/>
      <c r="FUH7" s="344"/>
      <c r="FUI7" s="344"/>
      <c r="FUJ7" s="344"/>
      <c r="FUK7" s="344"/>
      <c r="FUL7" s="344"/>
      <c r="FUM7" s="344"/>
      <c r="FUN7" s="344"/>
      <c r="FUO7" s="344"/>
      <c r="FUP7" s="344"/>
      <c r="FUQ7" s="344"/>
      <c r="FUR7" s="344"/>
      <c r="FUS7" s="344"/>
      <c r="FUT7" s="344"/>
      <c r="FUU7" s="344"/>
      <c r="FUV7" s="344"/>
      <c r="FUW7" s="344"/>
      <c r="FUX7" s="344"/>
      <c r="FUY7" s="344"/>
      <c r="FUZ7" s="344"/>
      <c r="FVA7" s="344"/>
      <c r="FVB7" s="344"/>
      <c r="FVC7" s="344"/>
      <c r="FVD7" s="344"/>
      <c r="FVE7" s="344"/>
      <c r="FVF7" s="344"/>
      <c r="FVG7" s="344"/>
      <c r="FVH7" s="344"/>
      <c r="FVI7" s="344"/>
      <c r="FVJ7" s="344"/>
      <c r="FVK7" s="344"/>
      <c r="FVL7" s="344"/>
      <c r="FVM7" s="344"/>
      <c r="FVN7" s="344"/>
      <c r="FVO7" s="344"/>
      <c r="FVP7" s="344"/>
      <c r="FVQ7" s="344"/>
      <c r="FVR7" s="344"/>
      <c r="FVS7" s="344"/>
      <c r="FVT7" s="344"/>
      <c r="FVU7" s="344"/>
      <c r="FVV7" s="344"/>
      <c r="FVW7" s="344"/>
      <c r="FVX7" s="344"/>
      <c r="FVY7" s="344"/>
      <c r="FVZ7" s="344"/>
      <c r="FWA7" s="344"/>
      <c r="FWB7" s="344"/>
      <c r="FWC7" s="344"/>
      <c r="FWD7" s="344"/>
      <c r="FWE7" s="344"/>
      <c r="FWF7" s="344"/>
      <c r="FWG7" s="344"/>
      <c r="FWH7" s="344"/>
      <c r="FWI7" s="344"/>
      <c r="FWJ7" s="344"/>
      <c r="FWK7" s="344"/>
      <c r="FWL7" s="344"/>
      <c r="FWM7" s="344"/>
      <c r="FWN7" s="344"/>
      <c r="FWO7" s="344"/>
      <c r="FWP7" s="344"/>
      <c r="FWQ7" s="344"/>
      <c r="FWR7" s="344"/>
      <c r="FWS7" s="344"/>
      <c r="FWT7" s="344"/>
      <c r="FWU7" s="344"/>
      <c r="FWV7" s="344"/>
      <c r="FWW7" s="344"/>
      <c r="FWX7" s="344"/>
      <c r="FWY7" s="344"/>
      <c r="FWZ7" s="344"/>
      <c r="FXA7" s="344"/>
      <c r="FXB7" s="344"/>
      <c r="FXC7" s="344"/>
      <c r="FXD7" s="344"/>
      <c r="FXE7" s="344"/>
      <c r="FXF7" s="344"/>
      <c r="FXG7" s="344"/>
      <c r="FXH7" s="344"/>
      <c r="FXI7" s="344"/>
      <c r="FXJ7" s="344"/>
      <c r="FXK7" s="344"/>
      <c r="FXL7" s="344"/>
      <c r="FXM7" s="344"/>
      <c r="FXN7" s="344"/>
      <c r="FXO7" s="344"/>
      <c r="FXP7" s="344"/>
      <c r="FXQ7" s="344"/>
      <c r="FXR7" s="344"/>
      <c r="FXS7" s="344"/>
      <c r="FXT7" s="344"/>
      <c r="FXU7" s="344"/>
      <c r="FXV7" s="344"/>
      <c r="FXW7" s="344"/>
      <c r="FXX7" s="344"/>
      <c r="FXY7" s="344"/>
      <c r="FXZ7" s="344"/>
      <c r="FYA7" s="344"/>
      <c r="FYB7" s="344"/>
      <c r="FYC7" s="344"/>
      <c r="FYD7" s="344"/>
      <c r="FYE7" s="344"/>
      <c r="FYF7" s="344"/>
      <c r="FYG7" s="344"/>
      <c r="FYH7" s="344"/>
      <c r="FYI7" s="344"/>
      <c r="FYJ7" s="344"/>
      <c r="FYK7" s="344"/>
      <c r="FYL7" s="344"/>
      <c r="FYM7" s="344"/>
      <c r="FYN7" s="344"/>
      <c r="FYO7" s="344"/>
      <c r="FYP7" s="344"/>
      <c r="FYQ7" s="344"/>
      <c r="FYR7" s="344"/>
      <c r="FYS7" s="344"/>
      <c r="FYT7" s="344"/>
      <c r="FYU7" s="344"/>
      <c r="FYV7" s="344"/>
      <c r="FYW7" s="344"/>
      <c r="FYX7" s="344"/>
      <c r="FYY7" s="344"/>
      <c r="FYZ7" s="344"/>
      <c r="FZA7" s="344"/>
      <c r="FZB7" s="344"/>
      <c r="FZC7" s="344"/>
      <c r="FZD7" s="344"/>
      <c r="FZE7" s="344"/>
      <c r="FZF7" s="344"/>
      <c r="FZG7" s="344"/>
      <c r="FZH7" s="344"/>
      <c r="FZI7" s="344"/>
      <c r="FZJ7" s="344"/>
      <c r="FZK7" s="344"/>
      <c r="FZL7" s="344"/>
      <c r="FZM7" s="344"/>
      <c r="FZN7" s="344"/>
      <c r="FZO7" s="344"/>
      <c r="FZP7" s="344"/>
      <c r="FZQ7" s="344"/>
      <c r="FZR7" s="344"/>
      <c r="FZS7" s="344"/>
      <c r="FZT7" s="344"/>
      <c r="FZU7" s="344"/>
      <c r="FZV7" s="344"/>
      <c r="FZW7" s="344"/>
      <c r="FZX7" s="344"/>
      <c r="FZY7" s="344"/>
      <c r="FZZ7" s="344"/>
      <c r="GAA7" s="344"/>
      <c r="GAB7" s="344"/>
      <c r="GAC7" s="344"/>
      <c r="GAD7" s="344"/>
      <c r="GAE7" s="344"/>
      <c r="GAF7" s="344"/>
      <c r="GAG7" s="344"/>
      <c r="GAH7" s="344"/>
      <c r="GAI7" s="344"/>
      <c r="GAJ7" s="344"/>
      <c r="GAK7" s="344"/>
      <c r="GAL7" s="344"/>
      <c r="GAM7" s="344"/>
      <c r="GAN7" s="344"/>
      <c r="GAO7" s="344"/>
      <c r="GAP7" s="344"/>
      <c r="GAQ7" s="344"/>
      <c r="GAR7" s="344"/>
      <c r="GAS7" s="344"/>
      <c r="GAT7" s="344"/>
      <c r="GAU7" s="344"/>
      <c r="GAV7" s="344"/>
      <c r="GAW7" s="344"/>
      <c r="GAX7" s="344"/>
      <c r="GAY7" s="344"/>
      <c r="GAZ7" s="344"/>
      <c r="GBA7" s="344"/>
      <c r="GBB7" s="344"/>
      <c r="GBC7" s="344"/>
      <c r="GBD7" s="344"/>
      <c r="GBE7" s="344"/>
      <c r="GBF7" s="344"/>
      <c r="GBG7" s="344"/>
      <c r="GBH7" s="344"/>
      <c r="GBI7" s="344"/>
      <c r="GBJ7" s="344"/>
      <c r="GBK7" s="344"/>
      <c r="GBL7" s="344"/>
      <c r="GBM7" s="344"/>
      <c r="GBN7" s="344"/>
      <c r="GBO7" s="344"/>
      <c r="GBP7" s="344"/>
      <c r="GBQ7" s="344"/>
      <c r="GBR7" s="344"/>
      <c r="GBS7" s="344"/>
      <c r="GBT7" s="344"/>
      <c r="GBU7" s="344"/>
      <c r="GBV7" s="344"/>
      <c r="GBW7" s="344"/>
      <c r="GBX7" s="344"/>
      <c r="GBY7" s="344"/>
      <c r="GBZ7" s="344"/>
      <c r="GCA7" s="344"/>
      <c r="GCB7" s="344"/>
      <c r="GCC7" s="344"/>
      <c r="GCD7" s="344"/>
      <c r="GCE7" s="344"/>
      <c r="GCF7" s="344"/>
      <c r="GCG7" s="344"/>
      <c r="GCH7" s="344"/>
      <c r="GCI7" s="344"/>
      <c r="GCJ7" s="344"/>
      <c r="GCK7" s="344"/>
      <c r="GCL7" s="344"/>
      <c r="GCM7" s="344"/>
      <c r="GCN7" s="344"/>
      <c r="GCO7" s="344"/>
      <c r="GCP7" s="344"/>
      <c r="GCQ7" s="344"/>
      <c r="GCR7" s="344"/>
      <c r="GCS7" s="344"/>
      <c r="GCT7" s="344"/>
      <c r="GCU7" s="344"/>
      <c r="GCV7" s="344"/>
      <c r="GCW7" s="344"/>
      <c r="GCX7" s="344"/>
      <c r="GCY7" s="344"/>
      <c r="GCZ7" s="344"/>
      <c r="GDA7" s="344"/>
      <c r="GDB7" s="344"/>
      <c r="GDC7" s="344"/>
      <c r="GDD7" s="344"/>
      <c r="GDE7" s="344"/>
      <c r="GDF7" s="344"/>
      <c r="GDG7" s="344"/>
      <c r="GDH7" s="344"/>
      <c r="GDI7" s="344"/>
      <c r="GDJ7" s="344"/>
      <c r="GDK7" s="344"/>
      <c r="GDL7" s="344"/>
      <c r="GDM7" s="344"/>
      <c r="GDN7" s="344"/>
      <c r="GDO7" s="344"/>
      <c r="GDP7" s="344"/>
      <c r="GDQ7" s="344"/>
      <c r="GDR7" s="344"/>
      <c r="GDS7" s="344"/>
      <c r="GDT7" s="344"/>
      <c r="GDU7" s="344"/>
      <c r="GDV7" s="344"/>
      <c r="GDW7" s="344"/>
      <c r="GDX7" s="344"/>
      <c r="GDY7" s="344"/>
      <c r="GDZ7" s="344"/>
      <c r="GEA7" s="344"/>
      <c r="GEB7" s="344"/>
      <c r="GEC7" s="344"/>
      <c r="GED7" s="344"/>
      <c r="GEE7" s="344"/>
      <c r="GEF7" s="344"/>
      <c r="GEG7" s="344"/>
      <c r="GEH7" s="344"/>
      <c r="GEI7" s="344"/>
      <c r="GEJ7" s="344"/>
      <c r="GEK7" s="344"/>
      <c r="GEL7" s="344"/>
      <c r="GEM7" s="344"/>
      <c r="GEN7" s="344"/>
      <c r="GEO7" s="344"/>
      <c r="GEP7" s="344"/>
      <c r="GEQ7" s="344"/>
      <c r="GER7" s="344"/>
      <c r="GES7" s="344"/>
      <c r="GET7" s="344"/>
      <c r="GEU7" s="344"/>
      <c r="GEV7" s="344"/>
      <c r="GEW7" s="344"/>
      <c r="GEX7" s="344"/>
      <c r="GEY7" s="344"/>
      <c r="GEZ7" s="344"/>
      <c r="GFA7" s="344"/>
      <c r="GFB7" s="344"/>
      <c r="GFC7" s="344"/>
      <c r="GFD7" s="344"/>
      <c r="GFE7" s="344"/>
      <c r="GFF7" s="344"/>
      <c r="GFG7" s="344"/>
      <c r="GFH7" s="344"/>
      <c r="GFI7" s="344"/>
      <c r="GFJ7" s="344"/>
      <c r="GFK7" s="344"/>
      <c r="GFL7" s="344"/>
      <c r="GFM7" s="344"/>
      <c r="GFN7" s="344"/>
      <c r="GFO7" s="344"/>
      <c r="GFP7" s="344"/>
      <c r="GFQ7" s="344"/>
      <c r="GFR7" s="344"/>
      <c r="GFS7" s="344"/>
      <c r="GFT7" s="344"/>
      <c r="GFU7" s="344"/>
      <c r="GFV7" s="344"/>
      <c r="GFW7" s="344"/>
      <c r="GFX7" s="344"/>
      <c r="GFY7" s="344"/>
      <c r="GFZ7" s="344"/>
      <c r="GGA7" s="344"/>
      <c r="GGB7" s="344"/>
      <c r="GGC7" s="344"/>
      <c r="GGD7" s="344"/>
      <c r="GGE7" s="344"/>
      <c r="GGF7" s="344"/>
      <c r="GGG7" s="344"/>
      <c r="GGH7" s="344"/>
      <c r="GGI7" s="344"/>
      <c r="GGJ7" s="344"/>
      <c r="GGK7" s="344"/>
      <c r="GGL7" s="344"/>
      <c r="GGM7" s="344"/>
      <c r="GGN7" s="344"/>
      <c r="GGO7" s="344"/>
      <c r="GGP7" s="344"/>
      <c r="GGQ7" s="344"/>
      <c r="GGR7" s="344"/>
      <c r="GGS7" s="344"/>
      <c r="GGT7" s="344"/>
      <c r="GGU7" s="344"/>
      <c r="GGV7" s="344"/>
      <c r="GGW7" s="344"/>
      <c r="GGX7" s="344"/>
      <c r="GGY7" s="344"/>
      <c r="GGZ7" s="344"/>
      <c r="GHA7" s="344"/>
      <c r="GHB7" s="344"/>
      <c r="GHC7" s="344"/>
      <c r="GHD7" s="344"/>
      <c r="GHE7" s="344"/>
      <c r="GHF7" s="344"/>
      <c r="GHG7" s="344"/>
      <c r="GHH7" s="344"/>
      <c r="GHI7" s="344"/>
      <c r="GHJ7" s="344"/>
      <c r="GHK7" s="344"/>
      <c r="GHL7" s="344"/>
      <c r="GHM7" s="344"/>
      <c r="GHN7" s="344"/>
      <c r="GHO7" s="344"/>
      <c r="GHP7" s="344"/>
      <c r="GHQ7" s="344"/>
      <c r="GHR7" s="344"/>
      <c r="GHS7" s="344"/>
      <c r="GHT7" s="344"/>
      <c r="GHU7" s="344"/>
      <c r="GHV7" s="344"/>
      <c r="GHW7" s="344"/>
      <c r="GHX7" s="344"/>
      <c r="GHY7" s="344"/>
      <c r="GHZ7" s="344"/>
      <c r="GIA7" s="344"/>
      <c r="GIB7" s="344"/>
      <c r="GIC7" s="344"/>
      <c r="GID7" s="344"/>
      <c r="GIE7" s="344"/>
      <c r="GIF7" s="344"/>
      <c r="GIG7" s="344"/>
      <c r="GIH7" s="344"/>
      <c r="GII7" s="344"/>
      <c r="GIJ7" s="344"/>
      <c r="GIK7" s="344"/>
      <c r="GIL7" s="344"/>
      <c r="GIM7" s="344"/>
      <c r="GIN7" s="344"/>
      <c r="GIO7" s="344"/>
      <c r="GIP7" s="344"/>
      <c r="GIQ7" s="344"/>
      <c r="GIR7" s="344"/>
      <c r="GIS7" s="344"/>
      <c r="GIT7" s="344"/>
      <c r="GIU7" s="344"/>
      <c r="GIV7" s="344"/>
      <c r="GIW7" s="344"/>
      <c r="GIX7" s="344"/>
      <c r="GIY7" s="344"/>
      <c r="GIZ7" s="344"/>
      <c r="GJA7" s="344"/>
      <c r="GJB7" s="344"/>
      <c r="GJC7" s="344"/>
      <c r="GJD7" s="344"/>
      <c r="GJE7" s="344"/>
      <c r="GJF7" s="344"/>
      <c r="GJG7" s="344"/>
      <c r="GJH7" s="344"/>
      <c r="GJI7" s="344"/>
      <c r="GJJ7" s="344"/>
      <c r="GJK7" s="344"/>
      <c r="GJL7" s="344"/>
      <c r="GJM7" s="344"/>
      <c r="GJN7" s="344"/>
      <c r="GJO7" s="344"/>
      <c r="GJP7" s="344"/>
      <c r="GJQ7" s="344"/>
      <c r="GJR7" s="344"/>
      <c r="GJS7" s="344"/>
      <c r="GJT7" s="344"/>
      <c r="GJU7" s="344"/>
      <c r="GJV7" s="344"/>
      <c r="GJW7" s="344"/>
      <c r="GJX7" s="344"/>
      <c r="GJY7" s="344"/>
      <c r="GJZ7" s="344"/>
      <c r="GKA7" s="344"/>
      <c r="GKB7" s="344"/>
      <c r="GKC7" s="344"/>
      <c r="GKD7" s="344"/>
      <c r="GKE7" s="344"/>
      <c r="GKF7" s="344"/>
      <c r="GKG7" s="344"/>
      <c r="GKH7" s="344"/>
      <c r="GKI7" s="344"/>
      <c r="GKJ7" s="344"/>
      <c r="GKK7" s="344"/>
      <c r="GKL7" s="344"/>
      <c r="GKM7" s="344"/>
      <c r="GKN7" s="344"/>
      <c r="GKO7" s="344"/>
      <c r="GKP7" s="344"/>
      <c r="GKQ7" s="344"/>
      <c r="GKR7" s="344"/>
      <c r="GKS7" s="344"/>
      <c r="GKT7" s="344"/>
      <c r="GKU7" s="344"/>
      <c r="GKV7" s="344"/>
      <c r="GKW7" s="344"/>
      <c r="GKX7" s="344"/>
      <c r="GKY7" s="344"/>
      <c r="GKZ7" s="344"/>
      <c r="GLA7" s="344"/>
      <c r="GLB7" s="344"/>
      <c r="GLC7" s="344"/>
      <c r="GLD7" s="344"/>
      <c r="GLE7" s="344"/>
      <c r="GLF7" s="344"/>
      <c r="GLG7" s="344"/>
      <c r="GLH7" s="344"/>
      <c r="GLI7" s="344"/>
      <c r="GLJ7" s="344"/>
      <c r="GLK7" s="344"/>
      <c r="GLL7" s="344"/>
      <c r="GLM7" s="344"/>
      <c r="GLN7" s="344"/>
      <c r="GLO7" s="344"/>
      <c r="GLP7" s="344"/>
      <c r="GLQ7" s="344"/>
      <c r="GLR7" s="344"/>
      <c r="GLS7" s="344"/>
      <c r="GLT7" s="344"/>
      <c r="GLU7" s="344"/>
      <c r="GLV7" s="344"/>
      <c r="GLW7" s="344"/>
      <c r="GLX7" s="344"/>
      <c r="GLY7" s="344"/>
      <c r="GLZ7" s="344"/>
      <c r="GMA7" s="344"/>
      <c r="GMB7" s="344"/>
      <c r="GMC7" s="344"/>
      <c r="GMD7" s="344"/>
      <c r="GME7" s="344"/>
      <c r="GMF7" s="344"/>
      <c r="GMG7" s="344"/>
      <c r="GMH7" s="344"/>
      <c r="GMI7" s="344"/>
      <c r="GMJ7" s="344"/>
      <c r="GMK7" s="344"/>
      <c r="GML7" s="344"/>
      <c r="GMM7" s="344"/>
      <c r="GMN7" s="344"/>
      <c r="GMO7" s="344"/>
      <c r="GMP7" s="344"/>
      <c r="GMQ7" s="344"/>
      <c r="GMR7" s="344"/>
      <c r="GMS7" s="344"/>
      <c r="GMT7" s="344"/>
      <c r="GMU7" s="344"/>
      <c r="GMV7" s="344"/>
      <c r="GMW7" s="344"/>
      <c r="GMX7" s="344"/>
      <c r="GMY7" s="344"/>
      <c r="GMZ7" s="344"/>
      <c r="GNA7" s="344"/>
      <c r="GNB7" s="344"/>
      <c r="GNC7" s="344"/>
      <c r="GND7" s="344"/>
      <c r="GNE7" s="344"/>
      <c r="GNF7" s="344"/>
      <c r="GNG7" s="344"/>
      <c r="GNH7" s="344"/>
      <c r="GNI7" s="344"/>
      <c r="GNJ7" s="344"/>
      <c r="GNK7" s="344"/>
      <c r="GNL7" s="344"/>
      <c r="GNM7" s="344"/>
      <c r="GNN7" s="344"/>
      <c r="GNO7" s="344"/>
      <c r="GNP7" s="344"/>
      <c r="GNQ7" s="344"/>
      <c r="GNR7" s="344"/>
      <c r="GNS7" s="344"/>
      <c r="GNT7" s="344"/>
      <c r="GNU7" s="344"/>
      <c r="GNV7" s="344"/>
      <c r="GNW7" s="344"/>
      <c r="GNX7" s="344"/>
      <c r="GNY7" s="344"/>
      <c r="GNZ7" s="344"/>
      <c r="GOA7" s="344"/>
      <c r="GOB7" s="344"/>
      <c r="GOC7" s="344"/>
      <c r="GOD7" s="344"/>
      <c r="GOE7" s="344"/>
      <c r="GOF7" s="344"/>
      <c r="GOG7" s="344"/>
      <c r="GOH7" s="344"/>
      <c r="GOI7" s="344"/>
      <c r="GOJ7" s="344"/>
      <c r="GOK7" s="344"/>
      <c r="GOL7" s="344"/>
      <c r="GOM7" s="344"/>
      <c r="GON7" s="344"/>
      <c r="GOO7" s="344"/>
      <c r="GOP7" s="344"/>
      <c r="GOQ7" s="344"/>
      <c r="GOR7" s="344"/>
      <c r="GOS7" s="344"/>
      <c r="GOT7" s="344"/>
      <c r="GOU7" s="344"/>
      <c r="GOV7" s="344"/>
      <c r="GOW7" s="344"/>
      <c r="GOX7" s="344"/>
      <c r="GOY7" s="344"/>
      <c r="GOZ7" s="344"/>
      <c r="GPA7" s="344"/>
      <c r="GPB7" s="344"/>
      <c r="GPC7" s="344"/>
      <c r="GPD7" s="344"/>
      <c r="GPE7" s="344"/>
      <c r="GPF7" s="344"/>
      <c r="GPG7" s="344"/>
      <c r="GPH7" s="344"/>
      <c r="GPI7" s="344"/>
      <c r="GPJ7" s="344"/>
      <c r="GPK7" s="344"/>
      <c r="GPL7" s="344"/>
      <c r="GPM7" s="344"/>
      <c r="GPN7" s="344"/>
      <c r="GPO7" s="344"/>
      <c r="GPP7" s="344"/>
      <c r="GPQ7" s="344"/>
      <c r="GPR7" s="344"/>
      <c r="GPS7" s="344"/>
      <c r="GPT7" s="344"/>
      <c r="GPU7" s="344"/>
      <c r="GPV7" s="344"/>
      <c r="GPW7" s="344"/>
      <c r="GPX7" s="344"/>
      <c r="GPY7" s="344"/>
      <c r="GPZ7" s="344"/>
      <c r="GQA7" s="344"/>
      <c r="GQB7" s="344"/>
      <c r="GQC7" s="344"/>
      <c r="GQD7" s="344"/>
      <c r="GQE7" s="344"/>
      <c r="GQF7" s="344"/>
      <c r="GQG7" s="344"/>
      <c r="GQH7" s="344"/>
      <c r="GQI7" s="344"/>
      <c r="GQJ7" s="344"/>
      <c r="GQK7" s="344"/>
      <c r="GQL7" s="344"/>
      <c r="GQM7" s="344"/>
      <c r="GQN7" s="344"/>
      <c r="GQO7" s="344"/>
      <c r="GQP7" s="344"/>
      <c r="GQQ7" s="344"/>
      <c r="GQR7" s="344"/>
      <c r="GQS7" s="344"/>
      <c r="GQT7" s="344"/>
      <c r="GQU7" s="344"/>
      <c r="GQV7" s="344"/>
      <c r="GQW7" s="344"/>
      <c r="GQX7" s="344"/>
      <c r="GQY7" s="344"/>
      <c r="GQZ7" s="344"/>
      <c r="GRA7" s="344"/>
      <c r="GRB7" s="344"/>
      <c r="GRC7" s="344"/>
      <c r="GRD7" s="344"/>
      <c r="GRE7" s="344"/>
      <c r="GRF7" s="344"/>
      <c r="GRG7" s="344"/>
      <c r="GRH7" s="344"/>
      <c r="GRI7" s="344"/>
      <c r="GRJ7" s="344"/>
      <c r="GRK7" s="344"/>
      <c r="GRL7" s="344"/>
      <c r="GRM7" s="344"/>
      <c r="GRN7" s="344"/>
      <c r="GRO7" s="344"/>
      <c r="GRP7" s="344"/>
      <c r="GRQ7" s="344"/>
      <c r="GRR7" s="344"/>
      <c r="GRS7" s="344"/>
      <c r="GRT7" s="344"/>
      <c r="GRU7" s="344"/>
      <c r="GRV7" s="344"/>
      <c r="GRW7" s="344"/>
      <c r="GRX7" s="344"/>
      <c r="GRY7" s="344"/>
      <c r="GRZ7" s="344"/>
      <c r="GSA7" s="344"/>
      <c r="GSB7" s="344"/>
      <c r="GSC7" s="344"/>
      <c r="GSD7" s="344"/>
      <c r="GSE7" s="344"/>
      <c r="GSF7" s="344"/>
      <c r="GSG7" s="344"/>
      <c r="GSH7" s="344"/>
      <c r="GSI7" s="344"/>
      <c r="GSJ7" s="344"/>
      <c r="GSK7" s="344"/>
      <c r="GSL7" s="344"/>
      <c r="GSM7" s="344"/>
      <c r="GSN7" s="344"/>
      <c r="GSO7" s="344"/>
      <c r="GSP7" s="344"/>
      <c r="GSQ7" s="344"/>
      <c r="GSR7" s="344"/>
      <c r="GSS7" s="344"/>
      <c r="GST7" s="344"/>
      <c r="GSU7" s="344"/>
      <c r="GSV7" s="344"/>
      <c r="GSW7" s="344"/>
      <c r="GSX7" s="344"/>
      <c r="GSY7" s="344"/>
      <c r="GSZ7" s="344"/>
      <c r="GTA7" s="344"/>
      <c r="GTB7" s="344"/>
      <c r="GTC7" s="344"/>
      <c r="GTD7" s="344"/>
      <c r="GTE7" s="344"/>
      <c r="GTF7" s="344"/>
      <c r="GTG7" s="344"/>
      <c r="GTH7" s="344"/>
      <c r="GTI7" s="344"/>
      <c r="GTJ7" s="344"/>
      <c r="GTK7" s="344"/>
      <c r="GTL7" s="344"/>
      <c r="GTM7" s="344"/>
      <c r="GTN7" s="344"/>
      <c r="GTO7" s="344"/>
      <c r="GTP7" s="344"/>
      <c r="GTQ7" s="344"/>
      <c r="GTR7" s="344"/>
      <c r="GTS7" s="344"/>
      <c r="GTT7" s="344"/>
      <c r="GTU7" s="344"/>
      <c r="GTV7" s="344"/>
      <c r="GTW7" s="344"/>
      <c r="GTX7" s="344"/>
      <c r="GTY7" s="344"/>
      <c r="GTZ7" s="344"/>
      <c r="GUA7" s="344"/>
      <c r="GUB7" s="344"/>
      <c r="GUC7" s="344"/>
      <c r="GUD7" s="344"/>
      <c r="GUE7" s="344"/>
      <c r="GUF7" s="344"/>
      <c r="GUG7" s="344"/>
      <c r="GUH7" s="344"/>
      <c r="GUI7" s="344"/>
      <c r="GUJ7" s="344"/>
      <c r="GUK7" s="344"/>
      <c r="GUL7" s="344"/>
      <c r="GUM7" s="344"/>
      <c r="GUN7" s="344"/>
      <c r="GUO7" s="344"/>
      <c r="GUP7" s="344"/>
      <c r="GUQ7" s="344"/>
      <c r="GUR7" s="344"/>
      <c r="GUS7" s="344"/>
      <c r="GUT7" s="344"/>
      <c r="GUU7" s="344"/>
      <c r="GUV7" s="344"/>
      <c r="GUW7" s="344"/>
      <c r="GUX7" s="344"/>
      <c r="GUY7" s="344"/>
      <c r="GUZ7" s="344"/>
      <c r="GVA7" s="344"/>
      <c r="GVB7" s="344"/>
      <c r="GVC7" s="344"/>
      <c r="GVD7" s="344"/>
      <c r="GVE7" s="344"/>
      <c r="GVF7" s="344"/>
      <c r="GVG7" s="344"/>
      <c r="GVH7" s="344"/>
      <c r="GVI7" s="344"/>
      <c r="GVJ7" s="344"/>
      <c r="GVK7" s="344"/>
      <c r="GVL7" s="344"/>
      <c r="GVM7" s="344"/>
      <c r="GVN7" s="344"/>
      <c r="GVO7" s="344"/>
      <c r="GVP7" s="344"/>
      <c r="GVQ7" s="344"/>
      <c r="GVR7" s="344"/>
      <c r="GVS7" s="344"/>
      <c r="GVT7" s="344"/>
      <c r="GVU7" s="344"/>
      <c r="GVV7" s="344"/>
      <c r="GVW7" s="344"/>
      <c r="GVX7" s="344"/>
      <c r="GVY7" s="344"/>
      <c r="GVZ7" s="344"/>
      <c r="GWA7" s="344"/>
      <c r="GWB7" s="344"/>
      <c r="GWC7" s="344"/>
      <c r="GWD7" s="344"/>
      <c r="GWE7" s="344"/>
      <c r="GWF7" s="344"/>
      <c r="GWG7" s="344"/>
      <c r="GWH7" s="344"/>
      <c r="GWI7" s="344"/>
      <c r="GWJ7" s="344"/>
      <c r="GWK7" s="344"/>
      <c r="GWL7" s="344"/>
      <c r="GWM7" s="344"/>
      <c r="GWN7" s="344"/>
      <c r="GWO7" s="344"/>
      <c r="GWP7" s="344"/>
      <c r="GWQ7" s="344"/>
      <c r="GWR7" s="344"/>
      <c r="GWS7" s="344"/>
      <c r="GWT7" s="344"/>
      <c r="GWU7" s="344"/>
      <c r="GWV7" s="344"/>
      <c r="GWW7" s="344"/>
      <c r="GWX7" s="344"/>
      <c r="GWY7" s="344"/>
      <c r="GWZ7" s="344"/>
      <c r="GXA7" s="344"/>
      <c r="GXB7" s="344"/>
      <c r="GXC7" s="344"/>
      <c r="GXD7" s="344"/>
      <c r="GXE7" s="344"/>
      <c r="GXF7" s="344"/>
      <c r="GXG7" s="344"/>
      <c r="GXH7" s="344"/>
      <c r="GXI7" s="344"/>
      <c r="GXJ7" s="344"/>
      <c r="GXK7" s="344"/>
      <c r="GXL7" s="344"/>
      <c r="GXM7" s="344"/>
      <c r="GXN7" s="344"/>
      <c r="GXO7" s="344"/>
      <c r="GXP7" s="344"/>
      <c r="GXQ7" s="344"/>
      <c r="GXR7" s="344"/>
      <c r="GXS7" s="344"/>
      <c r="GXT7" s="344"/>
      <c r="GXU7" s="344"/>
      <c r="GXV7" s="344"/>
      <c r="GXW7" s="344"/>
      <c r="GXX7" s="344"/>
      <c r="GXY7" s="344"/>
      <c r="GXZ7" s="344"/>
      <c r="GYA7" s="344"/>
      <c r="GYB7" s="344"/>
      <c r="GYC7" s="344"/>
      <c r="GYD7" s="344"/>
      <c r="GYE7" s="344"/>
      <c r="GYF7" s="344"/>
      <c r="GYG7" s="344"/>
      <c r="GYH7" s="344"/>
      <c r="GYI7" s="344"/>
      <c r="GYJ7" s="344"/>
      <c r="GYK7" s="344"/>
      <c r="GYL7" s="344"/>
      <c r="GYM7" s="344"/>
      <c r="GYN7" s="344"/>
      <c r="GYO7" s="344"/>
      <c r="GYP7" s="344"/>
      <c r="GYQ7" s="344"/>
      <c r="GYR7" s="344"/>
      <c r="GYS7" s="344"/>
      <c r="GYT7" s="344"/>
      <c r="GYU7" s="344"/>
      <c r="GYV7" s="344"/>
      <c r="GYW7" s="344"/>
      <c r="GYX7" s="344"/>
      <c r="GYY7" s="344"/>
      <c r="GYZ7" s="344"/>
      <c r="GZA7" s="344"/>
      <c r="GZB7" s="344"/>
      <c r="GZC7" s="344"/>
      <c r="GZD7" s="344"/>
      <c r="GZE7" s="344"/>
      <c r="GZF7" s="344"/>
      <c r="GZG7" s="344"/>
      <c r="GZH7" s="344"/>
      <c r="GZI7" s="344"/>
      <c r="GZJ7" s="344"/>
      <c r="GZK7" s="344"/>
      <c r="GZL7" s="344"/>
      <c r="GZM7" s="344"/>
      <c r="GZN7" s="344"/>
      <c r="GZO7" s="344"/>
      <c r="GZP7" s="344"/>
      <c r="GZQ7" s="344"/>
      <c r="GZR7" s="344"/>
      <c r="GZS7" s="344"/>
      <c r="GZT7" s="344"/>
      <c r="GZU7" s="344"/>
      <c r="GZV7" s="344"/>
      <c r="GZW7" s="344"/>
      <c r="GZX7" s="344"/>
      <c r="GZY7" s="344"/>
      <c r="GZZ7" s="344"/>
      <c r="HAA7" s="344"/>
      <c r="HAB7" s="344"/>
      <c r="HAC7" s="344"/>
      <c r="HAD7" s="344"/>
      <c r="HAE7" s="344"/>
      <c r="HAF7" s="344"/>
      <c r="HAG7" s="344"/>
      <c r="HAH7" s="344"/>
      <c r="HAI7" s="344"/>
      <c r="HAJ7" s="344"/>
      <c r="HAK7" s="344"/>
      <c r="HAL7" s="344"/>
      <c r="HAM7" s="344"/>
      <c r="HAN7" s="344"/>
      <c r="HAO7" s="344"/>
      <c r="HAP7" s="344"/>
      <c r="HAQ7" s="344"/>
      <c r="HAR7" s="344"/>
      <c r="HAS7" s="344"/>
      <c r="HAT7" s="344"/>
      <c r="HAU7" s="344"/>
      <c r="HAV7" s="344"/>
      <c r="HAW7" s="344"/>
      <c r="HAX7" s="344"/>
      <c r="HAY7" s="344"/>
      <c r="HAZ7" s="344"/>
      <c r="HBA7" s="344"/>
      <c r="HBB7" s="344"/>
      <c r="HBC7" s="344"/>
      <c r="HBD7" s="344"/>
      <c r="HBE7" s="344"/>
      <c r="HBF7" s="344"/>
      <c r="HBG7" s="344"/>
      <c r="HBH7" s="344"/>
      <c r="HBI7" s="344"/>
      <c r="HBJ7" s="344"/>
      <c r="HBK7" s="344"/>
      <c r="HBL7" s="344"/>
      <c r="HBM7" s="344"/>
      <c r="HBN7" s="344"/>
      <c r="HBO7" s="344"/>
      <c r="HBP7" s="344"/>
      <c r="HBQ7" s="344"/>
      <c r="HBR7" s="344"/>
      <c r="HBS7" s="344"/>
      <c r="HBT7" s="344"/>
      <c r="HBU7" s="344"/>
      <c r="HBV7" s="344"/>
      <c r="HBW7" s="344"/>
      <c r="HBX7" s="344"/>
      <c r="HBY7" s="344"/>
      <c r="HBZ7" s="344"/>
      <c r="HCA7" s="344"/>
      <c r="HCB7" s="344"/>
      <c r="HCC7" s="344"/>
      <c r="HCD7" s="344"/>
      <c r="HCE7" s="344"/>
      <c r="HCF7" s="344"/>
      <c r="HCG7" s="344"/>
      <c r="HCH7" s="344"/>
      <c r="HCI7" s="344"/>
      <c r="HCJ7" s="344"/>
      <c r="HCK7" s="344"/>
      <c r="HCL7" s="344"/>
      <c r="HCM7" s="344"/>
      <c r="HCN7" s="344"/>
      <c r="HCO7" s="344"/>
      <c r="HCP7" s="344"/>
      <c r="HCQ7" s="344"/>
      <c r="HCR7" s="344"/>
      <c r="HCS7" s="344"/>
      <c r="HCT7" s="344"/>
      <c r="HCU7" s="344"/>
      <c r="HCV7" s="344"/>
      <c r="HCW7" s="344"/>
      <c r="HCX7" s="344"/>
      <c r="HCY7" s="344"/>
      <c r="HCZ7" s="344"/>
      <c r="HDA7" s="344"/>
      <c r="HDB7" s="344"/>
      <c r="HDC7" s="344"/>
      <c r="HDD7" s="344"/>
      <c r="HDE7" s="344"/>
      <c r="HDF7" s="344"/>
      <c r="HDG7" s="344"/>
      <c r="HDH7" s="344"/>
      <c r="HDI7" s="344"/>
      <c r="HDJ7" s="344"/>
      <c r="HDK7" s="344"/>
      <c r="HDL7" s="344"/>
      <c r="HDM7" s="344"/>
      <c r="HDN7" s="344"/>
      <c r="HDO7" s="344"/>
      <c r="HDP7" s="344"/>
      <c r="HDQ7" s="344"/>
      <c r="HDR7" s="344"/>
      <c r="HDS7" s="344"/>
      <c r="HDT7" s="344"/>
      <c r="HDU7" s="344"/>
      <c r="HDV7" s="344"/>
      <c r="HDW7" s="344"/>
      <c r="HDX7" s="344"/>
      <c r="HDY7" s="344"/>
      <c r="HDZ7" s="344"/>
      <c r="HEA7" s="344"/>
      <c r="HEB7" s="344"/>
      <c r="HEC7" s="344"/>
      <c r="HED7" s="344"/>
      <c r="HEE7" s="344"/>
      <c r="HEF7" s="344"/>
      <c r="HEG7" s="344"/>
      <c r="HEH7" s="344"/>
      <c r="HEI7" s="344"/>
      <c r="HEJ7" s="344"/>
      <c r="HEK7" s="344"/>
      <c r="HEL7" s="344"/>
      <c r="HEM7" s="344"/>
      <c r="HEN7" s="344"/>
      <c r="HEO7" s="344"/>
      <c r="HEP7" s="344"/>
      <c r="HEQ7" s="344"/>
      <c r="HER7" s="344"/>
      <c r="HES7" s="344"/>
      <c r="HET7" s="344"/>
      <c r="HEU7" s="344"/>
      <c r="HEV7" s="344"/>
      <c r="HEW7" s="344"/>
      <c r="HEX7" s="344"/>
      <c r="HEY7" s="344"/>
      <c r="HEZ7" s="344"/>
      <c r="HFA7" s="344"/>
      <c r="HFB7" s="344"/>
      <c r="HFC7" s="344"/>
      <c r="HFD7" s="344"/>
      <c r="HFE7" s="344"/>
      <c r="HFF7" s="344"/>
      <c r="HFG7" s="344"/>
      <c r="HFH7" s="344"/>
      <c r="HFI7" s="344"/>
      <c r="HFJ7" s="344"/>
      <c r="HFK7" s="344"/>
      <c r="HFL7" s="344"/>
      <c r="HFM7" s="344"/>
      <c r="HFN7" s="344"/>
      <c r="HFO7" s="344"/>
      <c r="HFP7" s="344"/>
      <c r="HFQ7" s="344"/>
      <c r="HFR7" s="344"/>
      <c r="HFS7" s="344"/>
      <c r="HFT7" s="344"/>
      <c r="HFU7" s="344"/>
      <c r="HFV7" s="344"/>
      <c r="HFW7" s="344"/>
      <c r="HFX7" s="344"/>
      <c r="HFY7" s="344"/>
      <c r="HFZ7" s="344"/>
      <c r="HGA7" s="344"/>
      <c r="HGB7" s="344"/>
      <c r="HGC7" s="344"/>
      <c r="HGD7" s="344"/>
      <c r="HGE7" s="344"/>
      <c r="HGF7" s="344"/>
      <c r="HGG7" s="344"/>
      <c r="HGH7" s="344"/>
      <c r="HGI7" s="344"/>
      <c r="HGJ7" s="344"/>
      <c r="HGK7" s="344"/>
      <c r="HGL7" s="344"/>
      <c r="HGM7" s="344"/>
      <c r="HGN7" s="344"/>
      <c r="HGO7" s="344"/>
      <c r="HGP7" s="344"/>
      <c r="HGQ7" s="344"/>
      <c r="HGR7" s="344"/>
      <c r="HGS7" s="344"/>
      <c r="HGT7" s="344"/>
      <c r="HGU7" s="344"/>
      <c r="HGV7" s="344"/>
      <c r="HGW7" s="344"/>
      <c r="HGX7" s="344"/>
      <c r="HGY7" s="344"/>
      <c r="HGZ7" s="344"/>
      <c r="HHA7" s="344"/>
      <c r="HHB7" s="344"/>
      <c r="HHC7" s="344"/>
      <c r="HHD7" s="344"/>
      <c r="HHE7" s="344"/>
      <c r="HHF7" s="344"/>
      <c r="HHG7" s="344"/>
      <c r="HHH7" s="344"/>
      <c r="HHI7" s="344"/>
      <c r="HHJ7" s="344"/>
      <c r="HHK7" s="344"/>
      <c r="HHL7" s="344"/>
      <c r="HHM7" s="344"/>
      <c r="HHN7" s="344"/>
      <c r="HHO7" s="344"/>
      <c r="HHP7" s="344"/>
      <c r="HHQ7" s="344"/>
      <c r="HHR7" s="344"/>
      <c r="HHS7" s="344"/>
      <c r="HHT7" s="344"/>
      <c r="HHU7" s="344"/>
      <c r="HHV7" s="344"/>
      <c r="HHW7" s="344"/>
      <c r="HHX7" s="344"/>
      <c r="HHY7" s="344"/>
      <c r="HHZ7" s="344"/>
      <c r="HIA7" s="344"/>
      <c r="HIB7" s="344"/>
      <c r="HIC7" s="344"/>
      <c r="HID7" s="344"/>
      <c r="HIE7" s="344"/>
      <c r="HIF7" s="344"/>
      <c r="HIG7" s="344"/>
      <c r="HIH7" s="344"/>
      <c r="HII7" s="344"/>
      <c r="HIJ7" s="344"/>
      <c r="HIK7" s="344"/>
      <c r="HIL7" s="344"/>
      <c r="HIM7" s="344"/>
      <c r="HIN7" s="344"/>
      <c r="HIO7" s="344"/>
      <c r="HIP7" s="344"/>
      <c r="HIQ7" s="344"/>
      <c r="HIR7" s="344"/>
      <c r="HIS7" s="344"/>
      <c r="HIT7" s="344"/>
      <c r="HIU7" s="344"/>
      <c r="HIV7" s="344"/>
      <c r="HIW7" s="344"/>
      <c r="HIX7" s="344"/>
      <c r="HIY7" s="344"/>
      <c r="HIZ7" s="344"/>
      <c r="HJA7" s="344"/>
      <c r="HJB7" s="344"/>
      <c r="HJC7" s="344"/>
      <c r="HJD7" s="344"/>
      <c r="HJE7" s="344"/>
      <c r="HJF7" s="344"/>
      <c r="HJG7" s="344"/>
      <c r="HJH7" s="344"/>
      <c r="HJI7" s="344"/>
      <c r="HJJ7" s="344"/>
      <c r="HJK7" s="344"/>
      <c r="HJL7" s="344"/>
      <c r="HJM7" s="344"/>
      <c r="HJN7" s="344"/>
      <c r="HJO7" s="344"/>
      <c r="HJP7" s="344"/>
      <c r="HJQ7" s="344"/>
      <c r="HJR7" s="344"/>
      <c r="HJS7" s="344"/>
      <c r="HJT7" s="344"/>
      <c r="HJU7" s="344"/>
      <c r="HJV7" s="344"/>
      <c r="HJW7" s="344"/>
      <c r="HJX7" s="344"/>
      <c r="HJY7" s="344"/>
      <c r="HJZ7" s="344"/>
      <c r="HKA7" s="344"/>
      <c r="HKB7" s="344"/>
      <c r="HKC7" s="344"/>
      <c r="HKD7" s="344"/>
      <c r="HKE7" s="344"/>
      <c r="HKF7" s="344"/>
      <c r="HKG7" s="344"/>
      <c r="HKH7" s="344"/>
      <c r="HKI7" s="344"/>
      <c r="HKJ7" s="344"/>
      <c r="HKK7" s="344"/>
      <c r="HKL7" s="344"/>
      <c r="HKM7" s="344"/>
      <c r="HKN7" s="344"/>
      <c r="HKO7" s="344"/>
      <c r="HKP7" s="344"/>
      <c r="HKQ7" s="344"/>
      <c r="HKR7" s="344"/>
      <c r="HKS7" s="344"/>
      <c r="HKT7" s="344"/>
      <c r="HKU7" s="344"/>
      <c r="HKV7" s="344"/>
      <c r="HKW7" s="344"/>
      <c r="HKX7" s="344"/>
      <c r="HKY7" s="344"/>
      <c r="HKZ7" s="344"/>
      <c r="HLA7" s="344"/>
      <c r="HLB7" s="344"/>
      <c r="HLC7" s="344"/>
      <c r="HLD7" s="344"/>
      <c r="HLE7" s="344"/>
      <c r="HLF7" s="344"/>
      <c r="HLG7" s="344"/>
      <c r="HLH7" s="344"/>
      <c r="HLI7" s="344"/>
      <c r="HLJ7" s="344"/>
      <c r="HLK7" s="344"/>
      <c r="HLL7" s="344"/>
      <c r="HLM7" s="344"/>
      <c r="HLN7" s="344"/>
      <c r="HLO7" s="344"/>
      <c r="HLP7" s="344"/>
      <c r="HLQ7" s="344"/>
      <c r="HLR7" s="344"/>
      <c r="HLS7" s="344"/>
      <c r="HLT7" s="344"/>
      <c r="HLU7" s="344"/>
      <c r="HLV7" s="344"/>
      <c r="HLW7" s="344"/>
      <c r="HLX7" s="344"/>
      <c r="HLY7" s="344"/>
      <c r="HLZ7" s="344"/>
      <c r="HMA7" s="344"/>
      <c r="HMB7" s="344"/>
      <c r="HMC7" s="344"/>
      <c r="HMD7" s="344"/>
      <c r="HME7" s="344"/>
      <c r="HMF7" s="344"/>
      <c r="HMG7" s="344"/>
      <c r="HMH7" s="344"/>
      <c r="HMI7" s="344"/>
      <c r="HMJ7" s="344"/>
      <c r="HMK7" s="344"/>
      <c r="HML7" s="344"/>
      <c r="HMM7" s="344"/>
      <c r="HMN7" s="344"/>
      <c r="HMO7" s="344"/>
      <c r="HMP7" s="344"/>
      <c r="HMQ7" s="344"/>
      <c r="HMR7" s="344"/>
      <c r="HMS7" s="344"/>
      <c r="HMT7" s="344"/>
      <c r="HMU7" s="344"/>
      <c r="HMV7" s="344"/>
      <c r="HMW7" s="344"/>
      <c r="HMX7" s="344"/>
      <c r="HMY7" s="344"/>
      <c r="HMZ7" s="344"/>
      <c r="HNA7" s="344"/>
      <c r="HNB7" s="344"/>
      <c r="HNC7" s="344"/>
      <c r="HND7" s="344"/>
      <c r="HNE7" s="344"/>
      <c r="HNF7" s="344"/>
      <c r="HNG7" s="344"/>
      <c r="HNH7" s="344"/>
      <c r="HNI7" s="344"/>
      <c r="HNJ7" s="344"/>
      <c r="HNK7" s="344"/>
      <c r="HNL7" s="344"/>
      <c r="HNM7" s="344"/>
      <c r="HNN7" s="344"/>
      <c r="HNO7" s="344"/>
      <c r="HNP7" s="344"/>
      <c r="HNQ7" s="344"/>
      <c r="HNR7" s="344"/>
      <c r="HNS7" s="344"/>
      <c r="HNT7" s="344"/>
      <c r="HNU7" s="344"/>
      <c r="HNV7" s="344"/>
      <c r="HNW7" s="344"/>
      <c r="HNX7" s="344"/>
      <c r="HNY7" s="344"/>
      <c r="HNZ7" s="344"/>
      <c r="HOA7" s="344"/>
      <c r="HOB7" s="344"/>
      <c r="HOC7" s="344"/>
      <c r="HOD7" s="344"/>
      <c r="HOE7" s="344"/>
      <c r="HOF7" s="344"/>
      <c r="HOG7" s="344"/>
      <c r="HOH7" s="344"/>
      <c r="HOI7" s="344"/>
      <c r="HOJ7" s="344"/>
      <c r="HOK7" s="344"/>
      <c r="HOL7" s="344"/>
      <c r="HOM7" s="344"/>
      <c r="HON7" s="344"/>
      <c r="HOO7" s="344"/>
      <c r="HOP7" s="344"/>
      <c r="HOQ7" s="344"/>
      <c r="HOR7" s="344"/>
      <c r="HOS7" s="344"/>
      <c r="HOT7" s="344"/>
      <c r="HOU7" s="344"/>
      <c r="HOV7" s="344"/>
      <c r="HOW7" s="344"/>
      <c r="HOX7" s="344"/>
      <c r="HOY7" s="344"/>
      <c r="HOZ7" s="344"/>
      <c r="HPA7" s="344"/>
      <c r="HPB7" s="344"/>
      <c r="HPC7" s="344"/>
      <c r="HPD7" s="344"/>
      <c r="HPE7" s="344"/>
      <c r="HPF7" s="344"/>
      <c r="HPG7" s="344"/>
      <c r="HPH7" s="344"/>
      <c r="HPI7" s="344"/>
      <c r="HPJ7" s="344"/>
      <c r="HPK7" s="344"/>
      <c r="HPL7" s="344"/>
      <c r="HPM7" s="344"/>
      <c r="HPN7" s="344"/>
      <c r="HPO7" s="344"/>
      <c r="HPP7" s="344"/>
      <c r="HPQ7" s="344"/>
      <c r="HPR7" s="344"/>
      <c r="HPS7" s="344"/>
      <c r="HPT7" s="344"/>
      <c r="HPU7" s="344"/>
      <c r="HPV7" s="344"/>
      <c r="HPW7" s="344"/>
      <c r="HPX7" s="344"/>
      <c r="HPY7" s="344"/>
      <c r="HPZ7" s="344"/>
      <c r="HQA7" s="344"/>
      <c r="HQB7" s="344"/>
      <c r="HQC7" s="344"/>
      <c r="HQD7" s="344"/>
      <c r="HQE7" s="344"/>
      <c r="HQF7" s="344"/>
      <c r="HQG7" s="344"/>
      <c r="HQH7" s="344"/>
      <c r="HQI7" s="344"/>
      <c r="HQJ7" s="344"/>
      <c r="HQK7" s="344"/>
      <c r="HQL7" s="344"/>
      <c r="HQM7" s="344"/>
      <c r="HQN7" s="344"/>
      <c r="HQO7" s="344"/>
      <c r="HQP7" s="344"/>
      <c r="HQQ7" s="344"/>
      <c r="HQR7" s="344"/>
      <c r="HQS7" s="344"/>
      <c r="HQT7" s="344"/>
      <c r="HQU7" s="344"/>
      <c r="HQV7" s="344"/>
      <c r="HQW7" s="344"/>
      <c r="HQX7" s="344"/>
      <c r="HQY7" s="344"/>
      <c r="HQZ7" s="344"/>
      <c r="HRA7" s="344"/>
      <c r="HRB7" s="344"/>
      <c r="HRC7" s="344"/>
      <c r="HRD7" s="344"/>
      <c r="HRE7" s="344"/>
      <c r="HRF7" s="344"/>
      <c r="HRG7" s="344"/>
      <c r="HRH7" s="344"/>
      <c r="HRI7" s="344"/>
      <c r="HRJ7" s="344"/>
      <c r="HRK7" s="344"/>
      <c r="HRL7" s="344"/>
      <c r="HRM7" s="344"/>
      <c r="HRN7" s="344"/>
      <c r="HRO7" s="344"/>
      <c r="HRP7" s="344"/>
      <c r="HRQ7" s="344"/>
      <c r="HRR7" s="344"/>
      <c r="HRS7" s="344"/>
      <c r="HRT7" s="344"/>
      <c r="HRU7" s="344"/>
      <c r="HRV7" s="344"/>
      <c r="HRW7" s="344"/>
      <c r="HRX7" s="344"/>
      <c r="HRY7" s="344"/>
      <c r="HRZ7" s="344"/>
      <c r="HSA7" s="344"/>
      <c r="HSB7" s="344"/>
      <c r="HSC7" s="344"/>
      <c r="HSD7" s="344"/>
      <c r="HSE7" s="344"/>
      <c r="HSF7" s="344"/>
      <c r="HSG7" s="344"/>
      <c r="HSH7" s="344"/>
      <c r="HSI7" s="344"/>
      <c r="HSJ7" s="344"/>
      <c r="HSK7" s="344"/>
      <c r="HSL7" s="344"/>
      <c r="HSM7" s="344"/>
      <c r="HSN7" s="344"/>
      <c r="HSO7" s="344"/>
      <c r="HSP7" s="344"/>
      <c r="HSQ7" s="344"/>
      <c r="HSR7" s="344"/>
      <c r="HSS7" s="344"/>
      <c r="HST7" s="344"/>
      <c r="HSU7" s="344"/>
      <c r="HSV7" s="344"/>
      <c r="HSW7" s="344"/>
      <c r="HSX7" s="344"/>
      <c r="HSY7" s="344"/>
      <c r="HSZ7" s="344"/>
      <c r="HTA7" s="344"/>
      <c r="HTB7" s="344"/>
      <c r="HTC7" s="344"/>
      <c r="HTD7" s="344"/>
      <c r="HTE7" s="344"/>
      <c r="HTF7" s="344"/>
      <c r="HTG7" s="344"/>
      <c r="HTH7" s="344"/>
      <c r="HTI7" s="344"/>
      <c r="HTJ7" s="344"/>
      <c r="HTK7" s="344"/>
      <c r="HTL7" s="344"/>
      <c r="HTM7" s="344"/>
      <c r="HTN7" s="344"/>
      <c r="HTO7" s="344"/>
      <c r="HTP7" s="344"/>
      <c r="HTQ7" s="344"/>
      <c r="HTR7" s="344"/>
      <c r="HTS7" s="344"/>
      <c r="HTT7" s="344"/>
      <c r="HTU7" s="344"/>
      <c r="HTV7" s="344"/>
      <c r="HTW7" s="344"/>
      <c r="HTX7" s="344"/>
      <c r="HTY7" s="344"/>
      <c r="HTZ7" s="344"/>
      <c r="HUA7" s="344"/>
      <c r="HUB7" s="344"/>
      <c r="HUC7" s="344"/>
      <c r="HUD7" s="344"/>
      <c r="HUE7" s="344"/>
      <c r="HUF7" s="344"/>
      <c r="HUG7" s="344"/>
      <c r="HUH7" s="344"/>
      <c r="HUI7" s="344"/>
      <c r="HUJ7" s="344"/>
      <c r="HUK7" s="344"/>
      <c r="HUL7" s="344"/>
      <c r="HUM7" s="344"/>
      <c r="HUN7" s="344"/>
      <c r="HUO7" s="344"/>
      <c r="HUP7" s="344"/>
      <c r="HUQ7" s="344"/>
      <c r="HUR7" s="344"/>
      <c r="HUS7" s="344"/>
      <c r="HUT7" s="344"/>
      <c r="HUU7" s="344"/>
      <c r="HUV7" s="344"/>
      <c r="HUW7" s="344"/>
      <c r="HUX7" s="344"/>
      <c r="HUY7" s="344"/>
      <c r="HUZ7" s="344"/>
      <c r="HVA7" s="344"/>
      <c r="HVB7" s="344"/>
      <c r="HVC7" s="344"/>
      <c r="HVD7" s="344"/>
      <c r="HVE7" s="344"/>
      <c r="HVF7" s="344"/>
      <c r="HVG7" s="344"/>
      <c r="HVH7" s="344"/>
      <c r="HVI7" s="344"/>
      <c r="HVJ7" s="344"/>
      <c r="HVK7" s="344"/>
      <c r="HVL7" s="344"/>
      <c r="HVM7" s="344"/>
      <c r="HVN7" s="344"/>
      <c r="HVO7" s="344"/>
      <c r="HVP7" s="344"/>
      <c r="HVQ7" s="344"/>
      <c r="HVR7" s="344"/>
      <c r="HVS7" s="344"/>
      <c r="HVT7" s="344"/>
      <c r="HVU7" s="344"/>
      <c r="HVV7" s="344"/>
      <c r="HVW7" s="344"/>
      <c r="HVX7" s="344"/>
      <c r="HVY7" s="344"/>
      <c r="HVZ7" s="344"/>
      <c r="HWA7" s="344"/>
      <c r="HWB7" s="344"/>
      <c r="HWC7" s="344"/>
      <c r="HWD7" s="344"/>
      <c r="HWE7" s="344"/>
      <c r="HWF7" s="344"/>
      <c r="HWG7" s="344"/>
      <c r="HWH7" s="344"/>
      <c r="HWI7" s="344"/>
      <c r="HWJ7" s="344"/>
      <c r="HWK7" s="344"/>
      <c r="HWL7" s="344"/>
      <c r="HWM7" s="344"/>
      <c r="HWN7" s="344"/>
      <c r="HWO7" s="344"/>
      <c r="HWP7" s="344"/>
      <c r="HWQ7" s="344"/>
      <c r="HWR7" s="344"/>
      <c r="HWS7" s="344"/>
      <c r="HWT7" s="344"/>
      <c r="HWU7" s="344"/>
      <c r="HWV7" s="344"/>
      <c r="HWW7" s="344"/>
      <c r="HWX7" s="344"/>
      <c r="HWY7" s="344"/>
      <c r="HWZ7" s="344"/>
      <c r="HXA7" s="344"/>
      <c r="HXB7" s="344"/>
      <c r="HXC7" s="344"/>
      <c r="HXD7" s="344"/>
      <c r="HXE7" s="344"/>
      <c r="HXF7" s="344"/>
      <c r="HXG7" s="344"/>
      <c r="HXH7" s="344"/>
      <c r="HXI7" s="344"/>
      <c r="HXJ7" s="344"/>
      <c r="HXK7" s="344"/>
      <c r="HXL7" s="344"/>
      <c r="HXM7" s="344"/>
      <c r="HXN7" s="344"/>
      <c r="HXO7" s="344"/>
      <c r="HXP7" s="344"/>
      <c r="HXQ7" s="344"/>
      <c r="HXR7" s="344"/>
      <c r="HXS7" s="344"/>
      <c r="HXT7" s="344"/>
      <c r="HXU7" s="344"/>
      <c r="HXV7" s="344"/>
      <c r="HXW7" s="344"/>
      <c r="HXX7" s="344"/>
      <c r="HXY7" s="344"/>
      <c r="HXZ7" s="344"/>
      <c r="HYA7" s="344"/>
      <c r="HYB7" s="344"/>
      <c r="HYC7" s="344"/>
      <c r="HYD7" s="344"/>
      <c r="HYE7" s="344"/>
      <c r="HYF7" s="344"/>
      <c r="HYG7" s="344"/>
      <c r="HYH7" s="344"/>
      <c r="HYI7" s="344"/>
      <c r="HYJ7" s="344"/>
      <c r="HYK7" s="344"/>
      <c r="HYL7" s="344"/>
      <c r="HYM7" s="344"/>
      <c r="HYN7" s="344"/>
      <c r="HYO7" s="344"/>
      <c r="HYP7" s="344"/>
      <c r="HYQ7" s="344"/>
      <c r="HYR7" s="344"/>
      <c r="HYS7" s="344"/>
      <c r="HYT7" s="344"/>
      <c r="HYU7" s="344"/>
      <c r="HYV7" s="344"/>
      <c r="HYW7" s="344"/>
      <c r="HYX7" s="344"/>
      <c r="HYY7" s="344"/>
      <c r="HYZ7" s="344"/>
      <c r="HZA7" s="344"/>
      <c r="HZB7" s="344"/>
      <c r="HZC7" s="344"/>
      <c r="HZD7" s="344"/>
      <c r="HZE7" s="344"/>
      <c r="HZF7" s="344"/>
      <c r="HZG7" s="344"/>
      <c r="HZH7" s="344"/>
      <c r="HZI7" s="344"/>
      <c r="HZJ7" s="344"/>
      <c r="HZK7" s="344"/>
      <c r="HZL7" s="344"/>
      <c r="HZM7" s="344"/>
      <c r="HZN7" s="344"/>
      <c r="HZO7" s="344"/>
      <c r="HZP7" s="344"/>
      <c r="HZQ7" s="344"/>
      <c r="HZR7" s="344"/>
      <c r="HZS7" s="344"/>
      <c r="HZT7" s="344"/>
      <c r="HZU7" s="344"/>
      <c r="HZV7" s="344"/>
      <c r="HZW7" s="344"/>
      <c r="HZX7" s="344"/>
      <c r="HZY7" s="344"/>
      <c r="HZZ7" s="344"/>
      <c r="IAA7" s="344"/>
      <c r="IAB7" s="344"/>
      <c r="IAC7" s="344"/>
      <c r="IAD7" s="344"/>
      <c r="IAE7" s="344"/>
      <c r="IAF7" s="344"/>
      <c r="IAG7" s="344"/>
      <c r="IAH7" s="344"/>
      <c r="IAI7" s="344"/>
      <c r="IAJ7" s="344"/>
      <c r="IAK7" s="344"/>
      <c r="IAL7" s="344"/>
      <c r="IAM7" s="344"/>
      <c r="IAN7" s="344"/>
      <c r="IAO7" s="344"/>
      <c r="IAP7" s="344"/>
      <c r="IAQ7" s="344"/>
      <c r="IAR7" s="344"/>
      <c r="IAS7" s="344"/>
      <c r="IAT7" s="344"/>
      <c r="IAU7" s="344"/>
      <c r="IAV7" s="344"/>
      <c r="IAW7" s="344"/>
      <c r="IAX7" s="344"/>
      <c r="IAY7" s="344"/>
      <c r="IAZ7" s="344"/>
      <c r="IBA7" s="344"/>
      <c r="IBB7" s="344"/>
      <c r="IBC7" s="344"/>
      <c r="IBD7" s="344"/>
      <c r="IBE7" s="344"/>
      <c r="IBF7" s="344"/>
      <c r="IBG7" s="344"/>
      <c r="IBH7" s="344"/>
      <c r="IBI7" s="344"/>
      <c r="IBJ7" s="344"/>
      <c r="IBK7" s="344"/>
      <c r="IBL7" s="344"/>
      <c r="IBM7" s="344"/>
      <c r="IBN7" s="344"/>
      <c r="IBO7" s="344"/>
      <c r="IBP7" s="344"/>
      <c r="IBQ7" s="344"/>
      <c r="IBR7" s="344"/>
      <c r="IBS7" s="344"/>
      <c r="IBT7" s="344"/>
      <c r="IBU7" s="344"/>
      <c r="IBV7" s="344"/>
      <c r="IBW7" s="344"/>
      <c r="IBX7" s="344"/>
      <c r="IBY7" s="344"/>
      <c r="IBZ7" s="344"/>
      <c r="ICA7" s="344"/>
      <c r="ICB7" s="344"/>
      <c r="ICC7" s="344"/>
      <c r="ICD7" s="344"/>
      <c r="ICE7" s="344"/>
      <c r="ICF7" s="344"/>
      <c r="ICG7" s="344"/>
      <c r="ICH7" s="344"/>
      <c r="ICI7" s="344"/>
      <c r="ICJ7" s="344"/>
      <c r="ICK7" s="344"/>
      <c r="ICL7" s="344"/>
      <c r="ICM7" s="344"/>
      <c r="ICN7" s="344"/>
      <c r="ICO7" s="344"/>
      <c r="ICP7" s="344"/>
      <c r="ICQ7" s="344"/>
      <c r="ICR7" s="344"/>
      <c r="ICS7" s="344"/>
      <c r="ICT7" s="344"/>
      <c r="ICU7" s="344"/>
      <c r="ICV7" s="344"/>
      <c r="ICW7" s="344"/>
      <c r="ICX7" s="344"/>
      <c r="ICY7" s="344"/>
      <c r="ICZ7" s="344"/>
      <c r="IDA7" s="344"/>
      <c r="IDB7" s="344"/>
      <c r="IDC7" s="344"/>
      <c r="IDD7" s="344"/>
      <c r="IDE7" s="344"/>
      <c r="IDF7" s="344"/>
      <c r="IDG7" s="344"/>
      <c r="IDH7" s="344"/>
      <c r="IDI7" s="344"/>
      <c r="IDJ7" s="344"/>
      <c r="IDK7" s="344"/>
      <c r="IDL7" s="344"/>
      <c r="IDM7" s="344"/>
      <c r="IDN7" s="344"/>
      <c r="IDO7" s="344"/>
      <c r="IDP7" s="344"/>
      <c r="IDQ7" s="344"/>
      <c r="IDR7" s="344"/>
      <c r="IDS7" s="344"/>
      <c r="IDT7" s="344"/>
      <c r="IDU7" s="344"/>
      <c r="IDV7" s="344"/>
      <c r="IDW7" s="344"/>
      <c r="IDX7" s="344"/>
      <c r="IDY7" s="344"/>
      <c r="IDZ7" s="344"/>
      <c r="IEA7" s="344"/>
      <c r="IEB7" s="344"/>
      <c r="IEC7" s="344"/>
      <c r="IED7" s="344"/>
      <c r="IEE7" s="344"/>
      <c r="IEF7" s="344"/>
      <c r="IEG7" s="344"/>
      <c r="IEH7" s="344"/>
      <c r="IEI7" s="344"/>
      <c r="IEJ7" s="344"/>
      <c r="IEK7" s="344"/>
      <c r="IEL7" s="344"/>
      <c r="IEM7" s="344"/>
      <c r="IEN7" s="344"/>
      <c r="IEO7" s="344"/>
      <c r="IEP7" s="344"/>
      <c r="IEQ7" s="344"/>
      <c r="IER7" s="344"/>
      <c r="IES7" s="344"/>
      <c r="IET7" s="344"/>
      <c r="IEU7" s="344"/>
      <c r="IEV7" s="344"/>
      <c r="IEW7" s="344"/>
      <c r="IEX7" s="344"/>
      <c r="IEY7" s="344"/>
      <c r="IEZ7" s="344"/>
      <c r="IFA7" s="344"/>
      <c r="IFB7" s="344"/>
      <c r="IFC7" s="344"/>
      <c r="IFD7" s="344"/>
      <c r="IFE7" s="344"/>
      <c r="IFF7" s="344"/>
      <c r="IFG7" s="344"/>
      <c r="IFH7" s="344"/>
      <c r="IFI7" s="344"/>
      <c r="IFJ7" s="344"/>
      <c r="IFK7" s="344"/>
      <c r="IFL7" s="344"/>
      <c r="IFM7" s="344"/>
      <c r="IFN7" s="344"/>
      <c r="IFO7" s="344"/>
      <c r="IFP7" s="344"/>
      <c r="IFQ7" s="344"/>
      <c r="IFR7" s="344"/>
      <c r="IFS7" s="344"/>
      <c r="IFT7" s="344"/>
      <c r="IFU7" s="344"/>
      <c r="IFV7" s="344"/>
      <c r="IFW7" s="344"/>
      <c r="IFX7" s="344"/>
      <c r="IFY7" s="344"/>
      <c r="IFZ7" s="344"/>
      <c r="IGA7" s="344"/>
      <c r="IGB7" s="344"/>
      <c r="IGC7" s="344"/>
      <c r="IGD7" s="344"/>
      <c r="IGE7" s="344"/>
      <c r="IGF7" s="344"/>
      <c r="IGG7" s="344"/>
      <c r="IGH7" s="344"/>
      <c r="IGI7" s="344"/>
      <c r="IGJ7" s="344"/>
      <c r="IGK7" s="344"/>
      <c r="IGL7" s="344"/>
      <c r="IGM7" s="344"/>
      <c r="IGN7" s="344"/>
      <c r="IGO7" s="344"/>
      <c r="IGP7" s="344"/>
      <c r="IGQ7" s="344"/>
      <c r="IGR7" s="344"/>
      <c r="IGS7" s="344"/>
      <c r="IGT7" s="344"/>
      <c r="IGU7" s="344"/>
      <c r="IGV7" s="344"/>
      <c r="IGW7" s="344"/>
      <c r="IGX7" s="344"/>
      <c r="IGY7" s="344"/>
      <c r="IGZ7" s="344"/>
      <c r="IHA7" s="344"/>
      <c r="IHB7" s="344"/>
      <c r="IHC7" s="344"/>
      <c r="IHD7" s="344"/>
      <c r="IHE7" s="344"/>
      <c r="IHF7" s="344"/>
      <c r="IHG7" s="344"/>
      <c r="IHH7" s="344"/>
      <c r="IHI7" s="344"/>
      <c r="IHJ7" s="344"/>
      <c r="IHK7" s="344"/>
      <c r="IHL7" s="344"/>
      <c r="IHM7" s="344"/>
      <c r="IHN7" s="344"/>
      <c r="IHO7" s="344"/>
      <c r="IHP7" s="344"/>
      <c r="IHQ7" s="344"/>
      <c r="IHR7" s="344"/>
      <c r="IHS7" s="344"/>
      <c r="IHT7" s="344"/>
      <c r="IHU7" s="344"/>
      <c r="IHV7" s="344"/>
      <c r="IHW7" s="344"/>
      <c r="IHX7" s="344"/>
      <c r="IHY7" s="344"/>
      <c r="IHZ7" s="344"/>
      <c r="IIA7" s="344"/>
      <c r="IIB7" s="344"/>
      <c r="IIC7" s="344"/>
      <c r="IID7" s="344"/>
      <c r="IIE7" s="344"/>
      <c r="IIF7" s="344"/>
      <c r="IIG7" s="344"/>
      <c r="IIH7" s="344"/>
      <c r="III7" s="344"/>
      <c r="IIJ7" s="344"/>
      <c r="IIK7" s="344"/>
      <c r="IIL7" s="344"/>
      <c r="IIM7" s="344"/>
      <c r="IIN7" s="344"/>
      <c r="IIO7" s="344"/>
      <c r="IIP7" s="344"/>
      <c r="IIQ7" s="344"/>
      <c r="IIR7" s="344"/>
      <c r="IIS7" s="344"/>
      <c r="IIT7" s="344"/>
      <c r="IIU7" s="344"/>
      <c r="IIV7" s="344"/>
      <c r="IIW7" s="344"/>
      <c r="IIX7" s="344"/>
      <c r="IIY7" s="344"/>
      <c r="IIZ7" s="344"/>
      <c r="IJA7" s="344"/>
      <c r="IJB7" s="344"/>
      <c r="IJC7" s="344"/>
      <c r="IJD7" s="344"/>
      <c r="IJE7" s="344"/>
      <c r="IJF7" s="344"/>
      <c r="IJG7" s="344"/>
      <c r="IJH7" s="344"/>
      <c r="IJI7" s="344"/>
      <c r="IJJ7" s="344"/>
      <c r="IJK7" s="344"/>
      <c r="IJL7" s="344"/>
      <c r="IJM7" s="344"/>
      <c r="IJN7" s="344"/>
      <c r="IJO7" s="344"/>
      <c r="IJP7" s="344"/>
      <c r="IJQ7" s="344"/>
      <c r="IJR7" s="344"/>
      <c r="IJS7" s="344"/>
      <c r="IJT7" s="344"/>
      <c r="IJU7" s="344"/>
      <c r="IJV7" s="344"/>
      <c r="IJW7" s="344"/>
      <c r="IJX7" s="344"/>
      <c r="IJY7" s="344"/>
      <c r="IJZ7" s="344"/>
      <c r="IKA7" s="344"/>
      <c r="IKB7" s="344"/>
      <c r="IKC7" s="344"/>
      <c r="IKD7" s="344"/>
      <c r="IKE7" s="344"/>
      <c r="IKF7" s="344"/>
      <c r="IKG7" s="344"/>
      <c r="IKH7" s="344"/>
      <c r="IKI7" s="344"/>
      <c r="IKJ7" s="344"/>
      <c r="IKK7" s="344"/>
      <c r="IKL7" s="344"/>
      <c r="IKM7" s="344"/>
      <c r="IKN7" s="344"/>
      <c r="IKO7" s="344"/>
      <c r="IKP7" s="344"/>
      <c r="IKQ7" s="344"/>
      <c r="IKR7" s="344"/>
      <c r="IKS7" s="344"/>
      <c r="IKT7" s="344"/>
      <c r="IKU7" s="344"/>
      <c r="IKV7" s="344"/>
      <c r="IKW7" s="344"/>
      <c r="IKX7" s="344"/>
      <c r="IKY7" s="344"/>
      <c r="IKZ7" s="344"/>
      <c r="ILA7" s="344"/>
      <c r="ILB7" s="344"/>
      <c r="ILC7" s="344"/>
      <c r="ILD7" s="344"/>
      <c r="ILE7" s="344"/>
      <c r="ILF7" s="344"/>
      <c r="ILG7" s="344"/>
      <c r="ILH7" s="344"/>
      <c r="ILI7" s="344"/>
      <c r="ILJ7" s="344"/>
      <c r="ILK7" s="344"/>
      <c r="ILL7" s="344"/>
      <c r="ILM7" s="344"/>
      <c r="ILN7" s="344"/>
      <c r="ILO7" s="344"/>
      <c r="ILP7" s="344"/>
      <c r="ILQ7" s="344"/>
      <c r="ILR7" s="344"/>
      <c r="ILS7" s="344"/>
      <c r="ILT7" s="344"/>
      <c r="ILU7" s="344"/>
      <c r="ILV7" s="344"/>
      <c r="ILW7" s="344"/>
      <c r="ILX7" s="344"/>
      <c r="ILY7" s="344"/>
      <c r="ILZ7" s="344"/>
      <c r="IMA7" s="344"/>
      <c r="IMB7" s="344"/>
      <c r="IMC7" s="344"/>
      <c r="IMD7" s="344"/>
      <c r="IME7" s="344"/>
      <c r="IMF7" s="344"/>
      <c r="IMG7" s="344"/>
      <c r="IMH7" s="344"/>
      <c r="IMI7" s="344"/>
      <c r="IMJ7" s="344"/>
      <c r="IMK7" s="344"/>
      <c r="IML7" s="344"/>
      <c r="IMM7" s="344"/>
      <c r="IMN7" s="344"/>
      <c r="IMO7" s="344"/>
      <c r="IMP7" s="344"/>
      <c r="IMQ7" s="344"/>
      <c r="IMR7" s="344"/>
      <c r="IMS7" s="344"/>
      <c r="IMT7" s="344"/>
      <c r="IMU7" s="344"/>
      <c r="IMV7" s="344"/>
      <c r="IMW7" s="344"/>
      <c r="IMX7" s="344"/>
      <c r="IMY7" s="344"/>
      <c r="IMZ7" s="344"/>
      <c r="INA7" s="344"/>
      <c r="INB7" s="344"/>
      <c r="INC7" s="344"/>
      <c r="IND7" s="344"/>
      <c r="INE7" s="344"/>
      <c r="INF7" s="344"/>
      <c r="ING7" s="344"/>
      <c r="INH7" s="344"/>
      <c r="INI7" s="344"/>
      <c r="INJ7" s="344"/>
      <c r="INK7" s="344"/>
      <c r="INL7" s="344"/>
      <c r="INM7" s="344"/>
      <c r="INN7" s="344"/>
      <c r="INO7" s="344"/>
      <c r="INP7" s="344"/>
      <c r="INQ7" s="344"/>
      <c r="INR7" s="344"/>
      <c r="INS7" s="344"/>
      <c r="INT7" s="344"/>
      <c r="INU7" s="344"/>
      <c r="INV7" s="344"/>
      <c r="INW7" s="344"/>
      <c r="INX7" s="344"/>
      <c r="INY7" s="344"/>
      <c r="INZ7" s="344"/>
      <c r="IOA7" s="344"/>
      <c r="IOB7" s="344"/>
      <c r="IOC7" s="344"/>
      <c r="IOD7" s="344"/>
      <c r="IOE7" s="344"/>
      <c r="IOF7" s="344"/>
      <c r="IOG7" s="344"/>
      <c r="IOH7" s="344"/>
      <c r="IOI7" s="344"/>
      <c r="IOJ7" s="344"/>
      <c r="IOK7" s="344"/>
      <c r="IOL7" s="344"/>
      <c r="IOM7" s="344"/>
      <c r="ION7" s="344"/>
      <c r="IOO7" s="344"/>
      <c r="IOP7" s="344"/>
      <c r="IOQ7" s="344"/>
      <c r="IOR7" s="344"/>
      <c r="IOS7" s="344"/>
      <c r="IOT7" s="344"/>
      <c r="IOU7" s="344"/>
      <c r="IOV7" s="344"/>
      <c r="IOW7" s="344"/>
      <c r="IOX7" s="344"/>
      <c r="IOY7" s="344"/>
      <c r="IOZ7" s="344"/>
      <c r="IPA7" s="344"/>
      <c r="IPB7" s="344"/>
      <c r="IPC7" s="344"/>
      <c r="IPD7" s="344"/>
      <c r="IPE7" s="344"/>
      <c r="IPF7" s="344"/>
      <c r="IPG7" s="344"/>
      <c r="IPH7" s="344"/>
      <c r="IPI7" s="344"/>
      <c r="IPJ7" s="344"/>
      <c r="IPK7" s="344"/>
      <c r="IPL7" s="344"/>
      <c r="IPM7" s="344"/>
      <c r="IPN7" s="344"/>
      <c r="IPO7" s="344"/>
      <c r="IPP7" s="344"/>
      <c r="IPQ7" s="344"/>
      <c r="IPR7" s="344"/>
      <c r="IPS7" s="344"/>
      <c r="IPT7" s="344"/>
      <c r="IPU7" s="344"/>
      <c r="IPV7" s="344"/>
      <c r="IPW7" s="344"/>
      <c r="IPX7" s="344"/>
      <c r="IPY7" s="344"/>
      <c r="IPZ7" s="344"/>
      <c r="IQA7" s="344"/>
      <c r="IQB7" s="344"/>
      <c r="IQC7" s="344"/>
      <c r="IQD7" s="344"/>
      <c r="IQE7" s="344"/>
      <c r="IQF7" s="344"/>
      <c r="IQG7" s="344"/>
      <c r="IQH7" s="344"/>
      <c r="IQI7" s="344"/>
      <c r="IQJ7" s="344"/>
      <c r="IQK7" s="344"/>
      <c r="IQL7" s="344"/>
      <c r="IQM7" s="344"/>
      <c r="IQN7" s="344"/>
      <c r="IQO7" s="344"/>
      <c r="IQP7" s="344"/>
      <c r="IQQ7" s="344"/>
      <c r="IQR7" s="344"/>
      <c r="IQS7" s="344"/>
      <c r="IQT7" s="344"/>
      <c r="IQU7" s="344"/>
      <c r="IQV7" s="344"/>
      <c r="IQW7" s="344"/>
      <c r="IQX7" s="344"/>
      <c r="IQY7" s="344"/>
      <c r="IQZ7" s="344"/>
      <c r="IRA7" s="344"/>
      <c r="IRB7" s="344"/>
      <c r="IRC7" s="344"/>
      <c r="IRD7" s="344"/>
      <c r="IRE7" s="344"/>
      <c r="IRF7" s="344"/>
      <c r="IRG7" s="344"/>
      <c r="IRH7" s="344"/>
      <c r="IRI7" s="344"/>
      <c r="IRJ7" s="344"/>
      <c r="IRK7" s="344"/>
      <c r="IRL7" s="344"/>
      <c r="IRM7" s="344"/>
      <c r="IRN7" s="344"/>
      <c r="IRO7" s="344"/>
      <c r="IRP7" s="344"/>
      <c r="IRQ7" s="344"/>
      <c r="IRR7" s="344"/>
      <c r="IRS7" s="344"/>
      <c r="IRT7" s="344"/>
      <c r="IRU7" s="344"/>
      <c r="IRV7" s="344"/>
      <c r="IRW7" s="344"/>
      <c r="IRX7" s="344"/>
      <c r="IRY7" s="344"/>
      <c r="IRZ7" s="344"/>
      <c r="ISA7" s="344"/>
      <c r="ISB7" s="344"/>
      <c r="ISC7" s="344"/>
      <c r="ISD7" s="344"/>
      <c r="ISE7" s="344"/>
      <c r="ISF7" s="344"/>
      <c r="ISG7" s="344"/>
      <c r="ISH7" s="344"/>
      <c r="ISI7" s="344"/>
      <c r="ISJ7" s="344"/>
      <c r="ISK7" s="344"/>
      <c r="ISL7" s="344"/>
      <c r="ISM7" s="344"/>
      <c r="ISN7" s="344"/>
      <c r="ISO7" s="344"/>
      <c r="ISP7" s="344"/>
      <c r="ISQ7" s="344"/>
      <c r="ISR7" s="344"/>
      <c r="ISS7" s="344"/>
      <c r="IST7" s="344"/>
      <c r="ISU7" s="344"/>
      <c r="ISV7" s="344"/>
      <c r="ISW7" s="344"/>
      <c r="ISX7" s="344"/>
      <c r="ISY7" s="344"/>
      <c r="ISZ7" s="344"/>
      <c r="ITA7" s="344"/>
      <c r="ITB7" s="344"/>
      <c r="ITC7" s="344"/>
      <c r="ITD7" s="344"/>
      <c r="ITE7" s="344"/>
      <c r="ITF7" s="344"/>
      <c r="ITG7" s="344"/>
      <c r="ITH7" s="344"/>
      <c r="ITI7" s="344"/>
      <c r="ITJ7" s="344"/>
      <c r="ITK7" s="344"/>
      <c r="ITL7" s="344"/>
      <c r="ITM7" s="344"/>
      <c r="ITN7" s="344"/>
      <c r="ITO7" s="344"/>
      <c r="ITP7" s="344"/>
      <c r="ITQ7" s="344"/>
      <c r="ITR7" s="344"/>
      <c r="ITS7" s="344"/>
      <c r="ITT7" s="344"/>
      <c r="ITU7" s="344"/>
      <c r="ITV7" s="344"/>
      <c r="ITW7" s="344"/>
      <c r="ITX7" s="344"/>
      <c r="ITY7" s="344"/>
      <c r="ITZ7" s="344"/>
      <c r="IUA7" s="344"/>
      <c r="IUB7" s="344"/>
      <c r="IUC7" s="344"/>
      <c r="IUD7" s="344"/>
      <c r="IUE7" s="344"/>
      <c r="IUF7" s="344"/>
      <c r="IUG7" s="344"/>
      <c r="IUH7" s="344"/>
      <c r="IUI7" s="344"/>
      <c r="IUJ7" s="344"/>
      <c r="IUK7" s="344"/>
      <c r="IUL7" s="344"/>
      <c r="IUM7" s="344"/>
      <c r="IUN7" s="344"/>
      <c r="IUO7" s="344"/>
      <c r="IUP7" s="344"/>
      <c r="IUQ7" s="344"/>
      <c r="IUR7" s="344"/>
      <c r="IUS7" s="344"/>
      <c r="IUT7" s="344"/>
      <c r="IUU7" s="344"/>
      <c r="IUV7" s="344"/>
      <c r="IUW7" s="344"/>
      <c r="IUX7" s="344"/>
      <c r="IUY7" s="344"/>
      <c r="IUZ7" s="344"/>
      <c r="IVA7" s="344"/>
      <c r="IVB7" s="344"/>
      <c r="IVC7" s="344"/>
      <c r="IVD7" s="344"/>
      <c r="IVE7" s="344"/>
      <c r="IVF7" s="344"/>
      <c r="IVG7" s="344"/>
      <c r="IVH7" s="344"/>
      <c r="IVI7" s="344"/>
      <c r="IVJ7" s="344"/>
      <c r="IVK7" s="344"/>
      <c r="IVL7" s="344"/>
      <c r="IVM7" s="344"/>
      <c r="IVN7" s="344"/>
      <c r="IVO7" s="344"/>
      <c r="IVP7" s="344"/>
      <c r="IVQ7" s="344"/>
      <c r="IVR7" s="344"/>
      <c r="IVS7" s="344"/>
      <c r="IVT7" s="344"/>
      <c r="IVU7" s="344"/>
      <c r="IVV7" s="344"/>
      <c r="IVW7" s="344"/>
      <c r="IVX7" s="344"/>
      <c r="IVY7" s="344"/>
      <c r="IVZ7" s="344"/>
      <c r="IWA7" s="344"/>
      <c r="IWB7" s="344"/>
      <c r="IWC7" s="344"/>
      <c r="IWD7" s="344"/>
      <c r="IWE7" s="344"/>
      <c r="IWF7" s="344"/>
      <c r="IWG7" s="344"/>
      <c r="IWH7" s="344"/>
      <c r="IWI7" s="344"/>
      <c r="IWJ7" s="344"/>
      <c r="IWK7" s="344"/>
      <c r="IWL7" s="344"/>
      <c r="IWM7" s="344"/>
      <c r="IWN7" s="344"/>
      <c r="IWO7" s="344"/>
      <c r="IWP7" s="344"/>
      <c r="IWQ7" s="344"/>
      <c r="IWR7" s="344"/>
      <c r="IWS7" s="344"/>
      <c r="IWT7" s="344"/>
      <c r="IWU7" s="344"/>
      <c r="IWV7" s="344"/>
      <c r="IWW7" s="344"/>
      <c r="IWX7" s="344"/>
      <c r="IWY7" s="344"/>
      <c r="IWZ7" s="344"/>
      <c r="IXA7" s="344"/>
      <c r="IXB7" s="344"/>
      <c r="IXC7" s="344"/>
      <c r="IXD7" s="344"/>
      <c r="IXE7" s="344"/>
      <c r="IXF7" s="344"/>
      <c r="IXG7" s="344"/>
      <c r="IXH7" s="344"/>
      <c r="IXI7" s="344"/>
      <c r="IXJ7" s="344"/>
      <c r="IXK7" s="344"/>
      <c r="IXL7" s="344"/>
      <c r="IXM7" s="344"/>
      <c r="IXN7" s="344"/>
      <c r="IXO7" s="344"/>
      <c r="IXP7" s="344"/>
      <c r="IXQ7" s="344"/>
      <c r="IXR7" s="344"/>
      <c r="IXS7" s="344"/>
      <c r="IXT7" s="344"/>
      <c r="IXU7" s="344"/>
      <c r="IXV7" s="344"/>
      <c r="IXW7" s="344"/>
      <c r="IXX7" s="344"/>
      <c r="IXY7" s="344"/>
      <c r="IXZ7" s="344"/>
      <c r="IYA7" s="344"/>
      <c r="IYB7" s="344"/>
      <c r="IYC7" s="344"/>
      <c r="IYD7" s="344"/>
      <c r="IYE7" s="344"/>
      <c r="IYF7" s="344"/>
      <c r="IYG7" s="344"/>
      <c r="IYH7" s="344"/>
      <c r="IYI7" s="344"/>
      <c r="IYJ7" s="344"/>
      <c r="IYK7" s="344"/>
      <c r="IYL7" s="344"/>
      <c r="IYM7" s="344"/>
      <c r="IYN7" s="344"/>
      <c r="IYO7" s="344"/>
      <c r="IYP7" s="344"/>
      <c r="IYQ7" s="344"/>
      <c r="IYR7" s="344"/>
      <c r="IYS7" s="344"/>
      <c r="IYT7" s="344"/>
      <c r="IYU7" s="344"/>
      <c r="IYV7" s="344"/>
      <c r="IYW7" s="344"/>
      <c r="IYX7" s="344"/>
      <c r="IYY7" s="344"/>
      <c r="IYZ7" s="344"/>
      <c r="IZA7" s="344"/>
      <c r="IZB7" s="344"/>
      <c r="IZC7" s="344"/>
      <c r="IZD7" s="344"/>
      <c r="IZE7" s="344"/>
      <c r="IZF7" s="344"/>
      <c r="IZG7" s="344"/>
      <c r="IZH7" s="344"/>
      <c r="IZI7" s="344"/>
      <c r="IZJ7" s="344"/>
      <c r="IZK7" s="344"/>
      <c r="IZL7" s="344"/>
      <c r="IZM7" s="344"/>
      <c r="IZN7" s="344"/>
      <c r="IZO7" s="344"/>
      <c r="IZP7" s="344"/>
      <c r="IZQ7" s="344"/>
      <c r="IZR7" s="344"/>
      <c r="IZS7" s="344"/>
      <c r="IZT7" s="344"/>
      <c r="IZU7" s="344"/>
      <c r="IZV7" s="344"/>
      <c r="IZW7" s="344"/>
      <c r="IZX7" s="344"/>
      <c r="IZY7" s="344"/>
      <c r="IZZ7" s="344"/>
      <c r="JAA7" s="344"/>
      <c r="JAB7" s="344"/>
      <c r="JAC7" s="344"/>
      <c r="JAD7" s="344"/>
      <c r="JAE7" s="344"/>
      <c r="JAF7" s="344"/>
      <c r="JAG7" s="344"/>
      <c r="JAH7" s="344"/>
      <c r="JAI7" s="344"/>
      <c r="JAJ7" s="344"/>
      <c r="JAK7" s="344"/>
      <c r="JAL7" s="344"/>
      <c r="JAM7" s="344"/>
      <c r="JAN7" s="344"/>
      <c r="JAO7" s="344"/>
      <c r="JAP7" s="344"/>
      <c r="JAQ7" s="344"/>
      <c r="JAR7" s="344"/>
      <c r="JAS7" s="344"/>
      <c r="JAT7" s="344"/>
      <c r="JAU7" s="344"/>
      <c r="JAV7" s="344"/>
      <c r="JAW7" s="344"/>
      <c r="JAX7" s="344"/>
      <c r="JAY7" s="344"/>
      <c r="JAZ7" s="344"/>
      <c r="JBA7" s="344"/>
      <c r="JBB7" s="344"/>
      <c r="JBC7" s="344"/>
      <c r="JBD7" s="344"/>
      <c r="JBE7" s="344"/>
      <c r="JBF7" s="344"/>
      <c r="JBG7" s="344"/>
      <c r="JBH7" s="344"/>
      <c r="JBI7" s="344"/>
      <c r="JBJ7" s="344"/>
      <c r="JBK7" s="344"/>
      <c r="JBL7" s="344"/>
      <c r="JBM7" s="344"/>
      <c r="JBN7" s="344"/>
      <c r="JBO7" s="344"/>
      <c r="JBP7" s="344"/>
      <c r="JBQ7" s="344"/>
      <c r="JBR7" s="344"/>
      <c r="JBS7" s="344"/>
      <c r="JBT7" s="344"/>
      <c r="JBU7" s="344"/>
      <c r="JBV7" s="344"/>
      <c r="JBW7" s="344"/>
      <c r="JBX7" s="344"/>
      <c r="JBY7" s="344"/>
      <c r="JBZ7" s="344"/>
      <c r="JCA7" s="344"/>
      <c r="JCB7" s="344"/>
      <c r="JCC7" s="344"/>
      <c r="JCD7" s="344"/>
      <c r="JCE7" s="344"/>
      <c r="JCF7" s="344"/>
      <c r="JCG7" s="344"/>
      <c r="JCH7" s="344"/>
      <c r="JCI7" s="344"/>
      <c r="JCJ7" s="344"/>
      <c r="JCK7" s="344"/>
      <c r="JCL7" s="344"/>
      <c r="JCM7" s="344"/>
      <c r="JCN7" s="344"/>
      <c r="JCO7" s="344"/>
      <c r="JCP7" s="344"/>
      <c r="JCQ7" s="344"/>
      <c r="JCR7" s="344"/>
      <c r="JCS7" s="344"/>
      <c r="JCT7" s="344"/>
      <c r="JCU7" s="344"/>
      <c r="JCV7" s="344"/>
      <c r="JCW7" s="344"/>
      <c r="JCX7" s="344"/>
      <c r="JCY7" s="344"/>
      <c r="JCZ7" s="344"/>
      <c r="JDA7" s="344"/>
      <c r="JDB7" s="344"/>
      <c r="JDC7" s="344"/>
      <c r="JDD7" s="344"/>
      <c r="JDE7" s="344"/>
      <c r="JDF7" s="344"/>
      <c r="JDG7" s="344"/>
      <c r="JDH7" s="344"/>
      <c r="JDI7" s="344"/>
      <c r="JDJ7" s="344"/>
      <c r="JDK7" s="344"/>
      <c r="JDL7" s="344"/>
      <c r="JDM7" s="344"/>
      <c r="JDN7" s="344"/>
      <c r="JDO7" s="344"/>
      <c r="JDP7" s="344"/>
      <c r="JDQ7" s="344"/>
      <c r="JDR7" s="344"/>
      <c r="JDS7" s="344"/>
      <c r="JDT7" s="344"/>
      <c r="JDU7" s="344"/>
      <c r="JDV7" s="344"/>
      <c r="JDW7" s="344"/>
      <c r="JDX7" s="344"/>
      <c r="JDY7" s="344"/>
      <c r="JDZ7" s="344"/>
      <c r="JEA7" s="344"/>
      <c r="JEB7" s="344"/>
      <c r="JEC7" s="344"/>
      <c r="JED7" s="344"/>
      <c r="JEE7" s="344"/>
      <c r="JEF7" s="344"/>
      <c r="JEG7" s="344"/>
      <c r="JEH7" s="344"/>
      <c r="JEI7" s="344"/>
      <c r="JEJ7" s="344"/>
      <c r="JEK7" s="344"/>
      <c r="JEL7" s="344"/>
      <c r="JEM7" s="344"/>
      <c r="JEN7" s="344"/>
      <c r="JEO7" s="344"/>
      <c r="JEP7" s="344"/>
      <c r="JEQ7" s="344"/>
      <c r="JER7" s="344"/>
      <c r="JES7" s="344"/>
      <c r="JET7" s="344"/>
      <c r="JEU7" s="344"/>
      <c r="JEV7" s="344"/>
      <c r="JEW7" s="344"/>
      <c r="JEX7" s="344"/>
      <c r="JEY7" s="344"/>
      <c r="JEZ7" s="344"/>
      <c r="JFA7" s="344"/>
      <c r="JFB7" s="344"/>
      <c r="JFC7" s="344"/>
      <c r="JFD7" s="344"/>
      <c r="JFE7" s="344"/>
      <c r="JFF7" s="344"/>
      <c r="JFG7" s="344"/>
      <c r="JFH7" s="344"/>
      <c r="JFI7" s="344"/>
      <c r="JFJ7" s="344"/>
      <c r="JFK7" s="344"/>
      <c r="JFL7" s="344"/>
      <c r="JFM7" s="344"/>
      <c r="JFN7" s="344"/>
      <c r="JFO7" s="344"/>
      <c r="JFP7" s="344"/>
      <c r="JFQ7" s="344"/>
      <c r="JFR7" s="344"/>
      <c r="JFS7" s="344"/>
      <c r="JFT7" s="344"/>
      <c r="JFU7" s="344"/>
      <c r="JFV7" s="344"/>
      <c r="JFW7" s="344"/>
      <c r="JFX7" s="344"/>
      <c r="JFY7" s="344"/>
      <c r="JFZ7" s="344"/>
      <c r="JGA7" s="344"/>
      <c r="JGB7" s="344"/>
      <c r="JGC7" s="344"/>
      <c r="JGD7" s="344"/>
      <c r="JGE7" s="344"/>
      <c r="JGF7" s="344"/>
      <c r="JGG7" s="344"/>
      <c r="JGH7" s="344"/>
      <c r="JGI7" s="344"/>
      <c r="JGJ7" s="344"/>
      <c r="JGK7" s="344"/>
      <c r="JGL7" s="344"/>
      <c r="JGM7" s="344"/>
      <c r="JGN7" s="344"/>
      <c r="JGO7" s="344"/>
      <c r="JGP7" s="344"/>
      <c r="JGQ7" s="344"/>
      <c r="JGR7" s="344"/>
      <c r="JGS7" s="344"/>
      <c r="JGT7" s="344"/>
      <c r="JGU7" s="344"/>
      <c r="JGV7" s="344"/>
      <c r="JGW7" s="344"/>
      <c r="JGX7" s="344"/>
      <c r="JGY7" s="344"/>
      <c r="JGZ7" s="344"/>
      <c r="JHA7" s="344"/>
      <c r="JHB7" s="344"/>
      <c r="JHC7" s="344"/>
      <c r="JHD7" s="344"/>
      <c r="JHE7" s="344"/>
      <c r="JHF7" s="344"/>
      <c r="JHG7" s="344"/>
      <c r="JHH7" s="344"/>
      <c r="JHI7" s="344"/>
      <c r="JHJ7" s="344"/>
      <c r="JHK7" s="344"/>
      <c r="JHL7" s="344"/>
      <c r="JHM7" s="344"/>
      <c r="JHN7" s="344"/>
      <c r="JHO7" s="344"/>
      <c r="JHP7" s="344"/>
      <c r="JHQ7" s="344"/>
      <c r="JHR7" s="344"/>
      <c r="JHS7" s="344"/>
      <c r="JHT7" s="344"/>
      <c r="JHU7" s="344"/>
      <c r="JHV7" s="344"/>
      <c r="JHW7" s="344"/>
      <c r="JHX7" s="344"/>
      <c r="JHY7" s="344"/>
      <c r="JHZ7" s="344"/>
      <c r="JIA7" s="344"/>
      <c r="JIB7" s="344"/>
      <c r="JIC7" s="344"/>
      <c r="JID7" s="344"/>
      <c r="JIE7" s="344"/>
      <c r="JIF7" s="344"/>
      <c r="JIG7" s="344"/>
      <c r="JIH7" s="344"/>
      <c r="JII7" s="344"/>
      <c r="JIJ7" s="344"/>
      <c r="JIK7" s="344"/>
      <c r="JIL7" s="344"/>
      <c r="JIM7" s="344"/>
      <c r="JIN7" s="344"/>
      <c r="JIO7" s="344"/>
      <c r="JIP7" s="344"/>
      <c r="JIQ7" s="344"/>
      <c r="JIR7" s="344"/>
      <c r="JIS7" s="344"/>
      <c r="JIT7" s="344"/>
      <c r="JIU7" s="344"/>
      <c r="JIV7" s="344"/>
      <c r="JIW7" s="344"/>
      <c r="JIX7" s="344"/>
      <c r="JIY7" s="344"/>
      <c r="JIZ7" s="344"/>
      <c r="JJA7" s="344"/>
      <c r="JJB7" s="344"/>
      <c r="JJC7" s="344"/>
      <c r="JJD7" s="344"/>
      <c r="JJE7" s="344"/>
      <c r="JJF7" s="344"/>
      <c r="JJG7" s="344"/>
      <c r="JJH7" s="344"/>
      <c r="JJI7" s="344"/>
      <c r="JJJ7" s="344"/>
      <c r="JJK7" s="344"/>
      <c r="JJL7" s="344"/>
      <c r="JJM7" s="344"/>
      <c r="JJN7" s="344"/>
      <c r="JJO7" s="344"/>
      <c r="JJP7" s="344"/>
      <c r="JJQ7" s="344"/>
      <c r="JJR7" s="344"/>
      <c r="JJS7" s="344"/>
      <c r="JJT7" s="344"/>
      <c r="JJU7" s="344"/>
      <c r="JJV7" s="344"/>
      <c r="JJW7" s="344"/>
      <c r="JJX7" s="344"/>
      <c r="JJY7" s="344"/>
      <c r="JJZ7" s="344"/>
      <c r="JKA7" s="344"/>
      <c r="JKB7" s="344"/>
      <c r="JKC7" s="344"/>
      <c r="JKD7" s="344"/>
      <c r="JKE7" s="344"/>
      <c r="JKF7" s="344"/>
      <c r="JKG7" s="344"/>
      <c r="JKH7" s="344"/>
      <c r="JKI7" s="344"/>
      <c r="JKJ7" s="344"/>
      <c r="JKK7" s="344"/>
      <c r="JKL7" s="344"/>
      <c r="JKM7" s="344"/>
      <c r="JKN7" s="344"/>
      <c r="JKO7" s="344"/>
      <c r="JKP7" s="344"/>
      <c r="JKQ7" s="344"/>
      <c r="JKR7" s="344"/>
      <c r="JKS7" s="344"/>
      <c r="JKT7" s="344"/>
      <c r="JKU7" s="344"/>
      <c r="JKV7" s="344"/>
      <c r="JKW7" s="344"/>
      <c r="JKX7" s="344"/>
      <c r="JKY7" s="344"/>
      <c r="JKZ7" s="344"/>
      <c r="JLA7" s="344"/>
      <c r="JLB7" s="344"/>
      <c r="JLC7" s="344"/>
      <c r="JLD7" s="344"/>
      <c r="JLE7" s="344"/>
      <c r="JLF7" s="344"/>
      <c r="JLG7" s="344"/>
      <c r="JLH7" s="344"/>
      <c r="JLI7" s="344"/>
      <c r="JLJ7" s="344"/>
      <c r="JLK7" s="344"/>
      <c r="JLL7" s="344"/>
      <c r="JLM7" s="344"/>
      <c r="JLN7" s="344"/>
      <c r="JLO7" s="344"/>
      <c r="JLP7" s="344"/>
      <c r="JLQ7" s="344"/>
      <c r="JLR7" s="344"/>
      <c r="JLS7" s="344"/>
      <c r="JLT7" s="344"/>
      <c r="JLU7" s="344"/>
      <c r="JLV7" s="344"/>
      <c r="JLW7" s="344"/>
      <c r="JLX7" s="344"/>
      <c r="JLY7" s="344"/>
      <c r="JLZ7" s="344"/>
      <c r="JMA7" s="344"/>
      <c r="JMB7" s="344"/>
      <c r="JMC7" s="344"/>
      <c r="JMD7" s="344"/>
      <c r="JME7" s="344"/>
      <c r="JMF7" s="344"/>
      <c r="JMG7" s="344"/>
      <c r="JMH7" s="344"/>
      <c r="JMI7" s="344"/>
      <c r="JMJ7" s="344"/>
      <c r="JMK7" s="344"/>
      <c r="JML7" s="344"/>
      <c r="JMM7" s="344"/>
      <c r="JMN7" s="344"/>
      <c r="JMO7" s="344"/>
      <c r="JMP7" s="344"/>
      <c r="JMQ7" s="344"/>
      <c r="JMR7" s="344"/>
      <c r="JMS7" s="344"/>
      <c r="JMT7" s="344"/>
      <c r="JMU7" s="344"/>
      <c r="JMV7" s="344"/>
      <c r="JMW7" s="344"/>
      <c r="JMX7" s="344"/>
      <c r="JMY7" s="344"/>
      <c r="JMZ7" s="344"/>
      <c r="JNA7" s="344"/>
      <c r="JNB7" s="344"/>
      <c r="JNC7" s="344"/>
      <c r="JND7" s="344"/>
      <c r="JNE7" s="344"/>
      <c r="JNF7" s="344"/>
      <c r="JNG7" s="344"/>
      <c r="JNH7" s="344"/>
      <c r="JNI7" s="344"/>
      <c r="JNJ7" s="344"/>
      <c r="JNK7" s="344"/>
      <c r="JNL7" s="344"/>
      <c r="JNM7" s="344"/>
      <c r="JNN7" s="344"/>
      <c r="JNO7" s="344"/>
      <c r="JNP7" s="344"/>
      <c r="JNQ7" s="344"/>
      <c r="JNR7" s="344"/>
      <c r="JNS7" s="344"/>
      <c r="JNT7" s="344"/>
      <c r="JNU7" s="344"/>
      <c r="JNV7" s="344"/>
      <c r="JNW7" s="344"/>
      <c r="JNX7" s="344"/>
      <c r="JNY7" s="344"/>
      <c r="JNZ7" s="344"/>
      <c r="JOA7" s="344"/>
      <c r="JOB7" s="344"/>
      <c r="JOC7" s="344"/>
      <c r="JOD7" s="344"/>
      <c r="JOE7" s="344"/>
      <c r="JOF7" s="344"/>
      <c r="JOG7" s="344"/>
      <c r="JOH7" s="344"/>
      <c r="JOI7" s="344"/>
      <c r="JOJ7" s="344"/>
      <c r="JOK7" s="344"/>
      <c r="JOL7" s="344"/>
      <c r="JOM7" s="344"/>
      <c r="JON7" s="344"/>
      <c r="JOO7" s="344"/>
      <c r="JOP7" s="344"/>
      <c r="JOQ7" s="344"/>
      <c r="JOR7" s="344"/>
      <c r="JOS7" s="344"/>
      <c r="JOT7" s="344"/>
      <c r="JOU7" s="344"/>
      <c r="JOV7" s="344"/>
      <c r="JOW7" s="344"/>
      <c r="JOX7" s="344"/>
      <c r="JOY7" s="344"/>
      <c r="JOZ7" s="344"/>
      <c r="JPA7" s="344"/>
      <c r="JPB7" s="344"/>
      <c r="JPC7" s="344"/>
      <c r="JPD7" s="344"/>
      <c r="JPE7" s="344"/>
      <c r="JPF7" s="344"/>
      <c r="JPG7" s="344"/>
      <c r="JPH7" s="344"/>
      <c r="JPI7" s="344"/>
      <c r="JPJ7" s="344"/>
      <c r="JPK7" s="344"/>
      <c r="JPL7" s="344"/>
      <c r="JPM7" s="344"/>
      <c r="JPN7" s="344"/>
      <c r="JPO7" s="344"/>
      <c r="JPP7" s="344"/>
      <c r="JPQ7" s="344"/>
      <c r="JPR7" s="344"/>
      <c r="JPS7" s="344"/>
      <c r="JPT7" s="344"/>
      <c r="JPU7" s="344"/>
      <c r="JPV7" s="344"/>
      <c r="JPW7" s="344"/>
      <c r="JPX7" s="344"/>
      <c r="JPY7" s="344"/>
      <c r="JPZ7" s="344"/>
      <c r="JQA7" s="344"/>
      <c r="JQB7" s="344"/>
      <c r="JQC7" s="344"/>
      <c r="JQD7" s="344"/>
      <c r="JQE7" s="344"/>
      <c r="JQF7" s="344"/>
      <c r="JQG7" s="344"/>
      <c r="JQH7" s="344"/>
      <c r="JQI7" s="344"/>
      <c r="JQJ7" s="344"/>
      <c r="JQK7" s="344"/>
      <c r="JQL7" s="344"/>
      <c r="JQM7" s="344"/>
      <c r="JQN7" s="344"/>
      <c r="JQO7" s="344"/>
      <c r="JQP7" s="344"/>
      <c r="JQQ7" s="344"/>
      <c r="JQR7" s="344"/>
      <c r="JQS7" s="344"/>
      <c r="JQT7" s="344"/>
      <c r="JQU7" s="344"/>
      <c r="JQV7" s="344"/>
      <c r="JQW7" s="344"/>
      <c r="JQX7" s="344"/>
      <c r="JQY7" s="344"/>
      <c r="JQZ7" s="344"/>
      <c r="JRA7" s="344"/>
      <c r="JRB7" s="344"/>
      <c r="JRC7" s="344"/>
      <c r="JRD7" s="344"/>
      <c r="JRE7" s="344"/>
      <c r="JRF7" s="344"/>
      <c r="JRG7" s="344"/>
      <c r="JRH7" s="344"/>
      <c r="JRI7" s="344"/>
      <c r="JRJ7" s="344"/>
      <c r="JRK7" s="344"/>
      <c r="JRL7" s="344"/>
      <c r="JRM7" s="344"/>
      <c r="JRN7" s="344"/>
      <c r="JRO7" s="344"/>
      <c r="JRP7" s="344"/>
      <c r="JRQ7" s="344"/>
      <c r="JRR7" s="344"/>
      <c r="JRS7" s="344"/>
      <c r="JRT7" s="344"/>
      <c r="JRU7" s="344"/>
      <c r="JRV7" s="344"/>
      <c r="JRW7" s="344"/>
      <c r="JRX7" s="344"/>
      <c r="JRY7" s="344"/>
      <c r="JRZ7" s="344"/>
      <c r="JSA7" s="344"/>
      <c r="JSB7" s="344"/>
      <c r="JSC7" s="344"/>
      <c r="JSD7" s="344"/>
      <c r="JSE7" s="344"/>
      <c r="JSF7" s="344"/>
      <c r="JSG7" s="344"/>
      <c r="JSH7" s="344"/>
      <c r="JSI7" s="344"/>
      <c r="JSJ7" s="344"/>
      <c r="JSK7" s="344"/>
      <c r="JSL7" s="344"/>
      <c r="JSM7" s="344"/>
      <c r="JSN7" s="344"/>
      <c r="JSO7" s="344"/>
      <c r="JSP7" s="344"/>
      <c r="JSQ7" s="344"/>
      <c r="JSR7" s="344"/>
      <c r="JSS7" s="344"/>
      <c r="JST7" s="344"/>
      <c r="JSU7" s="344"/>
      <c r="JSV7" s="344"/>
      <c r="JSW7" s="344"/>
      <c r="JSX7" s="344"/>
      <c r="JSY7" s="344"/>
      <c r="JSZ7" s="344"/>
      <c r="JTA7" s="344"/>
      <c r="JTB7" s="344"/>
      <c r="JTC7" s="344"/>
      <c r="JTD7" s="344"/>
      <c r="JTE7" s="344"/>
      <c r="JTF7" s="344"/>
      <c r="JTG7" s="344"/>
      <c r="JTH7" s="344"/>
      <c r="JTI7" s="344"/>
      <c r="JTJ7" s="344"/>
      <c r="JTK7" s="344"/>
      <c r="JTL7" s="344"/>
      <c r="JTM7" s="344"/>
      <c r="JTN7" s="344"/>
      <c r="JTO7" s="344"/>
      <c r="JTP7" s="344"/>
      <c r="JTQ7" s="344"/>
      <c r="JTR7" s="344"/>
      <c r="JTS7" s="344"/>
      <c r="JTT7" s="344"/>
      <c r="JTU7" s="344"/>
      <c r="JTV7" s="344"/>
      <c r="JTW7" s="344"/>
      <c r="JTX7" s="344"/>
      <c r="JTY7" s="344"/>
      <c r="JTZ7" s="344"/>
      <c r="JUA7" s="344"/>
      <c r="JUB7" s="344"/>
      <c r="JUC7" s="344"/>
      <c r="JUD7" s="344"/>
      <c r="JUE7" s="344"/>
      <c r="JUF7" s="344"/>
      <c r="JUG7" s="344"/>
      <c r="JUH7" s="344"/>
      <c r="JUI7" s="344"/>
      <c r="JUJ7" s="344"/>
      <c r="JUK7" s="344"/>
      <c r="JUL7" s="344"/>
      <c r="JUM7" s="344"/>
      <c r="JUN7" s="344"/>
      <c r="JUO7" s="344"/>
      <c r="JUP7" s="344"/>
      <c r="JUQ7" s="344"/>
      <c r="JUR7" s="344"/>
      <c r="JUS7" s="344"/>
      <c r="JUT7" s="344"/>
      <c r="JUU7" s="344"/>
      <c r="JUV7" s="344"/>
      <c r="JUW7" s="344"/>
      <c r="JUX7" s="344"/>
      <c r="JUY7" s="344"/>
      <c r="JUZ7" s="344"/>
      <c r="JVA7" s="344"/>
      <c r="JVB7" s="344"/>
      <c r="JVC7" s="344"/>
      <c r="JVD7" s="344"/>
      <c r="JVE7" s="344"/>
      <c r="JVF7" s="344"/>
      <c r="JVG7" s="344"/>
      <c r="JVH7" s="344"/>
      <c r="JVI7" s="344"/>
      <c r="JVJ7" s="344"/>
      <c r="JVK7" s="344"/>
      <c r="JVL7" s="344"/>
      <c r="JVM7" s="344"/>
      <c r="JVN7" s="344"/>
      <c r="JVO7" s="344"/>
      <c r="JVP7" s="344"/>
      <c r="JVQ7" s="344"/>
      <c r="JVR7" s="344"/>
      <c r="JVS7" s="344"/>
      <c r="JVT7" s="344"/>
      <c r="JVU7" s="344"/>
      <c r="JVV7" s="344"/>
      <c r="JVW7" s="344"/>
      <c r="JVX7" s="344"/>
      <c r="JVY7" s="344"/>
      <c r="JVZ7" s="344"/>
      <c r="JWA7" s="344"/>
      <c r="JWB7" s="344"/>
      <c r="JWC7" s="344"/>
      <c r="JWD7" s="344"/>
      <c r="JWE7" s="344"/>
      <c r="JWF7" s="344"/>
      <c r="JWG7" s="344"/>
      <c r="JWH7" s="344"/>
      <c r="JWI7" s="344"/>
      <c r="JWJ7" s="344"/>
      <c r="JWK7" s="344"/>
      <c r="JWL7" s="344"/>
      <c r="JWM7" s="344"/>
      <c r="JWN7" s="344"/>
      <c r="JWO7" s="344"/>
      <c r="JWP7" s="344"/>
      <c r="JWQ7" s="344"/>
      <c r="JWR7" s="344"/>
      <c r="JWS7" s="344"/>
      <c r="JWT7" s="344"/>
      <c r="JWU7" s="344"/>
      <c r="JWV7" s="344"/>
      <c r="JWW7" s="344"/>
      <c r="JWX7" s="344"/>
      <c r="JWY7" s="344"/>
      <c r="JWZ7" s="344"/>
      <c r="JXA7" s="344"/>
      <c r="JXB7" s="344"/>
      <c r="JXC7" s="344"/>
      <c r="JXD7" s="344"/>
      <c r="JXE7" s="344"/>
      <c r="JXF7" s="344"/>
      <c r="JXG7" s="344"/>
      <c r="JXH7" s="344"/>
      <c r="JXI7" s="344"/>
      <c r="JXJ7" s="344"/>
      <c r="JXK7" s="344"/>
      <c r="JXL7" s="344"/>
      <c r="JXM7" s="344"/>
      <c r="JXN7" s="344"/>
      <c r="JXO7" s="344"/>
      <c r="JXP7" s="344"/>
      <c r="JXQ7" s="344"/>
      <c r="JXR7" s="344"/>
      <c r="JXS7" s="344"/>
      <c r="JXT7" s="344"/>
      <c r="JXU7" s="344"/>
      <c r="JXV7" s="344"/>
      <c r="JXW7" s="344"/>
      <c r="JXX7" s="344"/>
      <c r="JXY7" s="344"/>
      <c r="JXZ7" s="344"/>
      <c r="JYA7" s="344"/>
      <c r="JYB7" s="344"/>
      <c r="JYC7" s="344"/>
      <c r="JYD7" s="344"/>
      <c r="JYE7" s="344"/>
      <c r="JYF7" s="344"/>
      <c r="JYG7" s="344"/>
      <c r="JYH7" s="344"/>
      <c r="JYI7" s="344"/>
      <c r="JYJ7" s="344"/>
      <c r="JYK7" s="344"/>
      <c r="JYL7" s="344"/>
      <c r="JYM7" s="344"/>
      <c r="JYN7" s="344"/>
      <c r="JYO7" s="344"/>
      <c r="JYP7" s="344"/>
      <c r="JYQ7" s="344"/>
      <c r="JYR7" s="344"/>
      <c r="JYS7" s="344"/>
      <c r="JYT7" s="344"/>
      <c r="JYU7" s="344"/>
      <c r="JYV7" s="344"/>
      <c r="JYW7" s="344"/>
      <c r="JYX7" s="344"/>
      <c r="JYY7" s="344"/>
      <c r="JYZ7" s="344"/>
      <c r="JZA7" s="344"/>
      <c r="JZB7" s="344"/>
      <c r="JZC7" s="344"/>
      <c r="JZD7" s="344"/>
      <c r="JZE7" s="344"/>
      <c r="JZF7" s="344"/>
      <c r="JZG7" s="344"/>
      <c r="JZH7" s="344"/>
      <c r="JZI7" s="344"/>
      <c r="JZJ7" s="344"/>
      <c r="JZK7" s="344"/>
      <c r="JZL7" s="344"/>
      <c r="JZM7" s="344"/>
      <c r="JZN7" s="344"/>
      <c r="JZO7" s="344"/>
      <c r="JZP7" s="344"/>
      <c r="JZQ7" s="344"/>
      <c r="JZR7" s="344"/>
      <c r="JZS7" s="344"/>
      <c r="JZT7" s="344"/>
      <c r="JZU7" s="344"/>
      <c r="JZV7" s="344"/>
      <c r="JZW7" s="344"/>
      <c r="JZX7" s="344"/>
      <c r="JZY7" s="344"/>
      <c r="JZZ7" s="344"/>
      <c r="KAA7" s="344"/>
      <c r="KAB7" s="344"/>
      <c r="KAC7" s="344"/>
      <c r="KAD7" s="344"/>
      <c r="KAE7" s="344"/>
      <c r="KAF7" s="344"/>
      <c r="KAG7" s="344"/>
      <c r="KAH7" s="344"/>
      <c r="KAI7" s="344"/>
      <c r="KAJ7" s="344"/>
      <c r="KAK7" s="344"/>
      <c r="KAL7" s="344"/>
      <c r="KAM7" s="344"/>
      <c r="KAN7" s="344"/>
      <c r="KAO7" s="344"/>
      <c r="KAP7" s="344"/>
      <c r="KAQ7" s="344"/>
      <c r="KAR7" s="344"/>
      <c r="KAS7" s="344"/>
      <c r="KAT7" s="344"/>
      <c r="KAU7" s="344"/>
      <c r="KAV7" s="344"/>
      <c r="KAW7" s="344"/>
      <c r="KAX7" s="344"/>
      <c r="KAY7" s="344"/>
      <c r="KAZ7" s="344"/>
      <c r="KBA7" s="344"/>
      <c r="KBB7" s="344"/>
      <c r="KBC7" s="344"/>
      <c r="KBD7" s="344"/>
      <c r="KBE7" s="344"/>
      <c r="KBF7" s="344"/>
      <c r="KBG7" s="344"/>
      <c r="KBH7" s="344"/>
      <c r="KBI7" s="344"/>
      <c r="KBJ7" s="344"/>
      <c r="KBK7" s="344"/>
      <c r="KBL7" s="344"/>
      <c r="KBM7" s="344"/>
      <c r="KBN7" s="344"/>
      <c r="KBO7" s="344"/>
      <c r="KBP7" s="344"/>
      <c r="KBQ7" s="344"/>
      <c r="KBR7" s="344"/>
      <c r="KBS7" s="344"/>
      <c r="KBT7" s="344"/>
      <c r="KBU7" s="344"/>
      <c r="KBV7" s="344"/>
      <c r="KBW7" s="344"/>
      <c r="KBX7" s="344"/>
      <c r="KBY7" s="344"/>
      <c r="KBZ7" s="344"/>
      <c r="KCA7" s="344"/>
      <c r="KCB7" s="344"/>
      <c r="KCC7" s="344"/>
      <c r="KCD7" s="344"/>
      <c r="KCE7" s="344"/>
      <c r="KCF7" s="344"/>
      <c r="KCG7" s="344"/>
      <c r="KCH7" s="344"/>
      <c r="KCI7" s="344"/>
      <c r="KCJ7" s="344"/>
      <c r="KCK7" s="344"/>
      <c r="KCL7" s="344"/>
      <c r="KCM7" s="344"/>
      <c r="KCN7" s="344"/>
      <c r="KCO7" s="344"/>
      <c r="KCP7" s="344"/>
      <c r="KCQ7" s="344"/>
      <c r="KCR7" s="344"/>
      <c r="KCS7" s="344"/>
      <c r="KCT7" s="344"/>
      <c r="KCU7" s="344"/>
      <c r="KCV7" s="344"/>
      <c r="KCW7" s="344"/>
      <c r="KCX7" s="344"/>
      <c r="KCY7" s="344"/>
      <c r="KCZ7" s="344"/>
      <c r="KDA7" s="344"/>
      <c r="KDB7" s="344"/>
      <c r="KDC7" s="344"/>
      <c r="KDD7" s="344"/>
      <c r="KDE7" s="344"/>
      <c r="KDF7" s="344"/>
      <c r="KDG7" s="344"/>
      <c r="KDH7" s="344"/>
      <c r="KDI7" s="344"/>
      <c r="KDJ7" s="344"/>
      <c r="KDK7" s="344"/>
      <c r="KDL7" s="344"/>
      <c r="KDM7" s="344"/>
      <c r="KDN7" s="344"/>
      <c r="KDO7" s="344"/>
      <c r="KDP7" s="344"/>
      <c r="KDQ7" s="344"/>
      <c r="KDR7" s="344"/>
      <c r="KDS7" s="344"/>
      <c r="KDT7" s="344"/>
      <c r="KDU7" s="344"/>
      <c r="KDV7" s="344"/>
      <c r="KDW7" s="344"/>
      <c r="KDX7" s="344"/>
      <c r="KDY7" s="344"/>
      <c r="KDZ7" s="344"/>
      <c r="KEA7" s="344"/>
      <c r="KEB7" s="344"/>
      <c r="KEC7" s="344"/>
      <c r="KED7" s="344"/>
      <c r="KEE7" s="344"/>
      <c r="KEF7" s="344"/>
      <c r="KEG7" s="344"/>
      <c r="KEH7" s="344"/>
      <c r="KEI7" s="344"/>
      <c r="KEJ7" s="344"/>
      <c r="KEK7" s="344"/>
      <c r="KEL7" s="344"/>
      <c r="KEM7" s="344"/>
      <c r="KEN7" s="344"/>
      <c r="KEO7" s="344"/>
      <c r="KEP7" s="344"/>
      <c r="KEQ7" s="344"/>
      <c r="KER7" s="344"/>
      <c r="KES7" s="344"/>
      <c r="KET7" s="344"/>
      <c r="KEU7" s="344"/>
      <c r="KEV7" s="344"/>
      <c r="KEW7" s="344"/>
      <c r="KEX7" s="344"/>
      <c r="KEY7" s="344"/>
      <c r="KEZ7" s="344"/>
      <c r="KFA7" s="344"/>
      <c r="KFB7" s="344"/>
      <c r="KFC7" s="344"/>
      <c r="KFD7" s="344"/>
      <c r="KFE7" s="344"/>
      <c r="KFF7" s="344"/>
      <c r="KFG7" s="344"/>
      <c r="KFH7" s="344"/>
      <c r="KFI7" s="344"/>
      <c r="KFJ7" s="344"/>
      <c r="KFK7" s="344"/>
      <c r="KFL7" s="344"/>
      <c r="KFM7" s="344"/>
      <c r="KFN7" s="344"/>
      <c r="KFO7" s="344"/>
      <c r="KFP7" s="344"/>
      <c r="KFQ7" s="344"/>
      <c r="KFR7" s="344"/>
      <c r="KFS7" s="344"/>
      <c r="KFT7" s="344"/>
      <c r="KFU7" s="344"/>
      <c r="KFV7" s="344"/>
      <c r="KFW7" s="344"/>
      <c r="KFX7" s="344"/>
      <c r="KFY7" s="344"/>
      <c r="KFZ7" s="344"/>
      <c r="KGA7" s="344"/>
      <c r="KGB7" s="344"/>
      <c r="KGC7" s="344"/>
      <c r="KGD7" s="344"/>
      <c r="KGE7" s="344"/>
      <c r="KGF7" s="344"/>
      <c r="KGG7" s="344"/>
      <c r="KGH7" s="344"/>
      <c r="KGI7" s="344"/>
      <c r="KGJ7" s="344"/>
      <c r="KGK7" s="344"/>
      <c r="KGL7" s="344"/>
      <c r="KGM7" s="344"/>
      <c r="KGN7" s="344"/>
      <c r="KGO7" s="344"/>
      <c r="KGP7" s="344"/>
      <c r="KGQ7" s="344"/>
      <c r="KGR7" s="344"/>
      <c r="KGS7" s="344"/>
      <c r="KGT7" s="344"/>
      <c r="KGU7" s="344"/>
      <c r="KGV7" s="344"/>
      <c r="KGW7" s="344"/>
      <c r="KGX7" s="344"/>
      <c r="KGY7" s="344"/>
      <c r="KGZ7" s="344"/>
      <c r="KHA7" s="344"/>
      <c r="KHB7" s="344"/>
      <c r="KHC7" s="344"/>
      <c r="KHD7" s="344"/>
      <c r="KHE7" s="344"/>
      <c r="KHF7" s="344"/>
      <c r="KHG7" s="344"/>
      <c r="KHH7" s="344"/>
      <c r="KHI7" s="344"/>
      <c r="KHJ7" s="344"/>
      <c r="KHK7" s="344"/>
      <c r="KHL7" s="344"/>
      <c r="KHM7" s="344"/>
      <c r="KHN7" s="344"/>
      <c r="KHO7" s="344"/>
      <c r="KHP7" s="344"/>
      <c r="KHQ7" s="344"/>
      <c r="KHR7" s="344"/>
      <c r="KHS7" s="344"/>
      <c r="KHT7" s="344"/>
      <c r="KHU7" s="344"/>
      <c r="KHV7" s="344"/>
      <c r="KHW7" s="344"/>
      <c r="KHX7" s="344"/>
      <c r="KHY7" s="344"/>
      <c r="KHZ7" s="344"/>
      <c r="KIA7" s="344"/>
      <c r="KIB7" s="344"/>
      <c r="KIC7" s="344"/>
      <c r="KID7" s="344"/>
      <c r="KIE7" s="344"/>
      <c r="KIF7" s="344"/>
      <c r="KIG7" s="344"/>
      <c r="KIH7" s="344"/>
      <c r="KII7" s="344"/>
      <c r="KIJ7" s="344"/>
      <c r="KIK7" s="344"/>
      <c r="KIL7" s="344"/>
      <c r="KIM7" s="344"/>
      <c r="KIN7" s="344"/>
      <c r="KIO7" s="344"/>
      <c r="KIP7" s="344"/>
      <c r="KIQ7" s="344"/>
      <c r="KIR7" s="344"/>
      <c r="KIS7" s="344"/>
      <c r="KIT7" s="344"/>
      <c r="KIU7" s="344"/>
      <c r="KIV7" s="344"/>
      <c r="KIW7" s="344"/>
      <c r="KIX7" s="344"/>
      <c r="KIY7" s="344"/>
      <c r="KIZ7" s="344"/>
      <c r="KJA7" s="344"/>
      <c r="KJB7" s="344"/>
      <c r="KJC7" s="344"/>
      <c r="KJD7" s="344"/>
      <c r="KJE7" s="344"/>
      <c r="KJF7" s="344"/>
      <c r="KJG7" s="344"/>
      <c r="KJH7" s="344"/>
      <c r="KJI7" s="344"/>
      <c r="KJJ7" s="344"/>
      <c r="KJK7" s="344"/>
      <c r="KJL7" s="344"/>
      <c r="KJM7" s="344"/>
      <c r="KJN7" s="344"/>
      <c r="KJO7" s="344"/>
      <c r="KJP7" s="344"/>
      <c r="KJQ7" s="344"/>
      <c r="KJR7" s="344"/>
      <c r="KJS7" s="344"/>
      <c r="KJT7" s="344"/>
      <c r="KJU7" s="344"/>
      <c r="KJV7" s="344"/>
      <c r="KJW7" s="344"/>
      <c r="KJX7" s="344"/>
      <c r="KJY7" s="344"/>
      <c r="KJZ7" s="344"/>
      <c r="KKA7" s="344"/>
      <c r="KKB7" s="344"/>
      <c r="KKC7" s="344"/>
      <c r="KKD7" s="344"/>
      <c r="KKE7" s="344"/>
      <c r="KKF7" s="344"/>
      <c r="KKG7" s="344"/>
      <c r="KKH7" s="344"/>
      <c r="KKI7" s="344"/>
      <c r="KKJ7" s="344"/>
      <c r="KKK7" s="344"/>
      <c r="KKL7" s="344"/>
      <c r="KKM7" s="344"/>
      <c r="KKN7" s="344"/>
      <c r="KKO7" s="344"/>
      <c r="KKP7" s="344"/>
      <c r="KKQ7" s="344"/>
      <c r="KKR7" s="344"/>
      <c r="KKS7" s="344"/>
      <c r="KKT7" s="344"/>
      <c r="KKU7" s="344"/>
      <c r="KKV7" s="344"/>
      <c r="KKW7" s="344"/>
      <c r="KKX7" s="344"/>
      <c r="KKY7" s="344"/>
      <c r="KKZ7" s="344"/>
      <c r="KLA7" s="344"/>
      <c r="KLB7" s="344"/>
      <c r="KLC7" s="344"/>
      <c r="KLD7" s="344"/>
      <c r="KLE7" s="344"/>
      <c r="KLF7" s="344"/>
      <c r="KLG7" s="344"/>
      <c r="KLH7" s="344"/>
      <c r="KLI7" s="344"/>
      <c r="KLJ7" s="344"/>
      <c r="KLK7" s="344"/>
      <c r="KLL7" s="344"/>
      <c r="KLM7" s="344"/>
      <c r="KLN7" s="344"/>
      <c r="KLO7" s="344"/>
      <c r="KLP7" s="344"/>
      <c r="KLQ7" s="344"/>
      <c r="KLR7" s="344"/>
      <c r="KLS7" s="344"/>
      <c r="KLT7" s="344"/>
      <c r="KLU7" s="344"/>
      <c r="KLV7" s="344"/>
      <c r="KLW7" s="344"/>
      <c r="KLX7" s="344"/>
      <c r="KLY7" s="344"/>
      <c r="KLZ7" s="344"/>
      <c r="KMA7" s="344"/>
      <c r="KMB7" s="344"/>
      <c r="KMC7" s="344"/>
      <c r="KMD7" s="344"/>
      <c r="KME7" s="344"/>
      <c r="KMF7" s="344"/>
      <c r="KMG7" s="344"/>
      <c r="KMH7" s="344"/>
      <c r="KMI7" s="344"/>
      <c r="KMJ7" s="344"/>
      <c r="KMK7" s="344"/>
      <c r="KML7" s="344"/>
      <c r="KMM7" s="344"/>
      <c r="KMN7" s="344"/>
      <c r="KMO7" s="344"/>
      <c r="KMP7" s="344"/>
      <c r="KMQ7" s="344"/>
      <c r="KMR7" s="344"/>
      <c r="KMS7" s="344"/>
      <c r="KMT7" s="344"/>
      <c r="KMU7" s="344"/>
      <c r="KMV7" s="344"/>
      <c r="KMW7" s="344"/>
      <c r="KMX7" s="344"/>
      <c r="KMY7" s="344"/>
      <c r="KMZ7" s="344"/>
      <c r="KNA7" s="344"/>
      <c r="KNB7" s="344"/>
      <c r="KNC7" s="344"/>
      <c r="KND7" s="344"/>
      <c r="KNE7" s="344"/>
      <c r="KNF7" s="344"/>
      <c r="KNG7" s="344"/>
      <c r="KNH7" s="344"/>
      <c r="KNI7" s="344"/>
      <c r="KNJ7" s="344"/>
      <c r="KNK7" s="344"/>
      <c r="KNL7" s="344"/>
      <c r="KNM7" s="344"/>
      <c r="KNN7" s="344"/>
      <c r="KNO7" s="344"/>
      <c r="KNP7" s="344"/>
      <c r="KNQ7" s="344"/>
      <c r="KNR7" s="344"/>
      <c r="KNS7" s="344"/>
      <c r="KNT7" s="344"/>
      <c r="KNU7" s="344"/>
      <c r="KNV7" s="344"/>
      <c r="KNW7" s="344"/>
      <c r="KNX7" s="344"/>
      <c r="KNY7" s="344"/>
      <c r="KNZ7" s="344"/>
      <c r="KOA7" s="344"/>
      <c r="KOB7" s="344"/>
      <c r="KOC7" s="344"/>
      <c r="KOD7" s="344"/>
      <c r="KOE7" s="344"/>
      <c r="KOF7" s="344"/>
      <c r="KOG7" s="344"/>
      <c r="KOH7" s="344"/>
      <c r="KOI7" s="344"/>
      <c r="KOJ7" s="344"/>
      <c r="KOK7" s="344"/>
      <c r="KOL7" s="344"/>
      <c r="KOM7" s="344"/>
      <c r="KON7" s="344"/>
      <c r="KOO7" s="344"/>
      <c r="KOP7" s="344"/>
      <c r="KOQ7" s="344"/>
      <c r="KOR7" s="344"/>
      <c r="KOS7" s="344"/>
      <c r="KOT7" s="344"/>
      <c r="KOU7" s="344"/>
      <c r="KOV7" s="344"/>
      <c r="KOW7" s="344"/>
      <c r="KOX7" s="344"/>
      <c r="KOY7" s="344"/>
      <c r="KOZ7" s="344"/>
      <c r="KPA7" s="344"/>
      <c r="KPB7" s="344"/>
      <c r="KPC7" s="344"/>
      <c r="KPD7" s="344"/>
      <c r="KPE7" s="344"/>
      <c r="KPF7" s="344"/>
      <c r="KPG7" s="344"/>
      <c r="KPH7" s="344"/>
      <c r="KPI7" s="344"/>
      <c r="KPJ7" s="344"/>
      <c r="KPK7" s="344"/>
      <c r="KPL7" s="344"/>
      <c r="KPM7" s="344"/>
      <c r="KPN7" s="344"/>
      <c r="KPO7" s="344"/>
      <c r="KPP7" s="344"/>
      <c r="KPQ7" s="344"/>
      <c r="KPR7" s="344"/>
      <c r="KPS7" s="344"/>
      <c r="KPT7" s="344"/>
      <c r="KPU7" s="344"/>
      <c r="KPV7" s="344"/>
      <c r="KPW7" s="344"/>
      <c r="KPX7" s="344"/>
      <c r="KPY7" s="344"/>
      <c r="KPZ7" s="344"/>
      <c r="KQA7" s="344"/>
      <c r="KQB7" s="344"/>
      <c r="KQC7" s="344"/>
      <c r="KQD7" s="344"/>
      <c r="KQE7" s="344"/>
      <c r="KQF7" s="344"/>
      <c r="KQG7" s="344"/>
      <c r="KQH7" s="344"/>
      <c r="KQI7" s="344"/>
      <c r="KQJ7" s="344"/>
      <c r="KQK7" s="344"/>
      <c r="KQL7" s="344"/>
      <c r="KQM7" s="344"/>
      <c r="KQN7" s="344"/>
      <c r="KQO7" s="344"/>
      <c r="KQP7" s="344"/>
      <c r="KQQ7" s="344"/>
      <c r="KQR7" s="344"/>
      <c r="KQS7" s="344"/>
      <c r="KQT7" s="344"/>
      <c r="KQU7" s="344"/>
      <c r="KQV7" s="344"/>
      <c r="KQW7" s="344"/>
      <c r="KQX7" s="344"/>
      <c r="KQY7" s="344"/>
      <c r="KQZ7" s="344"/>
      <c r="KRA7" s="344"/>
      <c r="KRB7" s="344"/>
      <c r="KRC7" s="344"/>
      <c r="KRD7" s="344"/>
      <c r="KRE7" s="344"/>
      <c r="KRF7" s="344"/>
      <c r="KRG7" s="344"/>
      <c r="KRH7" s="344"/>
      <c r="KRI7" s="344"/>
      <c r="KRJ7" s="344"/>
      <c r="KRK7" s="344"/>
      <c r="KRL7" s="344"/>
      <c r="KRM7" s="344"/>
      <c r="KRN7" s="344"/>
      <c r="KRO7" s="344"/>
      <c r="KRP7" s="344"/>
      <c r="KRQ7" s="344"/>
      <c r="KRR7" s="344"/>
      <c r="KRS7" s="344"/>
      <c r="KRT7" s="344"/>
      <c r="KRU7" s="344"/>
      <c r="KRV7" s="344"/>
      <c r="KRW7" s="344"/>
      <c r="KRX7" s="344"/>
      <c r="KRY7" s="344"/>
      <c r="KRZ7" s="344"/>
      <c r="KSA7" s="344"/>
      <c r="KSB7" s="344"/>
      <c r="KSC7" s="344"/>
      <c r="KSD7" s="344"/>
      <c r="KSE7" s="344"/>
      <c r="KSF7" s="344"/>
      <c r="KSG7" s="344"/>
      <c r="KSH7" s="344"/>
      <c r="KSI7" s="344"/>
      <c r="KSJ7" s="344"/>
      <c r="KSK7" s="344"/>
      <c r="KSL7" s="344"/>
      <c r="KSM7" s="344"/>
      <c r="KSN7" s="344"/>
      <c r="KSO7" s="344"/>
      <c r="KSP7" s="344"/>
      <c r="KSQ7" s="344"/>
      <c r="KSR7" s="344"/>
      <c r="KSS7" s="344"/>
      <c r="KST7" s="344"/>
      <c r="KSU7" s="344"/>
      <c r="KSV7" s="344"/>
      <c r="KSW7" s="344"/>
      <c r="KSX7" s="344"/>
      <c r="KSY7" s="344"/>
      <c r="KSZ7" s="344"/>
      <c r="KTA7" s="344"/>
      <c r="KTB7" s="344"/>
      <c r="KTC7" s="344"/>
      <c r="KTD7" s="344"/>
      <c r="KTE7" s="344"/>
      <c r="KTF7" s="344"/>
      <c r="KTG7" s="344"/>
      <c r="KTH7" s="344"/>
      <c r="KTI7" s="344"/>
      <c r="KTJ7" s="344"/>
      <c r="KTK7" s="344"/>
      <c r="KTL7" s="344"/>
      <c r="KTM7" s="344"/>
      <c r="KTN7" s="344"/>
      <c r="KTO7" s="344"/>
      <c r="KTP7" s="344"/>
      <c r="KTQ7" s="344"/>
      <c r="KTR7" s="344"/>
      <c r="KTS7" s="344"/>
      <c r="KTT7" s="344"/>
      <c r="KTU7" s="344"/>
      <c r="KTV7" s="344"/>
      <c r="KTW7" s="344"/>
      <c r="KTX7" s="344"/>
      <c r="KTY7" s="344"/>
      <c r="KTZ7" s="344"/>
      <c r="KUA7" s="344"/>
      <c r="KUB7" s="344"/>
      <c r="KUC7" s="344"/>
      <c r="KUD7" s="344"/>
      <c r="KUE7" s="344"/>
      <c r="KUF7" s="344"/>
      <c r="KUG7" s="344"/>
      <c r="KUH7" s="344"/>
      <c r="KUI7" s="344"/>
      <c r="KUJ7" s="344"/>
      <c r="KUK7" s="344"/>
      <c r="KUL7" s="344"/>
      <c r="KUM7" s="344"/>
      <c r="KUN7" s="344"/>
      <c r="KUO7" s="344"/>
      <c r="KUP7" s="344"/>
      <c r="KUQ7" s="344"/>
      <c r="KUR7" s="344"/>
      <c r="KUS7" s="344"/>
      <c r="KUT7" s="344"/>
      <c r="KUU7" s="344"/>
      <c r="KUV7" s="344"/>
      <c r="KUW7" s="344"/>
      <c r="KUX7" s="344"/>
      <c r="KUY7" s="344"/>
      <c r="KUZ7" s="344"/>
      <c r="KVA7" s="344"/>
      <c r="KVB7" s="344"/>
      <c r="KVC7" s="344"/>
      <c r="KVD7" s="344"/>
      <c r="KVE7" s="344"/>
      <c r="KVF7" s="344"/>
      <c r="KVG7" s="344"/>
      <c r="KVH7" s="344"/>
      <c r="KVI7" s="344"/>
      <c r="KVJ7" s="344"/>
      <c r="KVK7" s="344"/>
      <c r="KVL7" s="344"/>
      <c r="KVM7" s="344"/>
      <c r="KVN7" s="344"/>
      <c r="KVO7" s="344"/>
      <c r="KVP7" s="344"/>
      <c r="KVQ7" s="344"/>
      <c r="KVR7" s="344"/>
      <c r="KVS7" s="344"/>
      <c r="KVT7" s="344"/>
      <c r="KVU7" s="344"/>
      <c r="KVV7" s="344"/>
      <c r="KVW7" s="344"/>
      <c r="KVX7" s="344"/>
      <c r="KVY7" s="344"/>
      <c r="KVZ7" s="344"/>
      <c r="KWA7" s="344"/>
      <c r="KWB7" s="344"/>
      <c r="KWC7" s="344"/>
      <c r="KWD7" s="344"/>
      <c r="KWE7" s="344"/>
      <c r="KWF7" s="344"/>
      <c r="KWG7" s="344"/>
      <c r="KWH7" s="344"/>
      <c r="KWI7" s="344"/>
      <c r="KWJ7" s="344"/>
      <c r="KWK7" s="344"/>
      <c r="KWL7" s="344"/>
      <c r="KWM7" s="344"/>
      <c r="KWN7" s="344"/>
      <c r="KWO7" s="344"/>
      <c r="KWP7" s="344"/>
      <c r="KWQ7" s="344"/>
      <c r="KWR7" s="344"/>
      <c r="KWS7" s="344"/>
      <c r="KWT7" s="344"/>
      <c r="KWU7" s="344"/>
      <c r="KWV7" s="344"/>
      <c r="KWW7" s="344"/>
      <c r="KWX7" s="344"/>
      <c r="KWY7" s="344"/>
      <c r="KWZ7" s="344"/>
      <c r="KXA7" s="344"/>
      <c r="KXB7" s="344"/>
      <c r="KXC7" s="344"/>
      <c r="KXD7" s="344"/>
      <c r="KXE7" s="344"/>
      <c r="KXF7" s="344"/>
      <c r="KXG7" s="344"/>
      <c r="KXH7" s="344"/>
      <c r="KXI7" s="344"/>
      <c r="KXJ7" s="344"/>
      <c r="KXK7" s="344"/>
      <c r="KXL7" s="344"/>
      <c r="KXM7" s="344"/>
      <c r="KXN7" s="344"/>
      <c r="KXO7" s="344"/>
      <c r="KXP7" s="344"/>
      <c r="KXQ7" s="344"/>
      <c r="KXR7" s="344"/>
      <c r="KXS7" s="344"/>
      <c r="KXT7" s="344"/>
      <c r="KXU7" s="344"/>
      <c r="KXV7" s="344"/>
      <c r="KXW7" s="344"/>
      <c r="KXX7" s="344"/>
      <c r="KXY7" s="344"/>
      <c r="KXZ7" s="344"/>
      <c r="KYA7" s="344"/>
      <c r="KYB7" s="344"/>
      <c r="KYC7" s="344"/>
      <c r="KYD7" s="344"/>
      <c r="KYE7" s="344"/>
      <c r="KYF7" s="344"/>
      <c r="KYG7" s="344"/>
      <c r="KYH7" s="344"/>
      <c r="KYI7" s="344"/>
      <c r="KYJ7" s="344"/>
      <c r="KYK7" s="344"/>
      <c r="KYL7" s="344"/>
      <c r="KYM7" s="344"/>
      <c r="KYN7" s="344"/>
      <c r="KYO7" s="344"/>
      <c r="KYP7" s="344"/>
      <c r="KYQ7" s="344"/>
      <c r="KYR7" s="344"/>
      <c r="KYS7" s="344"/>
      <c r="KYT7" s="344"/>
      <c r="KYU7" s="344"/>
      <c r="KYV7" s="344"/>
      <c r="KYW7" s="344"/>
      <c r="KYX7" s="344"/>
      <c r="KYY7" s="344"/>
      <c r="KYZ7" s="344"/>
      <c r="KZA7" s="344"/>
      <c r="KZB7" s="344"/>
      <c r="KZC7" s="344"/>
      <c r="KZD7" s="344"/>
      <c r="KZE7" s="344"/>
      <c r="KZF7" s="344"/>
      <c r="KZG7" s="344"/>
      <c r="KZH7" s="344"/>
      <c r="KZI7" s="344"/>
      <c r="KZJ7" s="344"/>
      <c r="KZK7" s="344"/>
      <c r="KZL7" s="344"/>
      <c r="KZM7" s="344"/>
      <c r="KZN7" s="344"/>
      <c r="KZO7" s="344"/>
      <c r="KZP7" s="344"/>
      <c r="KZQ7" s="344"/>
      <c r="KZR7" s="344"/>
      <c r="KZS7" s="344"/>
      <c r="KZT7" s="344"/>
      <c r="KZU7" s="344"/>
      <c r="KZV7" s="344"/>
      <c r="KZW7" s="344"/>
      <c r="KZX7" s="344"/>
      <c r="KZY7" s="344"/>
      <c r="KZZ7" s="344"/>
      <c r="LAA7" s="344"/>
      <c r="LAB7" s="344"/>
      <c r="LAC7" s="344"/>
      <c r="LAD7" s="344"/>
      <c r="LAE7" s="344"/>
      <c r="LAF7" s="344"/>
      <c r="LAG7" s="344"/>
      <c r="LAH7" s="344"/>
      <c r="LAI7" s="344"/>
      <c r="LAJ7" s="344"/>
      <c r="LAK7" s="344"/>
      <c r="LAL7" s="344"/>
      <c r="LAM7" s="344"/>
      <c r="LAN7" s="344"/>
      <c r="LAO7" s="344"/>
      <c r="LAP7" s="344"/>
      <c r="LAQ7" s="344"/>
      <c r="LAR7" s="344"/>
      <c r="LAS7" s="344"/>
      <c r="LAT7" s="344"/>
      <c r="LAU7" s="344"/>
      <c r="LAV7" s="344"/>
      <c r="LAW7" s="344"/>
      <c r="LAX7" s="344"/>
      <c r="LAY7" s="344"/>
      <c r="LAZ7" s="344"/>
      <c r="LBA7" s="344"/>
      <c r="LBB7" s="344"/>
      <c r="LBC7" s="344"/>
      <c r="LBD7" s="344"/>
      <c r="LBE7" s="344"/>
      <c r="LBF7" s="344"/>
      <c r="LBG7" s="344"/>
      <c r="LBH7" s="344"/>
      <c r="LBI7" s="344"/>
      <c r="LBJ7" s="344"/>
      <c r="LBK7" s="344"/>
      <c r="LBL7" s="344"/>
      <c r="LBM7" s="344"/>
      <c r="LBN7" s="344"/>
      <c r="LBO7" s="344"/>
      <c r="LBP7" s="344"/>
      <c r="LBQ7" s="344"/>
      <c r="LBR7" s="344"/>
      <c r="LBS7" s="344"/>
      <c r="LBT7" s="344"/>
      <c r="LBU7" s="344"/>
      <c r="LBV7" s="344"/>
      <c r="LBW7" s="344"/>
      <c r="LBX7" s="344"/>
      <c r="LBY7" s="344"/>
      <c r="LBZ7" s="344"/>
      <c r="LCA7" s="344"/>
      <c r="LCB7" s="344"/>
      <c r="LCC7" s="344"/>
      <c r="LCD7" s="344"/>
      <c r="LCE7" s="344"/>
      <c r="LCF7" s="344"/>
      <c r="LCG7" s="344"/>
      <c r="LCH7" s="344"/>
      <c r="LCI7" s="344"/>
      <c r="LCJ7" s="344"/>
      <c r="LCK7" s="344"/>
      <c r="LCL7" s="344"/>
      <c r="LCM7" s="344"/>
      <c r="LCN7" s="344"/>
      <c r="LCO7" s="344"/>
      <c r="LCP7" s="344"/>
      <c r="LCQ7" s="344"/>
      <c r="LCR7" s="344"/>
      <c r="LCS7" s="344"/>
      <c r="LCT7" s="344"/>
      <c r="LCU7" s="344"/>
      <c r="LCV7" s="344"/>
      <c r="LCW7" s="344"/>
      <c r="LCX7" s="344"/>
      <c r="LCY7" s="344"/>
      <c r="LCZ7" s="344"/>
      <c r="LDA7" s="344"/>
      <c r="LDB7" s="344"/>
      <c r="LDC7" s="344"/>
      <c r="LDD7" s="344"/>
      <c r="LDE7" s="344"/>
      <c r="LDF7" s="344"/>
      <c r="LDG7" s="344"/>
      <c r="LDH7" s="344"/>
      <c r="LDI7" s="344"/>
      <c r="LDJ7" s="344"/>
      <c r="LDK7" s="344"/>
      <c r="LDL7" s="344"/>
      <c r="LDM7" s="344"/>
      <c r="LDN7" s="344"/>
      <c r="LDO7" s="344"/>
      <c r="LDP7" s="344"/>
      <c r="LDQ7" s="344"/>
      <c r="LDR7" s="344"/>
      <c r="LDS7" s="344"/>
      <c r="LDT7" s="344"/>
      <c r="LDU7" s="344"/>
      <c r="LDV7" s="344"/>
      <c r="LDW7" s="344"/>
      <c r="LDX7" s="344"/>
      <c r="LDY7" s="344"/>
      <c r="LDZ7" s="344"/>
      <c r="LEA7" s="344"/>
      <c r="LEB7" s="344"/>
      <c r="LEC7" s="344"/>
      <c r="LED7" s="344"/>
      <c r="LEE7" s="344"/>
      <c r="LEF7" s="344"/>
      <c r="LEG7" s="344"/>
      <c r="LEH7" s="344"/>
      <c r="LEI7" s="344"/>
      <c r="LEJ7" s="344"/>
      <c r="LEK7" s="344"/>
      <c r="LEL7" s="344"/>
      <c r="LEM7" s="344"/>
      <c r="LEN7" s="344"/>
      <c r="LEO7" s="344"/>
      <c r="LEP7" s="344"/>
      <c r="LEQ7" s="344"/>
      <c r="LER7" s="344"/>
      <c r="LES7" s="344"/>
      <c r="LET7" s="344"/>
      <c r="LEU7" s="344"/>
      <c r="LEV7" s="344"/>
      <c r="LEW7" s="344"/>
      <c r="LEX7" s="344"/>
      <c r="LEY7" s="344"/>
      <c r="LEZ7" s="344"/>
      <c r="LFA7" s="344"/>
      <c r="LFB7" s="344"/>
      <c r="LFC7" s="344"/>
      <c r="LFD7" s="344"/>
      <c r="LFE7" s="344"/>
      <c r="LFF7" s="344"/>
      <c r="LFG7" s="344"/>
      <c r="LFH7" s="344"/>
      <c r="LFI7" s="344"/>
      <c r="LFJ7" s="344"/>
      <c r="LFK7" s="344"/>
      <c r="LFL7" s="344"/>
      <c r="LFM7" s="344"/>
      <c r="LFN7" s="344"/>
      <c r="LFO7" s="344"/>
      <c r="LFP7" s="344"/>
      <c r="LFQ7" s="344"/>
      <c r="LFR7" s="344"/>
      <c r="LFS7" s="344"/>
      <c r="LFT7" s="344"/>
      <c r="LFU7" s="344"/>
      <c r="LFV7" s="344"/>
      <c r="LFW7" s="344"/>
      <c r="LFX7" s="344"/>
      <c r="LFY7" s="344"/>
      <c r="LFZ7" s="344"/>
      <c r="LGA7" s="344"/>
      <c r="LGB7" s="344"/>
      <c r="LGC7" s="344"/>
      <c r="LGD7" s="344"/>
      <c r="LGE7" s="344"/>
      <c r="LGF7" s="344"/>
      <c r="LGG7" s="344"/>
      <c r="LGH7" s="344"/>
      <c r="LGI7" s="344"/>
      <c r="LGJ7" s="344"/>
      <c r="LGK7" s="344"/>
      <c r="LGL7" s="344"/>
      <c r="LGM7" s="344"/>
      <c r="LGN7" s="344"/>
      <c r="LGO7" s="344"/>
      <c r="LGP7" s="344"/>
      <c r="LGQ7" s="344"/>
      <c r="LGR7" s="344"/>
      <c r="LGS7" s="344"/>
      <c r="LGT7" s="344"/>
      <c r="LGU7" s="344"/>
      <c r="LGV7" s="344"/>
      <c r="LGW7" s="344"/>
      <c r="LGX7" s="344"/>
      <c r="LGY7" s="344"/>
      <c r="LGZ7" s="344"/>
      <c r="LHA7" s="344"/>
      <c r="LHB7" s="344"/>
      <c r="LHC7" s="344"/>
      <c r="LHD7" s="344"/>
      <c r="LHE7" s="344"/>
      <c r="LHF7" s="344"/>
      <c r="LHG7" s="344"/>
      <c r="LHH7" s="344"/>
      <c r="LHI7" s="344"/>
      <c r="LHJ7" s="344"/>
      <c r="LHK7" s="344"/>
      <c r="LHL7" s="344"/>
      <c r="LHM7" s="344"/>
      <c r="LHN7" s="344"/>
      <c r="LHO7" s="344"/>
      <c r="LHP7" s="344"/>
      <c r="LHQ7" s="344"/>
      <c r="LHR7" s="344"/>
      <c r="LHS7" s="344"/>
      <c r="LHT7" s="344"/>
      <c r="LHU7" s="344"/>
      <c r="LHV7" s="344"/>
      <c r="LHW7" s="344"/>
      <c r="LHX7" s="344"/>
      <c r="LHY7" s="344"/>
      <c r="LHZ7" s="344"/>
      <c r="LIA7" s="344"/>
      <c r="LIB7" s="344"/>
      <c r="LIC7" s="344"/>
      <c r="LID7" s="344"/>
      <c r="LIE7" s="344"/>
      <c r="LIF7" s="344"/>
      <c r="LIG7" s="344"/>
      <c r="LIH7" s="344"/>
      <c r="LII7" s="344"/>
      <c r="LIJ7" s="344"/>
      <c r="LIK7" s="344"/>
      <c r="LIL7" s="344"/>
      <c r="LIM7" s="344"/>
      <c r="LIN7" s="344"/>
      <c r="LIO7" s="344"/>
      <c r="LIP7" s="344"/>
      <c r="LIQ7" s="344"/>
      <c r="LIR7" s="344"/>
      <c r="LIS7" s="344"/>
      <c r="LIT7" s="344"/>
      <c r="LIU7" s="344"/>
      <c r="LIV7" s="344"/>
      <c r="LIW7" s="344"/>
      <c r="LIX7" s="344"/>
      <c r="LIY7" s="344"/>
      <c r="LIZ7" s="344"/>
      <c r="LJA7" s="344"/>
      <c r="LJB7" s="344"/>
      <c r="LJC7" s="344"/>
      <c r="LJD7" s="344"/>
      <c r="LJE7" s="344"/>
      <c r="LJF7" s="344"/>
      <c r="LJG7" s="344"/>
      <c r="LJH7" s="344"/>
      <c r="LJI7" s="344"/>
      <c r="LJJ7" s="344"/>
      <c r="LJK7" s="344"/>
      <c r="LJL7" s="344"/>
      <c r="LJM7" s="344"/>
      <c r="LJN7" s="344"/>
      <c r="LJO7" s="344"/>
      <c r="LJP7" s="344"/>
      <c r="LJQ7" s="344"/>
      <c r="LJR7" s="344"/>
      <c r="LJS7" s="344"/>
      <c r="LJT7" s="344"/>
      <c r="LJU7" s="344"/>
      <c r="LJV7" s="344"/>
      <c r="LJW7" s="344"/>
      <c r="LJX7" s="344"/>
      <c r="LJY7" s="344"/>
      <c r="LJZ7" s="344"/>
      <c r="LKA7" s="344"/>
      <c r="LKB7" s="344"/>
      <c r="LKC7" s="344"/>
      <c r="LKD7" s="344"/>
      <c r="LKE7" s="344"/>
      <c r="LKF7" s="344"/>
      <c r="LKG7" s="344"/>
      <c r="LKH7" s="344"/>
      <c r="LKI7" s="344"/>
      <c r="LKJ7" s="344"/>
      <c r="LKK7" s="344"/>
      <c r="LKL7" s="344"/>
      <c r="LKM7" s="344"/>
      <c r="LKN7" s="344"/>
      <c r="LKO7" s="344"/>
      <c r="LKP7" s="344"/>
      <c r="LKQ7" s="344"/>
      <c r="LKR7" s="344"/>
      <c r="LKS7" s="344"/>
      <c r="LKT7" s="344"/>
      <c r="LKU7" s="344"/>
      <c r="LKV7" s="344"/>
      <c r="LKW7" s="344"/>
      <c r="LKX7" s="344"/>
      <c r="LKY7" s="344"/>
      <c r="LKZ7" s="344"/>
      <c r="LLA7" s="344"/>
      <c r="LLB7" s="344"/>
      <c r="LLC7" s="344"/>
      <c r="LLD7" s="344"/>
      <c r="LLE7" s="344"/>
      <c r="LLF7" s="344"/>
      <c r="LLG7" s="344"/>
      <c r="LLH7" s="344"/>
      <c r="LLI7" s="344"/>
      <c r="LLJ7" s="344"/>
      <c r="LLK7" s="344"/>
      <c r="LLL7" s="344"/>
      <c r="LLM7" s="344"/>
      <c r="LLN7" s="344"/>
      <c r="LLO7" s="344"/>
      <c r="LLP7" s="344"/>
      <c r="LLQ7" s="344"/>
      <c r="LLR7" s="344"/>
      <c r="LLS7" s="344"/>
      <c r="LLT7" s="344"/>
      <c r="LLU7" s="344"/>
      <c r="LLV7" s="344"/>
      <c r="LLW7" s="344"/>
      <c r="LLX7" s="344"/>
      <c r="LLY7" s="344"/>
      <c r="LLZ7" s="344"/>
      <c r="LMA7" s="344"/>
      <c r="LMB7" s="344"/>
      <c r="LMC7" s="344"/>
      <c r="LMD7" s="344"/>
      <c r="LME7" s="344"/>
      <c r="LMF7" s="344"/>
      <c r="LMG7" s="344"/>
      <c r="LMH7" s="344"/>
      <c r="LMI7" s="344"/>
      <c r="LMJ7" s="344"/>
      <c r="LMK7" s="344"/>
      <c r="LML7" s="344"/>
      <c r="LMM7" s="344"/>
      <c r="LMN7" s="344"/>
      <c r="LMO7" s="344"/>
      <c r="LMP7" s="344"/>
      <c r="LMQ7" s="344"/>
      <c r="LMR7" s="344"/>
      <c r="LMS7" s="344"/>
      <c r="LMT7" s="344"/>
      <c r="LMU7" s="344"/>
      <c r="LMV7" s="344"/>
      <c r="LMW7" s="344"/>
      <c r="LMX7" s="344"/>
      <c r="LMY7" s="344"/>
      <c r="LMZ7" s="344"/>
      <c r="LNA7" s="344"/>
      <c r="LNB7" s="344"/>
      <c r="LNC7" s="344"/>
      <c r="LND7" s="344"/>
      <c r="LNE7" s="344"/>
      <c r="LNF7" s="344"/>
      <c r="LNG7" s="344"/>
      <c r="LNH7" s="344"/>
      <c r="LNI7" s="344"/>
      <c r="LNJ7" s="344"/>
      <c r="LNK7" s="344"/>
      <c r="LNL7" s="344"/>
      <c r="LNM7" s="344"/>
      <c r="LNN7" s="344"/>
      <c r="LNO7" s="344"/>
      <c r="LNP7" s="344"/>
      <c r="LNQ7" s="344"/>
      <c r="LNR7" s="344"/>
      <c r="LNS7" s="344"/>
      <c r="LNT7" s="344"/>
      <c r="LNU7" s="344"/>
      <c r="LNV7" s="344"/>
      <c r="LNW7" s="344"/>
      <c r="LNX7" s="344"/>
      <c r="LNY7" s="344"/>
      <c r="LNZ7" s="344"/>
      <c r="LOA7" s="344"/>
      <c r="LOB7" s="344"/>
      <c r="LOC7" s="344"/>
      <c r="LOD7" s="344"/>
      <c r="LOE7" s="344"/>
      <c r="LOF7" s="344"/>
      <c r="LOG7" s="344"/>
      <c r="LOH7" s="344"/>
      <c r="LOI7" s="344"/>
      <c r="LOJ7" s="344"/>
      <c r="LOK7" s="344"/>
      <c r="LOL7" s="344"/>
      <c r="LOM7" s="344"/>
      <c r="LON7" s="344"/>
      <c r="LOO7" s="344"/>
      <c r="LOP7" s="344"/>
      <c r="LOQ7" s="344"/>
      <c r="LOR7" s="344"/>
      <c r="LOS7" s="344"/>
      <c r="LOT7" s="344"/>
      <c r="LOU7" s="344"/>
      <c r="LOV7" s="344"/>
      <c r="LOW7" s="344"/>
      <c r="LOX7" s="344"/>
      <c r="LOY7" s="344"/>
      <c r="LOZ7" s="344"/>
      <c r="LPA7" s="344"/>
      <c r="LPB7" s="344"/>
      <c r="LPC7" s="344"/>
      <c r="LPD7" s="344"/>
      <c r="LPE7" s="344"/>
      <c r="LPF7" s="344"/>
      <c r="LPG7" s="344"/>
      <c r="LPH7" s="344"/>
      <c r="LPI7" s="344"/>
      <c r="LPJ7" s="344"/>
      <c r="LPK7" s="344"/>
      <c r="LPL7" s="344"/>
      <c r="LPM7" s="344"/>
      <c r="LPN7" s="344"/>
      <c r="LPO7" s="344"/>
      <c r="LPP7" s="344"/>
      <c r="LPQ7" s="344"/>
      <c r="LPR7" s="344"/>
      <c r="LPS7" s="344"/>
      <c r="LPT7" s="344"/>
      <c r="LPU7" s="344"/>
      <c r="LPV7" s="344"/>
      <c r="LPW7" s="344"/>
      <c r="LPX7" s="344"/>
      <c r="LPY7" s="344"/>
      <c r="LPZ7" s="344"/>
      <c r="LQA7" s="344"/>
      <c r="LQB7" s="344"/>
      <c r="LQC7" s="344"/>
      <c r="LQD7" s="344"/>
      <c r="LQE7" s="344"/>
      <c r="LQF7" s="344"/>
      <c r="LQG7" s="344"/>
      <c r="LQH7" s="344"/>
      <c r="LQI7" s="344"/>
      <c r="LQJ7" s="344"/>
      <c r="LQK7" s="344"/>
      <c r="LQL7" s="344"/>
      <c r="LQM7" s="344"/>
      <c r="LQN7" s="344"/>
      <c r="LQO7" s="344"/>
      <c r="LQP7" s="344"/>
      <c r="LQQ7" s="344"/>
      <c r="LQR7" s="344"/>
      <c r="LQS7" s="344"/>
      <c r="LQT7" s="344"/>
      <c r="LQU7" s="344"/>
      <c r="LQV7" s="344"/>
      <c r="LQW7" s="344"/>
      <c r="LQX7" s="344"/>
      <c r="LQY7" s="344"/>
      <c r="LQZ7" s="344"/>
      <c r="LRA7" s="344"/>
      <c r="LRB7" s="344"/>
      <c r="LRC7" s="344"/>
      <c r="LRD7" s="344"/>
      <c r="LRE7" s="344"/>
      <c r="LRF7" s="344"/>
      <c r="LRG7" s="344"/>
      <c r="LRH7" s="344"/>
      <c r="LRI7" s="344"/>
      <c r="LRJ7" s="344"/>
      <c r="LRK7" s="344"/>
      <c r="LRL7" s="344"/>
      <c r="LRM7" s="344"/>
      <c r="LRN7" s="344"/>
      <c r="LRO7" s="344"/>
      <c r="LRP7" s="344"/>
      <c r="LRQ7" s="344"/>
      <c r="LRR7" s="344"/>
      <c r="LRS7" s="344"/>
      <c r="LRT7" s="344"/>
      <c r="LRU7" s="344"/>
      <c r="LRV7" s="344"/>
      <c r="LRW7" s="344"/>
      <c r="LRX7" s="344"/>
      <c r="LRY7" s="344"/>
      <c r="LRZ7" s="344"/>
      <c r="LSA7" s="344"/>
      <c r="LSB7" s="344"/>
      <c r="LSC7" s="344"/>
      <c r="LSD7" s="344"/>
      <c r="LSE7" s="344"/>
      <c r="LSF7" s="344"/>
      <c r="LSG7" s="344"/>
      <c r="LSH7" s="344"/>
      <c r="LSI7" s="344"/>
      <c r="LSJ7" s="344"/>
      <c r="LSK7" s="344"/>
      <c r="LSL7" s="344"/>
      <c r="LSM7" s="344"/>
      <c r="LSN7" s="344"/>
      <c r="LSO7" s="344"/>
      <c r="LSP7" s="344"/>
      <c r="LSQ7" s="344"/>
      <c r="LSR7" s="344"/>
      <c r="LSS7" s="344"/>
      <c r="LST7" s="344"/>
      <c r="LSU7" s="344"/>
      <c r="LSV7" s="344"/>
      <c r="LSW7" s="344"/>
      <c r="LSX7" s="344"/>
      <c r="LSY7" s="344"/>
      <c r="LSZ7" s="344"/>
      <c r="LTA7" s="344"/>
      <c r="LTB7" s="344"/>
      <c r="LTC7" s="344"/>
      <c r="LTD7" s="344"/>
      <c r="LTE7" s="344"/>
      <c r="LTF7" s="344"/>
      <c r="LTG7" s="344"/>
      <c r="LTH7" s="344"/>
      <c r="LTI7" s="344"/>
      <c r="LTJ7" s="344"/>
      <c r="LTK7" s="344"/>
      <c r="LTL7" s="344"/>
      <c r="LTM7" s="344"/>
      <c r="LTN7" s="344"/>
      <c r="LTO7" s="344"/>
      <c r="LTP7" s="344"/>
      <c r="LTQ7" s="344"/>
      <c r="LTR7" s="344"/>
      <c r="LTS7" s="344"/>
      <c r="LTT7" s="344"/>
      <c r="LTU7" s="344"/>
      <c r="LTV7" s="344"/>
      <c r="LTW7" s="344"/>
      <c r="LTX7" s="344"/>
      <c r="LTY7" s="344"/>
      <c r="LTZ7" s="344"/>
      <c r="LUA7" s="344"/>
      <c r="LUB7" s="344"/>
      <c r="LUC7" s="344"/>
      <c r="LUD7" s="344"/>
      <c r="LUE7" s="344"/>
      <c r="LUF7" s="344"/>
      <c r="LUG7" s="344"/>
      <c r="LUH7" s="344"/>
      <c r="LUI7" s="344"/>
      <c r="LUJ7" s="344"/>
      <c r="LUK7" s="344"/>
      <c r="LUL7" s="344"/>
      <c r="LUM7" s="344"/>
      <c r="LUN7" s="344"/>
      <c r="LUO7" s="344"/>
      <c r="LUP7" s="344"/>
      <c r="LUQ7" s="344"/>
      <c r="LUR7" s="344"/>
      <c r="LUS7" s="344"/>
      <c r="LUT7" s="344"/>
      <c r="LUU7" s="344"/>
      <c r="LUV7" s="344"/>
      <c r="LUW7" s="344"/>
      <c r="LUX7" s="344"/>
      <c r="LUY7" s="344"/>
      <c r="LUZ7" s="344"/>
      <c r="LVA7" s="344"/>
      <c r="LVB7" s="344"/>
      <c r="LVC7" s="344"/>
      <c r="LVD7" s="344"/>
      <c r="LVE7" s="344"/>
      <c r="LVF7" s="344"/>
      <c r="LVG7" s="344"/>
      <c r="LVH7" s="344"/>
      <c r="LVI7" s="344"/>
      <c r="LVJ7" s="344"/>
      <c r="LVK7" s="344"/>
      <c r="LVL7" s="344"/>
      <c r="LVM7" s="344"/>
      <c r="LVN7" s="344"/>
      <c r="LVO7" s="344"/>
      <c r="LVP7" s="344"/>
      <c r="LVQ7" s="344"/>
      <c r="LVR7" s="344"/>
      <c r="LVS7" s="344"/>
      <c r="LVT7" s="344"/>
      <c r="LVU7" s="344"/>
      <c r="LVV7" s="344"/>
      <c r="LVW7" s="344"/>
      <c r="LVX7" s="344"/>
      <c r="LVY7" s="344"/>
      <c r="LVZ7" s="344"/>
      <c r="LWA7" s="344"/>
      <c r="LWB7" s="344"/>
      <c r="LWC7" s="344"/>
      <c r="LWD7" s="344"/>
      <c r="LWE7" s="344"/>
      <c r="LWF7" s="344"/>
      <c r="LWG7" s="344"/>
      <c r="LWH7" s="344"/>
      <c r="LWI7" s="344"/>
      <c r="LWJ7" s="344"/>
      <c r="LWK7" s="344"/>
      <c r="LWL7" s="344"/>
      <c r="LWM7" s="344"/>
      <c r="LWN7" s="344"/>
      <c r="LWO7" s="344"/>
      <c r="LWP7" s="344"/>
      <c r="LWQ7" s="344"/>
      <c r="LWR7" s="344"/>
      <c r="LWS7" s="344"/>
      <c r="LWT7" s="344"/>
      <c r="LWU7" s="344"/>
      <c r="LWV7" s="344"/>
      <c r="LWW7" s="344"/>
      <c r="LWX7" s="344"/>
      <c r="LWY7" s="344"/>
      <c r="LWZ7" s="344"/>
      <c r="LXA7" s="344"/>
      <c r="LXB7" s="344"/>
      <c r="LXC7" s="344"/>
      <c r="LXD7" s="344"/>
      <c r="LXE7" s="344"/>
      <c r="LXF7" s="344"/>
      <c r="LXG7" s="344"/>
      <c r="LXH7" s="344"/>
      <c r="LXI7" s="344"/>
      <c r="LXJ7" s="344"/>
      <c r="LXK7" s="344"/>
      <c r="LXL7" s="344"/>
      <c r="LXM7" s="344"/>
      <c r="LXN7" s="344"/>
      <c r="LXO7" s="344"/>
      <c r="LXP7" s="344"/>
      <c r="LXQ7" s="344"/>
      <c r="LXR7" s="344"/>
      <c r="LXS7" s="344"/>
      <c r="LXT7" s="344"/>
      <c r="LXU7" s="344"/>
      <c r="LXV7" s="344"/>
      <c r="LXW7" s="344"/>
      <c r="LXX7" s="344"/>
      <c r="LXY7" s="344"/>
      <c r="LXZ7" s="344"/>
      <c r="LYA7" s="344"/>
      <c r="LYB7" s="344"/>
      <c r="LYC7" s="344"/>
      <c r="LYD7" s="344"/>
      <c r="LYE7" s="344"/>
      <c r="LYF7" s="344"/>
      <c r="LYG7" s="344"/>
      <c r="LYH7" s="344"/>
      <c r="LYI7" s="344"/>
      <c r="LYJ7" s="344"/>
      <c r="LYK7" s="344"/>
      <c r="LYL7" s="344"/>
      <c r="LYM7" s="344"/>
      <c r="LYN7" s="344"/>
      <c r="LYO7" s="344"/>
      <c r="LYP7" s="344"/>
      <c r="LYQ7" s="344"/>
      <c r="LYR7" s="344"/>
      <c r="LYS7" s="344"/>
      <c r="LYT7" s="344"/>
      <c r="LYU7" s="344"/>
      <c r="LYV7" s="344"/>
      <c r="LYW7" s="344"/>
      <c r="LYX7" s="344"/>
      <c r="LYY7" s="344"/>
      <c r="LYZ7" s="344"/>
      <c r="LZA7" s="344"/>
      <c r="LZB7" s="344"/>
      <c r="LZC7" s="344"/>
      <c r="LZD7" s="344"/>
      <c r="LZE7" s="344"/>
      <c r="LZF7" s="344"/>
      <c r="LZG7" s="344"/>
      <c r="LZH7" s="344"/>
      <c r="LZI7" s="344"/>
      <c r="LZJ7" s="344"/>
      <c r="LZK7" s="344"/>
      <c r="LZL7" s="344"/>
      <c r="LZM7" s="344"/>
      <c r="LZN7" s="344"/>
      <c r="LZO7" s="344"/>
      <c r="LZP7" s="344"/>
      <c r="LZQ7" s="344"/>
      <c r="LZR7" s="344"/>
      <c r="LZS7" s="344"/>
      <c r="LZT7" s="344"/>
      <c r="LZU7" s="344"/>
      <c r="LZV7" s="344"/>
      <c r="LZW7" s="344"/>
      <c r="LZX7" s="344"/>
      <c r="LZY7" s="344"/>
      <c r="LZZ7" s="344"/>
      <c r="MAA7" s="344"/>
      <c r="MAB7" s="344"/>
      <c r="MAC7" s="344"/>
      <c r="MAD7" s="344"/>
      <c r="MAE7" s="344"/>
      <c r="MAF7" s="344"/>
      <c r="MAG7" s="344"/>
      <c r="MAH7" s="344"/>
      <c r="MAI7" s="344"/>
      <c r="MAJ7" s="344"/>
      <c r="MAK7" s="344"/>
      <c r="MAL7" s="344"/>
      <c r="MAM7" s="344"/>
      <c r="MAN7" s="344"/>
      <c r="MAO7" s="344"/>
      <c r="MAP7" s="344"/>
      <c r="MAQ7" s="344"/>
      <c r="MAR7" s="344"/>
      <c r="MAS7" s="344"/>
      <c r="MAT7" s="344"/>
      <c r="MAU7" s="344"/>
      <c r="MAV7" s="344"/>
      <c r="MAW7" s="344"/>
      <c r="MAX7" s="344"/>
      <c r="MAY7" s="344"/>
      <c r="MAZ7" s="344"/>
      <c r="MBA7" s="344"/>
      <c r="MBB7" s="344"/>
      <c r="MBC7" s="344"/>
      <c r="MBD7" s="344"/>
      <c r="MBE7" s="344"/>
      <c r="MBF7" s="344"/>
      <c r="MBG7" s="344"/>
      <c r="MBH7" s="344"/>
      <c r="MBI7" s="344"/>
      <c r="MBJ7" s="344"/>
      <c r="MBK7" s="344"/>
      <c r="MBL7" s="344"/>
      <c r="MBM7" s="344"/>
      <c r="MBN7" s="344"/>
      <c r="MBO7" s="344"/>
      <c r="MBP7" s="344"/>
      <c r="MBQ7" s="344"/>
      <c r="MBR7" s="344"/>
      <c r="MBS7" s="344"/>
      <c r="MBT7" s="344"/>
      <c r="MBU7" s="344"/>
      <c r="MBV7" s="344"/>
      <c r="MBW7" s="344"/>
      <c r="MBX7" s="344"/>
      <c r="MBY7" s="344"/>
      <c r="MBZ7" s="344"/>
      <c r="MCA7" s="344"/>
      <c r="MCB7" s="344"/>
      <c r="MCC7" s="344"/>
      <c r="MCD7" s="344"/>
      <c r="MCE7" s="344"/>
      <c r="MCF7" s="344"/>
      <c r="MCG7" s="344"/>
      <c r="MCH7" s="344"/>
      <c r="MCI7" s="344"/>
      <c r="MCJ7" s="344"/>
      <c r="MCK7" s="344"/>
      <c r="MCL7" s="344"/>
      <c r="MCM7" s="344"/>
      <c r="MCN7" s="344"/>
      <c r="MCO7" s="344"/>
      <c r="MCP7" s="344"/>
      <c r="MCQ7" s="344"/>
      <c r="MCR7" s="344"/>
      <c r="MCS7" s="344"/>
      <c r="MCT7" s="344"/>
      <c r="MCU7" s="344"/>
      <c r="MCV7" s="344"/>
      <c r="MCW7" s="344"/>
      <c r="MCX7" s="344"/>
      <c r="MCY7" s="344"/>
      <c r="MCZ7" s="344"/>
      <c r="MDA7" s="344"/>
      <c r="MDB7" s="344"/>
      <c r="MDC7" s="344"/>
      <c r="MDD7" s="344"/>
      <c r="MDE7" s="344"/>
      <c r="MDF7" s="344"/>
      <c r="MDG7" s="344"/>
      <c r="MDH7" s="344"/>
      <c r="MDI7" s="344"/>
      <c r="MDJ7" s="344"/>
      <c r="MDK7" s="344"/>
      <c r="MDL7" s="344"/>
      <c r="MDM7" s="344"/>
      <c r="MDN7" s="344"/>
      <c r="MDO7" s="344"/>
      <c r="MDP7" s="344"/>
      <c r="MDQ7" s="344"/>
      <c r="MDR7" s="344"/>
      <c r="MDS7" s="344"/>
      <c r="MDT7" s="344"/>
      <c r="MDU7" s="344"/>
      <c r="MDV7" s="344"/>
      <c r="MDW7" s="344"/>
      <c r="MDX7" s="344"/>
      <c r="MDY7" s="344"/>
      <c r="MDZ7" s="344"/>
      <c r="MEA7" s="344"/>
      <c r="MEB7" s="344"/>
      <c r="MEC7" s="344"/>
      <c r="MED7" s="344"/>
      <c r="MEE7" s="344"/>
      <c r="MEF7" s="344"/>
      <c r="MEG7" s="344"/>
      <c r="MEH7" s="344"/>
      <c r="MEI7" s="344"/>
      <c r="MEJ7" s="344"/>
      <c r="MEK7" s="344"/>
      <c r="MEL7" s="344"/>
      <c r="MEM7" s="344"/>
      <c r="MEN7" s="344"/>
      <c r="MEO7" s="344"/>
      <c r="MEP7" s="344"/>
      <c r="MEQ7" s="344"/>
      <c r="MER7" s="344"/>
      <c r="MES7" s="344"/>
      <c r="MET7" s="344"/>
      <c r="MEU7" s="344"/>
      <c r="MEV7" s="344"/>
      <c r="MEW7" s="344"/>
      <c r="MEX7" s="344"/>
      <c r="MEY7" s="344"/>
      <c r="MEZ7" s="344"/>
      <c r="MFA7" s="344"/>
      <c r="MFB7" s="344"/>
      <c r="MFC7" s="344"/>
      <c r="MFD7" s="344"/>
      <c r="MFE7" s="344"/>
      <c r="MFF7" s="344"/>
      <c r="MFG7" s="344"/>
      <c r="MFH7" s="344"/>
      <c r="MFI7" s="344"/>
      <c r="MFJ7" s="344"/>
      <c r="MFK7" s="344"/>
      <c r="MFL7" s="344"/>
      <c r="MFM7" s="344"/>
      <c r="MFN7" s="344"/>
      <c r="MFO7" s="344"/>
      <c r="MFP7" s="344"/>
      <c r="MFQ7" s="344"/>
      <c r="MFR7" s="344"/>
      <c r="MFS7" s="344"/>
      <c r="MFT7" s="344"/>
      <c r="MFU7" s="344"/>
      <c r="MFV7" s="344"/>
      <c r="MFW7" s="344"/>
      <c r="MFX7" s="344"/>
      <c r="MFY7" s="344"/>
      <c r="MFZ7" s="344"/>
      <c r="MGA7" s="344"/>
      <c r="MGB7" s="344"/>
      <c r="MGC7" s="344"/>
      <c r="MGD7" s="344"/>
      <c r="MGE7" s="344"/>
      <c r="MGF7" s="344"/>
      <c r="MGG7" s="344"/>
      <c r="MGH7" s="344"/>
      <c r="MGI7" s="344"/>
      <c r="MGJ7" s="344"/>
      <c r="MGK7" s="344"/>
      <c r="MGL7" s="344"/>
      <c r="MGM7" s="344"/>
      <c r="MGN7" s="344"/>
      <c r="MGO7" s="344"/>
      <c r="MGP7" s="344"/>
      <c r="MGQ7" s="344"/>
      <c r="MGR7" s="344"/>
      <c r="MGS7" s="344"/>
      <c r="MGT7" s="344"/>
      <c r="MGU7" s="344"/>
      <c r="MGV7" s="344"/>
      <c r="MGW7" s="344"/>
      <c r="MGX7" s="344"/>
      <c r="MGY7" s="344"/>
      <c r="MGZ7" s="344"/>
      <c r="MHA7" s="344"/>
      <c r="MHB7" s="344"/>
      <c r="MHC7" s="344"/>
      <c r="MHD7" s="344"/>
      <c r="MHE7" s="344"/>
      <c r="MHF7" s="344"/>
      <c r="MHG7" s="344"/>
      <c r="MHH7" s="344"/>
      <c r="MHI7" s="344"/>
      <c r="MHJ7" s="344"/>
      <c r="MHK7" s="344"/>
      <c r="MHL7" s="344"/>
      <c r="MHM7" s="344"/>
      <c r="MHN7" s="344"/>
      <c r="MHO7" s="344"/>
      <c r="MHP7" s="344"/>
      <c r="MHQ7" s="344"/>
      <c r="MHR7" s="344"/>
      <c r="MHS7" s="344"/>
      <c r="MHT7" s="344"/>
      <c r="MHU7" s="344"/>
      <c r="MHV7" s="344"/>
      <c r="MHW7" s="344"/>
      <c r="MHX7" s="344"/>
      <c r="MHY7" s="344"/>
      <c r="MHZ7" s="344"/>
      <c r="MIA7" s="344"/>
      <c r="MIB7" s="344"/>
      <c r="MIC7" s="344"/>
      <c r="MID7" s="344"/>
      <c r="MIE7" s="344"/>
      <c r="MIF7" s="344"/>
      <c r="MIG7" s="344"/>
      <c r="MIH7" s="344"/>
      <c r="MII7" s="344"/>
      <c r="MIJ7" s="344"/>
      <c r="MIK7" s="344"/>
      <c r="MIL7" s="344"/>
      <c r="MIM7" s="344"/>
      <c r="MIN7" s="344"/>
      <c r="MIO7" s="344"/>
      <c r="MIP7" s="344"/>
      <c r="MIQ7" s="344"/>
      <c r="MIR7" s="344"/>
      <c r="MIS7" s="344"/>
      <c r="MIT7" s="344"/>
      <c r="MIU7" s="344"/>
      <c r="MIV7" s="344"/>
      <c r="MIW7" s="344"/>
      <c r="MIX7" s="344"/>
      <c r="MIY7" s="344"/>
      <c r="MIZ7" s="344"/>
      <c r="MJA7" s="344"/>
      <c r="MJB7" s="344"/>
      <c r="MJC7" s="344"/>
      <c r="MJD7" s="344"/>
      <c r="MJE7" s="344"/>
      <c r="MJF7" s="344"/>
      <c r="MJG7" s="344"/>
      <c r="MJH7" s="344"/>
      <c r="MJI7" s="344"/>
      <c r="MJJ7" s="344"/>
      <c r="MJK7" s="344"/>
      <c r="MJL7" s="344"/>
      <c r="MJM7" s="344"/>
      <c r="MJN7" s="344"/>
      <c r="MJO7" s="344"/>
      <c r="MJP7" s="344"/>
      <c r="MJQ7" s="344"/>
      <c r="MJR7" s="344"/>
      <c r="MJS7" s="344"/>
      <c r="MJT7" s="344"/>
      <c r="MJU7" s="344"/>
      <c r="MJV7" s="344"/>
      <c r="MJW7" s="344"/>
      <c r="MJX7" s="344"/>
      <c r="MJY7" s="344"/>
      <c r="MJZ7" s="344"/>
      <c r="MKA7" s="344"/>
      <c r="MKB7" s="344"/>
      <c r="MKC7" s="344"/>
      <c r="MKD7" s="344"/>
      <c r="MKE7" s="344"/>
      <c r="MKF7" s="344"/>
      <c r="MKG7" s="344"/>
      <c r="MKH7" s="344"/>
      <c r="MKI7" s="344"/>
      <c r="MKJ7" s="344"/>
      <c r="MKK7" s="344"/>
      <c r="MKL7" s="344"/>
      <c r="MKM7" s="344"/>
      <c r="MKN7" s="344"/>
      <c r="MKO7" s="344"/>
      <c r="MKP7" s="344"/>
      <c r="MKQ7" s="344"/>
      <c r="MKR7" s="344"/>
      <c r="MKS7" s="344"/>
      <c r="MKT7" s="344"/>
      <c r="MKU7" s="344"/>
      <c r="MKV7" s="344"/>
      <c r="MKW7" s="344"/>
      <c r="MKX7" s="344"/>
      <c r="MKY7" s="344"/>
      <c r="MKZ7" s="344"/>
      <c r="MLA7" s="344"/>
      <c r="MLB7" s="344"/>
      <c r="MLC7" s="344"/>
      <c r="MLD7" s="344"/>
      <c r="MLE7" s="344"/>
      <c r="MLF7" s="344"/>
      <c r="MLG7" s="344"/>
      <c r="MLH7" s="344"/>
      <c r="MLI7" s="344"/>
      <c r="MLJ7" s="344"/>
      <c r="MLK7" s="344"/>
      <c r="MLL7" s="344"/>
      <c r="MLM7" s="344"/>
      <c r="MLN7" s="344"/>
      <c r="MLO7" s="344"/>
      <c r="MLP7" s="344"/>
      <c r="MLQ7" s="344"/>
      <c r="MLR7" s="344"/>
      <c r="MLS7" s="344"/>
      <c r="MLT7" s="344"/>
      <c r="MLU7" s="344"/>
      <c r="MLV7" s="344"/>
      <c r="MLW7" s="344"/>
      <c r="MLX7" s="344"/>
      <c r="MLY7" s="344"/>
      <c r="MLZ7" s="344"/>
      <c r="MMA7" s="344"/>
      <c r="MMB7" s="344"/>
      <c r="MMC7" s="344"/>
      <c r="MMD7" s="344"/>
      <c r="MME7" s="344"/>
      <c r="MMF7" s="344"/>
      <c r="MMG7" s="344"/>
      <c r="MMH7" s="344"/>
      <c r="MMI7" s="344"/>
      <c r="MMJ7" s="344"/>
      <c r="MMK7" s="344"/>
      <c r="MML7" s="344"/>
      <c r="MMM7" s="344"/>
      <c r="MMN7" s="344"/>
      <c r="MMO7" s="344"/>
      <c r="MMP7" s="344"/>
      <c r="MMQ7" s="344"/>
      <c r="MMR7" s="344"/>
      <c r="MMS7" s="344"/>
      <c r="MMT7" s="344"/>
      <c r="MMU7" s="344"/>
      <c r="MMV7" s="344"/>
      <c r="MMW7" s="344"/>
      <c r="MMX7" s="344"/>
      <c r="MMY7" s="344"/>
      <c r="MMZ7" s="344"/>
      <c r="MNA7" s="344"/>
      <c r="MNB7" s="344"/>
      <c r="MNC7" s="344"/>
      <c r="MND7" s="344"/>
      <c r="MNE7" s="344"/>
      <c r="MNF7" s="344"/>
      <c r="MNG7" s="344"/>
      <c r="MNH7" s="344"/>
      <c r="MNI7" s="344"/>
      <c r="MNJ7" s="344"/>
      <c r="MNK7" s="344"/>
      <c r="MNL7" s="344"/>
      <c r="MNM7" s="344"/>
      <c r="MNN7" s="344"/>
      <c r="MNO7" s="344"/>
      <c r="MNP7" s="344"/>
      <c r="MNQ7" s="344"/>
      <c r="MNR7" s="344"/>
      <c r="MNS7" s="344"/>
      <c r="MNT7" s="344"/>
      <c r="MNU7" s="344"/>
      <c r="MNV7" s="344"/>
      <c r="MNW7" s="344"/>
      <c r="MNX7" s="344"/>
      <c r="MNY7" s="344"/>
      <c r="MNZ7" s="344"/>
      <c r="MOA7" s="344"/>
      <c r="MOB7" s="344"/>
      <c r="MOC7" s="344"/>
      <c r="MOD7" s="344"/>
      <c r="MOE7" s="344"/>
      <c r="MOF7" s="344"/>
      <c r="MOG7" s="344"/>
      <c r="MOH7" s="344"/>
      <c r="MOI7" s="344"/>
      <c r="MOJ7" s="344"/>
      <c r="MOK7" s="344"/>
      <c r="MOL7" s="344"/>
      <c r="MOM7" s="344"/>
      <c r="MON7" s="344"/>
      <c r="MOO7" s="344"/>
      <c r="MOP7" s="344"/>
      <c r="MOQ7" s="344"/>
      <c r="MOR7" s="344"/>
      <c r="MOS7" s="344"/>
      <c r="MOT7" s="344"/>
      <c r="MOU7" s="344"/>
      <c r="MOV7" s="344"/>
      <c r="MOW7" s="344"/>
      <c r="MOX7" s="344"/>
      <c r="MOY7" s="344"/>
      <c r="MOZ7" s="344"/>
      <c r="MPA7" s="344"/>
      <c r="MPB7" s="344"/>
      <c r="MPC7" s="344"/>
      <c r="MPD7" s="344"/>
      <c r="MPE7" s="344"/>
      <c r="MPF7" s="344"/>
      <c r="MPG7" s="344"/>
      <c r="MPH7" s="344"/>
      <c r="MPI7" s="344"/>
      <c r="MPJ7" s="344"/>
      <c r="MPK7" s="344"/>
      <c r="MPL7" s="344"/>
      <c r="MPM7" s="344"/>
      <c r="MPN7" s="344"/>
      <c r="MPO7" s="344"/>
      <c r="MPP7" s="344"/>
      <c r="MPQ7" s="344"/>
      <c r="MPR7" s="344"/>
      <c r="MPS7" s="344"/>
      <c r="MPT7" s="344"/>
      <c r="MPU7" s="344"/>
      <c r="MPV7" s="344"/>
      <c r="MPW7" s="344"/>
      <c r="MPX7" s="344"/>
      <c r="MPY7" s="344"/>
      <c r="MPZ7" s="344"/>
      <c r="MQA7" s="344"/>
      <c r="MQB7" s="344"/>
      <c r="MQC7" s="344"/>
      <c r="MQD7" s="344"/>
      <c r="MQE7" s="344"/>
      <c r="MQF7" s="344"/>
      <c r="MQG7" s="344"/>
      <c r="MQH7" s="344"/>
      <c r="MQI7" s="344"/>
      <c r="MQJ7" s="344"/>
      <c r="MQK7" s="344"/>
      <c r="MQL7" s="344"/>
      <c r="MQM7" s="344"/>
      <c r="MQN7" s="344"/>
      <c r="MQO7" s="344"/>
      <c r="MQP7" s="344"/>
      <c r="MQQ7" s="344"/>
      <c r="MQR7" s="344"/>
      <c r="MQS7" s="344"/>
      <c r="MQT7" s="344"/>
      <c r="MQU7" s="344"/>
      <c r="MQV7" s="344"/>
      <c r="MQW7" s="344"/>
      <c r="MQX7" s="344"/>
      <c r="MQY7" s="344"/>
      <c r="MQZ7" s="344"/>
      <c r="MRA7" s="344"/>
      <c r="MRB7" s="344"/>
      <c r="MRC7" s="344"/>
      <c r="MRD7" s="344"/>
      <c r="MRE7" s="344"/>
      <c r="MRF7" s="344"/>
      <c r="MRG7" s="344"/>
      <c r="MRH7" s="344"/>
      <c r="MRI7" s="344"/>
      <c r="MRJ7" s="344"/>
      <c r="MRK7" s="344"/>
      <c r="MRL7" s="344"/>
      <c r="MRM7" s="344"/>
      <c r="MRN7" s="344"/>
      <c r="MRO7" s="344"/>
      <c r="MRP7" s="344"/>
      <c r="MRQ7" s="344"/>
      <c r="MRR7" s="344"/>
      <c r="MRS7" s="344"/>
      <c r="MRT7" s="344"/>
      <c r="MRU7" s="344"/>
      <c r="MRV7" s="344"/>
      <c r="MRW7" s="344"/>
      <c r="MRX7" s="344"/>
      <c r="MRY7" s="344"/>
      <c r="MRZ7" s="344"/>
      <c r="MSA7" s="344"/>
      <c r="MSB7" s="344"/>
      <c r="MSC7" s="344"/>
      <c r="MSD7" s="344"/>
      <c r="MSE7" s="344"/>
      <c r="MSF7" s="344"/>
      <c r="MSG7" s="344"/>
      <c r="MSH7" s="344"/>
      <c r="MSI7" s="344"/>
      <c r="MSJ7" s="344"/>
      <c r="MSK7" s="344"/>
      <c r="MSL7" s="344"/>
      <c r="MSM7" s="344"/>
      <c r="MSN7" s="344"/>
      <c r="MSO7" s="344"/>
      <c r="MSP7" s="344"/>
      <c r="MSQ7" s="344"/>
      <c r="MSR7" s="344"/>
      <c r="MSS7" s="344"/>
      <c r="MST7" s="344"/>
      <c r="MSU7" s="344"/>
      <c r="MSV7" s="344"/>
      <c r="MSW7" s="344"/>
      <c r="MSX7" s="344"/>
      <c r="MSY7" s="344"/>
      <c r="MSZ7" s="344"/>
      <c r="MTA7" s="344"/>
      <c r="MTB7" s="344"/>
      <c r="MTC7" s="344"/>
      <c r="MTD7" s="344"/>
      <c r="MTE7" s="344"/>
      <c r="MTF7" s="344"/>
      <c r="MTG7" s="344"/>
      <c r="MTH7" s="344"/>
      <c r="MTI7" s="344"/>
      <c r="MTJ7" s="344"/>
      <c r="MTK7" s="344"/>
      <c r="MTL7" s="344"/>
      <c r="MTM7" s="344"/>
      <c r="MTN7" s="344"/>
      <c r="MTO7" s="344"/>
      <c r="MTP7" s="344"/>
      <c r="MTQ7" s="344"/>
      <c r="MTR7" s="344"/>
      <c r="MTS7" s="344"/>
      <c r="MTT7" s="344"/>
      <c r="MTU7" s="344"/>
      <c r="MTV7" s="344"/>
      <c r="MTW7" s="344"/>
      <c r="MTX7" s="344"/>
      <c r="MTY7" s="344"/>
      <c r="MTZ7" s="344"/>
      <c r="MUA7" s="344"/>
      <c r="MUB7" s="344"/>
      <c r="MUC7" s="344"/>
      <c r="MUD7" s="344"/>
      <c r="MUE7" s="344"/>
      <c r="MUF7" s="344"/>
      <c r="MUG7" s="344"/>
      <c r="MUH7" s="344"/>
      <c r="MUI7" s="344"/>
      <c r="MUJ7" s="344"/>
      <c r="MUK7" s="344"/>
      <c r="MUL7" s="344"/>
      <c r="MUM7" s="344"/>
      <c r="MUN7" s="344"/>
      <c r="MUO7" s="344"/>
      <c r="MUP7" s="344"/>
      <c r="MUQ7" s="344"/>
      <c r="MUR7" s="344"/>
      <c r="MUS7" s="344"/>
      <c r="MUT7" s="344"/>
      <c r="MUU7" s="344"/>
      <c r="MUV7" s="344"/>
      <c r="MUW7" s="344"/>
      <c r="MUX7" s="344"/>
      <c r="MUY7" s="344"/>
      <c r="MUZ7" s="344"/>
      <c r="MVA7" s="344"/>
      <c r="MVB7" s="344"/>
      <c r="MVC7" s="344"/>
      <c r="MVD7" s="344"/>
      <c r="MVE7" s="344"/>
      <c r="MVF7" s="344"/>
      <c r="MVG7" s="344"/>
      <c r="MVH7" s="344"/>
      <c r="MVI7" s="344"/>
      <c r="MVJ7" s="344"/>
      <c r="MVK7" s="344"/>
      <c r="MVL7" s="344"/>
      <c r="MVM7" s="344"/>
      <c r="MVN7" s="344"/>
      <c r="MVO7" s="344"/>
      <c r="MVP7" s="344"/>
      <c r="MVQ7" s="344"/>
      <c r="MVR7" s="344"/>
      <c r="MVS7" s="344"/>
      <c r="MVT7" s="344"/>
      <c r="MVU7" s="344"/>
      <c r="MVV7" s="344"/>
      <c r="MVW7" s="344"/>
      <c r="MVX7" s="344"/>
      <c r="MVY7" s="344"/>
      <c r="MVZ7" s="344"/>
      <c r="MWA7" s="344"/>
      <c r="MWB7" s="344"/>
      <c r="MWC7" s="344"/>
      <c r="MWD7" s="344"/>
      <c r="MWE7" s="344"/>
      <c r="MWF7" s="344"/>
      <c r="MWG7" s="344"/>
      <c r="MWH7" s="344"/>
      <c r="MWI7" s="344"/>
      <c r="MWJ7" s="344"/>
      <c r="MWK7" s="344"/>
      <c r="MWL7" s="344"/>
      <c r="MWM7" s="344"/>
      <c r="MWN7" s="344"/>
      <c r="MWO7" s="344"/>
      <c r="MWP7" s="344"/>
      <c r="MWQ7" s="344"/>
      <c r="MWR7" s="344"/>
      <c r="MWS7" s="344"/>
      <c r="MWT7" s="344"/>
      <c r="MWU7" s="344"/>
      <c r="MWV7" s="344"/>
      <c r="MWW7" s="344"/>
      <c r="MWX7" s="344"/>
      <c r="MWY7" s="344"/>
      <c r="MWZ7" s="344"/>
      <c r="MXA7" s="344"/>
      <c r="MXB7" s="344"/>
      <c r="MXC7" s="344"/>
      <c r="MXD7" s="344"/>
      <c r="MXE7" s="344"/>
      <c r="MXF7" s="344"/>
      <c r="MXG7" s="344"/>
      <c r="MXH7" s="344"/>
      <c r="MXI7" s="344"/>
      <c r="MXJ7" s="344"/>
      <c r="MXK7" s="344"/>
      <c r="MXL7" s="344"/>
      <c r="MXM7" s="344"/>
      <c r="MXN7" s="344"/>
      <c r="MXO7" s="344"/>
      <c r="MXP7" s="344"/>
      <c r="MXQ7" s="344"/>
      <c r="MXR7" s="344"/>
      <c r="MXS7" s="344"/>
      <c r="MXT7" s="344"/>
      <c r="MXU7" s="344"/>
      <c r="MXV7" s="344"/>
      <c r="MXW7" s="344"/>
      <c r="MXX7" s="344"/>
      <c r="MXY7" s="344"/>
      <c r="MXZ7" s="344"/>
      <c r="MYA7" s="344"/>
      <c r="MYB7" s="344"/>
      <c r="MYC7" s="344"/>
      <c r="MYD7" s="344"/>
      <c r="MYE7" s="344"/>
      <c r="MYF7" s="344"/>
      <c r="MYG7" s="344"/>
      <c r="MYH7" s="344"/>
      <c r="MYI7" s="344"/>
      <c r="MYJ7" s="344"/>
      <c r="MYK7" s="344"/>
      <c r="MYL7" s="344"/>
      <c r="MYM7" s="344"/>
      <c r="MYN7" s="344"/>
      <c r="MYO7" s="344"/>
      <c r="MYP7" s="344"/>
      <c r="MYQ7" s="344"/>
      <c r="MYR7" s="344"/>
      <c r="MYS7" s="344"/>
      <c r="MYT7" s="344"/>
      <c r="MYU7" s="344"/>
      <c r="MYV7" s="344"/>
      <c r="MYW7" s="344"/>
      <c r="MYX7" s="344"/>
      <c r="MYY7" s="344"/>
      <c r="MYZ7" s="344"/>
      <c r="MZA7" s="344"/>
      <c r="MZB7" s="344"/>
      <c r="MZC7" s="344"/>
      <c r="MZD7" s="344"/>
      <c r="MZE7" s="344"/>
      <c r="MZF7" s="344"/>
      <c r="MZG7" s="344"/>
      <c r="MZH7" s="344"/>
      <c r="MZI7" s="344"/>
      <c r="MZJ7" s="344"/>
      <c r="MZK7" s="344"/>
      <c r="MZL7" s="344"/>
      <c r="MZM7" s="344"/>
      <c r="MZN7" s="344"/>
      <c r="MZO7" s="344"/>
      <c r="MZP7" s="344"/>
      <c r="MZQ7" s="344"/>
      <c r="MZR7" s="344"/>
      <c r="MZS7" s="344"/>
      <c r="MZT7" s="344"/>
      <c r="MZU7" s="344"/>
      <c r="MZV7" s="344"/>
      <c r="MZW7" s="344"/>
      <c r="MZX7" s="344"/>
      <c r="MZY7" s="344"/>
      <c r="MZZ7" s="344"/>
      <c r="NAA7" s="344"/>
      <c r="NAB7" s="344"/>
      <c r="NAC7" s="344"/>
      <c r="NAD7" s="344"/>
      <c r="NAE7" s="344"/>
      <c r="NAF7" s="344"/>
      <c r="NAG7" s="344"/>
      <c r="NAH7" s="344"/>
      <c r="NAI7" s="344"/>
      <c r="NAJ7" s="344"/>
      <c r="NAK7" s="344"/>
      <c r="NAL7" s="344"/>
      <c r="NAM7" s="344"/>
      <c r="NAN7" s="344"/>
      <c r="NAO7" s="344"/>
      <c r="NAP7" s="344"/>
      <c r="NAQ7" s="344"/>
      <c r="NAR7" s="344"/>
      <c r="NAS7" s="344"/>
      <c r="NAT7" s="344"/>
      <c r="NAU7" s="344"/>
      <c r="NAV7" s="344"/>
      <c r="NAW7" s="344"/>
      <c r="NAX7" s="344"/>
      <c r="NAY7" s="344"/>
      <c r="NAZ7" s="344"/>
      <c r="NBA7" s="344"/>
      <c r="NBB7" s="344"/>
      <c r="NBC7" s="344"/>
      <c r="NBD7" s="344"/>
      <c r="NBE7" s="344"/>
      <c r="NBF7" s="344"/>
      <c r="NBG7" s="344"/>
      <c r="NBH7" s="344"/>
      <c r="NBI7" s="344"/>
      <c r="NBJ7" s="344"/>
      <c r="NBK7" s="344"/>
      <c r="NBL7" s="344"/>
      <c r="NBM7" s="344"/>
      <c r="NBN7" s="344"/>
      <c r="NBO7" s="344"/>
      <c r="NBP7" s="344"/>
      <c r="NBQ7" s="344"/>
      <c r="NBR7" s="344"/>
      <c r="NBS7" s="344"/>
      <c r="NBT7" s="344"/>
      <c r="NBU7" s="344"/>
      <c r="NBV7" s="344"/>
      <c r="NBW7" s="344"/>
      <c r="NBX7" s="344"/>
      <c r="NBY7" s="344"/>
      <c r="NBZ7" s="344"/>
      <c r="NCA7" s="344"/>
      <c r="NCB7" s="344"/>
      <c r="NCC7" s="344"/>
      <c r="NCD7" s="344"/>
      <c r="NCE7" s="344"/>
      <c r="NCF7" s="344"/>
      <c r="NCG7" s="344"/>
      <c r="NCH7" s="344"/>
      <c r="NCI7" s="344"/>
      <c r="NCJ7" s="344"/>
      <c r="NCK7" s="344"/>
      <c r="NCL7" s="344"/>
      <c r="NCM7" s="344"/>
      <c r="NCN7" s="344"/>
      <c r="NCO7" s="344"/>
      <c r="NCP7" s="344"/>
      <c r="NCQ7" s="344"/>
      <c r="NCR7" s="344"/>
      <c r="NCS7" s="344"/>
      <c r="NCT7" s="344"/>
      <c r="NCU7" s="344"/>
      <c r="NCV7" s="344"/>
      <c r="NCW7" s="344"/>
      <c r="NCX7" s="344"/>
      <c r="NCY7" s="344"/>
      <c r="NCZ7" s="344"/>
      <c r="NDA7" s="344"/>
      <c r="NDB7" s="344"/>
      <c r="NDC7" s="344"/>
      <c r="NDD7" s="344"/>
      <c r="NDE7" s="344"/>
      <c r="NDF7" s="344"/>
      <c r="NDG7" s="344"/>
      <c r="NDH7" s="344"/>
      <c r="NDI7" s="344"/>
      <c r="NDJ7" s="344"/>
      <c r="NDK7" s="344"/>
      <c r="NDL7" s="344"/>
      <c r="NDM7" s="344"/>
      <c r="NDN7" s="344"/>
      <c r="NDO7" s="344"/>
      <c r="NDP7" s="344"/>
      <c r="NDQ7" s="344"/>
      <c r="NDR7" s="344"/>
      <c r="NDS7" s="344"/>
      <c r="NDT7" s="344"/>
      <c r="NDU7" s="344"/>
      <c r="NDV7" s="344"/>
      <c r="NDW7" s="344"/>
      <c r="NDX7" s="344"/>
      <c r="NDY7" s="344"/>
      <c r="NDZ7" s="344"/>
      <c r="NEA7" s="344"/>
      <c r="NEB7" s="344"/>
      <c r="NEC7" s="344"/>
      <c r="NED7" s="344"/>
      <c r="NEE7" s="344"/>
      <c r="NEF7" s="344"/>
      <c r="NEG7" s="344"/>
      <c r="NEH7" s="344"/>
      <c r="NEI7" s="344"/>
      <c r="NEJ7" s="344"/>
      <c r="NEK7" s="344"/>
      <c r="NEL7" s="344"/>
      <c r="NEM7" s="344"/>
      <c r="NEN7" s="344"/>
      <c r="NEO7" s="344"/>
      <c r="NEP7" s="344"/>
      <c r="NEQ7" s="344"/>
      <c r="NER7" s="344"/>
      <c r="NES7" s="344"/>
      <c r="NET7" s="344"/>
      <c r="NEU7" s="344"/>
      <c r="NEV7" s="344"/>
      <c r="NEW7" s="344"/>
      <c r="NEX7" s="344"/>
      <c r="NEY7" s="344"/>
      <c r="NEZ7" s="344"/>
      <c r="NFA7" s="344"/>
      <c r="NFB7" s="344"/>
      <c r="NFC7" s="344"/>
      <c r="NFD7" s="344"/>
      <c r="NFE7" s="344"/>
      <c r="NFF7" s="344"/>
      <c r="NFG7" s="344"/>
      <c r="NFH7" s="344"/>
      <c r="NFI7" s="344"/>
      <c r="NFJ7" s="344"/>
      <c r="NFK7" s="344"/>
      <c r="NFL7" s="344"/>
      <c r="NFM7" s="344"/>
      <c r="NFN7" s="344"/>
      <c r="NFO7" s="344"/>
      <c r="NFP7" s="344"/>
      <c r="NFQ7" s="344"/>
      <c r="NFR7" s="344"/>
      <c r="NFS7" s="344"/>
      <c r="NFT7" s="344"/>
      <c r="NFU7" s="344"/>
      <c r="NFV7" s="344"/>
      <c r="NFW7" s="344"/>
      <c r="NFX7" s="344"/>
      <c r="NFY7" s="344"/>
      <c r="NFZ7" s="344"/>
      <c r="NGA7" s="344"/>
      <c r="NGB7" s="344"/>
      <c r="NGC7" s="344"/>
      <c r="NGD7" s="344"/>
      <c r="NGE7" s="344"/>
      <c r="NGF7" s="344"/>
      <c r="NGG7" s="344"/>
      <c r="NGH7" s="344"/>
      <c r="NGI7" s="344"/>
      <c r="NGJ7" s="344"/>
      <c r="NGK7" s="344"/>
      <c r="NGL7" s="344"/>
      <c r="NGM7" s="344"/>
      <c r="NGN7" s="344"/>
      <c r="NGO7" s="344"/>
      <c r="NGP7" s="344"/>
      <c r="NGQ7" s="344"/>
      <c r="NGR7" s="344"/>
      <c r="NGS7" s="344"/>
      <c r="NGT7" s="344"/>
      <c r="NGU7" s="344"/>
      <c r="NGV7" s="344"/>
      <c r="NGW7" s="344"/>
      <c r="NGX7" s="344"/>
      <c r="NGY7" s="344"/>
      <c r="NGZ7" s="344"/>
      <c r="NHA7" s="344"/>
      <c r="NHB7" s="344"/>
      <c r="NHC7" s="344"/>
      <c r="NHD7" s="344"/>
      <c r="NHE7" s="344"/>
      <c r="NHF7" s="344"/>
      <c r="NHG7" s="344"/>
      <c r="NHH7" s="344"/>
      <c r="NHI7" s="344"/>
      <c r="NHJ7" s="344"/>
      <c r="NHK7" s="344"/>
      <c r="NHL7" s="344"/>
      <c r="NHM7" s="344"/>
      <c r="NHN7" s="344"/>
      <c r="NHO7" s="344"/>
      <c r="NHP7" s="344"/>
      <c r="NHQ7" s="344"/>
      <c r="NHR7" s="344"/>
      <c r="NHS7" s="344"/>
      <c r="NHT7" s="344"/>
      <c r="NHU7" s="344"/>
      <c r="NHV7" s="344"/>
      <c r="NHW7" s="344"/>
      <c r="NHX7" s="344"/>
      <c r="NHY7" s="344"/>
      <c r="NHZ7" s="344"/>
      <c r="NIA7" s="344"/>
      <c r="NIB7" s="344"/>
      <c r="NIC7" s="344"/>
      <c r="NID7" s="344"/>
      <c r="NIE7" s="344"/>
      <c r="NIF7" s="344"/>
      <c r="NIG7" s="344"/>
      <c r="NIH7" s="344"/>
      <c r="NII7" s="344"/>
      <c r="NIJ7" s="344"/>
      <c r="NIK7" s="344"/>
      <c r="NIL7" s="344"/>
      <c r="NIM7" s="344"/>
      <c r="NIN7" s="344"/>
      <c r="NIO7" s="344"/>
      <c r="NIP7" s="344"/>
      <c r="NIQ7" s="344"/>
      <c r="NIR7" s="344"/>
      <c r="NIS7" s="344"/>
      <c r="NIT7" s="344"/>
      <c r="NIU7" s="344"/>
      <c r="NIV7" s="344"/>
      <c r="NIW7" s="344"/>
      <c r="NIX7" s="344"/>
      <c r="NIY7" s="344"/>
      <c r="NIZ7" s="344"/>
      <c r="NJA7" s="344"/>
      <c r="NJB7" s="344"/>
      <c r="NJC7" s="344"/>
      <c r="NJD7" s="344"/>
      <c r="NJE7" s="344"/>
      <c r="NJF7" s="344"/>
      <c r="NJG7" s="344"/>
      <c r="NJH7" s="344"/>
      <c r="NJI7" s="344"/>
      <c r="NJJ7" s="344"/>
      <c r="NJK7" s="344"/>
      <c r="NJL7" s="344"/>
      <c r="NJM7" s="344"/>
      <c r="NJN7" s="344"/>
      <c r="NJO7" s="344"/>
      <c r="NJP7" s="344"/>
      <c r="NJQ7" s="344"/>
      <c r="NJR7" s="344"/>
      <c r="NJS7" s="344"/>
      <c r="NJT7" s="344"/>
      <c r="NJU7" s="344"/>
      <c r="NJV7" s="344"/>
      <c r="NJW7" s="344"/>
      <c r="NJX7" s="344"/>
      <c r="NJY7" s="344"/>
      <c r="NJZ7" s="344"/>
      <c r="NKA7" s="344"/>
      <c r="NKB7" s="344"/>
      <c r="NKC7" s="344"/>
      <c r="NKD7" s="344"/>
      <c r="NKE7" s="344"/>
      <c r="NKF7" s="344"/>
      <c r="NKG7" s="344"/>
      <c r="NKH7" s="344"/>
      <c r="NKI7" s="344"/>
      <c r="NKJ7" s="344"/>
      <c r="NKK7" s="344"/>
      <c r="NKL7" s="344"/>
      <c r="NKM7" s="344"/>
      <c r="NKN7" s="344"/>
      <c r="NKO7" s="344"/>
      <c r="NKP7" s="344"/>
      <c r="NKQ7" s="344"/>
      <c r="NKR7" s="344"/>
      <c r="NKS7" s="344"/>
      <c r="NKT7" s="344"/>
      <c r="NKU7" s="344"/>
      <c r="NKV7" s="344"/>
      <c r="NKW7" s="344"/>
      <c r="NKX7" s="344"/>
      <c r="NKY7" s="344"/>
      <c r="NKZ7" s="344"/>
      <c r="NLA7" s="344"/>
      <c r="NLB7" s="344"/>
      <c r="NLC7" s="344"/>
      <c r="NLD7" s="344"/>
      <c r="NLE7" s="344"/>
      <c r="NLF7" s="344"/>
      <c r="NLG7" s="344"/>
      <c r="NLH7" s="344"/>
      <c r="NLI7" s="344"/>
      <c r="NLJ7" s="344"/>
      <c r="NLK7" s="344"/>
      <c r="NLL7" s="344"/>
      <c r="NLM7" s="344"/>
      <c r="NLN7" s="344"/>
      <c r="NLO7" s="344"/>
      <c r="NLP7" s="344"/>
      <c r="NLQ7" s="344"/>
      <c r="NLR7" s="344"/>
      <c r="NLS7" s="344"/>
      <c r="NLT7" s="344"/>
      <c r="NLU7" s="344"/>
      <c r="NLV7" s="344"/>
      <c r="NLW7" s="344"/>
      <c r="NLX7" s="344"/>
      <c r="NLY7" s="344"/>
      <c r="NLZ7" s="344"/>
      <c r="NMA7" s="344"/>
      <c r="NMB7" s="344"/>
      <c r="NMC7" s="344"/>
      <c r="NMD7" s="344"/>
      <c r="NME7" s="344"/>
      <c r="NMF7" s="344"/>
      <c r="NMG7" s="344"/>
      <c r="NMH7" s="344"/>
      <c r="NMI7" s="344"/>
      <c r="NMJ7" s="344"/>
      <c r="NMK7" s="344"/>
      <c r="NML7" s="344"/>
      <c r="NMM7" s="344"/>
      <c r="NMN7" s="344"/>
      <c r="NMO7" s="344"/>
      <c r="NMP7" s="344"/>
      <c r="NMQ7" s="344"/>
      <c r="NMR7" s="344"/>
      <c r="NMS7" s="344"/>
      <c r="NMT7" s="344"/>
      <c r="NMU7" s="344"/>
      <c r="NMV7" s="344"/>
      <c r="NMW7" s="344"/>
      <c r="NMX7" s="344"/>
      <c r="NMY7" s="344"/>
      <c r="NMZ7" s="344"/>
      <c r="NNA7" s="344"/>
      <c r="NNB7" s="344"/>
      <c r="NNC7" s="344"/>
      <c r="NND7" s="344"/>
      <c r="NNE7" s="344"/>
      <c r="NNF7" s="344"/>
      <c r="NNG7" s="344"/>
      <c r="NNH7" s="344"/>
      <c r="NNI7" s="344"/>
      <c r="NNJ7" s="344"/>
      <c r="NNK7" s="344"/>
      <c r="NNL7" s="344"/>
      <c r="NNM7" s="344"/>
      <c r="NNN7" s="344"/>
      <c r="NNO7" s="344"/>
      <c r="NNP7" s="344"/>
      <c r="NNQ7" s="344"/>
      <c r="NNR7" s="344"/>
      <c r="NNS7" s="344"/>
      <c r="NNT7" s="344"/>
      <c r="NNU7" s="344"/>
      <c r="NNV7" s="344"/>
      <c r="NNW7" s="344"/>
      <c r="NNX7" s="344"/>
      <c r="NNY7" s="344"/>
      <c r="NNZ7" s="344"/>
      <c r="NOA7" s="344"/>
      <c r="NOB7" s="344"/>
      <c r="NOC7" s="344"/>
      <c r="NOD7" s="344"/>
      <c r="NOE7" s="344"/>
      <c r="NOF7" s="344"/>
      <c r="NOG7" s="344"/>
      <c r="NOH7" s="344"/>
      <c r="NOI7" s="344"/>
      <c r="NOJ7" s="344"/>
      <c r="NOK7" s="344"/>
      <c r="NOL7" s="344"/>
      <c r="NOM7" s="344"/>
      <c r="NON7" s="344"/>
      <c r="NOO7" s="344"/>
      <c r="NOP7" s="344"/>
      <c r="NOQ7" s="344"/>
      <c r="NOR7" s="344"/>
      <c r="NOS7" s="344"/>
      <c r="NOT7" s="344"/>
      <c r="NOU7" s="344"/>
      <c r="NOV7" s="344"/>
      <c r="NOW7" s="344"/>
      <c r="NOX7" s="344"/>
      <c r="NOY7" s="344"/>
      <c r="NOZ7" s="344"/>
      <c r="NPA7" s="344"/>
      <c r="NPB7" s="344"/>
      <c r="NPC7" s="344"/>
      <c r="NPD7" s="344"/>
      <c r="NPE7" s="344"/>
      <c r="NPF7" s="344"/>
      <c r="NPG7" s="344"/>
      <c r="NPH7" s="344"/>
      <c r="NPI7" s="344"/>
      <c r="NPJ7" s="344"/>
      <c r="NPK7" s="344"/>
      <c r="NPL7" s="344"/>
      <c r="NPM7" s="344"/>
      <c r="NPN7" s="344"/>
      <c r="NPO7" s="344"/>
      <c r="NPP7" s="344"/>
      <c r="NPQ7" s="344"/>
      <c r="NPR7" s="344"/>
      <c r="NPS7" s="344"/>
      <c r="NPT7" s="344"/>
      <c r="NPU7" s="344"/>
      <c r="NPV7" s="344"/>
      <c r="NPW7" s="344"/>
      <c r="NPX7" s="344"/>
      <c r="NPY7" s="344"/>
      <c r="NPZ7" s="344"/>
      <c r="NQA7" s="344"/>
      <c r="NQB7" s="344"/>
      <c r="NQC7" s="344"/>
      <c r="NQD7" s="344"/>
      <c r="NQE7" s="344"/>
      <c r="NQF7" s="344"/>
      <c r="NQG7" s="344"/>
      <c r="NQH7" s="344"/>
      <c r="NQI7" s="344"/>
      <c r="NQJ7" s="344"/>
      <c r="NQK7" s="344"/>
      <c r="NQL7" s="344"/>
      <c r="NQM7" s="344"/>
      <c r="NQN7" s="344"/>
      <c r="NQO7" s="344"/>
      <c r="NQP7" s="344"/>
      <c r="NQQ7" s="344"/>
      <c r="NQR7" s="344"/>
      <c r="NQS7" s="344"/>
      <c r="NQT7" s="344"/>
      <c r="NQU7" s="344"/>
      <c r="NQV7" s="344"/>
      <c r="NQW7" s="344"/>
      <c r="NQX7" s="344"/>
      <c r="NQY7" s="344"/>
      <c r="NQZ7" s="344"/>
      <c r="NRA7" s="344"/>
      <c r="NRB7" s="344"/>
      <c r="NRC7" s="344"/>
      <c r="NRD7" s="344"/>
      <c r="NRE7" s="344"/>
      <c r="NRF7" s="344"/>
      <c r="NRG7" s="344"/>
      <c r="NRH7" s="344"/>
      <c r="NRI7" s="344"/>
      <c r="NRJ7" s="344"/>
      <c r="NRK7" s="344"/>
      <c r="NRL7" s="344"/>
      <c r="NRM7" s="344"/>
      <c r="NRN7" s="344"/>
      <c r="NRO7" s="344"/>
      <c r="NRP7" s="344"/>
      <c r="NRQ7" s="344"/>
      <c r="NRR7" s="344"/>
      <c r="NRS7" s="344"/>
      <c r="NRT7" s="344"/>
      <c r="NRU7" s="344"/>
      <c r="NRV7" s="344"/>
      <c r="NRW7" s="344"/>
      <c r="NRX7" s="344"/>
      <c r="NRY7" s="344"/>
      <c r="NRZ7" s="344"/>
      <c r="NSA7" s="344"/>
      <c r="NSB7" s="344"/>
      <c r="NSC7" s="344"/>
      <c r="NSD7" s="344"/>
      <c r="NSE7" s="344"/>
      <c r="NSF7" s="344"/>
      <c r="NSG7" s="344"/>
      <c r="NSH7" s="344"/>
      <c r="NSI7" s="344"/>
      <c r="NSJ7" s="344"/>
      <c r="NSK7" s="344"/>
      <c r="NSL7" s="344"/>
      <c r="NSM7" s="344"/>
      <c r="NSN7" s="344"/>
      <c r="NSO7" s="344"/>
      <c r="NSP7" s="344"/>
      <c r="NSQ7" s="344"/>
      <c r="NSR7" s="344"/>
      <c r="NSS7" s="344"/>
      <c r="NST7" s="344"/>
      <c r="NSU7" s="344"/>
      <c r="NSV7" s="344"/>
      <c r="NSW7" s="344"/>
      <c r="NSX7" s="344"/>
      <c r="NSY7" s="344"/>
      <c r="NSZ7" s="344"/>
      <c r="NTA7" s="344"/>
      <c r="NTB7" s="344"/>
      <c r="NTC7" s="344"/>
      <c r="NTD7" s="344"/>
      <c r="NTE7" s="344"/>
      <c r="NTF7" s="344"/>
      <c r="NTG7" s="344"/>
      <c r="NTH7" s="344"/>
      <c r="NTI7" s="344"/>
      <c r="NTJ7" s="344"/>
      <c r="NTK7" s="344"/>
      <c r="NTL7" s="344"/>
      <c r="NTM7" s="344"/>
      <c r="NTN7" s="344"/>
      <c r="NTO7" s="344"/>
      <c r="NTP7" s="344"/>
      <c r="NTQ7" s="344"/>
      <c r="NTR7" s="344"/>
      <c r="NTS7" s="344"/>
      <c r="NTT7" s="344"/>
      <c r="NTU7" s="344"/>
      <c r="NTV7" s="344"/>
      <c r="NTW7" s="344"/>
      <c r="NTX7" s="344"/>
      <c r="NTY7" s="344"/>
      <c r="NTZ7" s="344"/>
      <c r="NUA7" s="344"/>
      <c r="NUB7" s="344"/>
      <c r="NUC7" s="344"/>
      <c r="NUD7" s="344"/>
      <c r="NUE7" s="344"/>
      <c r="NUF7" s="344"/>
      <c r="NUG7" s="344"/>
      <c r="NUH7" s="344"/>
      <c r="NUI7" s="344"/>
      <c r="NUJ7" s="344"/>
      <c r="NUK7" s="344"/>
      <c r="NUL7" s="344"/>
      <c r="NUM7" s="344"/>
      <c r="NUN7" s="344"/>
      <c r="NUO7" s="344"/>
      <c r="NUP7" s="344"/>
      <c r="NUQ7" s="344"/>
      <c r="NUR7" s="344"/>
      <c r="NUS7" s="344"/>
      <c r="NUT7" s="344"/>
      <c r="NUU7" s="344"/>
      <c r="NUV7" s="344"/>
      <c r="NUW7" s="344"/>
      <c r="NUX7" s="344"/>
      <c r="NUY7" s="344"/>
      <c r="NUZ7" s="344"/>
      <c r="NVA7" s="344"/>
      <c r="NVB7" s="344"/>
      <c r="NVC7" s="344"/>
      <c r="NVD7" s="344"/>
      <c r="NVE7" s="344"/>
      <c r="NVF7" s="344"/>
      <c r="NVG7" s="344"/>
      <c r="NVH7" s="344"/>
      <c r="NVI7" s="344"/>
      <c r="NVJ7" s="344"/>
      <c r="NVK7" s="344"/>
      <c r="NVL7" s="344"/>
      <c r="NVM7" s="344"/>
      <c r="NVN7" s="344"/>
      <c r="NVO7" s="344"/>
      <c r="NVP7" s="344"/>
      <c r="NVQ7" s="344"/>
      <c r="NVR7" s="344"/>
      <c r="NVS7" s="344"/>
      <c r="NVT7" s="344"/>
      <c r="NVU7" s="344"/>
      <c r="NVV7" s="344"/>
      <c r="NVW7" s="344"/>
      <c r="NVX7" s="344"/>
      <c r="NVY7" s="344"/>
      <c r="NVZ7" s="344"/>
      <c r="NWA7" s="344"/>
      <c r="NWB7" s="344"/>
      <c r="NWC7" s="344"/>
      <c r="NWD7" s="344"/>
      <c r="NWE7" s="344"/>
      <c r="NWF7" s="344"/>
      <c r="NWG7" s="344"/>
      <c r="NWH7" s="344"/>
      <c r="NWI7" s="344"/>
      <c r="NWJ7" s="344"/>
      <c r="NWK7" s="344"/>
      <c r="NWL7" s="344"/>
      <c r="NWM7" s="344"/>
      <c r="NWN7" s="344"/>
      <c r="NWO7" s="344"/>
      <c r="NWP7" s="344"/>
      <c r="NWQ7" s="344"/>
      <c r="NWR7" s="344"/>
      <c r="NWS7" s="344"/>
      <c r="NWT7" s="344"/>
      <c r="NWU7" s="344"/>
      <c r="NWV7" s="344"/>
      <c r="NWW7" s="344"/>
      <c r="NWX7" s="344"/>
      <c r="NWY7" s="344"/>
      <c r="NWZ7" s="344"/>
      <c r="NXA7" s="344"/>
      <c r="NXB7" s="344"/>
      <c r="NXC7" s="344"/>
      <c r="NXD7" s="344"/>
      <c r="NXE7" s="344"/>
      <c r="NXF7" s="344"/>
      <c r="NXG7" s="344"/>
      <c r="NXH7" s="344"/>
      <c r="NXI7" s="344"/>
      <c r="NXJ7" s="344"/>
      <c r="NXK7" s="344"/>
      <c r="NXL7" s="344"/>
      <c r="NXM7" s="344"/>
      <c r="NXN7" s="344"/>
      <c r="NXO7" s="344"/>
      <c r="NXP7" s="344"/>
      <c r="NXQ7" s="344"/>
      <c r="NXR7" s="344"/>
      <c r="NXS7" s="344"/>
      <c r="NXT7" s="344"/>
      <c r="NXU7" s="344"/>
      <c r="NXV7" s="344"/>
      <c r="NXW7" s="344"/>
      <c r="NXX7" s="344"/>
      <c r="NXY7" s="344"/>
      <c r="NXZ7" s="344"/>
      <c r="NYA7" s="344"/>
      <c r="NYB7" s="344"/>
      <c r="NYC7" s="344"/>
      <c r="NYD7" s="344"/>
      <c r="NYE7" s="344"/>
      <c r="NYF7" s="344"/>
      <c r="NYG7" s="344"/>
      <c r="NYH7" s="344"/>
      <c r="NYI7" s="344"/>
      <c r="NYJ7" s="344"/>
      <c r="NYK7" s="344"/>
      <c r="NYL7" s="344"/>
      <c r="NYM7" s="344"/>
      <c r="NYN7" s="344"/>
      <c r="NYO7" s="344"/>
      <c r="NYP7" s="344"/>
      <c r="NYQ7" s="344"/>
      <c r="NYR7" s="344"/>
      <c r="NYS7" s="344"/>
      <c r="NYT7" s="344"/>
      <c r="NYU7" s="344"/>
      <c r="NYV7" s="344"/>
      <c r="NYW7" s="344"/>
      <c r="NYX7" s="344"/>
      <c r="NYY7" s="344"/>
      <c r="NYZ7" s="344"/>
      <c r="NZA7" s="344"/>
      <c r="NZB7" s="344"/>
      <c r="NZC7" s="344"/>
      <c r="NZD7" s="344"/>
      <c r="NZE7" s="344"/>
      <c r="NZF7" s="344"/>
      <c r="NZG7" s="344"/>
      <c r="NZH7" s="344"/>
      <c r="NZI7" s="344"/>
      <c r="NZJ7" s="344"/>
      <c r="NZK7" s="344"/>
      <c r="NZL7" s="344"/>
      <c r="NZM7" s="344"/>
      <c r="NZN7" s="344"/>
      <c r="NZO7" s="344"/>
      <c r="NZP7" s="344"/>
      <c r="NZQ7" s="344"/>
      <c r="NZR7" s="344"/>
      <c r="NZS7" s="344"/>
      <c r="NZT7" s="344"/>
      <c r="NZU7" s="344"/>
      <c r="NZV7" s="344"/>
      <c r="NZW7" s="344"/>
      <c r="NZX7" s="344"/>
      <c r="NZY7" s="344"/>
      <c r="NZZ7" s="344"/>
      <c r="OAA7" s="344"/>
      <c r="OAB7" s="344"/>
      <c r="OAC7" s="344"/>
      <c r="OAD7" s="344"/>
      <c r="OAE7" s="344"/>
      <c r="OAF7" s="344"/>
      <c r="OAG7" s="344"/>
      <c r="OAH7" s="344"/>
      <c r="OAI7" s="344"/>
      <c r="OAJ7" s="344"/>
      <c r="OAK7" s="344"/>
      <c r="OAL7" s="344"/>
      <c r="OAM7" s="344"/>
      <c r="OAN7" s="344"/>
      <c r="OAO7" s="344"/>
      <c r="OAP7" s="344"/>
      <c r="OAQ7" s="344"/>
      <c r="OAR7" s="344"/>
      <c r="OAS7" s="344"/>
      <c r="OAT7" s="344"/>
      <c r="OAU7" s="344"/>
      <c r="OAV7" s="344"/>
      <c r="OAW7" s="344"/>
      <c r="OAX7" s="344"/>
      <c r="OAY7" s="344"/>
      <c r="OAZ7" s="344"/>
      <c r="OBA7" s="344"/>
      <c r="OBB7" s="344"/>
      <c r="OBC7" s="344"/>
      <c r="OBD7" s="344"/>
      <c r="OBE7" s="344"/>
      <c r="OBF7" s="344"/>
      <c r="OBG7" s="344"/>
      <c r="OBH7" s="344"/>
      <c r="OBI7" s="344"/>
      <c r="OBJ7" s="344"/>
      <c r="OBK7" s="344"/>
      <c r="OBL7" s="344"/>
      <c r="OBM7" s="344"/>
      <c r="OBN7" s="344"/>
      <c r="OBO7" s="344"/>
      <c r="OBP7" s="344"/>
      <c r="OBQ7" s="344"/>
      <c r="OBR7" s="344"/>
      <c r="OBS7" s="344"/>
      <c r="OBT7" s="344"/>
      <c r="OBU7" s="344"/>
      <c r="OBV7" s="344"/>
      <c r="OBW7" s="344"/>
      <c r="OBX7" s="344"/>
      <c r="OBY7" s="344"/>
      <c r="OBZ7" s="344"/>
      <c r="OCA7" s="344"/>
      <c r="OCB7" s="344"/>
      <c r="OCC7" s="344"/>
      <c r="OCD7" s="344"/>
      <c r="OCE7" s="344"/>
      <c r="OCF7" s="344"/>
      <c r="OCG7" s="344"/>
      <c r="OCH7" s="344"/>
      <c r="OCI7" s="344"/>
      <c r="OCJ7" s="344"/>
      <c r="OCK7" s="344"/>
      <c r="OCL7" s="344"/>
      <c r="OCM7" s="344"/>
      <c r="OCN7" s="344"/>
      <c r="OCO7" s="344"/>
      <c r="OCP7" s="344"/>
      <c r="OCQ7" s="344"/>
      <c r="OCR7" s="344"/>
      <c r="OCS7" s="344"/>
      <c r="OCT7" s="344"/>
      <c r="OCU7" s="344"/>
      <c r="OCV7" s="344"/>
      <c r="OCW7" s="344"/>
      <c r="OCX7" s="344"/>
      <c r="OCY7" s="344"/>
      <c r="OCZ7" s="344"/>
      <c r="ODA7" s="344"/>
      <c r="ODB7" s="344"/>
      <c r="ODC7" s="344"/>
      <c r="ODD7" s="344"/>
      <c r="ODE7" s="344"/>
      <c r="ODF7" s="344"/>
      <c r="ODG7" s="344"/>
      <c r="ODH7" s="344"/>
      <c r="ODI7" s="344"/>
      <c r="ODJ7" s="344"/>
      <c r="ODK7" s="344"/>
      <c r="ODL7" s="344"/>
      <c r="ODM7" s="344"/>
      <c r="ODN7" s="344"/>
      <c r="ODO7" s="344"/>
      <c r="ODP7" s="344"/>
      <c r="ODQ7" s="344"/>
      <c r="ODR7" s="344"/>
      <c r="ODS7" s="344"/>
      <c r="ODT7" s="344"/>
      <c r="ODU7" s="344"/>
      <c r="ODV7" s="344"/>
      <c r="ODW7" s="344"/>
      <c r="ODX7" s="344"/>
      <c r="ODY7" s="344"/>
      <c r="ODZ7" s="344"/>
      <c r="OEA7" s="344"/>
      <c r="OEB7" s="344"/>
      <c r="OEC7" s="344"/>
      <c r="OED7" s="344"/>
      <c r="OEE7" s="344"/>
      <c r="OEF7" s="344"/>
      <c r="OEG7" s="344"/>
      <c r="OEH7" s="344"/>
      <c r="OEI7" s="344"/>
      <c r="OEJ7" s="344"/>
      <c r="OEK7" s="344"/>
      <c r="OEL7" s="344"/>
      <c r="OEM7" s="344"/>
      <c r="OEN7" s="344"/>
      <c r="OEO7" s="344"/>
      <c r="OEP7" s="344"/>
      <c r="OEQ7" s="344"/>
      <c r="OER7" s="344"/>
      <c r="OES7" s="344"/>
      <c r="OET7" s="344"/>
      <c r="OEU7" s="344"/>
      <c r="OEV7" s="344"/>
      <c r="OEW7" s="344"/>
      <c r="OEX7" s="344"/>
      <c r="OEY7" s="344"/>
      <c r="OEZ7" s="344"/>
      <c r="OFA7" s="344"/>
      <c r="OFB7" s="344"/>
      <c r="OFC7" s="344"/>
      <c r="OFD7" s="344"/>
      <c r="OFE7" s="344"/>
      <c r="OFF7" s="344"/>
      <c r="OFG7" s="344"/>
      <c r="OFH7" s="344"/>
      <c r="OFI7" s="344"/>
      <c r="OFJ7" s="344"/>
      <c r="OFK7" s="344"/>
      <c r="OFL7" s="344"/>
      <c r="OFM7" s="344"/>
      <c r="OFN7" s="344"/>
      <c r="OFO7" s="344"/>
      <c r="OFP7" s="344"/>
      <c r="OFQ7" s="344"/>
      <c r="OFR7" s="344"/>
      <c r="OFS7" s="344"/>
      <c r="OFT7" s="344"/>
      <c r="OFU7" s="344"/>
      <c r="OFV7" s="344"/>
      <c r="OFW7" s="344"/>
      <c r="OFX7" s="344"/>
      <c r="OFY7" s="344"/>
      <c r="OFZ7" s="344"/>
      <c r="OGA7" s="344"/>
      <c r="OGB7" s="344"/>
      <c r="OGC7" s="344"/>
      <c r="OGD7" s="344"/>
      <c r="OGE7" s="344"/>
      <c r="OGF7" s="344"/>
      <c r="OGG7" s="344"/>
      <c r="OGH7" s="344"/>
      <c r="OGI7" s="344"/>
      <c r="OGJ7" s="344"/>
      <c r="OGK7" s="344"/>
      <c r="OGL7" s="344"/>
      <c r="OGM7" s="344"/>
      <c r="OGN7" s="344"/>
      <c r="OGO7" s="344"/>
      <c r="OGP7" s="344"/>
      <c r="OGQ7" s="344"/>
      <c r="OGR7" s="344"/>
      <c r="OGS7" s="344"/>
      <c r="OGT7" s="344"/>
      <c r="OGU7" s="344"/>
      <c r="OGV7" s="344"/>
      <c r="OGW7" s="344"/>
      <c r="OGX7" s="344"/>
      <c r="OGY7" s="344"/>
      <c r="OGZ7" s="344"/>
      <c r="OHA7" s="344"/>
      <c r="OHB7" s="344"/>
      <c r="OHC7" s="344"/>
      <c r="OHD7" s="344"/>
      <c r="OHE7" s="344"/>
      <c r="OHF7" s="344"/>
      <c r="OHG7" s="344"/>
      <c r="OHH7" s="344"/>
      <c r="OHI7" s="344"/>
      <c r="OHJ7" s="344"/>
      <c r="OHK7" s="344"/>
      <c r="OHL7" s="344"/>
      <c r="OHM7" s="344"/>
      <c r="OHN7" s="344"/>
      <c r="OHO7" s="344"/>
      <c r="OHP7" s="344"/>
      <c r="OHQ7" s="344"/>
      <c r="OHR7" s="344"/>
      <c r="OHS7" s="344"/>
      <c r="OHT7" s="344"/>
      <c r="OHU7" s="344"/>
      <c r="OHV7" s="344"/>
      <c r="OHW7" s="344"/>
      <c r="OHX7" s="344"/>
      <c r="OHY7" s="344"/>
      <c r="OHZ7" s="344"/>
      <c r="OIA7" s="344"/>
      <c r="OIB7" s="344"/>
      <c r="OIC7" s="344"/>
      <c r="OID7" s="344"/>
      <c r="OIE7" s="344"/>
      <c r="OIF7" s="344"/>
      <c r="OIG7" s="344"/>
      <c r="OIH7" s="344"/>
      <c r="OII7" s="344"/>
      <c r="OIJ7" s="344"/>
      <c r="OIK7" s="344"/>
      <c r="OIL7" s="344"/>
      <c r="OIM7" s="344"/>
      <c r="OIN7" s="344"/>
      <c r="OIO7" s="344"/>
      <c r="OIP7" s="344"/>
      <c r="OIQ7" s="344"/>
      <c r="OIR7" s="344"/>
      <c r="OIS7" s="344"/>
      <c r="OIT7" s="344"/>
      <c r="OIU7" s="344"/>
      <c r="OIV7" s="344"/>
      <c r="OIW7" s="344"/>
      <c r="OIX7" s="344"/>
      <c r="OIY7" s="344"/>
      <c r="OIZ7" s="344"/>
      <c r="OJA7" s="344"/>
      <c r="OJB7" s="344"/>
      <c r="OJC7" s="344"/>
      <c r="OJD7" s="344"/>
      <c r="OJE7" s="344"/>
      <c r="OJF7" s="344"/>
      <c r="OJG7" s="344"/>
      <c r="OJH7" s="344"/>
      <c r="OJI7" s="344"/>
      <c r="OJJ7" s="344"/>
      <c r="OJK7" s="344"/>
      <c r="OJL7" s="344"/>
      <c r="OJM7" s="344"/>
      <c r="OJN7" s="344"/>
      <c r="OJO7" s="344"/>
      <c r="OJP7" s="344"/>
      <c r="OJQ7" s="344"/>
      <c r="OJR7" s="344"/>
      <c r="OJS7" s="344"/>
      <c r="OJT7" s="344"/>
      <c r="OJU7" s="344"/>
      <c r="OJV7" s="344"/>
      <c r="OJW7" s="344"/>
      <c r="OJX7" s="344"/>
      <c r="OJY7" s="344"/>
      <c r="OJZ7" s="344"/>
      <c r="OKA7" s="344"/>
      <c r="OKB7" s="344"/>
      <c r="OKC7" s="344"/>
      <c r="OKD7" s="344"/>
      <c r="OKE7" s="344"/>
      <c r="OKF7" s="344"/>
      <c r="OKG7" s="344"/>
      <c r="OKH7" s="344"/>
      <c r="OKI7" s="344"/>
      <c r="OKJ7" s="344"/>
      <c r="OKK7" s="344"/>
      <c r="OKL7" s="344"/>
      <c r="OKM7" s="344"/>
      <c r="OKN7" s="344"/>
      <c r="OKO7" s="344"/>
      <c r="OKP7" s="344"/>
      <c r="OKQ7" s="344"/>
      <c r="OKR7" s="344"/>
      <c r="OKS7" s="344"/>
      <c r="OKT7" s="344"/>
      <c r="OKU7" s="344"/>
      <c r="OKV7" s="344"/>
      <c r="OKW7" s="344"/>
      <c r="OKX7" s="344"/>
      <c r="OKY7" s="344"/>
      <c r="OKZ7" s="344"/>
      <c r="OLA7" s="344"/>
      <c r="OLB7" s="344"/>
      <c r="OLC7" s="344"/>
      <c r="OLD7" s="344"/>
      <c r="OLE7" s="344"/>
      <c r="OLF7" s="344"/>
      <c r="OLG7" s="344"/>
      <c r="OLH7" s="344"/>
      <c r="OLI7" s="344"/>
      <c r="OLJ7" s="344"/>
      <c r="OLK7" s="344"/>
      <c r="OLL7" s="344"/>
      <c r="OLM7" s="344"/>
      <c r="OLN7" s="344"/>
      <c r="OLO7" s="344"/>
      <c r="OLP7" s="344"/>
      <c r="OLQ7" s="344"/>
      <c r="OLR7" s="344"/>
      <c r="OLS7" s="344"/>
      <c r="OLT7" s="344"/>
      <c r="OLU7" s="344"/>
      <c r="OLV7" s="344"/>
      <c r="OLW7" s="344"/>
      <c r="OLX7" s="344"/>
      <c r="OLY7" s="344"/>
      <c r="OLZ7" s="344"/>
      <c r="OMA7" s="344"/>
      <c r="OMB7" s="344"/>
      <c r="OMC7" s="344"/>
      <c r="OMD7" s="344"/>
      <c r="OME7" s="344"/>
      <c r="OMF7" s="344"/>
      <c r="OMG7" s="344"/>
      <c r="OMH7" s="344"/>
      <c r="OMI7" s="344"/>
      <c r="OMJ7" s="344"/>
      <c r="OMK7" s="344"/>
      <c r="OML7" s="344"/>
      <c r="OMM7" s="344"/>
      <c r="OMN7" s="344"/>
      <c r="OMO7" s="344"/>
      <c r="OMP7" s="344"/>
      <c r="OMQ7" s="344"/>
      <c r="OMR7" s="344"/>
      <c r="OMS7" s="344"/>
      <c r="OMT7" s="344"/>
      <c r="OMU7" s="344"/>
      <c r="OMV7" s="344"/>
      <c r="OMW7" s="344"/>
      <c r="OMX7" s="344"/>
      <c r="OMY7" s="344"/>
      <c r="OMZ7" s="344"/>
      <c r="ONA7" s="344"/>
      <c r="ONB7" s="344"/>
      <c r="ONC7" s="344"/>
      <c r="OND7" s="344"/>
      <c r="ONE7" s="344"/>
      <c r="ONF7" s="344"/>
      <c r="ONG7" s="344"/>
      <c r="ONH7" s="344"/>
      <c r="ONI7" s="344"/>
      <c r="ONJ7" s="344"/>
      <c r="ONK7" s="344"/>
      <c r="ONL7" s="344"/>
      <c r="ONM7" s="344"/>
      <c r="ONN7" s="344"/>
      <c r="ONO7" s="344"/>
      <c r="ONP7" s="344"/>
      <c r="ONQ7" s="344"/>
      <c r="ONR7" s="344"/>
      <c r="ONS7" s="344"/>
      <c r="ONT7" s="344"/>
      <c r="ONU7" s="344"/>
      <c r="ONV7" s="344"/>
      <c r="ONW7" s="344"/>
      <c r="ONX7" s="344"/>
      <c r="ONY7" s="344"/>
      <c r="ONZ7" s="344"/>
      <c r="OOA7" s="344"/>
      <c r="OOB7" s="344"/>
      <c r="OOC7" s="344"/>
      <c r="OOD7" s="344"/>
      <c r="OOE7" s="344"/>
      <c r="OOF7" s="344"/>
      <c r="OOG7" s="344"/>
      <c r="OOH7" s="344"/>
      <c r="OOI7" s="344"/>
      <c r="OOJ7" s="344"/>
      <c r="OOK7" s="344"/>
      <c r="OOL7" s="344"/>
      <c r="OOM7" s="344"/>
      <c r="OON7" s="344"/>
      <c r="OOO7" s="344"/>
      <c r="OOP7" s="344"/>
      <c r="OOQ7" s="344"/>
      <c r="OOR7" s="344"/>
      <c r="OOS7" s="344"/>
      <c r="OOT7" s="344"/>
      <c r="OOU7" s="344"/>
      <c r="OOV7" s="344"/>
      <c r="OOW7" s="344"/>
      <c r="OOX7" s="344"/>
      <c r="OOY7" s="344"/>
      <c r="OOZ7" s="344"/>
      <c r="OPA7" s="344"/>
      <c r="OPB7" s="344"/>
      <c r="OPC7" s="344"/>
      <c r="OPD7" s="344"/>
      <c r="OPE7" s="344"/>
      <c r="OPF7" s="344"/>
      <c r="OPG7" s="344"/>
      <c r="OPH7" s="344"/>
      <c r="OPI7" s="344"/>
      <c r="OPJ7" s="344"/>
      <c r="OPK7" s="344"/>
      <c r="OPL7" s="344"/>
      <c r="OPM7" s="344"/>
      <c r="OPN7" s="344"/>
      <c r="OPO7" s="344"/>
      <c r="OPP7" s="344"/>
      <c r="OPQ7" s="344"/>
      <c r="OPR7" s="344"/>
      <c r="OPS7" s="344"/>
      <c r="OPT7" s="344"/>
      <c r="OPU7" s="344"/>
      <c r="OPV7" s="344"/>
      <c r="OPW7" s="344"/>
      <c r="OPX7" s="344"/>
      <c r="OPY7" s="344"/>
      <c r="OPZ7" s="344"/>
      <c r="OQA7" s="344"/>
      <c r="OQB7" s="344"/>
      <c r="OQC7" s="344"/>
      <c r="OQD7" s="344"/>
      <c r="OQE7" s="344"/>
      <c r="OQF7" s="344"/>
      <c r="OQG7" s="344"/>
      <c r="OQH7" s="344"/>
      <c r="OQI7" s="344"/>
      <c r="OQJ7" s="344"/>
      <c r="OQK7" s="344"/>
      <c r="OQL7" s="344"/>
      <c r="OQM7" s="344"/>
      <c r="OQN7" s="344"/>
      <c r="OQO7" s="344"/>
      <c r="OQP7" s="344"/>
      <c r="OQQ7" s="344"/>
      <c r="OQR7" s="344"/>
      <c r="OQS7" s="344"/>
      <c r="OQT7" s="344"/>
      <c r="OQU7" s="344"/>
      <c r="OQV7" s="344"/>
      <c r="OQW7" s="344"/>
      <c r="OQX7" s="344"/>
      <c r="OQY7" s="344"/>
      <c r="OQZ7" s="344"/>
      <c r="ORA7" s="344"/>
      <c r="ORB7" s="344"/>
      <c r="ORC7" s="344"/>
      <c r="ORD7" s="344"/>
      <c r="ORE7" s="344"/>
      <c r="ORF7" s="344"/>
      <c r="ORG7" s="344"/>
      <c r="ORH7" s="344"/>
      <c r="ORI7" s="344"/>
      <c r="ORJ7" s="344"/>
      <c r="ORK7" s="344"/>
      <c r="ORL7" s="344"/>
      <c r="ORM7" s="344"/>
      <c r="ORN7" s="344"/>
      <c r="ORO7" s="344"/>
      <c r="ORP7" s="344"/>
      <c r="ORQ7" s="344"/>
      <c r="ORR7" s="344"/>
      <c r="ORS7" s="344"/>
      <c r="ORT7" s="344"/>
      <c r="ORU7" s="344"/>
      <c r="ORV7" s="344"/>
      <c r="ORW7" s="344"/>
      <c r="ORX7" s="344"/>
      <c r="ORY7" s="344"/>
      <c r="ORZ7" s="344"/>
      <c r="OSA7" s="344"/>
      <c r="OSB7" s="344"/>
      <c r="OSC7" s="344"/>
      <c r="OSD7" s="344"/>
      <c r="OSE7" s="344"/>
      <c r="OSF7" s="344"/>
      <c r="OSG7" s="344"/>
      <c r="OSH7" s="344"/>
      <c r="OSI7" s="344"/>
      <c r="OSJ7" s="344"/>
      <c r="OSK7" s="344"/>
      <c r="OSL7" s="344"/>
      <c r="OSM7" s="344"/>
      <c r="OSN7" s="344"/>
      <c r="OSO7" s="344"/>
      <c r="OSP7" s="344"/>
      <c r="OSQ7" s="344"/>
      <c r="OSR7" s="344"/>
      <c r="OSS7" s="344"/>
      <c r="OST7" s="344"/>
      <c r="OSU7" s="344"/>
      <c r="OSV7" s="344"/>
      <c r="OSW7" s="344"/>
      <c r="OSX7" s="344"/>
      <c r="OSY7" s="344"/>
      <c r="OSZ7" s="344"/>
      <c r="OTA7" s="344"/>
      <c r="OTB7" s="344"/>
      <c r="OTC7" s="344"/>
      <c r="OTD7" s="344"/>
      <c r="OTE7" s="344"/>
      <c r="OTF7" s="344"/>
      <c r="OTG7" s="344"/>
      <c r="OTH7" s="344"/>
      <c r="OTI7" s="344"/>
      <c r="OTJ7" s="344"/>
      <c r="OTK7" s="344"/>
      <c r="OTL7" s="344"/>
      <c r="OTM7" s="344"/>
      <c r="OTN7" s="344"/>
      <c r="OTO7" s="344"/>
      <c r="OTP7" s="344"/>
      <c r="OTQ7" s="344"/>
      <c r="OTR7" s="344"/>
      <c r="OTS7" s="344"/>
      <c r="OTT7" s="344"/>
      <c r="OTU7" s="344"/>
      <c r="OTV7" s="344"/>
      <c r="OTW7" s="344"/>
      <c r="OTX7" s="344"/>
      <c r="OTY7" s="344"/>
      <c r="OTZ7" s="344"/>
      <c r="OUA7" s="344"/>
      <c r="OUB7" s="344"/>
      <c r="OUC7" s="344"/>
      <c r="OUD7" s="344"/>
      <c r="OUE7" s="344"/>
      <c r="OUF7" s="344"/>
      <c r="OUG7" s="344"/>
      <c r="OUH7" s="344"/>
      <c r="OUI7" s="344"/>
      <c r="OUJ7" s="344"/>
      <c r="OUK7" s="344"/>
      <c r="OUL7" s="344"/>
      <c r="OUM7" s="344"/>
      <c r="OUN7" s="344"/>
      <c r="OUO7" s="344"/>
      <c r="OUP7" s="344"/>
      <c r="OUQ7" s="344"/>
      <c r="OUR7" s="344"/>
      <c r="OUS7" s="344"/>
      <c r="OUT7" s="344"/>
      <c r="OUU7" s="344"/>
      <c r="OUV7" s="344"/>
      <c r="OUW7" s="344"/>
      <c r="OUX7" s="344"/>
      <c r="OUY7" s="344"/>
      <c r="OUZ7" s="344"/>
      <c r="OVA7" s="344"/>
      <c r="OVB7" s="344"/>
      <c r="OVC7" s="344"/>
      <c r="OVD7" s="344"/>
      <c r="OVE7" s="344"/>
      <c r="OVF7" s="344"/>
      <c r="OVG7" s="344"/>
      <c r="OVH7" s="344"/>
      <c r="OVI7" s="344"/>
      <c r="OVJ7" s="344"/>
      <c r="OVK7" s="344"/>
      <c r="OVL7" s="344"/>
      <c r="OVM7" s="344"/>
      <c r="OVN7" s="344"/>
      <c r="OVO7" s="344"/>
      <c r="OVP7" s="344"/>
      <c r="OVQ7" s="344"/>
      <c r="OVR7" s="344"/>
      <c r="OVS7" s="344"/>
      <c r="OVT7" s="344"/>
      <c r="OVU7" s="344"/>
      <c r="OVV7" s="344"/>
      <c r="OVW7" s="344"/>
      <c r="OVX7" s="344"/>
      <c r="OVY7" s="344"/>
      <c r="OVZ7" s="344"/>
      <c r="OWA7" s="344"/>
      <c r="OWB7" s="344"/>
      <c r="OWC7" s="344"/>
      <c r="OWD7" s="344"/>
      <c r="OWE7" s="344"/>
      <c r="OWF7" s="344"/>
      <c r="OWG7" s="344"/>
      <c r="OWH7" s="344"/>
      <c r="OWI7" s="344"/>
      <c r="OWJ7" s="344"/>
      <c r="OWK7" s="344"/>
      <c r="OWL7" s="344"/>
      <c r="OWM7" s="344"/>
      <c r="OWN7" s="344"/>
      <c r="OWO7" s="344"/>
      <c r="OWP7" s="344"/>
      <c r="OWQ7" s="344"/>
      <c r="OWR7" s="344"/>
      <c r="OWS7" s="344"/>
      <c r="OWT7" s="344"/>
      <c r="OWU7" s="344"/>
      <c r="OWV7" s="344"/>
      <c r="OWW7" s="344"/>
      <c r="OWX7" s="344"/>
      <c r="OWY7" s="344"/>
      <c r="OWZ7" s="344"/>
      <c r="OXA7" s="344"/>
      <c r="OXB7" s="344"/>
      <c r="OXC7" s="344"/>
      <c r="OXD7" s="344"/>
      <c r="OXE7" s="344"/>
      <c r="OXF7" s="344"/>
      <c r="OXG7" s="344"/>
      <c r="OXH7" s="344"/>
      <c r="OXI7" s="344"/>
      <c r="OXJ7" s="344"/>
      <c r="OXK7" s="344"/>
      <c r="OXL7" s="344"/>
      <c r="OXM7" s="344"/>
      <c r="OXN7" s="344"/>
      <c r="OXO7" s="344"/>
      <c r="OXP7" s="344"/>
      <c r="OXQ7" s="344"/>
      <c r="OXR7" s="344"/>
      <c r="OXS7" s="344"/>
      <c r="OXT7" s="344"/>
      <c r="OXU7" s="344"/>
      <c r="OXV7" s="344"/>
      <c r="OXW7" s="344"/>
      <c r="OXX7" s="344"/>
      <c r="OXY7" s="344"/>
      <c r="OXZ7" s="344"/>
      <c r="OYA7" s="344"/>
      <c r="OYB7" s="344"/>
      <c r="OYC7" s="344"/>
      <c r="OYD7" s="344"/>
      <c r="OYE7" s="344"/>
      <c r="OYF7" s="344"/>
      <c r="OYG7" s="344"/>
      <c r="OYH7" s="344"/>
      <c r="OYI7" s="344"/>
      <c r="OYJ7" s="344"/>
      <c r="OYK7" s="344"/>
      <c r="OYL7" s="344"/>
      <c r="OYM7" s="344"/>
      <c r="OYN7" s="344"/>
      <c r="OYO7" s="344"/>
      <c r="OYP7" s="344"/>
      <c r="OYQ7" s="344"/>
      <c r="OYR7" s="344"/>
      <c r="OYS7" s="344"/>
      <c r="OYT7" s="344"/>
      <c r="OYU7" s="344"/>
      <c r="OYV7" s="344"/>
      <c r="OYW7" s="344"/>
      <c r="OYX7" s="344"/>
      <c r="OYY7" s="344"/>
      <c r="OYZ7" s="344"/>
      <c r="OZA7" s="344"/>
      <c r="OZB7" s="344"/>
      <c r="OZC7" s="344"/>
      <c r="OZD7" s="344"/>
      <c r="OZE7" s="344"/>
      <c r="OZF7" s="344"/>
      <c r="OZG7" s="344"/>
      <c r="OZH7" s="344"/>
      <c r="OZI7" s="344"/>
      <c r="OZJ7" s="344"/>
      <c r="OZK7" s="344"/>
      <c r="OZL7" s="344"/>
      <c r="OZM7" s="344"/>
      <c r="OZN7" s="344"/>
      <c r="OZO7" s="344"/>
      <c r="OZP7" s="344"/>
      <c r="OZQ7" s="344"/>
      <c r="OZR7" s="344"/>
      <c r="OZS7" s="344"/>
      <c r="OZT7" s="344"/>
      <c r="OZU7" s="344"/>
      <c r="OZV7" s="344"/>
      <c r="OZW7" s="344"/>
      <c r="OZX7" s="344"/>
      <c r="OZY7" s="344"/>
      <c r="OZZ7" s="344"/>
      <c r="PAA7" s="344"/>
      <c r="PAB7" s="344"/>
      <c r="PAC7" s="344"/>
      <c r="PAD7" s="344"/>
      <c r="PAE7" s="344"/>
      <c r="PAF7" s="344"/>
      <c r="PAG7" s="344"/>
      <c r="PAH7" s="344"/>
      <c r="PAI7" s="344"/>
      <c r="PAJ7" s="344"/>
      <c r="PAK7" s="344"/>
      <c r="PAL7" s="344"/>
      <c r="PAM7" s="344"/>
      <c r="PAN7" s="344"/>
      <c r="PAO7" s="344"/>
      <c r="PAP7" s="344"/>
      <c r="PAQ7" s="344"/>
      <c r="PAR7" s="344"/>
      <c r="PAS7" s="344"/>
      <c r="PAT7" s="344"/>
      <c r="PAU7" s="344"/>
      <c r="PAV7" s="344"/>
      <c r="PAW7" s="344"/>
      <c r="PAX7" s="344"/>
      <c r="PAY7" s="344"/>
      <c r="PAZ7" s="344"/>
      <c r="PBA7" s="344"/>
      <c r="PBB7" s="344"/>
      <c r="PBC7" s="344"/>
      <c r="PBD7" s="344"/>
      <c r="PBE7" s="344"/>
      <c r="PBF7" s="344"/>
      <c r="PBG7" s="344"/>
      <c r="PBH7" s="344"/>
      <c r="PBI7" s="344"/>
      <c r="PBJ7" s="344"/>
      <c r="PBK7" s="344"/>
      <c r="PBL7" s="344"/>
      <c r="PBM7" s="344"/>
      <c r="PBN7" s="344"/>
      <c r="PBO7" s="344"/>
      <c r="PBP7" s="344"/>
      <c r="PBQ7" s="344"/>
      <c r="PBR7" s="344"/>
      <c r="PBS7" s="344"/>
      <c r="PBT7" s="344"/>
      <c r="PBU7" s="344"/>
      <c r="PBV7" s="344"/>
      <c r="PBW7" s="344"/>
      <c r="PBX7" s="344"/>
      <c r="PBY7" s="344"/>
      <c r="PBZ7" s="344"/>
      <c r="PCA7" s="344"/>
      <c r="PCB7" s="344"/>
      <c r="PCC7" s="344"/>
      <c r="PCD7" s="344"/>
      <c r="PCE7" s="344"/>
      <c r="PCF7" s="344"/>
      <c r="PCG7" s="344"/>
      <c r="PCH7" s="344"/>
      <c r="PCI7" s="344"/>
      <c r="PCJ7" s="344"/>
      <c r="PCK7" s="344"/>
      <c r="PCL7" s="344"/>
      <c r="PCM7" s="344"/>
      <c r="PCN7" s="344"/>
      <c r="PCO7" s="344"/>
      <c r="PCP7" s="344"/>
      <c r="PCQ7" s="344"/>
      <c r="PCR7" s="344"/>
      <c r="PCS7" s="344"/>
      <c r="PCT7" s="344"/>
      <c r="PCU7" s="344"/>
      <c r="PCV7" s="344"/>
      <c r="PCW7" s="344"/>
      <c r="PCX7" s="344"/>
      <c r="PCY7" s="344"/>
      <c r="PCZ7" s="344"/>
      <c r="PDA7" s="344"/>
      <c r="PDB7" s="344"/>
      <c r="PDC7" s="344"/>
      <c r="PDD7" s="344"/>
      <c r="PDE7" s="344"/>
      <c r="PDF7" s="344"/>
      <c r="PDG7" s="344"/>
      <c r="PDH7" s="344"/>
      <c r="PDI7" s="344"/>
      <c r="PDJ7" s="344"/>
      <c r="PDK7" s="344"/>
      <c r="PDL7" s="344"/>
      <c r="PDM7" s="344"/>
      <c r="PDN7" s="344"/>
      <c r="PDO7" s="344"/>
      <c r="PDP7" s="344"/>
      <c r="PDQ7" s="344"/>
      <c r="PDR7" s="344"/>
      <c r="PDS7" s="344"/>
      <c r="PDT7" s="344"/>
      <c r="PDU7" s="344"/>
      <c r="PDV7" s="344"/>
      <c r="PDW7" s="344"/>
      <c r="PDX7" s="344"/>
      <c r="PDY7" s="344"/>
      <c r="PDZ7" s="344"/>
      <c r="PEA7" s="344"/>
      <c r="PEB7" s="344"/>
      <c r="PEC7" s="344"/>
      <c r="PED7" s="344"/>
      <c r="PEE7" s="344"/>
      <c r="PEF7" s="344"/>
      <c r="PEG7" s="344"/>
      <c r="PEH7" s="344"/>
      <c r="PEI7" s="344"/>
      <c r="PEJ7" s="344"/>
      <c r="PEK7" s="344"/>
      <c r="PEL7" s="344"/>
      <c r="PEM7" s="344"/>
      <c r="PEN7" s="344"/>
      <c r="PEO7" s="344"/>
      <c r="PEP7" s="344"/>
      <c r="PEQ7" s="344"/>
      <c r="PER7" s="344"/>
      <c r="PES7" s="344"/>
      <c r="PET7" s="344"/>
      <c r="PEU7" s="344"/>
      <c r="PEV7" s="344"/>
      <c r="PEW7" s="344"/>
      <c r="PEX7" s="344"/>
      <c r="PEY7" s="344"/>
      <c r="PEZ7" s="344"/>
      <c r="PFA7" s="344"/>
      <c r="PFB7" s="344"/>
      <c r="PFC7" s="344"/>
      <c r="PFD7" s="344"/>
      <c r="PFE7" s="344"/>
      <c r="PFF7" s="344"/>
      <c r="PFG7" s="344"/>
      <c r="PFH7" s="344"/>
      <c r="PFI7" s="344"/>
      <c r="PFJ7" s="344"/>
      <c r="PFK7" s="344"/>
      <c r="PFL7" s="344"/>
      <c r="PFM7" s="344"/>
      <c r="PFN7" s="344"/>
      <c r="PFO7" s="344"/>
      <c r="PFP7" s="344"/>
      <c r="PFQ7" s="344"/>
      <c r="PFR7" s="344"/>
      <c r="PFS7" s="344"/>
      <c r="PFT7" s="344"/>
      <c r="PFU7" s="344"/>
      <c r="PFV7" s="344"/>
      <c r="PFW7" s="344"/>
      <c r="PFX7" s="344"/>
      <c r="PFY7" s="344"/>
      <c r="PFZ7" s="344"/>
      <c r="PGA7" s="344"/>
      <c r="PGB7" s="344"/>
      <c r="PGC7" s="344"/>
      <c r="PGD7" s="344"/>
      <c r="PGE7" s="344"/>
      <c r="PGF7" s="344"/>
      <c r="PGG7" s="344"/>
      <c r="PGH7" s="344"/>
      <c r="PGI7" s="344"/>
      <c r="PGJ7" s="344"/>
      <c r="PGK7" s="344"/>
      <c r="PGL7" s="344"/>
      <c r="PGM7" s="344"/>
      <c r="PGN7" s="344"/>
      <c r="PGO7" s="344"/>
      <c r="PGP7" s="344"/>
      <c r="PGQ7" s="344"/>
      <c r="PGR7" s="344"/>
      <c r="PGS7" s="344"/>
      <c r="PGT7" s="344"/>
      <c r="PGU7" s="344"/>
      <c r="PGV7" s="344"/>
      <c r="PGW7" s="344"/>
      <c r="PGX7" s="344"/>
      <c r="PGY7" s="344"/>
      <c r="PGZ7" s="344"/>
      <c r="PHA7" s="344"/>
      <c r="PHB7" s="344"/>
      <c r="PHC7" s="344"/>
      <c r="PHD7" s="344"/>
      <c r="PHE7" s="344"/>
      <c r="PHF7" s="344"/>
      <c r="PHG7" s="344"/>
      <c r="PHH7" s="344"/>
      <c r="PHI7" s="344"/>
      <c r="PHJ7" s="344"/>
      <c r="PHK7" s="344"/>
      <c r="PHL7" s="344"/>
      <c r="PHM7" s="344"/>
      <c r="PHN7" s="344"/>
      <c r="PHO7" s="344"/>
      <c r="PHP7" s="344"/>
      <c r="PHQ7" s="344"/>
      <c r="PHR7" s="344"/>
      <c r="PHS7" s="344"/>
      <c r="PHT7" s="344"/>
      <c r="PHU7" s="344"/>
      <c r="PHV7" s="344"/>
      <c r="PHW7" s="344"/>
      <c r="PHX7" s="344"/>
      <c r="PHY7" s="344"/>
      <c r="PHZ7" s="344"/>
      <c r="PIA7" s="344"/>
      <c r="PIB7" s="344"/>
      <c r="PIC7" s="344"/>
      <c r="PID7" s="344"/>
      <c r="PIE7" s="344"/>
      <c r="PIF7" s="344"/>
      <c r="PIG7" s="344"/>
      <c r="PIH7" s="344"/>
      <c r="PII7" s="344"/>
      <c r="PIJ7" s="344"/>
      <c r="PIK7" s="344"/>
      <c r="PIL7" s="344"/>
      <c r="PIM7" s="344"/>
      <c r="PIN7" s="344"/>
      <c r="PIO7" s="344"/>
      <c r="PIP7" s="344"/>
      <c r="PIQ7" s="344"/>
      <c r="PIR7" s="344"/>
      <c r="PIS7" s="344"/>
      <c r="PIT7" s="344"/>
      <c r="PIU7" s="344"/>
      <c r="PIV7" s="344"/>
      <c r="PIW7" s="344"/>
      <c r="PIX7" s="344"/>
      <c r="PIY7" s="344"/>
      <c r="PIZ7" s="344"/>
      <c r="PJA7" s="344"/>
      <c r="PJB7" s="344"/>
      <c r="PJC7" s="344"/>
      <c r="PJD7" s="344"/>
      <c r="PJE7" s="344"/>
      <c r="PJF7" s="344"/>
      <c r="PJG7" s="344"/>
      <c r="PJH7" s="344"/>
      <c r="PJI7" s="344"/>
      <c r="PJJ7" s="344"/>
      <c r="PJK7" s="344"/>
      <c r="PJL7" s="344"/>
      <c r="PJM7" s="344"/>
      <c r="PJN7" s="344"/>
      <c r="PJO7" s="344"/>
      <c r="PJP7" s="344"/>
      <c r="PJQ7" s="344"/>
      <c r="PJR7" s="344"/>
      <c r="PJS7" s="344"/>
      <c r="PJT7" s="344"/>
      <c r="PJU7" s="344"/>
      <c r="PJV7" s="344"/>
      <c r="PJW7" s="344"/>
      <c r="PJX7" s="344"/>
      <c r="PJY7" s="344"/>
      <c r="PJZ7" s="344"/>
      <c r="PKA7" s="344"/>
      <c r="PKB7" s="344"/>
      <c r="PKC7" s="344"/>
      <c r="PKD7" s="344"/>
      <c r="PKE7" s="344"/>
      <c r="PKF7" s="344"/>
      <c r="PKG7" s="344"/>
      <c r="PKH7" s="344"/>
      <c r="PKI7" s="344"/>
      <c r="PKJ7" s="344"/>
      <c r="PKK7" s="344"/>
      <c r="PKL7" s="344"/>
      <c r="PKM7" s="344"/>
      <c r="PKN7" s="344"/>
      <c r="PKO7" s="344"/>
      <c r="PKP7" s="344"/>
      <c r="PKQ7" s="344"/>
      <c r="PKR7" s="344"/>
      <c r="PKS7" s="344"/>
      <c r="PKT7" s="344"/>
      <c r="PKU7" s="344"/>
      <c r="PKV7" s="344"/>
      <c r="PKW7" s="344"/>
      <c r="PKX7" s="344"/>
      <c r="PKY7" s="344"/>
      <c r="PKZ7" s="344"/>
      <c r="PLA7" s="344"/>
      <c r="PLB7" s="344"/>
      <c r="PLC7" s="344"/>
      <c r="PLD7" s="344"/>
      <c r="PLE7" s="344"/>
      <c r="PLF7" s="344"/>
      <c r="PLG7" s="344"/>
      <c r="PLH7" s="344"/>
      <c r="PLI7" s="344"/>
      <c r="PLJ7" s="344"/>
      <c r="PLK7" s="344"/>
      <c r="PLL7" s="344"/>
      <c r="PLM7" s="344"/>
      <c r="PLN7" s="344"/>
      <c r="PLO7" s="344"/>
      <c r="PLP7" s="344"/>
      <c r="PLQ7" s="344"/>
      <c r="PLR7" s="344"/>
      <c r="PLS7" s="344"/>
      <c r="PLT7" s="344"/>
      <c r="PLU7" s="344"/>
      <c r="PLV7" s="344"/>
      <c r="PLW7" s="344"/>
      <c r="PLX7" s="344"/>
      <c r="PLY7" s="344"/>
      <c r="PLZ7" s="344"/>
      <c r="PMA7" s="344"/>
      <c r="PMB7" s="344"/>
      <c r="PMC7" s="344"/>
      <c r="PMD7" s="344"/>
      <c r="PME7" s="344"/>
      <c r="PMF7" s="344"/>
      <c r="PMG7" s="344"/>
      <c r="PMH7" s="344"/>
      <c r="PMI7" s="344"/>
      <c r="PMJ7" s="344"/>
      <c r="PMK7" s="344"/>
      <c r="PML7" s="344"/>
      <c r="PMM7" s="344"/>
      <c r="PMN7" s="344"/>
      <c r="PMO7" s="344"/>
      <c r="PMP7" s="344"/>
      <c r="PMQ7" s="344"/>
      <c r="PMR7" s="344"/>
      <c r="PMS7" s="344"/>
      <c r="PMT7" s="344"/>
      <c r="PMU7" s="344"/>
      <c r="PMV7" s="344"/>
      <c r="PMW7" s="344"/>
      <c r="PMX7" s="344"/>
      <c r="PMY7" s="344"/>
      <c r="PMZ7" s="344"/>
      <c r="PNA7" s="344"/>
      <c r="PNB7" s="344"/>
      <c r="PNC7" s="344"/>
      <c r="PND7" s="344"/>
      <c r="PNE7" s="344"/>
      <c r="PNF7" s="344"/>
      <c r="PNG7" s="344"/>
      <c r="PNH7" s="344"/>
      <c r="PNI7" s="344"/>
      <c r="PNJ7" s="344"/>
      <c r="PNK7" s="344"/>
      <c r="PNL7" s="344"/>
      <c r="PNM7" s="344"/>
      <c r="PNN7" s="344"/>
      <c r="PNO7" s="344"/>
      <c r="PNP7" s="344"/>
      <c r="PNQ7" s="344"/>
      <c r="PNR7" s="344"/>
      <c r="PNS7" s="344"/>
      <c r="PNT7" s="344"/>
      <c r="PNU7" s="344"/>
      <c r="PNV7" s="344"/>
      <c r="PNW7" s="344"/>
      <c r="PNX7" s="344"/>
      <c r="PNY7" s="344"/>
      <c r="PNZ7" s="344"/>
      <c r="POA7" s="344"/>
      <c r="POB7" s="344"/>
      <c r="POC7" s="344"/>
      <c r="POD7" s="344"/>
      <c r="POE7" s="344"/>
      <c r="POF7" s="344"/>
      <c r="POG7" s="344"/>
      <c r="POH7" s="344"/>
      <c r="POI7" s="344"/>
      <c r="POJ7" s="344"/>
      <c r="POK7" s="344"/>
      <c r="POL7" s="344"/>
      <c r="POM7" s="344"/>
      <c r="PON7" s="344"/>
      <c r="POO7" s="344"/>
      <c r="POP7" s="344"/>
      <c r="POQ7" s="344"/>
      <c r="POR7" s="344"/>
      <c r="POS7" s="344"/>
      <c r="POT7" s="344"/>
      <c r="POU7" s="344"/>
      <c r="POV7" s="344"/>
      <c r="POW7" s="344"/>
      <c r="POX7" s="344"/>
      <c r="POY7" s="344"/>
      <c r="POZ7" s="344"/>
      <c r="PPA7" s="344"/>
      <c r="PPB7" s="344"/>
      <c r="PPC7" s="344"/>
      <c r="PPD7" s="344"/>
      <c r="PPE7" s="344"/>
      <c r="PPF7" s="344"/>
      <c r="PPG7" s="344"/>
      <c r="PPH7" s="344"/>
      <c r="PPI7" s="344"/>
      <c r="PPJ7" s="344"/>
      <c r="PPK7" s="344"/>
      <c r="PPL7" s="344"/>
      <c r="PPM7" s="344"/>
      <c r="PPN7" s="344"/>
      <c r="PPO7" s="344"/>
      <c r="PPP7" s="344"/>
      <c r="PPQ7" s="344"/>
      <c r="PPR7" s="344"/>
      <c r="PPS7" s="344"/>
      <c r="PPT7" s="344"/>
      <c r="PPU7" s="344"/>
      <c r="PPV7" s="344"/>
      <c r="PPW7" s="344"/>
      <c r="PPX7" s="344"/>
      <c r="PPY7" s="344"/>
      <c r="PPZ7" s="344"/>
      <c r="PQA7" s="344"/>
      <c r="PQB7" s="344"/>
      <c r="PQC7" s="344"/>
      <c r="PQD7" s="344"/>
      <c r="PQE7" s="344"/>
      <c r="PQF7" s="344"/>
      <c r="PQG7" s="344"/>
      <c r="PQH7" s="344"/>
      <c r="PQI7" s="344"/>
      <c r="PQJ7" s="344"/>
      <c r="PQK7" s="344"/>
      <c r="PQL7" s="344"/>
      <c r="PQM7" s="344"/>
      <c r="PQN7" s="344"/>
      <c r="PQO7" s="344"/>
      <c r="PQP7" s="344"/>
      <c r="PQQ7" s="344"/>
      <c r="PQR7" s="344"/>
      <c r="PQS7" s="344"/>
      <c r="PQT7" s="344"/>
      <c r="PQU7" s="344"/>
      <c r="PQV7" s="344"/>
      <c r="PQW7" s="344"/>
      <c r="PQX7" s="344"/>
      <c r="PQY7" s="344"/>
      <c r="PQZ7" s="344"/>
      <c r="PRA7" s="344"/>
      <c r="PRB7" s="344"/>
      <c r="PRC7" s="344"/>
      <c r="PRD7" s="344"/>
      <c r="PRE7" s="344"/>
      <c r="PRF7" s="344"/>
      <c r="PRG7" s="344"/>
      <c r="PRH7" s="344"/>
      <c r="PRI7" s="344"/>
      <c r="PRJ7" s="344"/>
      <c r="PRK7" s="344"/>
      <c r="PRL7" s="344"/>
      <c r="PRM7" s="344"/>
      <c r="PRN7" s="344"/>
      <c r="PRO7" s="344"/>
      <c r="PRP7" s="344"/>
      <c r="PRQ7" s="344"/>
      <c r="PRR7" s="344"/>
      <c r="PRS7" s="344"/>
      <c r="PRT7" s="344"/>
      <c r="PRU7" s="344"/>
      <c r="PRV7" s="344"/>
      <c r="PRW7" s="344"/>
      <c r="PRX7" s="344"/>
      <c r="PRY7" s="344"/>
      <c r="PRZ7" s="344"/>
      <c r="PSA7" s="344"/>
      <c r="PSB7" s="344"/>
      <c r="PSC7" s="344"/>
      <c r="PSD7" s="344"/>
      <c r="PSE7" s="344"/>
      <c r="PSF7" s="344"/>
      <c r="PSG7" s="344"/>
      <c r="PSH7" s="344"/>
      <c r="PSI7" s="344"/>
      <c r="PSJ7" s="344"/>
      <c r="PSK7" s="344"/>
      <c r="PSL7" s="344"/>
      <c r="PSM7" s="344"/>
      <c r="PSN7" s="344"/>
      <c r="PSO7" s="344"/>
      <c r="PSP7" s="344"/>
      <c r="PSQ7" s="344"/>
      <c r="PSR7" s="344"/>
      <c r="PSS7" s="344"/>
      <c r="PST7" s="344"/>
      <c r="PSU7" s="344"/>
      <c r="PSV7" s="344"/>
      <c r="PSW7" s="344"/>
      <c r="PSX7" s="344"/>
      <c r="PSY7" s="344"/>
      <c r="PSZ7" s="344"/>
      <c r="PTA7" s="344"/>
      <c r="PTB7" s="344"/>
      <c r="PTC7" s="344"/>
      <c r="PTD7" s="344"/>
      <c r="PTE7" s="344"/>
      <c r="PTF7" s="344"/>
      <c r="PTG7" s="344"/>
      <c r="PTH7" s="344"/>
      <c r="PTI7" s="344"/>
      <c r="PTJ7" s="344"/>
      <c r="PTK7" s="344"/>
      <c r="PTL7" s="344"/>
      <c r="PTM7" s="344"/>
      <c r="PTN7" s="344"/>
      <c r="PTO7" s="344"/>
      <c r="PTP7" s="344"/>
      <c r="PTQ7" s="344"/>
      <c r="PTR7" s="344"/>
      <c r="PTS7" s="344"/>
      <c r="PTT7" s="344"/>
      <c r="PTU7" s="344"/>
      <c r="PTV7" s="344"/>
      <c r="PTW7" s="344"/>
      <c r="PTX7" s="344"/>
      <c r="PTY7" s="344"/>
      <c r="PTZ7" s="344"/>
      <c r="PUA7" s="344"/>
      <c r="PUB7" s="344"/>
      <c r="PUC7" s="344"/>
      <c r="PUD7" s="344"/>
      <c r="PUE7" s="344"/>
      <c r="PUF7" s="344"/>
      <c r="PUG7" s="344"/>
      <c r="PUH7" s="344"/>
      <c r="PUI7" s="344"/>
      <c r="PUJ7" s="344"/>
      <c r="PUK7" s="344"/>
      <c r="PUL7" s="344"/>
      <c r="PUM7" s="344"/>
      <c r="PUN7" s="344"/>
      <c r="PUO7" s="344"/>
      <c r="PUP7" s="344"/>
      <c r="PUQ7" s="344"/>
      <c r="PUR7" s="344"/>
      <c r="PUS7" s="344"/>
      <c r="PUT7" s="344"/>
      <c r="PUU7" s="344"/>
      <c r="PUV7" s="344"/>
      <c r="PUW7" s="344"/>
      <c r="PUX7" s="344"/>
      <c r="PUY7" s="344"/>
      <c r="PUZ7" s="344"/>
      <c r="PVA7" s="344"/>
      <c r="PVB7" s="344"/>
      <c r="PVC7" s="344"/>
      <c r="PVD7" s="344"/>
      <c r="PVE7" s="344"/>
      <c r="PVF7" s="344"/>
      <c r="PVG7" s="344"/>
      <c r="PVH7" s="344"/>
      <c r="PVI7" s="344"/>
      <c r="PVJ7" s="344"/>
      <c r="PVK7" s="344"/>
      <c r="PVL7" s="344"/>
      <c r="PVM7" s="344"/>
      <c r="PVN7" s="344"/>
      <c r="PVO7" s="344"/>
      <c r="PVP7" s="344"/>
      <c r="PVQ7" s="344"/>
      <c r="PVR7" s="344"/>
      <c r="PVS7" s="344"/>
      <c r="PVT7" s="344"/>
      <c r="PVU7" s="344"/>
      <c r="PVV7" s="344"/>
      <c r="PVW7" s="344"/>
      <c r="PVX7" s="344"/>
      <c r="PVY7" s="344"/>
      <c r="PVZ7" s="344"/>
      <c r="PWA7" s="344"/>
      <c r="PWB7" s="344"/>
      <c r="PWC7" s="344"/>
      <c r="PWD7" s="344"/>
      <c r="PWE7" s="344"/>
      <c r="PWF7" s="344"/>
      <c r="PWG7" s="344"/>
      <c r="PWH7" s="344"/>
      <c r="PWI7" s="344"/>
      <c r="PWJ7" s="344"/>
      <c r="PWK7" s="344"/>
      <c r="PWL7" s="344"/>
      <c r="PWM7" s="344"/>
      <c r="PWN7" s="344"/>
      <c r="PWO7" s="344"/>
      <c r="PWP7" s="344"/>
      <c r="PWQ7" s="344"/>
      <c r="PWR7" s="344"/>
      <c r="PWS7" s="344"/>
      <c r="PWT7" s="344"/>
      <c r="PWU7" s="344"/>
      <c r="PWV7" s="344"/>
      <c r="PWW7" s="344"/>
      <c r="PWX7" s="344"/>
      <c r="PWY7" s="344"/>
      <c r="PWZ7" s="344"/>
      <c r="PXA7" s="344"/>
      <c r="PXB7" s="344"/>
      <c r="PXC7" s="344"/>
      <c r="PXD7" s="344"/>
      <c r="PXE7" s="344"/>
      <c r="PXF7" s="344"/>
      <c r="PXG7" s="344"/>
      <c r="PXH7" s="344"/>
      <c r="PXI7" s="344"/>
      <c r="PXJ7" s="344"/>
      <c r="PXK7" s="344"/>
      <c r="PXL7" s="344"/>
      <c r="PXM7" s="344"/>
      <c r="PXN7" s="344"/>
      <c r="PXO7" s="344"/>
      <c r="PXP7" s="344"/>
      <c r="PXQ7" s="344"/>
      <c r="PXR7" s="344"/>
      <c r="PXS7" s="344"/>
      <c r="PXT7" s="344"/>
      <c r="PXU7" s="344"/>
      <c r="PXV7" s="344"/>
      <c r="PXW7" s="344"/>
      <c r="PXX7" s="344"/>
      <c r="PXY7" s="344"/>
      <c r="PXZ7" s="344"/>
      <c r="PYA7" s="344"/>
      <c r="PYB7" s="344"/>
      <c r="PYC7" s="344"/>
      <c r="PYD7" s="344"/>
      <c r="PYE7" s="344"/>
      <c r="PYF7" s="344"/>
      <c r="PYG7" s="344"/>
      <c r="PYH7" s="344"/>
      <c r="PYI7" s="344"/>
      <c r="PYJ7" s="344"/>
      <c r="PYK7" s="344"/>
      <c r="PYL7" s="344"/>
      <c r="PYM7" s="344"/>
      <c r="PYN7" s="344"/>
      <c r="PYO7" s="344"/>
      <c r="PYP7" s="344"/>
      <c r="PYQ7" s="344"/>
      <c r="PYR7" s="344"/>
      <c r="PYS7" s="344"/>
      <c r="PYT7" s="344"/>
      <c r="PYU7" s="344"/>
      <c r="PYV7" s="344"/>
      <c r="PYW7" s="344"/>
      <c r="PYX7" s="344"/>
      <c r="PYY7" s="344"/>
      <c r="PYZ7" s="344"/>
      <c r="PZA7" s="344"/>
      <c r="PZB7" s="344"/>
      <c r="PZC7" s="344"/>
      <c r="PZD7" s="344"/>
      <c r="PZE7" s="344"/>
      <c r="PZF7" s="344"/>
      <c r="PZG7" s="344"/>
      <c r="PZH7" s="344"/>
      <c r="PZI7" s="344"/>
      <c r="PZJ7" s="344"/>
      <c r="PZK7" s="344"/>
      <c r="PZL7" s="344"/>
      <c r="PZM7" s="344"/>
      <c r="PZN7" s="344"/>
      <c r="PZO7" s="344"/>
      <c r="PZP7" s="344"/>
      <c r="PZQ7" s="344"/>
      <c r="PZR7" s="344"/>
      <c r="PZS7" s="344"/>
      <c r="PZT7" s="344"/>
      <c r="PZU7" s="344"/>
      <c r="PZV7" s="344"/>
      <c r="PZW7" s="344"/>
      <c r="PZX7" s="344"/>
      <c r="PZY7" s="344"/>
      <c r="PZZ7" s="344"/>
      <c r="QAA7" s="344"/>
      <c r="QAB7" s="344"/>
      <c r="QAC7" s="344"/>
      <c r="QAD7" s="344"/>
      <c r="QAE7" s="344"/>
      <c r="QAF7" s="344"/>
      <c r="QAG7" s="344"/>
      <c r="QAH7" s="344"/>
      <c r="QAI7" s="344"/>
      <c r="QAJ7" s="344"/>
      <c r="QAK7" s="344"/>
      <c r="QAL7" s="344"/>
      <c r="QAM7" s="344"/>
      <c r="QAN7" s="344"/>
      <c r="QAO7" s="344"/>
      <c r="QAP7" s="344"/>
      <c r="QAQ7" s="344"/>
      <c r="QAR7" s="344"/>
      <c r="QAS7" s="344"/>
      <c r="QAT7" s="344"/>
      <c r="QAU7" s="344"/>
      <c r="QAV7" s="344"/>
      <c r="QAW7" s="344"/>
      <c r="QAX7" s="344"/>
      <c r="QAY7" s="344"/>
      <c r="QAZ7" s="344"/>
      <c r="QBA7" s="344"/>
      <c r="QBB7" s="344"/>
      <c r="QBC7" s="344"/>
      <c r="QBD7" s="344"/>
      <c r="QBE7" s="344"/>
      <c r="QBF7" s="344"/>
      <c r="QBG7" s="344"/>
      <c r="QBH7" s="344"/>
      <c r="QBI7" s="344"/>
      <c r="QBJ7" s="344"/>
      <c r="QBK7" s="344"/>
      <c r="QBL7" s="344"/>
      <c r="QBM7" s="344"/>
      <c r="QBN7" s="344"/>
      <c r="QBO7" s="344"/>
      <c r="QBP7" s="344"/>
      <c r="QBQ7" s="344"/>
      <c r="QBR7" s="344"/>
      <c r="QBS7" s="344"/>
      <c r="QBT7" s="344"/>
      <c r="QBU7" s="344"/>
      <c r="QBV7" s="344"/>
      <c r="QBW7" s="344"/>
      <c r="QBX7" s="344"/>
      <c r="QBY7" s="344"/>
      <c r="QBZ7" s="344"/>
      <c r="QCA7" s="344"/>
      <c r="QCB7" s="344"/>
      <c r="QCC7" s="344"/>
      <c r="QCD7" s="344"/>
      <c r="QCE7" s="344"/>
      <c r="QCF7" s="344"/>
      <c r="QCG7" s="344"/>
      <c r="QCH7" s="344"/>
      <c r="QCI7" s="344"/>
      <c r="QCJ7" s="344"/>
      <c r="QCK7" s="344"/>
      <c r="QCL7" s="344"/>
      <c r="QCM7" s="344"/>
      <c r="QCN7" s="344"/>
      <c r="QCO7" s="344"/>
      <c r="QCP7" s="344"/>
      <c r="QCQ7" s="344"/>
      <c r="QCR7" s="344"/>
      <c r="QCS7" s="344"/>
      <c r="QCT7" s="344"/>
      <c r="QCU7" s="344"/>
      <c r="QCV7" s="344"/>
      <c r="QCW7" s="344"/>
      <c r="QCX7" s="344"/>
      <c r="QCY7" s="344"/>
      <c r="QCZ7" s="344"/>
      <c r="QDA7" s="344"/>
      <c r="QDB7" s="344"/>
      <c r="QDC7" s="344"/>
      <c r="QDD7" s="344"/>
      <c r="QDE7" s="344"/>
      <c r="QDF7" s="344"/>
      <c r="QDG7" s="344"/>
      <c r="QDH7" s="344"/>
      <c r="QDI7" s="344"/>
      <c r="QDJ7" s="344"/>
      <c r="QDK7" s="344"/>
      <c r="QDL7" s="344"/>
      <c r="QDM7" s="344"/>
      <c r="QDN7" s="344"/>
      <c r="QDO7" s="344"/>
      <c r="QDP7" s="344"/>
      <c r="QDQ7" s="344"/>
      <c r="QDR7" s="344"/>
      <c r="QDS7" s="344"/>
      <c r="QDT7" s="344"/>
      <c r="QDU7" s="344"/>
      <c r="QDV7" s="344"/>
      <c r="QDW7" s="344"/>
      <c r="QDX7" s="344"/>
      <c r="QDY7" s="344"/>
      <c r="QDZ7" s="344"/>
      <c r="QEA7" s="344"/>
      <c r="QEB7" s="344"/>
      <c r="QEC7" s="344"/>
      <c r="QED7" s="344"/>
      <c r="QEE7" s="344"/>
      <c r="QEF7" s="344"/>
      <c r="QEG7" s="344"/>
      <c r="QEH7" s="344"/>
      <c r="QEI7" s="344"/>
      <c r="QEJ7" s="344"/>
      <c r="QEK7" s="344"/>
      <c r="QEL7" s="344"/>
      <c r="QEM7" s="344"/>
      <c r="QEN7" s="344"/>
      <c r="QEO7" s="344"/>
      <c r="QEP7" s="344"/>
      <c r="QEQ7" s="344"/>
      <c r="QER7" s="344"/>
      <c r="QES7" s="344"/>
      <c r="QET7" s="344"/>
      <c r="QEU7" s="344"/>
      <c r="QEV7" s="344"/>
      <c r="QEW7" s="344"/>
      <c r="QEX7" s="344"/>
      <c r="QEY7" s="344"/>
      <c r="QEZ7" s="344"/>
      <c r="QFA7" s="344"/>
      <c r="QFB7" s="344"/>
      <c r="QFC7" s="344"/>
      <c r="QFD7" s="344"/>
      <c r="QFE7" s="344"/>
      <c r="QFF7" s="344"/>
      <c r="QFG7" s="344"/>
      <c r="QFH7" s="344"/>
      <c r="QFI7" s="344"/>
      <c r="QFJ7" s="344"/>
      <c r="QFK7" s="344"/>
      <c r="QFL7" s="344"/>
      <c r="QFM7" s="344"/>
      <c r="QFN7" s="344"/>
      <c r="QFO7" s="344"/>
      <c r="QFP7" s="344"/>
      <c r="QFQ7" s="344"/>
      <c r="QFR7" s="344"/>
      <c r="QFS7" s="344"/>
      <c r="QFT7" s="344"/>
      <c r="QFU7" s="344"/>
      <c r="QFV7" s="344"/>
      <c r="QFW7" s="344"/>
      <c r="QFX7" s="344"/>
      <c r="QFY7" s="344"/>
      <c r="QFZ7" s="344"/>
      <c r="QGA7" s="344"/>
      <c r="QGB7" s="344"/>
      <c r="QGC7" s="344"/>
      <c r="QGD7" s="344"/>
      <c r="QGE7" s="344"/>
      <c r="QGF7" s="344"/>
      <c r="QGG7" s="344"/>
      <c r="QGH7" s="344"/>
      <c r="QGI7" s="344"/>
      <c r="QGJ7" s="344"/>
      <c r="QGK7" s="344"/>
      <c r="QGL7" s="344"/>
      <c r="QGM7" s="344"/>
      <c r="QGN7" s="344"/>
      <c r="QGO7" s="344"/>
      <c r="QGP7" s="344"/>
      <c r="QGQ7" s="344"/>
      <c r="QGR7" s="344"/>
      <c r="QGS7" s="344"/>
      <c r="QGT7" s="344"/>
      <c r="QGU7" s="344"/>
      <c r="QGV7" s="344"/>
      <c r="QGW7" s="344"/>
      <c r="QGX7" s="344"/>
      <c r="QGY7" s="344"/>
      <c r="QGZ7" s="344"/>
      <c r="QHA7" s="344"/>
      <c r="QHB7" s="344"/>
      <c r="QHC7" s="344"/>
      <c r="QHD7" s="344"/>
      <c r="QHE7" s="344"/>
      <c r="QHF7" s="344"/>
      <c r="QHG7" s="344"/>
      <c r="QHH7" s="344"/>
      <c r="QHI7" s="344"/>
      <c r="QHJ7" s="344"/>
      <c r="QHK7" s="344"/>
      <c r="QHL7" s="344"/>
      <c r="QHM7" s="344"/>
      <c r="QHN7" s="344"/>
      <c r="QHO7" s="344"/>
      <c r="QHP7" s="344"/>
      <c r="QHQ7" s="344"/>
      <c r="QHR7" s="344"/>
      <c r="QHS7" s="344"/>
      <c r="QHT7" s="344"/>
      <c r="QHU7" s="344"/>
      <c r="QHV7" s="344"/>
      <c r="QHW7" s="344"/>
      <c r="QHX7" s="344"/>
      <c r="QHY7" s="344"/>
      <c r="QHZ7" s="344"/>
      <c r="QIA7" s="344"/>
      <c r="QIB7" s="344"/>
      <c r="QIC7" s="344"/>
      <c r="QID7" s="344"/>
      <c r="QIE7" s="344"/>
      <c r="QIF7" s="344"/>
      <c r="QIG7" s="344"/>
      <c r="QIH7" s="344"/>
      <c r="QII7" s="344"/>
      <c r="QIJ7" s="344"/>
      <c r="QIK7" s="344"/>
      <c r="QIL7" s="344"/>
      <c r="QIM7" s="344"/>
      <c r="QIN7" s="344"/>
      <c r="QIO7" s="344"/>
      <c r="QIP7" s="344"/>
      <c r="QIQ7" s="344"/>
      <c r="QIR7" s="344"/>
      <c r="QIS7" s="344"/>
      <c r="QIT7" s="344"/>
      <c r="QIU7" s="344"/>
      <c r="QIV7" s="344"/>
      <c r="QIW7" s="344"/>
      <c r="QIX7" s="344"/>
      <c r="QIY7" s="344"/>
      <c r="QIZ7" s="344"/>
      <c r="QJA7" s="344"/>
      <c r="QJB7" s="344"/>
      <c r="QJC7" s="344"/>
      <c r="QJD7" s="344"/>
      <c r="QJE7" s="344"/>
      <c r="QJF7" s="344"/>
      <c r="QJG7" s="344"/>
      <c r="QJH7" s="344"/>
      <c r="QJI7" s="344"/>
      <c r="QJJ7" s="344"/>
      <c r="QJK7" s="344"/>
      <c r="QJL7" s="344"/>
      <c r="QJM7" s="344"/>
      <c r="QJN7" s="344"/>
      <c r="QJO7" s="344"/>
      <c r="QJP7" s="344"/>
      <c r="QJQ7" s="344"/>
      <c r="QJR7" s="344"/>
      <c r="QJS7" s="344"/>
      <c r="QJT7" s="344"/>
      <c r="QJU7" s="344"/>
      <c r="QJV7" s="344"/>
      <c r="QJW7" s="344"/>
      <c r="QJX7" s="344"/>
      <c r="QJY7" s="344"/>
      <c r="QJZ7" s="344"/>
      <c r="QKA7" s="344"/>
      <c r="QKB7" s="344"/>
      <c r="QKC7" s="344"/>
      <c r="QKD7" s="344"/>
      <c r="QKE7" s="344"/>
      <c r="QKF7" s="344"/>
      <c r="QKG7" s="344"/>
      <c r="QKH7" s="344"/>
      <c r="QKI7" s="344"/>
      <c r="QKJ7" s="344"/>
      <c r="QKK7" s="344"/>
      <c r="QKL7" s="344"/>
      <c r="QKM7" s="344"/>
      <c r="QKN7" s="344"/>
      <c r="QKO7" s="344"/>
      <c r="QKP7" s="344"/>
      <c r="QKQ7" s="344"/>
      <c r="QKR7" s="344"/>
      <c r="QKS7" s="344"/>
      <c r="QKT7" s="344"/>
      <c r="QKU7" s="344"/>
      <c r="QKV7" s="344"/>
      <c r="QKW7" s="344"/>
      <c r="QKX7" s="344"/>
      <c r="QKY7" s="344"/>
      <c r="QKZ7" s="344"/>
      <c r="QLA7" s="344"/>
      <c r="QLB7" s="344"/>
      <c r="QLC7" s="344"/>
      <c r="QLD7" s="344"/>
      <c r="QLE7" s="344"/>
      <c r="QLF7" s="344"/>
      <c r="QLG7" s="344"/>
      <c r="QLH7" s="344"/>
      <c r="QLI7" s="344"/>
      <c r="QLJ7" s="344"/>
      <c r="QLK7" s="344"/>
      <c r="QLL7" s="344"/>
      <c r="QLM7" s="344"/>
      <c r="QLN7" s="344"/>
      <c r="QLO7" s="344"/>
      <c r="QLP7" s="344"/>
      <c r="QLQ7" s="344"/>
      <c r="QLR7" s="344"/>
      <c r="QLS7" s="344"/>
      <c r="QLT7" s="344"/>
      <c r="QLU7" s="344"/>
      <c r="QLV7" s="344"/>
      <c r="QLW7" s="344"/>
      <c r="QLX7" s="344"/>
      <c r="QLY7" s="344"/>
      <c r="QLZ7" s="344"/>
      <c r="QMA7" s="344"/>
      <c r="QMB7" s="344"/>
      <c r="QMC7" s="344"/>
      <c r="QMD7" s="344"/>
      <c r="QME7" s="344"/>
      <c r="QMF7" s="344"/>
      <c r="QMG7" s="344"/>
      <c r="QMH7" s="344"/>
      <c r="QMI7" s="344"/>
      <c r="QMJ7" s="344"/>
      <c r="QMK7" s="344"/>
      <c r="QML7" s="344"/>
      <c r="QMM7" s="344"/>
      <c r="QMN7" s="344"/>
      <c r="QMO7" s="344"/>
      <c r="QMP7" s="344"/>
      <c r="QMQ7" s="344"/>
      <c r="QMR7" s="344"/>
      <c r="QMS7" s="344"/>
      <c r="QMT7" s="344"/>
      <c r="QMU7" s="344"/>
      <c r="QMV7" s="344"/>
      <c r="QMW7" s="344"/>
      <c r="QMX7" s="344"/>
      <c r="QMY7" s="344"/>
      <c r="QMZ7" s="344"/>
      <c r="QNA7" s="344"/>
      <c r="QNB7" s="344"/>
      <c r="QNC7" s="344"/>
      <c r="QND7" s="344"/>
      <c r="QNE7" s="344"/>
      <c r="QNF7" s="344"/>
      <c r="QNG7" s="344"/>
      <c r="QNH7" s="344"/>
      <c r="QNI7" s="344"/>
      <c r="QNJ7" s="344"/>
      <c r="QNK7" s="344"/>
      <c r="QNL7" s="344"/>
      <c r="QNM7" s="344"/>
      <c r="QNN7" s="344"/>
      <c r="QNO7" s="344"/>
      <c r="QNP7" s="344"/>
      <c r="QNQ7" s="344"/>
      <c r="QNR7" s="344"/>
      <c r="QNS7" s="344"/>
      <c r="QNT7" s="344"/>
      <c r="QNU7" s="344"/>
      <c r="QNV7" s="344"/>
      <c r="QNW7" s="344"/>
      <c r="QNX7" s="344"/>
      <c r="QNY7" s="344"/>
      <c r="QNZ7" s="344"/>
      <c r="QOA7" s="344"/>
      <c r="QOB7" s="344"/>
      <c r="QOC7" s="344"/>
      <c r="QOD7" s="344"/>
      <c r="QOE7" s="344"/>
      <c r="QOF7" s="344"/>
      <c r="QOG7" s="344"/>
      <c r="QOH7" s="344"/>
      <c r="QOI7" s="344"/>
      <c r="QOJ7" s="344"/>
      <c r="QOK7" s="344"/>
      <c r="QOL7" s="344"/>
      <c r="QOM7" s="344"/>
      <c r="QON7" s="344"/>
      <c r="QOO7" s="344"/>
      <c r="QOP7" s="344"/>
      <c r="QOQ7" s="344"/>
      <c r="QOR7" s="344"/>
      <c r="QOS7" s="344"/>
      <c r="QOT7" s="344"/>
      <c r="QOU7" s="344"/>
      <c r="QOV7" s="344"/>
      <c r="QOW7" s="344"/>
      <c r="QOX7" s="344"/>
      <c r="QOY7" s="344"/>
      <c r="QOZ7" s="344"/>
      <c r="QPA7" s="344"/>
      <c r="QPB7" s="344"/>
      <c r="QPC7" s="344"/>
      <c r="QPD7" s="344"/>
      <c r="QPE7" s="344"/>
      <c r="QPF7" s="344"/>
      <c r="QPG7" s="344"/>
      <c r="QPH7" s="344"/>
      <c r="QPI7" s="344"/>
      <c r="QPJ7" s="344"/>
      <c r="QPK7" s="344"/>
      <c r="QPL7" s="344"/>
      <c r="QPM7" s="344"/>
      <c r="QPN7" s="344"/>
      <c r="QPO7" s="344"/>
      <c r="QPP7" s="344"/>
      <c r="QPQ7" s="344"/>
      <c r="QPR7" s="344"/>
      <c r="QPS7" s="344"/>
      <c r="QPT7" s="344"/>
      <c r="QPU7" s="344"/>
      <c r="QPV7" s="344"/>
      <c r="QPW7" s="344"/>
      <c r="QPX7" s="344"/>
      <c r="QPY7" s="344"/>
      <c r="QPZ7" s="344"/>
      <c r="QQA7" s="344"/>
      <c r="QQB7" s="344"/>
      <c r="QQC7" s="344"/>
      <c r="QQD7" s="344"/>
      <c r="QQE7" s="344"/>
      <c r="QQF7" s="344"/>
      <c r="QQG7" s="344"/>
      <c r="QQH7" s="344"/>
      <c r="QQI7" s="344"/>
      <c r="QQJ7" s="344"/>
      <c r="QQK7" s="344"/>
      <c r="QQL7" s="344"/>
      <c r="QQM7" s="344"/>
      <c r="QQN7" s="344"/>
      <c r="QQO7" s="344"/>
      <c r="QQP7" s="344"/>
      <c r="QQQ7" s="344"/>
      <c r="QQR7" s="344"/>
      <c r="QQS7" s="344"/>
      <c r="QQT7" s="344"/>
      <c r="QQU7" s="344"/>
      <c r="QQV7" s="344"/>
      <c r="QQW7" s="344"/>
      <c r="QQX7" s="344"/>
      <c r="QQY7" s="344"/>
      <c r="QQZ7" s="344"/>
      <c r="QRA7" s="344"/>
      <c r="QRB7" s="344"/>
      <c r="QRC7" s="344"/>
      <c r="QRD7" s="344"/>
      <c r="QRE7" s="344"/>
      <c r="QRF7" s="344"/>
      <c r="QRG7" s="344"/>
      <c r="QRH7" s="344"/>
      <c r="QRI7" s="344"/>
      <c r="QRJ7" s="344"/>
      <c r="QRK7" s="344"/>
      <c r="QRL7" s="344"/>
      <c r="QRM7" s="344"/>
      <c r="QRN7" s="344"/>
      <c r="QRO7" s="344"/>
      <c r="QRP7" s="344"/>
      <c r="QRQ7" s="344"/>
      <c r="QRR7" s="344"/>
      <c r="QRS7" s="344"/>
      <c r="QRT7" s="344"/>
      <c r="QRU7" s="344"/>
      <c r="QRV7" s="344"/>
      <c r="QRW7" s="344"/>
      <c r="QRX7" s="344"/>
      <c r="QRY7" s="344"/>
      <c r="QRZ7" s="344"/>
      <c r="QSA7" s="344"/>
      <c r="QSB7" s="344"/>
      <c r="QSC7" s="344"/>
      <c r="QSD7" s="344"/>
      <c r="QSE7" s="344"/>
      <c r="QSF7" s="344"/>
      <c r="QSG7" s="344"/>
      <c r="QSH7" s="344"/>
      <c r="QSI7" s="344"/>
      <c r="QSJ7" s="344"/>
      <c r="QSK7" s="344"/>
      <c r="QSL7" s="344"/>
      <c r="QSM7" s="344"/>
      <c r="QSN7" s="344"/>
      <c r="QSO7" s="344"/>
      <c r="QSP7" s="344"/>
      <c r="QSQ7" s="344"/>
      <c r="QSR7" s="344"/>
      <c r="QSS7" s="344"/>
      <c r="QST7" s="344"/>
      <c r="QSU7" s="344"/>
      <c r="QSV7" s="344"/>
      <c r="QSW7" s="344"/>
      <c r="QSX7" s="344"/>
      <c r="QSY7" s="344"/>
      <c r="QSZ7" s="344"/>
      <c r="QTA7" s="344"/>
      <c r="QTB7" s="344"/>
      <c r="QTC7" s="344"/>
      <c r="QTD7" s="344"/>
      <c r="QTE7" s="344"/>
      <c r="QTF7" s="344"/>
      <c r="QTG7" s="344"/>
      <c r="QTH7" s="344"/>
      <c r="QTI7" s="344"/>
      <c r="QTJ7" s="344"/>
      <c r="QTK7" s="344"/>
      <c r="QTL7" s="344"/>
      <c r="QTM7" s="344"/>
      <c r="QTN7" s="344"/>
      <c r="QTO7" s="344"/>
      <c r="QTP7" s="344"/>
      <c r="QTQ7" s="344"/>
      <c r="QTR7" s="344"/>
      <c r="QTS7" s="344"/>
      <c r="QTT7" s="344"/>
      <c r="QTU7" s="344"/>
      <c r="QTV7" s="344"/>
      <c r="QTW7" s="344"/>
      <c r="QTX7" s="344"/>
      <c r="QTY7" s="344"/>
      <c r="QTZ7" s="344"/>
      <c r="QUA7" s="344"/>
      <c r="QUB7" s="344"/>
      <c r="QUC7" s="344"/>
      <c r="QUD7" s="344"/>
      <c r="QUE7" s="344"/>
      <c r="QUF7" s="344"/>
      <c r="QUG7" s="344"/>
      <c r="QUH7" s="344"/>
      <c r="QUI7" s="344"/>
      <c r="QUJ7" s="344"/>
      <c r="QUK7" s="344"/>
      <c r="QUL7" s="344"/>
      <c r="QUM7" s="344"/>
      <c r="QUN7" s="344"/>
      <c r="QUO7" s="344"/>
      <c r="QUP7" s="344"/>
      <c r="QUQ7" s="344"/>
      <c r="QUR7" s="344"/>
      <c r="QUS7" s="344"/>
      <c r="QUT7" s="344"/>
      <c r="QUU7" s="344"/>
      <c r="QUV7" s="344"/>
      <c r="QUW7" s="344"/>
      <c r="QUX7" s="344"/>
      <c r="QUY7" s="344"/>
      <c r="QUZ7" s="344"/>
      <c r="QVA7" s="344"/>
      <c r="QVB7" s="344"/>
      <c r="QVC7" s="344"/>
      <c r="QVD7" s="344"/>
      <c r="QVE7" s="344"/>
      <c r="QVF7" s="344"/>
      <c r="QVG7" s="344"/>
      <c r="QVH7" s="344"/>
      <c r="QVI7" s="344"/>
      <c r="QVJ7" s="344"/>
      <c r="QVK7" s="344"/>
      <c r="QVL7" s="344"/>
      <c r="QVM7" s="344"/>
      <c r="QVN7" s="344"/>
      <c r="QVO7" s="344"/>
      <c r="QVP7" s="344"/>
      <c r="QVQ7" s="344"/>
      <c r="QVR7" s="344"/>
      <c r="QVS7" s="344"/>
      <c r="QVT7" s="344"/>
      <c r="QVU7" s="344"/>
      <c r="QVV7" s="344"/>
      <c r="QVW7" s="344"/>
      <c r="QVX7" s="344"/>
      <c r="QVY7" s="344"/>
      <c r="QVZ7" s="344"/>
      <c r="QWA7" s="344"/>
      <c r="QWB7" s="344"/>
      <c r="QWC7" s="344"/>
      <c r="QWD7" s="344"/>
      <c r="QWE7" s="344"/>
      <c r="QWF7" s="344"/>
      <c r="QWG7" s="344"/>
      <c r="QWH7" s="344"/>
      <c r="QWI7" s="344"/>
      <c r="QWJ7" s="344"/>
      <c r="QWK7" s="344"/>
      <c r="QWL7" s="344"/>
      <c r="QWM7" s="344"/>
      <c r="QWN7" s="344"/>
      <c r="QWO7" s="344"/>
      <c r="QWP7" s="344"/>
      <c r="QWQ7" s="344"/>
      <c r="QWR7" s="344"/>
      <c r="QWS7" s="344"/>
      <c r="QWT7" s="344"/>
      <c r="QWU7" s="344"/>
      <c r="QWV7" s="344"/>
      <c r="QWW7" s="344"/>
      <c r="QWX7" s="344"/>
      <c r="QWY7" s="344"/>
      <c r="QWZ7" s="344"/>
      <c r="QXA7" s="344"/>
      <c r="QXB7" s="344"/>
      <c r="QXC7" s="344"/>
      <c r="QXD7" s="344"/>
      <c r="QXE7" s="344"/>
      <c r="QXF7" s="344"/>
      <c r="QXG7" s="344"/>
      <c r="QXH7" s="344"/>
      <c r="QXI7" s="344"/>
      <c r="QXJ7" s="344"/>
      <c r="QXK7" s="344"/>
      <c r="QXL7" s="344"/>
      <c r="QXM7" s="344"/>
      <c r="QXN7" s="344"/>
      <c r="QXO7" s="344"/>
      <c r="QXP7" s="344"/>
      <c r="QXQ7" s="344"/>
      <c r="QXR7" s="344"/>
      <c r="QXS7" s="344"/>
      <c r="QXT7" s="344"/>
      <c r="QXU7" s="344"/>
      <c r="QXV7" s="344"/>
      <c r="QXW7" s="344"/>
      <c r="QXX7" s="344"/>
      <c r="QXY7" s="344"/>
      <c r="QXZ7" s="344"/>
      <c r="QYA7" s="344"/>
      <c r="QYB7" s="344"/>
      <c r="QYC7" s="344"/>
      <c r="QYD7" s="344"/>
      <c r="QYE7" s="344"/>
      <c r="QYF7" s="344"/>
      <c r="QYG7" s="344"/>
      <c r="QYH7" s="344"/>
      <c r="QYI7" s="344"/>
      <c r="QYJ7" s="344"/>
      <c r="QYK7" s="344"/>
      <c r="QYL7" s="344"/>
      <c r="QYM7" s="344"/>
      <c r="QYN7" s="344"/>
      <c r="QYO7" s="344"/>
      <c r="QYP7" s="344"/>
      <c r="QYQ7" s="344"/>
      <c r="QYR7" s="344"/>
      <c r="QYS7" s="344"/>
      <c r="QYT7" s="344"/>
      <c r="QYU7" s="344"/>
      <c r="QYV7" s="344"/>
      <c r="QYW7" s="344"/>
      <c r="QYX7" s="344"/>
      <c r="QYY7" s="344"/>
      <c r="QYZ7" s="344"/>
      <c r="QZA7" s="344"/>
      <c r="QZB7" s="344"/>
      <c r="QZC7" s="344"/>
      <c r="QZD7" s="344"/>
      <c r="QZE7" s="344"/>
      <c r="QZF7" s="344"/>
      <c r="QZG7" s="344"/>
      <c r="QZH7" s="344"/>
      <c r="QZI7" s="344"/>
      <c r="QZJ7" s="344"/>
      <c r="QZK7" s="344"/>
      <c r="QZL7" s="344"/>
      <c r="QZM7" s="344"/>
      <c r="QZN7" s="344"/>
      <c r="QZO7" s="344"/>
      <c r="QZP7" s="344"/>
      <c r="QZQ7" s="344"/>
      <c r="QZR7" s="344"/>
      <c r="QZS7" s="344"/>
      <c r="QZT7" s="344"/>
      <c r="QZU7" s="344"/>
      <c r="QZV7" s="344"/>
      <c r="QZW7" s="344"/>
      <c r="QZX7" s="344"/>
      <c r="QZY7" s="344"/>
      <c r="QZZ7" s="344"/>
      <c r="RAA7" s="344"/>
      <c r="RAB7" s="344"/>
      <c r="RAC7" s="344"/>
      <c r="RAD7" s="344"/>
      <c r="RAE7" s="344"/>
      <c r="RAF7" s="344"/>
      <c r="RAG7" s="344"/>
      <c r="RAH7" s="344"/>
      <c r="RAI7" s="344"/>
      <c r="RAJ7" s="344"/>
      <c r="RAK7" s="344"/>
      <c r="RAL7" s="344"/>
      <c r="RAM7" s="344"/>
      <c r="RAN7" s="344"/>
      <c r="RAO7" s="344"/>
      <c r="RAP7" s="344"/>
      <c r="RAQ7" s="344"/>
      <c r="RAR7" s="344"/>
      <c r="RAS7" s="344"/>
      <c r="RAT7" s="344"/>
      <c r="RAU7" s="344"/>
      <c r="RAV7" s="344"/>
      <c r="RAW7" s="344"/>
      <c r="RAX7" s="344"/>
      <c r="RAY7" s="344"/>
      <c r="RAZ7" s="344"/>
      <c r="RBA7" s="344"/>
      <c r="RBB7" s="344"/>
      <c r="RBC7" s="344"/>
      <c r="RBD7" s="344"/>
      <c r="RBE7" s="344"/>
      <c r="RBF7" s="344"/>
      <c r="RBG7" s="344"/>
      <c r="RBH7" s="344"/>
      <c r="RBI7" s="344"/>
      <c r="RBJ7" s="344"/>
      <c r="RBK7" s="344"/>
      <c r="RBL7" s="344"/>
      <c r="RBM7" s="344"/>
      <c r="RBN7" s="344"/>
      <c r="RBO7" s="344"/>
      <c r="RBP7" s="344"/>
      <c r="RBQ7" s="344"/>
      <c r="RBR7" s="344"/>
      <c r="RBS7" s="344"/>
      <c r="RBT7" s="344"/>
      <c r="RBU7" s="344"/>
      <c r="RBV7" s="344"/>
      <c r="RBW7" s="344"/>
      <c r="RBX7" s="344"/>
      <c r="RBY7" s="344"/>
      <c r="RBZ7" s="344"/>
      <c r="RCA7" s="344"/>
      <c r="RCB7" s="344"/>
      <c r="RCC7" s="344"/>
      <c r="RCD7" s="344"/>
      <c r="RCE7" s="344"/>
      <c r="RCF7" s="344"/>
      <c r="RCG7" s="344"/>
      <c r="RCH7" s="344"/>
      <c r="RCI7" s="344"/>
      <c r="RCJ7" s="344"/>
      <c r="RCK7" s="344"/>
      <c r="RCL7" s="344"/>
      <c r="RCM7" s="344"/>
      <c r="RCN7" s="344"/>
      <c r="RCO7" s="344"/>
      <c r="RCP7" s="344"/>
      <c r="RCQ7" s="344"/>
      <c r="RCR7" s="344"/>
      <c r="RCS7" s="344"/>
      <c r="RCT7" s="344"/>
      <c r="RCU7" s="344"/>
      <c r="RCV7" s="344"/>
      <c r="RCW7" s="344"/>
      <c r="RCX7" s="344"/>
      <c r="RCY7" s="344"/>
      <c r="RCZ7" s="344"/>
      <c r="RDA7" s="344"/>
      <c r="RDB7" s="344"/>
      <c r="RDC7" s="344"/>
      <c r="RDD7" s="344"/>
      <c r="RDE7" s="344"/>
      <c r="RDF7" s="344"/>
      <c r="RDG7" s="344"/>
      <c r="RDH7" s="344"/>
      <c r="RDI7" s="344"/>
      <c r="RDJ7" s="344"/>
      <c r="RDK7" s="344"/>
      <c r="RDL7" s="344"/>
      <c r="RDM7" s="344"/>
      <c r="RDN7" s="344"/>
      <c r="RDO7" s="344"/>
      <c r="RDP7" s="344"/>
      <c r="RDQ7" s="344"/>
      <c r="RDR7" s="344"/>
      <c r="RDS7" s="344"/>
      <c r="RDT7" s="344"/>
      <c r="RDU7" s="344"/>
      <c r="RDV7" s="344"/>
      <c r="RDW7" s="344"/>
      <c r="RDX7" s="344"/>
      <c r="RDY7" s="344"/>
      <c r="RDZ7" s="344"/>
      <c r="REA7" s="344"/>
      <c r="REB7" s="344"/>
      <c r="REC7" s="344"/>
      <c r="RED7" s="344"/>
      <c r="REE7" s="344"/>
      <c r="REF7" s="344"/>
      <c r="REG7" s="344"/>
      <c r="REH7" s="344"/>
      <c r="REI7" s="344"/>
      <c r="REJ7" s="344"/>
      <c r="REK7" s="344"/>
      <c r="REL7" s="344"/>
      <c r="REM7" s="344"/>
      <c r="REN7" s="344"/>
      <c r="REO7" s="344"/>
      <c r="REP7" s="344"/>
      <c r="REQ7" s="344"/>
      <c r="RER7" s="344"/>
      <c r="RES7" s="344"/>
      <c r="RET7" s="344"/>
      <c r="REU7" s="344"/>
      <c r="REV7" s="344"/>
      <c r="REW7" s="344"/>
      <c r="REX7" s="344"/>
      <c r="REY7" s="344"/>
      <c r="REZ7" s="344"/>
      <c r="RFA7" s="344"/>
      <c r="RFB7" s="344"/>
      <c r="RFC7" s="344"/>
      <c r="RFD7" s="344"/>
      <c r="RFE7" s="344"/>
      <c r="RFF7" s="344"/>
      <c r="RFG7" s="344"/>
      <c r="RFH7" s="344"/>
      <c r="RFI7" s="344"/>
      <c r="RFJ7" s="344"/>
      <c r="RFK7" s="344"/>
      <c r="RFL7" s="344"/>
      <c r="RFM7" s="344"/>
      <c r="RFN7" s="344"/>
      <c r="RFO7" s="344"/>
      <c r="RFP7" s="344"/>
      <c r="RFQ7" s="344"/>
      <c r="RFR7" s="344"/>
      <c r="RFS7" s="344"/>
      <c r="RFT7" s="344"/>
      <c r="RFU7" s="344"/>
      <c r="RFV7" s="344"/>
      <c r="RFW7" s="344"/>
      <c r="RFX7" s="344"/>
      <c r="RFY7" s="344"/>
      <c r="RFZ7" s="344"/>
      <c r="RGA7" s="344"/>
      <c r="RGB7" s="344"/>
      <c r="RGC7" s="344"/>
      <c r="RGD7" s="344"/>
      <c r="RGE7" s="344"/>
      <c r="RGF7" s="344"/>
      <c r="RGG7" s="344"/>
      <c r="RGH7" s="344"/>
      <c r="RGI7" s="344"/>
      <c r="RGJ7" s="344"/>
      <c r="RGK7" s="344"/>
      <c r="RGL7" s="344"/>
      <c r="RGM7" s="344"/>
      <c r="RGN7" s="344"/>
      <c r="RGO7" s="344"/>
      <c r="RGP7" s="344"/>
      <c r="RGQ7" s="344"/>
      <c r="RGR7" s="344"/>
      <c r="RGS7" s="344"/>
      <c r="RGT7" s="344"/>
      <c r="RGU7" s="344"/>
      <c r="RGV7" s="344"/>
      <c r="RGW7" s="344"/>
      <c r="RGX7" s="344"/>
      <c r="RGY7" s="344"/>
      <c r="RGZ7" s="344"/>
      <c r="RHA7" s="344"/>
      <c r="RHB7" s="344"/>
      <c r="RHC7" s="344"/>
      <c r="RHD7" s="344"/>
      <c r="RHE7" s="344"/>
      <c r="RHF7" s="344"/>
      <c r="RHG7" s="344"/>
      <c r="RHH7" s="344"/>
      <c r="RHI7" s="344"/>
      <c r="RHJ7" s="344"/>
      <c r="RHK7" s="344"/>
      <c r="RHL7" s="344"/>
      <c r="RHM7" s="344"/>
      <c r="RHN7" s="344"/>
      <c r="RHO7" s="344"/>
      <c r="RHP7" s="344"/>
      <c r="RHQ7" s="344"/>
      <c r="RHR7" s="344"/>
      <c r="RHS7" s="344"/>
      <c r="RHT7" s="344"/>
      <c r="RHU7" s="344"/>
      <c r="RHV7" s="344"/>
      <c r="RHW7" s="344"/>
      <c r="RHX7" s="344"/>
      <c r="RHY7" s="344"/>
      <c r="RHZ7" s="344"/>
      <c r="RIA7" s="344"/>
      <c r="RIB7" s="344"/>
      <c r="RIC7" s="344"/>
      <c r="RID7" s="344"/>
      <c r="RIE7" s="344"/>
      <c r="RIF7" s="344"/>
      <c r="RIG7" s="344"/>
      <c r="RIH7" s="344"/>
      <c r="RII7" s="344"/>
      <c r="RIJ7" s="344"/>
      <c r="RIK7" s="344"/>
      <c r="RIL7" s="344"/>
      <c r="RIM7" s="344"/>
      <c r="RIN7" s="344"/>
      <c r="RIO7" s="344"/>
      <c r="RIP7" s="344"/>
      <c r="RIQ7" s="344"/>
      <c r="RIR7" s="344"/>
      <c r="RIS7" s="344"/>
      <c r="RIT7" s="344"/>
      <c r="RIU7" s="344"/>
      <c r="RIV7" s="344"/>
      <c r="RIW7" s="344"/>
      <c r="RIX7" s="344"/>
      <c r="RIY7" s="344"/>
      <c r="RIZ7" s="344"/>
      <c r="RJA7" s="344"/>
      <c r="RJB7" s="344"/>
      <c r="RJC7" s="344"/>
      <c r="RJD7" s="344"/>
      <c r="RJE7" s="344"/>
      <c r="RJF7" s="344"/>
      <c r="RJG7" s="344"/>
      <c r="RJH7" s="344"/>
      <c r="RJI7" s="344"/>
      <c r="RJJ7" s="344"/>
      <c r="RJK7" s="344"/>
      <c r="RJL7" s="344"/>
      <c r="RJM7" s="344"/>
      <c r="RJN7" s="344"/>
      <c r="RJO7" s="344"/>
      <c r="RJP7" s="344"/>
      <c r="RJQ7" s="344"/>
      <c r="RJR7" s="344"/>
      <c r="RJS7" s="344"/>
      <c r="RJT7" s="344"/>
      <c r="RJU7" s="344"/>
      <c r="RJV7" s="344"/>
      <c r="RJW7" s="344"/>
      <c r="RJX7" s="344"/>
      <c r="RJY7" s="344"/>
      <c r="RJZ7" s="344"/>
      <c r="RKA7" s="344"/>
      <c r="RKB7" s="344"/>
      <c r="RKC7" s="344"/>
      <c r="RKD7" s="344"/>
      <c r="RKE7" s="344"/>
      <c r="RKF7" s="344"/>
      <c r="RKG7" s="344"/>
      <c r="RKH7" s="344"/>
      <c r="RKI7" s="344"/>
      <c r="RKJ7" s="344"/>
      <c r="RKK7" s="344"/>
      <c r="RKL7" s="344"/>
      <c r="RKM7" s="344"/>
      <c r="RKN7" s="344"/>
      <c r="RKO7" s="344"/>
      <c r="RKP7" s="344"/>
      <c r="RKQ7" s="344"/>
      <c r="RKR7" s="344"/>
      <c r="RKS7" s="344"/>
      <c r="RKT7" s="344"/>
      <c r="RKU7" s="344"/>
      <c r="RKV7" s="344"/>
      <c r="RKW7" s="344"/>
      <c r="RKX7" s="344"/>
      <c r="RKY7" s="344"/>
      <c r="RKZ7" s="344"/>
      <c r="RLA7" s="344"/>
      <c r="RLB7" s="344"/>
      <c r="RLC7" s="344"/>
      <c r="RLD7" s="344"/>
      <c r="RLE7" s="344"/>
      <c r="RLF7" s="344"/>
      <c r="RLG7" s="344"/>
      <c r="RLH7" s="344"/>
      <c r="RLI7" s="344"/>
      <c r="RLJ7" s="344"/>
      <c r="RLK7" s="344"/>
      <c r="RLL7" s="344"/>
      <c r="RLM7" s="344"/>
      <c r="RLN7" s="344"/>
      <c r="RLO7" s="344"/>
      <c r="RLP7" s="344"/>
      <c r="RLQ7" s="344"/>
      <c r="RLR7" s="344"/>
      <c r="RLS7" s="344"/>
      <c r="RLT7" s="344"/>
      <c r="RLU7" s="344"/>
      <c r="RLV7" s="344"/>
      <c r="RLW7" s="344"/>
      <c r="RLX7" s="344"/>
      <c r="RLY7" s="344"/>
      <c r="RLZ7" s="344"/>
      <c r="RMA7" s="344"/>
      <c r="RMB7" s="344"/>
      <c r="RMC7" s="344"/>
      <c r="RMD7" s="344"/>
      <c r="RME7" s="344"/>
      <c r="RMF7" s="344"/>
      <c r="RMG7" s="344"/>
      <c r="RMH7" s="344"/>
      <c r="RMI7" s="344"/>
      <c r="RMJ7" s="344"/>
      <c r="RMK7" s="344"/>
      <c r="RML7" s="344"/>
      <c r="RMM7" s="344"/>
      <c r="RMN7" s="344"/>
      <c r="RMO7" s="344"/>
      <c r="RMP7" s="344"/>
      <c r="RMQ7" s="344"/>
      <c r="RMR7" s="344"/>
      <c r="RMS7" s="344"/>
      <c r="RMT7" s="344"/>
      <c r="RMU7" s="344"/>
      <c r="RMV7" s="344"/>
      <c r="RMW7" s="344"/>
      <c r="RMX7" s="344"/>
      <c r="RMY7" s="344"/>
      <c r="RMZ7" s="344"/>
      <c r="RNA7" s="344"/>
      <c r="RNB7" s="344"/>
      <c r="RNC7" s="344"/>
      <c r="RND7" s="344"/>
      <c r="RNE7" s="344"/>
      <c r="RNF7" s="344"/>
      <c r="RNG7" s="344"/>
      <c r="RNH7" s="344"/>
      <c r="RNI7" s="344"/>
      <c r="RNJ7" s="344"/>
      <c r="RNK7" s="344"/>
      <c r="RNL7" s="344"/>
      <c r="RNM7" s="344"/>
      <c r="RNN7" s="344"/>
      <c r="RNO7" s="344"/>
      <c r="RNP7" s="344"/>
      <c r="RNQ7" s="344"/>
      <c r="RNR7" s="344"/>
      <c r="RNS7" s="344"/>
      <c r="RNT7" s="344"/>
      <c r="RNU7" s="344"/>
      <c r="RNV7" s="344"/>
      <c r="RNW7" s="344"/>
      <c r="RNX7" s="344"/>
      <c r="RNY7" s="344"/>
      <c r="RNZ7" s="344"/>
      <c r="ROA7" s="344"/>
      <c r="ROB7" s="344"/>
      <c r="ROC7" s="344"/>
      <c r="ROD7" s="344"/>
      <c r="ROE7" s="344"/>
      <c r="ROF7" s="344"/>
      <c r="ROG7" s="344"/>
      <c r="ROH7" s="344"/>
      <c r="ROI7" s="344"/>
      <c r="ROJ7" s="344"/>
      <c r="ROK7" s="344"/>
      <c r="ROL7" s="344"/>
      <c r="ROM7" s="344"/>
      <c r="RON7" s="344"/>
      <c r="ROO7" s="344"/>
      <c r="ROP7" s="344"/>
      <c r="ROQ7" s="344"/>
      <c r="ROR7" s="344"/>
      <c r="ROS7" s="344"/>
      <c r="ROT7" s="344"/>
      <c r="ROU7" s="344"/>
      <c r="ROV7" s="344"/>
      <c r="ROW7" s="344"/>
      <c r="ROX7" s="344"/>
      <c r="ROY7" s="344"/>
      <c r="ROZ7" s="344"/>
      <c r="RPA7" s="344"/>
      <c r="RPB7" s="344"/>
      <c r="RPC7" s="344"/>
      <c r="RPD7" s="344"/>
      <c r="RPE7" s="344"/>
      <c r="RPF7" s="344"/>
      <c r="RPG7" s="344"/>
      <c r="RPH7" s="344"/>
      <c r="RPI7" s="344"/>
      <c r="RPJ7" s="344"/>
      <c r="RPK7" s="344"/>
      <c r="RPL7" s="344"/>
      <c r="RPM7" s="344"/>
      <c r="RPN7" s="344"/>
      <c r="RPO7" s="344"/>
      <c r="RPP7" s="344"/>
      <c r="RPQ7" s="344"/>
      <c r="RPR7" s="344"/>
      <c r="RPS7" s="344"/>
      <c r="RPT7" s="344"/>
      <c r="RPU7" s="344"/>
      <c r="RPV7" s="344"/>
      <c r="RPW7" s="344"/>
      <c r="RPX7" s="344"/>
      <c r="RPY7" s="344"/>
      <c r="RPZ7" s="344"/>
      <c r="RQA7" s="344"/>
      <c r="RQB7" s="344"/>
      <c r="RQC7" s="344"/>
      <c r="RQD7" s="344"/>
      <c r="RQE7" s="344"/>
      <c r="RQF7" s="344"/>
      <c r="RQG7" s="344"/>
      <c r="RQH7" s="344"/>
      <c r="RQI7" s="344"/>
      <c r="RQJ7" s="344"/>
      <c r="RQK7" s="344"/>
      <c r="RQL7" s="344"/>
      <c r="RQM7" s="344"/>
      <c r="RQN7" s="344"/>
      <c r="RQO7" s="344"/>
      <c r="RQP7" s="344"/>
      <c r="RQQ7" s="344"/>
      <c r="RQR7" s="344"/>
      <c r="RQS7" s="344"/>
      <c r="RQT7" s="344"/>
      <c r="RQU7" s="344"/>
      <c r="RQV7" s="344"/>
      <c r="RQW7" s="344"/>
      <c r="RQX7" s="344"/>
      <c r="RQY7" s="344"/>
      <c r="RQZ7" s="344"/>
      <c r="RRA7" s="344"/>
      <c r="RRB7" s="344"/>
      <c r="RRC7" s="344"/>
      <c r="RRD7" s="344"/>
      <c r="RRE7" s="344"/>
      <c r="RRF7" s="344"/>
      <c r="RRG7" s="344"/>
      <c r="RRH7" s="344"/>
      <c r="RRI7" s="344"/>
      <c r="RRJ7" s="344"/>
      <c r="RRK7" s="344"/>
      <c r="RRL7" s="344"/>
      <c r="RRM7" s="344"/>
      <c r="RRN7" s="344"/>
      <c r="RRO7" s="344"/>
      <c r="RRP7" s="344"/>
      <c r="RRQ7" s="344"/>
      <c r="RRR7" s="344"/>
      <c r="RRS7" s="344"/>
      <c r="RRT7" s="344"/>
      <c r="RRU7" s="344"/>
      <c r="RRV7" s="344"/>
      <c r="RRW7" s="344"/>
      <c r="RRX7" s="344"/>
      <c r="RRY7" s="344"/>
      <c r="RRZ7" s="344"/>
      <c r="RSA7" s="344"/>
      <c r="RSB7" s="344"/>
      <c r="RSC7" s="344"/>
      <c r="RSD7" s="344"/>
      <c r="RSE7" s="344"/>
      <c r="RSF7" s="344"/>
      <c r="RSG7" s="344"/>
      <c r="RSH7" s="344"/>
      <c r="RSI7" s="344"/>
      <c r="RSJ7" s="344"/>
      <c r="RSK7" s="344"/>
      <c r="RSL7" s="344"/>
      <c r="RSM7" s="344"/>
      <c r="RSN7" s="344"/>
      <c r="RSO7" s="344"/>
      <c r="RSP7" s="344"/>
      <c r="RSQ7" s="344"/>
      <c r="RSR7" s="344"/>
      <c r="RSS7" s="344"/>
      <c r="RST7" s="344"/>
      <c r="RSU7" s="344"/>
      <c r="RSV7" s="344"/>
      <c r="RSW7" s="344"/>
      <c r="RSX7" s="344"/>
      <c r="RSY7" s="344"/>
      <c r="RSZ7" s="344"/>
      <c r="RTA7" s="344"/>
      <c r="RTB7" s="344"/>
      <c r="RTC7" s="344"/>
      <c r="RTD7" s="344"/>
      <c r="RTE7" s="344"/>
      <c r="RTF7" s="344"/>
      <c r="RTG7" s="344"/>
      <c r="RTH7" s="344"/>
      <c r="RTI7" s="344"/>
      <c r="RTJ7" s="344"/>
      <c r="RTK7" s="344"/>
      <c r="RTL7" s="344"/>
      <c r="RTM7" s="344"/>
      <c r="RTN7" s="344"/>
      <c r="RTO7" s="344"/>
      <c r="RTP7" s="344"/>
      <c r="RTQ7" s="344"/>
      <c r="RTR7" s="344"/>
      <c r="RTS7" s="344"/>
      <c r="RTT7" s="344"/>
      <c r="RTU7" s="344"/>
      <c r="RTV7" s="344"/>
      <c r="RTW7" s="344"/>
      <c r="RTX7" s="344"/>
      <c r="RTY7" s="344"/>
      <c r="RTZ7" s="344"/>
      <c r="RUA7" s="344"/>
      <c r="RUB7" s="344"/>
      <c r="RUC7" s="344"/>
      <c r="RUD7" s="344"/>
      <c r="RUE7" s="344"/>
      <c r="RUF7" s="344"/>
      <c r="RUG7" s="344"/>
      <c r="RUH7" s="344"/>
      <c r="RUI7" s="344"/>
      <c r="RUJ7" s="344"/>
      <c r="RUK7" s="344"/>
      <c r="RUL7" s="344"/>
      <c r="RUM7" s="344"/>
      <c r="RUN7" s="344"/>
      <c r="RUO7" s="344"/>
      <c r="RUP7" s="344"/>
      <c r="RUQ7" s="344"/>
      <c r="RUR7" s="344"/>
      <c r="RUS7" s="344"/>
      <c r="RUT7" s="344"/>
      <c r="RUU7" s="344"/>
      <c r="RUV7" s="344"/>
      <c r="RUW7" s="344"/>
      <c r="RUX7" s="344"/>
      <c r="RUY7" s="344"/>
      <c r="RUZ7" s="344"/>
      <c r="RVA7" s="344"/>
      <c r="RVB7" s="344"/>
      <c r="RVC7" s="344"/>
      <c r="RVD7" s="344"/>
      <c r="RVE7" s="344"/>
      <c r="RVF7" s="344"/>
      <c r="RVG7" s="344"/>
      <c r="RVH7" s="344"/>
      <c r="RVI7" s="344"/>
      <c r="RVJ7" s="344"/>
      <c r="RVK7" s="344"/>
      <c r="RVL7" s="344"/>
      <c r="RVM7" s="344"/>
      <c r="RVN7" s="344"/>
      <c r="RVO7" s="344"/>
      <c r="RVP7" s="344"/>
      <c r="RVQ7" s="344"/>
      <c r="RVR7" s="344"/>
      <c r="RVS7" s="344"/>
      <c r="RVT7" s="344"/>
      <c r="RVU7" s="344"/>
      <c r="RVV7" s="344"/>
      <c r="RVW7" s="344"/>
      <c r="RVX7" s="344"/>
      <c r="RVY7" s="344"/>
      <c r="RVZ7" s="344"/>
      <c r="RWA7" s="344"/>
      <c r="RWB7" s="344"/>
      <c r="RWC7" s="344"/>
      <c r="RWD7" s="344"/>
      <c r="RWE7" s="344"/>
      <c r="RWF7" s="344"/>
      <c r="RWG7" s="344"/>
      <c r="RWH7" s="344"/>
      <c r="RWI7" s="344"/>
      <c r="RWJ7" s="344"/>
      <c r="RWK7" s="344"/>
      <c r="RWL7" s="344"/>
      <c r="RWM7" s="344"/>
      <c r="RWN7" s="344"/>
      <c r="RWO7" s="344"/>
      <c r="RWP7" s="344"/>
      <c r="RWQ7" s="344"/>
      <c r="RWR7" s="344"/>
      <c r="RWS7" s="344"/>
      <c r="RWT7" s="344"/>
      <c r="RWU7" s="344"/>
      <c r="RWV7" s="344"/>
      <c r="RWW7" s="344"/>
      <c r="RWX7" s="344"/>
      <c r="RWY7" s="344"/>
      <c r="RWZ7" s="344"/>
      <c r="RXA7" s="344"/>
      <c r="RXB7" s="344"/>
      <c r="RXC7" s="344"/>
      <c r="RXD7" s="344"/>
      <c r="RXE7" s="344"/>
      <c r="RXF7" s="344"/>
      <c r="RXG7" s="344"/>
      <c r="RXH7" s="344"/>
      <c r="RXI7" s="344"/>
      <c r="RXJ7" s="344"/>
      <c r="RXK7" s="344"/>
      <c r="RXL7" s="344"/>
      <c r="RXM7" s="344"/>
      <c r="RXN7" s="344"/>
      <c r="RXO7" s="344"/>
      <c r="RXP7" s="344"/>
      <c r="RXQ7" s="344"/>
      <c r="RXR7" s="344"/>
      <c r="RXS7" s="344"/>
      <c r="RXT7" s="344"/>
      <c r="RXU7" s="344"/>
      <c r="RXV7" s="344"/>
      <c r="RXW7" s="344"/>
      <c r="RXX7" s="344"/>
      <c r="RXY7" s="344"/>
      <c r="RXZ7" s="344"/>
      <c r="RYA7" s="344"/>
      <c r="RYB7" s="344"/>
      <c r="RYC7" s="344"/>
      <c r="RYD7" s="344"/>
      <c r="RYE7" s="344"/>
      <c r="RYF7" s="344"/>
      <c r="RYG7" s="344"/>
      <c r="RYH7" s="344"/>
      <c r="RYI7" s="344"/>
      <c r="RYJ7" s="344"/>
      <c r="RYK7" s="344"/>
      <c r="RYL7" s="344"/>
      <c r="RYM7" s="344"/>
      <c r="RYN7" s="344"/>
      <c r="RYO7" s="344"/>
      <c r="RYP7" s="344"/>
      <c r="RYQ7" s="344"/>
      <c r="RYR7" s="344"/>
      <c r="RYS7" s="344"/>
      <c r="RYT7" s="344"/>
      <c r="RYU7" s="344"/>
      <c r="RYV7" s="344"/>
      <c r="RYW7" s="344"/>
      <c r="RYX7" s="344"/>
      <c r="RYY7" s="344"/>
      <c r="RYZ7" s="344"/>
      <c r="RZA7" s="344"/>
      <c r="RZB7" s="344"/>
      <c r="RZC7" s="344"/>
      <c r="RZD7" s="344"/>
      <c r="RZE7" s="344"/>
      <c r="RZF7" s="344"/>
      <c r="RZG7" s="344"/>
      <c r="RZH7" s="344"/>
      <c r="RZI7" s="344"/>
      <c r="RZJ7" s="344"/>
      <c r="RZK7" s="344"/>
      <c r="RZL7" s="344"/>
      <c r="RZM7" s="344"/>
      <c r="RZN7" s="344"/>
      <c r="RZO7" s="344"/>
      <c r="RZP7" s="344"/>
      <c r="RZQ7" s="344"/>
      <c r="RZR7" s="344"/>
      <c r="RZS7" s="344"/>
      <c r="RZT7" s="344"/>
      <c r="RZU7" s="344"/>
      <c r="RZV7" s="344"/>
      <c r="RZW7" s="344"/>
      <c r="RZX7" s="344"/>
      <c r="RZY7" s="344"/>
      <c r="RZZ7" s="344"/>
      <c r="SAA7" s="344"/>
      <c r="SAB7" s="344"/>
      <c r="SAC7" s="344"/>
      <c r="SAD7" s="344"/>
      <c r="SAE7" s="344"/>
      <c r="SAF7" s="344"/>
      <c r="SAG7" s="344"/>
      <c r="SAH7" s="344"/>
      <c r="SAI7" s="344"/>
      <c r="SAJ7" s="344"/>
      <c r="SAK7" s="344"/>
      <c r="SAL7" s="344"/>
      <c r="SAM7" s="344"/>
      <c r="SAN7" s="344"/>
      <c r="SAO7" s="344"/>
      <c r="SAP7" s="344"/>
      <c r="SAQ7" s="344"/>
      <c r="SAR7" s="344"/>
      <c r="SAS7" s="344"/>
      <c r="SAT7" s="344"/>
      <c r="SAU7" s="344"/>
      <c r="SAV7" s="344"/>
      <c r="SAW7" s="344"/>
      <c r="SAX7" s="344"/>
      <c r="SAY7" s="344"/>
      <c r="SAZ7" s="344"/>
      <c r="SBA7" s="344"/>
      <c r="SBB7" s="344"/>
      <c r="SBC7" s="344"/>
      <c r="SBD7" s="344"/>
      <c r="SBE7" s="344"/>
      <c r="SBF7" s="344"/>
      <c r="SBG7" s="344"/>
      <c r="SBH7" s="344"/>
      <c r="SBI7" s="344"/>
      <c r="SBJ7" s="344"/>
      <c r="SBK7" s="344"/>
      <c r="SBL7" s="344"/>
      <c r="SBM7" s="344"/>
      <c r="SBN7" s="344"/>
      <c r="SBO7" s="344"/>
      <c r="SBP7" s="344"/>
      <c r="SBQ7" s="344"/>
      <c r="SBR7" s="344"/>
      <c r="SBS7" s="344"/>
      <c r="SBT7" s="344"/>
      <c r="SBU7" s="344"/>
      <c r="SBV7" s="344"/>
      <c r="SBW7" s="344"/>
      <c r="SBX7" s="344"/>
      <c r="SBY7" s="344"/>
      <c r="SBZ7" s="344"/>
      <c r="SCA7" s="344"/>
      <c r="SCB7" s="344"/>
      <c r="SCC7" s="344"/>
      <c r="SCD7" s="344"/>
      <c r="SCE7" s="344"/>
      <c r="SCF7" s="344"/>
      <c r="SCG7" s="344"/>
      <c r="SCH7" s="344"/>
      <c r="SCI7" s="344"/>
      <c r="SCJ7" s="344"/>
      <c r="SCK7" s="344"/>
      <c r="SCL7" s="344"/>
      <c r="SCM7" s="344"/>
      <c r="SCN7" s="344"/>
      <c r="SCO7" s="344"/>
      <c r="SCP7" s="344"/>
      <c r="SCQ7" s="344"/>
      <c r="SCR7" s="344"/>
      <c r="SCS7" s="344"/>
      <c r="SCT7" s="344"/>
      <c r="SCU7" s="344"/>
      <c r="SCV7" s="344"/>
      <c r="SCW7" s="344"/>
      <c r="SCX7" s="344"/>
      <c r="SCY7" s="344"/>
      <c r="SCZ7" s="344"/>
      <c r="SDA7" s="344"/>
      <c r="SDB7" s="344"/>
      <c r="SDC7" s="344"/>
      <c r="SDD7" s="344"/>
      <c r="SDE7" s="344"/>
      <c r="SDF7" s="344"/>
      <c r="SDG7" s="344"/>
      <c r="SDH7" s="344"/>
      <c r="SDI7" s="344"/>
      <c r="SDJ7" s="344"/>
      <c r="SDK7" s="344"/>
      <c r="SDL7" s="344"/>
      <c r="SDM7" s="344"/>
      <c r="SDN7" s="344"/>
      <c r="SDO7" s="344"/>
      <c r="SDP7" s="344"/>
      <c r="SDQ7" s="344"/>
      <c r="SDR7" s="344"/>
      <c r="SDS7" s="344"/>
      <c r="SDT7" s="344"/>
      <c r="SDU7" s="344"/>
      <c r="SDV7" s="344"/>
      <c r="SDW7" s="344"/>
      <c r="SDX7" s="344"/>
      <c r="SDY7" s="344"/>
      <c r="SDZ7" s="344"/>
      <c r="SEA7" s="344"/>
      <c r="SEB7" s="344"/>
      <c r="SEC7" s="344"/>
      <c r="SED7" s="344"/>
      <c r="SEE7" s="344"/>
      <c r="SEF7" s="344"/>
      <c r="SEG7" s="344"/>
      <c r="SEH7" s="344"/>
      <c r="SEI7" s="344"/>
      <c r="SEJ7" s="344"/>
      <c r="SEK7" s="344"/>
      <c r="SEL7" s="344"/>
      <c r="SEM7" s="344"/>
      <c r="SEN7" s="344"/>
      <c r="SEO7" s="344"/>
      <c r="SEP7" s="344"/>
      <c r="SEQ7" s="344"/>
      <c r="SER7" s="344"/>
      <c r="SES7" s="344"/>
      <c r="SET7" s="344"/>
      <c r="SEU7" s="344"/>
      <c r="SEV7" s="344"/>
      <c r="SEW7" s="344"/>
      <c r="SEX7" s="344"/>
      <c r="SEY7" s="344"/>
      <c r="SEZ7" s="344"/>
      <c r="SFA7" s="344"/>
      <c r="SFB7" s="344"/>
      <c r="SFC7" s="344"/>
      <c r="SFD7" s="344"/>
      <c r="SFE7" s="344"/>
      <c r="SFF7" s="344"/>
      <c r="SFG7" s="344"/>
      <c r="SFH7" s="344"/>
      <c r="SFI7" s="344"/>
      <c r="SFJ7" s="344"/>
      <c r="SFK7" s="344"/>
      <c r="SFL7" s="344"/>
      <c r="SFM7" s="344"/>
      <c r="SFN7" s="344"/>
      <c r="SFO7" s="344"/>
      <c r="SFP7" s="344"/>
      <c r="SFQ7" s="344"/>
      <c r="SFR7" s="344"/>
      <c r="SFS7" s="344"/>
      <c r="SFT7" s="344"/>
      <c r="SFU7" s="344"/>
      <c r="SFV7" s="344"/>
      <c r="SFW7" s="344"/>
      <c r="SFX7" s="344"/>
      <c r="SFY7" s="344"/>
      <c r="SFZ7" s="344"/>
      <c r="SGA7" s="344"/>
      <c r="SGB7" s="344"/>
      <c r="SGC7" s="344"/>
      <c r="SGD7" s="344"/>
      <c r="SGE7" s="344"/>
      <c r="SGF7" s="344"/>
      <c r="SGG7" s="344"/>
      <c r="SGH7" s="344"/>
      <c r="SGI7" s="344"/>
      <c r="SGJ7" s="344"/>
      <c r="SGK7" s="344"/>
      <c r="SGL7" s="344"/>
      <c r="SGM7" s="344"/>
      <c r="SGN7" s="344"/>
      <c r="SGO7" s="344"/>
      <c r="SGP7" s="344"/>
      <c r="SGQ7" s="344"/>
      <c r="SGR7" s="344"/>
      <c r="SGS7" s="344"/>
      <c r="SGT7" s="344"/>
      <c r="SGU7" s="344"/>
      <c r="SGV7" s="344"/>
      <c r="SGW7" s="344"/>
      <c r="SGX7" s="344"/>
      <c r="SGY7" s="344"/>
      <c r="SGZ7" s="344"/>
      <c r="SHA7" s="344"/>
      <c r="SHB7" s="344"/>
      <c r="SHC7" s="344"/>
      <c r="SHD7" s="344"/>
      <c r="SHE7" s="344"/>
      <c r="SHF7" s="344"/>
      <c r="SHG7" s="344"/>
      <c r="SHH7" s="344"/>
      <c r="SHI7" s="344"/>
      <c r="SHJ7" s="344"/>
      <c r="SHK7" s="344"/>
      <c r="SHL7" s="344"/>
      <c r="SHM7" s="344"/>
      <c r="SHN7" s="344"/>
      <c r="SHO7" s="344"/>
      <c r="SHP7" s="344"/>
      <c r="SHQ7" s="344"/>
      <c r="SHR7" s="344"/>
      <c r="SHS7" s="344"/>
      <c r="SHT7" s="344"/>
      <c r="SHU7" s="344"/>
      <c r="SHV7" s="344"/>
      <c r="SHW7" s="344"/>
      <c r="SHX7" s="344"/>
      <c r="SHY7" s="344"/>
      <c r="SHZ7" s="344"/>
      <c r="SIA7" s="344"/>
      <c r="SIB7" s="344"/>
      <c r="SIC7" s="344"/>
      <c r="SID7" s="344"/>
      <c r="SIE7" s="344"/>
      <c r="SIF7" s="344"/>
      <c r="SIG7" s="344"/>
      <c r="SIH7" s="344"/>
      <c r="SII7" s="344"/>
      <c r="SIJ7" s="344"/>
      <c r="SIK7" s="344"/>
      <c r="SIL7" s="344"/>
      <c r="SIM7" s="344"/>
      <c r="SIN7" s="344"/>
      <c r="SIO7" s="344"/>
      <c r="SIP7" s="344"/>
      <c r="SIQ7" s="344"/>
      <c r="SIR7" s="344"/>
      <c r="SIS7" s="344"/>
      <c r="SIT7" s="344"/>
      <c r="SIU7" s="344"/>
      <c r="SIV7" s="344"/>
      <c r="SIW7" s="344"/>
      <c r="SIX7" s="344"/>
      <c r="SIY7" s="344"/>
      <c r="SIZ7" s="344"/>
      <c r="SJA7" s="344"/>
      <c r="SJB7" s="344"/>
      <c r="SJC7" s="344"/>
      <c r="SJD7" s="344"/>
      <c r="SJE7" s="344"/>
      <c r="SJF7" s="344"/>
      <c r="SJG7" s="344"/>
      <c r="SJH7" s="344"/>
      <c r="SJI7" s="344"/>
      <c r="SJJ7" s="344"/>
      <c r="SJK7" s="344"/>
      <c r="SJL7" s="344"/>
      <c r="SJM7" s="344"/>
      <c r="SJN7" s="344"/>
      <c r="SJO7" s="344"/>
      <c r="SJP7" s="344"/>
      <c r="SJQ7" s="344"/>
      <c r="SJR7" s="344"/>
      <c r="SJS7" s="344"/>
      <c r="SJT7" s="344"/>
      <c r="SJU7" s="344"/>
      <c r="SJV7" s="344"/>
      <c r="SJW7" s="344"/>
      <c r="SJX7" s="344"/>
      <c r="SJY7" s="344"/>
      <c r="SJZ7" s="344"/>
      <c r="SKA7" s="344"/>
      <c r="SKB7" s="344"/>
      <c r="SKC7" s="344"/>
      <c r="SKD7" s="344"/>
      <c r="SKE7" s="344"/>
      <c r="SKF7" s="344"/>
      <c r="SKG7" s="344"/>
      <c r="SKH7" s="344"/>
      <c r="SKI7" s="344"/>
      <c r="SKJ7" s="344"/>
      <c r="SKK7" s="344"/>
      <c r="SKL7" s="344"/>
      <c r="SKM7" s="344"/>
      <c r="SKN7" s="344"/>
      <c r="SKO7" s="344"/>
      <c r="SKP7" s="344"/>
      <c r="SKQ7" s="344"/>
      <c r="SKR7" s="344"/>
      <c r="SKS7" s="344"/>
      <c r="SKT7" s="344"/>
      <c r="SKU7" s="344"/>
      <c r="SKV7" s="344"/>
      <c r="SKW7" s="344"/>
      <c r="SKX7" s="344"/>
      <c r="SKY7" s="344"/>
      <c r="SKZ7" s="344"/>
      <c r="SLA7" s="344"/>
      <c r="SLB7" s="344"/>
      <c r="SLC7" s="344"/>
      <c r="SLD7" s="344"/>
      <c r="SLE7" s="344"/>
      <c r="SLF7" s="344"/>
      <c r="SLG7" s="344"/>
      <c r="SLH7" s="344"/>
      <c r="SLI7" s="344"/>
      <c r="SLJ7" s="344"/>
      <c r="SLK7" s="344"/>
      <c r="SLL7" s="344"/>
      <c r="SLM7" s="344"/>
      <c r="SLN7" s="344"/>
      <c r="SLO7" s="344"/>
      <c r="SLP7" s="344"/>
      <c r="SLQ7" s="344"/>
      <c r="SLR7" s="344"/>
      <c r="SLS7" s="344"/>
      <c r="SLT7" s="344"/>
      <c r="SLU7" s="344"/>
      <c r="SLV7" s="344"/>
      <c r="SLW7" s="344"/>
      <c r="SLX7" s="344"/>
      <c r="SLY7" s="344"/>
      <c r="SLZ7" s="344"/>
      <c r="SMA7" s="344"/>
      <c r="SMB7" s="344"/>
      <c r="SMC7" s="344"/>
      <c r="SMD7" s="344"/>
      <c r="SME7" s="344"/>
      <c r="SMF7" s="344"/>
      <c r="SMG7" s="344"/>
      <c r="SMH7" s="344"/>
      <c r="SMI7" s="344"/>
      <c r="SMJ7" s="344"/>
      <c r="SMK7" s="344"/>
      <c r="SML7" s="344"/>
      <c r="SMM7" s="344"/>
      <c r="SMN7" s="344"/>
      <c r="SMO7" s="344"/>
      <c r="SMP7" s="344"/>
      <c r="SMQ7" s="344"/>
      <c r="SMR7" s="344"/>
      <c r="SMS7" s="344"/>
      <c r="SMT7" s="344"/>
      <c r="SMU7" s="344"/>
      <c r="SMV7" s="344"/>
      <c r="SMW7" s="344"/>
      <c r="SMX7" s="344"/>
      <c r="SMY7" s="344"/>
      <c r="SMZ7" s="344"/>
      <c r="SNA7" s="344"/>
      <c r="SNB7" s="344"/>
      <c r="SNC7" s="344"/>
      <c r="SND7" s="344"/>
      <c r="SNE7" s="344"/>
      <c r="SNF7" s="344"/>
      <c r="SNG7" s="344"/>
      <c r="SNH7" s="344"/>
      <c r="SNI7" s="344"/>
      <c r="SNJ7" s="344"/>
      <c r="SNK7" s="344"/>
      <c r="SNL7" s="344"/>
      <c r="SNM7" s="344"/>
      <c r="SNN7" s="344"/>
      <c r="SNO7" s="344"/>
      <c r="SNP7" s="344"/>
      <c r="SNQ7" s="344"/>
      <c r="SNR7" s="344"/>
      <c r="SNS7" s="344"/>
      <c r="SNT7" s="344"/>
      <c r="SNU7" s="344"/>
      <c r="SNV7" s="344"/>
      <c r="SNW7" s="344"/>
      <c r="SNX7" s="344"/>
      <c r="SNY7" s="344"/>
      <c r="SNZ7" s="344"/>
      <c r="SOA7" s="344"/>
      <c r="SOB7" s="344"/>
      <c r="SOC7" s="344"/>
      <c r="SOD7" s="344"/>
      <c r="SOE7" s="344"/>
      <c r="SOF7" s="344"/>
      <c r="SOG7" s="344"/>
      <c r="SOH7" s="344"/>
      <c r="SOI7" s="344"/>
      <c r="SOJ7" s="344"/>
      <c r="SOK7" s="344"/>
      <c r="SOL7" s="344"/>
      <c r="SOM7" s="344"/>
      <c r="SON7" s="344"/>
      <c r="SOO7" s="344"/>
      <c r="SOP7" s="344"/>
      <c r="SOQ7" s="344"/>
      <c r="SOR7" s="344"/>
      <c r="SOS7" s="344"/>
      <c r="SOT7" s="344"/>
      <c r="SOU7" s="344"/>
      <c r="SOV7" s="344"/>
      <c r="SOW7" s="344"/>
      <c r="SOX7" s="344"/>
      <c r="SOY7" s="344"/>
      <c r="SOZ7" s="344"/>
      <c r="SPA7" s="344"/>
      <c r="SPB7" s="344"/>
      <c r="SPC7" s="344"/>
      <c r="SPD7" s="344"/>
      <c r="SPE7" s="344"/>
      <c r="SPF7" s="344"/>
      <c r="SPG7" s="344"/>
      <c r="SPH7" s="344"/>
      <c r="SPI7" s="344"/>
      <c r="SPJ7" s="344"/>
      <c r="SPK7" s="344"/>
      <c r="SPL7" s="344"/>
      <c r="SPM7" s="344"/>
      <c r="SPN7" s="344"/>
      <c r="SPO7" s="344"/>
      <c r="SPP7" s="344"/>
      <c r="SPQ7" s="344"/>
      <c r="SPR7" s="344"/>
      <c r="SPS7" s="344"/>
      <c r="SPT7" s="344"/>
      <c r="SPU7" s="344"/>
      <c r="SPV7" s="344"/>
      <c r="SPW7" s="344"/>
      <c r="SPX7" s="344"/>
      <c r="SPY7" s="344"/>
      <c r="SPZ7" s="344"/>
      <c r="SQA7" s="344"/>
      <c r="SQB7" s="344"/>
      <c r="SQC7" s="344"/>
      <c r="SQD7" s="344"/>
      <c r="SQE7" s="344"/>
      <c r="SQF7" s="344"/>
      <c r="SQG7" s="344"/>
      <c r="SQH7" s="344"/>
      <c r="SQI7" s="344"/>
      <c r="SQJ7" s="344"/>
      <c r="SQK7" s="344"/>
      <c r="SQL7" s="344"/>
      <c r="SQM7" s="344"/>
      <c r="SQN7" s="344"/>
      <c r="SQO7" s="344"/>
      <c r="SQP7" s="344"/>
      <c r="SQQ7" s="344"/>
      <c r="SQR7" s="344"/>
      <c r="SQS7" s="344"/>
      <c r="SQT7" s="344"/>
      <c r="SQU7" s="344"/>
      <c r="SQV7" s="344"/>
      <c r="SQW7" s="344"/>
      <c r="SQX7" s="344"/>
      <c r="SQY7" s="344"/>
      <c r="SQZ7" s="344"/>
      <c r="SRA7" s="344"/>
      <c r="SRB7" s="344"/>
      <c r="SRC7" s="344"/>
      <c r="SRD7" s="344"/>
      <c r="SRE7" s="344"/>
      <c r="SRF7" s="344"/>
      <c r="SRG7" s="344"/>
      <c r="SRH7" s="344"/>
      <c r="SRI7" s="344"/>
      <c r="SRJ7" s="344"/>
      <c r="SRK7" s="344"/>
      <c r="SRL7" s="344"/>
      <c r="SRM7" s="344"/>
      <c r="SRN7" s="344"/>
      <c r="SRO7" s="344"/>
      <c r="SRP7" s="344"/>
      <c r="SRQ7" s="344"/>
      <c r="SRR7" s="344"/>
      <c r="SRS7" s="344"/>
      <c r="SRT7" s="344"/>
      <c r="SRU7" s="344"/>
      <c r="SRV7" s="344"/>
      <c r="SRW7" s="344"/>
      <c r="SRX7" s="344"/>
      <c r="SRY7" s="344"/>
      <c r="SRZ7" s="344"/>
      <c r="SSA7" s="344"/>
      <c r="SSB7" s="344"/>
      <c r="SSC7" s="344"/>
      <c r="SSD7" s="344"/>
      <c r="SSE7" s="344"/>
      <c r="SSF7" s="344"/>
      <c r="SSG7" s="344"/>
      <c r="SSH7" s="344"/>
      <c r="SSI7" s="344"/>
      <c r="SSJ7" s="344"/>
      <c r="SSK7" s="344"/>
      <c r="SSL7" s="344"/>
      <c r="SSM7" s="344"/>
      <c r="SSN7" s="344"/>
      <c r="SSO7" s="344"/>
      <c r="SSP7" s="344"/>
      <c r="SSQ7" s="344"/>
      <c r="SSR7" s="344"/>
      <c r="SSS7" s="344"/>
      <c r="SST7" s="344"/>
      <c r="SSU7" s="344"/>
      <c r="SSV7" s="344"/>
      <c r="SSW7" s="344"/>
      <c r="SSX7" s="344"/>
      <c r="SSY7" s="344"/>
      <c r="SSZ7" s="344"/>
      <c r="STA7" s="344"/>
      <c r="STB7" s="344"/>
      <c r="STC7" s="344"/>
      <c r="STD7" s="344"/>
      <c r="STE7" s="344"/>
      <c r="STF7" s="344"/>
      <c r="STG7" s="344"/>
      <c r="STH7" s="344"/>
      <c r="STI7" s="344"/>
      <c r="STJ7" s="344"/>
      <c r="STK7" s="344"/>
      <c r="STL7" s="344"/>
      <c r="STM7" s="344"/>
      <c r="STN7" s="344"/>
      <c r="STO7" s="344"/>
      <c r="STP7" s="344"/>
      <c r="STQ7" s="344"/>
      <c r="STR7" s="344"/>
      <c r="STS7" s="344"/>
      <c r="STT7" s="344"/>
      <c r="STU7" s="344"/>
      <c r="STV7" s="344"/>
      <c r="STW7" s="344"/>
      <c r="STX7" s="344"/>
      <c r="STY7" s="344"/>
      <c r="STZ7" s="344"/>
      <c r="SUA7" s="344"/>
      <c r="SUB7" s="344"/>
      <c r="SUC7" s="344"/>
      <c r="SUD7" s="344"/>
      <c r="SUE7" s="344"/>
      <c r="SUF7" s="344"/>
      <c r="SUG7" s="344"/>
      <c r="SUH7" s="344"/>
      <c r="SUI7" s="344"/>
      <c r="SUJ7" s="344"/>
      <c r="SUK7" s="344"/>
      <c r="SUL7" s="344"/>
      <c r="SUM7" s="344"/>
      <c r="SUN7" s="344"/>
      <c r="SUO7" s="344"/>
      <c r="SUP7" s="344"/>
      <c r="SUQ7" s="344"/>
      <c r="SUR7" s="344"/>
      <c r="SUS7" s="344"/>
      <c r="SUT7" s="344"/>
      <c r="SUU7" s="344"/>
      <c r="SUV7" s="344"/>
      <c r="SUW7" s="344"/>
      <c r="SUX7" s="344"/>
      <c r="SUY7" s="344"/>
      <c r="SUZ7" s="344"/>
      <c r="SVA7" s="344"/>
      <c r="SVB7" s="344"/>
      <c r="SVC7" s="344"/>
      <c r="SVD7" s="344"/>
      <c r="SVE7" s="344"/>
      <c r="SVF7" s="344"/>
      <c r="SVG7" s="344"/>
      <c r="SVH7" s="344"/>
      <c r="SVI7" s="344"/>
      <c r="SVJ7" s="344"/>
      <c r="SVK7" s="344"/>
      <c r="SVL7" s="344"/>
      <c r="SVM7" s="344"/>
      <c r="SVN7" s="344"/>
      <c r="SVO7" s="344"/>
      <c r="SVP7" s="344"/>
      <c r="SVQ7" s="344"/>
      <c r="SVR7" s="344"/>
      <c r="SVS7" s="344"/>
      <c r="SVT7" s="344"/>
      <c r="SVU7" s="344"/>
      <c r="SVV7" s="344"/>
      <c r="SVW7" s="344"/>
      <c r="SVX7" s="344"/>
      <c r="SVY7" s="344"/>
      <c r="SVZ7" s="344"/>
      <c r="SWA7" s="344"/>
      <c r="SWB7" s="344"/>
      <c r="SWC7" s="344"/>
      <c r="SWD7" s="344"/>
      <c r="SWE7" s="344"/>
      <c r="SWF7" s="344"/>
      <c r="SWG7" s="344"/>
      <c r="SWH7" s="344"/>
      <c r="SWI7" s="344"/>
      <c r="SWJ7" s="344"/>
      <c r="SWK7" s="344"/>
      <c r="SWL7" s="344"/>
      <c r="SWM7" s="344"/>
      <c r="SWN7" s="344"/>
      <c r="SWO7" s="344"/>
      <c r="SWP7" s="344"/>
      <c r="SWQ7" s="344"/>
      <c r="SWR7" s="344"/>
      <c r="SWS7" s="344"/>
      <c r="SWT7" s="344"/>
      <c r="SWU7" s="344"/>
      <c r="SWV7" s="344"/>
      <c r="SWW7" s="344"/>
      <c r="SWX7" s="344"/>
      <c r="SWY7" s="344"/>
      <c r="SWZ7" s="344"/>
      <c r="SXA7" s="344"/>
      <c r="SXB7" s="344"/>
      <c r="SXC7" s="344"/>
      <c r="SXD7" s="344"/>
      <c r="SXE7" s="344"/>
      <c r="SXF7" s="344"/>
      <c r="SXG7" s="344"/>
      <c r="SXH7" s="344"/>
      <c r="SXI7" s="344"/>
      <c r="SXJ7" s="344"/>
      <c r="SXK7" s="344"/>
      <c r="SXL7" s="344"/>
      <c r="SXM7" s="344"/>
      <c r="SXN7" s="344"/>
      <c r="SXO7" s="344"/>
      <c r="SXP7" s="344"/>
      <c r="SXQ7" s="344"/>
      <c r="SXR7" s="344"/>
      <c r="SXS7" s="344"/>
      <c r="SXT7" s="344"/>
      <c r="SXU7" s="344"/>
      <c r="SXV7" s="344"/>
      <c r="SXW7" s="344"/>
      <c r="SXX7" s="344"/>
      <c r="SXY7" s="344"/>
      <c r="SXZ7" s="344"/>
      <c r="SYA7" s="344"/>
      <c r="SYB7" s="344"/>
      <c r="SYC7" s="344"/>
      <c r="SYD7" s="344"/>
      <c r="SYE7" s="344"/>
      <c r="SYF7" s="344"/>
      <c r="SYG7" s="344"/>
      <c r="SYH7" s="344"/>
      <c r="SYI7" s="344"/>
      <c r="SYJ7" s="344"/>
      <c r="SYK7" s="344"/>
      <c r="SYL7" s="344"/>
      <c r="SYM7" s="344"/>
      <c r="SYN7" s="344"/>
      <c r="SYO7" s="344"/>
      <c r="SYP7" s="344"/>
      <c r="SYQ7" s="344"/>
      <c r="SYR7" s="344"/>
      <c r="SYS7" s="344"/>
      <c r="SYT7" s="344"/>
      <c r="SYU7" s="344"/>
      <c r="SYV7" s="344"/>
      <c r="SYW7" s="344"/>
      <c r="SYX7" s="344"/>
      <c r="SYY7" s="344"/>
      <c r="SYZ7" s="344"/>
      <c r="SZA7" s="344"/>
      <c r="SZB7" s="344"/>
      <c r="SZC7" s="344"/>
      <c r="SZD7" s="344"/>
      <c r="SZE7" s="344"/>
      <c r="SZF7" s="344"/>
      <c r="SZG7" s="344"/>
      <c r="SZH7" s="344"/>
      <c r="SZI7" s="344"/>
      <c r="SZJ7" s="344"/>
      <c r="SZK7" s="344"/>
      <c r="SZL7" s="344"/>
      <c r="SZM7" s="344"/>
      <c r="SZN7" s="344"/>
      <c r="SZO7" s="344"/>
      <c r="SZP7" s="344"/>
      <c r="SZQ7" s="344"/>
      <c r="SZR7" s="344"/>
      <c r="SZS7" s="344"/>
      <c r="SZT7" s="344"/>
      <c r="SZU7" s="344"/>
      <c r="SZV7" s="344"/>
      <c r="SZW7" s="344"/>
      <c r="SZX7" s="344"/>
      <c r="SZY7" s="344"/>
      <c r="SZZ7" s="344"/>
      <c r="TAA7" s="344"/>
      <c r="TAB7" s="344"/>
      <c r="TAC7" s="344"/>
      <c r="TAD7" s="344"/>
      <c r="TAE7" s="344"/>
      <c r="TAF7" s="344"/>
      <c r="TAG7" s="344"/>
      <c r="TAH7" s="344"/>
      <c r="TAI7" s="344"/>
      <c r="TAJ7" s="344"/>
      <c r="TAK7" s="344"/>
      <c r="TAL7" s="344"/>
      <c r="TAM7" s="344"/>
      <c r="TAN7" s="344"/>
      <c r="TAO7" s="344"/>
      <c r="TAP7" s="344"/>
      <c r="TAQ7" s="344"/>
      <c r="TAR7" s="344"/>
      <c r="TAS7" s="344"/>
      <c r="TAT7" s="344"/>
      <c r="TAU7" s="344"/>
      <c r="TAV7" s="344"/>
      <c r="TAW7" s="344"/>
      <c r="TAX7" s="344"/>
      <c r="TAY7" s="344"/>
      <c r="TAZ7" s="344"/>
      <c r="TBA7" s="344"/>
      <c r="TBB7" s="344"/>
      <c r="TBC7" s="344"/>
      <c r="TBD7" s="344"/>
      <c r="TBE7" s="344"/>
      <c r="TBF7" s="344"/>
      <c r="TBG7" s="344"/>
      <c r="TBH7" s="344"/>
      <c r="TBI7" s="344"/>
      <c r="TBJ7" s="344"/>
      <c r="TBK7" s="344"/>
      <c r="TBL7" s="344"/>
      <c r="TBM7" s="344"/>
      <c r="TBN7" s="344"/>
      <c r="TBO7" s="344"/>
      <c r="TBP7" s="344"/>
      <c r="TBQ7" s="344"/>
      <c r="TBR7" s="344"/>
      <c r="TBS7" s="344"/>
      <c r="TBT7" s="344"/>
      <c r="TBU7" s="344"/>
      <c r="TBV7" s="344"/>
      <c r="TBW7" s="344"/>
      <c r="TBX7" s="344"/>
      <c r="TBY7" s="344"/>
      <c r="TBZ7" s="344"/>
      <c r="TCA7" s="344"/>
      <c r="TCB7" s="344"/>
      <c r="TCC7" s="344"/>
      <c r="TCD7" s="344"/>
      <c r="TCE7" s="344"/>
      <c r="TCF7" s="344"/>
      <c r="TCG7" s="344"/>
      <c r="TCH7" s="344"/>
      <c r="TCI7" s="344"/>
      <c r="TCJ7" s="344"/>
      <c r="TCK7" s="344"/>
      <c r="TCL7" s="344"/>
      <c r="TCM7" s="344"/>
      <c r="TCN7" s="344"/>
      <c r="TCO7" s="344"/>
      <c r="TCP7" s="344"/>
      <c r="TCQ7" s="344"/>
      <c r="TCR7" s="344"/>
      <c r="TCS7" s="344"/>
      <c r="TCT7" s="344"/>
      <c r="TCU7" s="344"/>
      <c r="TCV7" s="344"/>
      <c r="TCW7" s="344"/>
      <c r="TCX7" s="344"/>
      <c r="TCY7" s="344"/>
      <c r="TCZ7" s="344"/>
      <c r="TDA7" s="344"/>
      <c r="TDB7" s="344"/>
      <c r="TDC7" s="344"/>
      <c r="TDD7" s="344"/>
      <c r="TDE7" s="344"/>
      <c r="TDF7" s="344"/>
      <c r="TDG7" s="344"/>
      <c r="TDH7" s="344"/>
      <c r="TDI7" s="344"/>
      <c r="TDJ7" s="344"/>
      <c r="TDK7" s="344"/>
      <c r="TDL7" s="344"/>
      <c r="TDM7" s="344"/>
      <c r="TDN7" s="344"/>
      <c r="TDO7" s="344"/>
      <c r="TDP7" s="344"/>
      <c r="TDQ7" s="344"/>
      <c r="TDR7" s="344"/>
      <c r="TDS7" s="344"/>
      <c r="TDT7" s="344"/>
      <c r="TDU7" s="344"/>
      <c r="TDV7" s="344"/>
      <c r="TDW7" s="344"/>
      <c r="TDX7" s="344"/>
      <c r="TDY7" s="344"/>
      <c r="TDZ7" s="344"/>
      <c r="TEA7" s="344"/>
      <c r="TEB7" s="344"/>
      <c r="TEC7" s="344"/>
      <c r="TED7" s="344"/>
      <c r="TEE7" s="344"/>
      <c r="TEF7" s="344"/>
      <c r="TEG7" s="344"/>
      <c r="TEH7" s="344"/>
      <c r="TEI7" s="344"/>
      <c r="TEJ7" s="344"/>
      <c r="TEK7" s="344"/>
      <c r="TEL7" s="344"/>
      <c r="TEM7" s="344"/>
      <c r="TEN7" s="344"/>
      <c r="TEO7" s="344"/>
      <c r="TEP7" s="344"/>
      <c r="TEQ7" s="344"/>
      <c r="TER7" s="344"/>
      <c r="TES7" s="344"/>
      <c r="TET7" s="344"/>
      <c r="TEU7" s="344"/>
      <c r="TEV7" s="344"/>
      <c r="TEW7" s="344"/>
      <c r="TEX7" s="344"/>
      <c r="TEY7" s="344"/>
      <c r="TEZ7" s="344"/>
      <c r="TFA7" s="344"/>
      <c r="TFB7" s="344"/>
      <c r="TFC7" s="344"/>
      <c r="TFD7" s="344"/>
      <c r="TFE7" s="344"/>
      <c r="TFF7" s="344"/>
      <c r="TFG7" s="344"/>
      <c r="TFH7" s="344"/>
      <c r="TFI7" s="344"/>
      <c r="TFJ7" s="344"/>
      <c r="TFK7" s="344"/>
      <c r="TFL7" s="344"/>
      <c r="TFM7" s="344"/>
      <c r="TFN7" s="344"/>
      <c r="TFO7" s="344"/>
      <c r="TFP7" s="344"/>
      <c r="TFQ7" s="344"/>
      <c r="TFR7" s="344"/>
      <c r="TFS7" s="344"/>
      <c r="TFT7" s="344"/>
      <c r="TFU7" s="344"/>
      <c r="TFV7" s="344"/>
      <c r="TFW7" s="344"/>
      <c r="TFX7" s="344"/>
      <c r="TFY7" s="344"/>
      <c r="TFZ7" s="344"/>
      <c r="TGA7" s="344"/>
      <c r="TGB7" s="344"/>
      <c r="TGC7" s="344"/>
      <c r="TGD7" s="344"/>
      <c r="TGE7" s="344"/>
      <c r="TGF7" s="344"/>
      <c r="TGG7" s="344"/>
      <c r="TGH7" s="344"/>
      <c r="TGI7" s="344"/>
      <c r="TGJ7" s="344"/>
      <c r="TGK7" s="344"/>
      <c r="TGL7" s="344"/>
      <c r="TGM7" s="344"/>
      <c r="TGN7" s="344"/>
      <c r="TGO7" s="344"/>
      <c r="TGP7" s="344"/>
      <c r="TGQ7" s="344"/>
      <c r="TGR7" s="344"/>
      <c r="TGS7" s="344"/>
      <c r="TGT7" s="344"/>
      <c r="TGU7" s="344"/>
      <c r="TGV7" s="344"/>
      <c r="TGW7" s="344"/>
      <c r="TGX7" s="344"/>
      <c r="TGY7" s="344"/>
      <c r="TGZ7" s="344"/>
      <c r="THA7" s="344"/>
      <c r="THB7" s="344"/>
      <c r="THC7" s="344"/>
      <c r="THD7" s="344"/>
      <c r="THE7" s="344"/>
      <c r="THF7" s="344"/>
      <c r="THG7" s="344"/>
      <c r="THH7" s="344"/>
      <c r="THI7" s="344"/>
      <c r="THJ7" s="344"/>
      <c r="THK7" s="344"/>
      <c r="THL7" s="344"/>
      <c r="THM7" s="344"/>
      <c r="THN7" s="344"/>
      <c r="THO7" s="344"/>
      <c r="THP7" s="344"/>
      <c r="THQ7" s="344"/>
      <c r="THR7" s="344"/>
      <c r="THS7" s="344"/>
      <c r="THT7" s="344"/>
      <c r="THU7" s="344"/>
      <c r="THV7" s="344"/>
      <c r="THW7" s="344"/>
      <c r="THX7" s="344"/>
      <c r="THY7" s="344"/>
      <c r="THZ7" s="344"/>
      <c r="TIA7" s="344"/>
      <c r="TIB7" s="344"/>
      <c r="TIC7" s="344"/>
      <c r="TID7" s="344"/>
      <c r="TIE7" s="344"/>
      <c r="TIF7" s="344"/>
      <c r="TIG7" s="344"/>
      <c r="TIH7" s="344"/>
      <c r="TII7" s="344"/>
      <c r="TIJ7" s="344"/>
      <c r="TIK7" s="344"/>
      <c r="TIL7" s="344"/>
      <c r="TIM7" s="344"/>
      <c r="TIN7" s="344"/>
      <c r="TIO7" s="344"/>
      <c r="TIP7" s="344"/>
      <c r="TIQ7" s="344"/>
      <c r="TIR7" s="344"/>
      <c r="TIS7" s="344"/>
      <c r="TIT7" s="344"/>
      <c r="TIU7" s="344"/>
      <c r="TIV7" s="344"/>
      <c r="TIW7" s="344"/>
      <c r="TIX7" s="344"/>
      <c r="TIY7" s="344"/>
      <c r="TIZ7" s="344"/>
      <c r="TJA7" s="344"/>
      <c r="TJB7" s="344"/>
      <c r="TJC7" s="344"/>
      <c r="TJD7" s="344"/>
      <c r="TJE7" s="344"/>
      <c r="TJF7" s="344"/>
      <c r="TJG7" s="344"/>
      <c r="TJH7" s="344"/>
      <c r="TJI7" s="344"/>
      <c r="TJJ7" s="344"/>
      <c r="TJK7" s="344"/>
      <c r="TJL7" s="344"/>
      <c r="TJM7" s="344"/>
      <c r="TJN7" s="344"/>
      <c r="TJO7" s="344"/>
      <c r="TJP7" s="344"/>
      <c r="TJQ7" s="344"/>
      <c r="TJR7" s="344"/>
      <c r="TJS7" s="344"/>
      <c r="TJT7" s="344"/>
      <c r="TJU7" s="344"/>
      <c r="TJV7" s="344"/>
      <c r="TJW7" s="344"/>
      <c r="TJX7" s="344"/>
      <c r="TJY7" s="344"/>
      <c r="TJZ7" s="344"/>
      <c r="TKA7" s="344"/>
      <c r="TKB7" s="344"/>
      <c r="TKC7" s="344"/>
      <c r="TKD7" s="344"/>
      <c r="TKE7" s="344"/>
      <c r="TKF7" s="344"/>
      <c r="TKG7" s="344"/>
      <c r="TKH7" s="344"/>
      <c r="TKI7" s="344"/>
      <c r="TKJ7" s="344"/>
      <c r="TKK7" s="344"/>
      <c r="TKL7" s="344"/>
      <c r="TKM7" s="344"/>
      <c r="TKN7" s="344"/>
      <c r="TKO7" s="344"/>
      <c r="TKP7" s="344"/>
      <c r="TKQ7" s="344"/>
      <c r="TKR7" s="344"/>
      <c r="TKS7" s="344"/>
      <c r="TKT7" s="344"/>
      <c r="TKU7" s="344"/>
      <c r="TKV7" s="344"/>
      <c r="TKW7" s="344"/>
      <c r="TKX7" s="344"/>
      <c r="TKY7" s="344"/>
      <c r="TKZ7" s="344"/>
      <c r="TLA7" s="344"/>
      <c r="TLB7" s="344"/>
      <c r="TLC7" s="344"/>
      <c r="TLD7" s="344"/>
      <c r="TLE7" s="344"/>
      <c r="TLF7" s="344"/>
      <c r="TLG7" s="344"/>
      <c r="TLH7" s="344"/>
      <c r="TLI7" s="344"/>
      <c r="TLJ7" s="344"/>
      <c r="TLK7" s="344"/>
      <c r="TLL7" s="344"/>
      <c r="TLM7" s="344"/>
      <c r="TLN7" s="344"/>
      <c r="TLO7" s="344"/>
      <c r="TLP7" s="344"/>
      <c r="TLQ7" s="344"/>
      <c r="TLR7" s="344"/>
      <c r="TLS7" s="344"/>
      <c r="TLT7" s="344"/>
      <c r="TLU7" s="344"/>
      <c r="TLV7" s="344"/>
      <c r="TLW7" s="344"/>
      <c r="TLX7" s="344"/>
      <c r="TLY7" s="344"/>
      <c r="TLZ7" s="344"/>
      <c r="TMA7" s="344"/>
      <c r="TMB7" s="344"/>
      <c r="TMC7" s="344"/>
      <c r="TMD7" s="344"/>
      <c r="TME7" s="344"/>
      <c r="TMF7" s="344"/>
      <c r="TMG7" s="344"/>
      <c r="TMH7" s="344"/>
      <c r="TMI7" s="344"/>
      <c r="TMJ7" s="344"/>
      <c r="TMK7" s="344"/>
      <c r="TML7" s="344"/>
      <c r="TMM7" s="344"/>
      <c r="TMN7" s="344"/>
      <c r="TMO7" s="344"/>
      <c r="TMP7" s="344"/>
      <c r="TMQ7" s="344"/>
      <c r="TMR7" s="344"/>
      <c r="TMS7" s="344"/>
      <c r="TMT7" s="344"/>
      <c r="TMU7" s="344"/>
      <c r="TMV7" s="344"/>
      <c r="TMW7" s="344"/>
      <c r="TMX7" s="344"/>
      <c r="TMY7" s="344"/>
      <c r="TMZ7" s="344"/>
      <c r="TNA7" s="344"/>
      <c r="TNB7" s="344"/>
      <c r="TNC7" s="344"/>
      <c r="TND7" s="344"/>
      <c r="TNE7" s="344"/>
      <c r="TNF7" s="344"/>
      <c r="TNG7" s="344"/>
      <c r="TNH7" s="344"/>
      <c r="TNI7" s="344"/>
      <c r="TNJ7" s="344"/>
      <c r="TNK7" s="344"/>
      <c r="TNL7" s="344"/>
      <c r="TNM7" s="344"/>
      <c r="TNN7" s="344"/>
      <c r="TNO7" s="344"/>
      <c r="TNP7" s="344"/>
      <c r="TNQ7" s="344"/>
      <c r="TNR7" s="344"/>
      <c r="TNS7" s="344"/>
      <c r="TNT7" s="344"/>
      <c r="TNU7" s="344"/>
      <c r="TNV7" s="344"/>
      <c r="TNW7" s="344"/>
      <c r="TNX7" s="344"/>
      <c r="TNY7" s="344"/>
      <c r="TNZ7" s="344"/>
      <c r="TOA7" s="344"/>
      <c r="TOB7" s="344"/>
      <c r="TOC7" s="344"/>
      <c r="TOD7" s="344"/>
      <c r="TOE7" s="344"/>
      <c r="TOF7" s="344"/>
      <c r="TOG7" s="344"/>
      <c r="TOH7" s="344"/>
      <c r="TOI7" s="344"/>
      <c r="TOJ7" s="344"/>
      <c r="TOK7" s="344"/>
      <c r="TOL7" s="344"/>
      <c r="TOM7" s="344"/>
      <c r="TON7" s="344"/>
      <c r="TOO7" s="344"/>
      <c r="TOP7" s="344"/>
      <c r="TOQ7" s="344"/>
      <c r="TOR7" s="344"/>
      <c r="TOS7" s="344"/>
      <c r="TOT7" s="344"/>
      <c r="TOU7" s="344"/>
      <c r="TOV7" s="344"/>
      <c r="TOW7" s="344"/>
      <c r="TOX7" s="344"/>
      <c r="TOY7" s="344"/>
      <c r="TOZ7" s="344"/>
      <c r="TPA7" s="344"/>
      <c r="TPB7" s="344"/>
      <c r="TPC7" s="344"/>
      <c r="TPD7" s="344"/>
      <c r="TPE7" s="344"/>
      <c r="TPF7" s="344"/>
      <c r="TPG7" s="344"/>
      <c r="TPH7" s="344"/>
      <c r="TPI7" s="344"/>
      <c r="TPJ7" s="344"/>
      <c r="TPK7" s="344"/>
      <c r="TPL7" s="344"/>
      <c r="TPM7" s="344"/>
      <c r="TPN7" s="344"/>
      <c r="TPO7" s="344"/>
      <c r="TPP7" s="344"/>
      <c r="TPQ7" s="344"/>
      <c r="TPR7" s="344"/>
      <c r="TPS7" s="344"/>
      <c r="TPT7" s="344"/>
      <c r="TPU7" s="344"/>
      <c r="TPV7" s="344"/>
      <c r="TPW7" s="344"/>
      <c r="TPX7" s="344"/>
      <c r="TPY7" s="344"/>
      <c r="TPZ7" s="344"/>
      <c r="TQA7" s="344"/>
      <c r="TQB7" s="344"/>
      <c r="TQC7" s="344"/>
      <c r="TQD7" s="344"/>
      <c r="TQE7" s="344"/>
      <c r="TQF7" s="344"/>
      <c r="TQG7" s="344"/>
      <c r="TQH7" s="344"/>
      <c r="TQI7" s="344"/>
      <c r="TQJ7" s="344"/>
      <c r="TQK7" s="344"/>
      <c r="TQL7" s="344"/>
      <c r="TQM7" s="344"/>
      <c r="TQN7" s="344"/>
      <c r="TQO7" s="344"/>
      <c r="TQP7" s="344"/>
      <c r="TQQ7" s="344"/>
      <c r="TQR7" s="344"/>
      <c r="TQS7" s="344"/>
      <c r="TQT7" s="344"/>
      <c r="TQU7" s="344"/>
      <c r="TQV7" s="344"/>
      <c r="TQW7" s="344"/>
      <c r="TQX7" s="344"/>
      <c r="TQY7" s="344"/>
      <c r="TQZ7" s="344"/>
      <c r="TRA7" s="344"/>
      <c r="TRB7" s="344"/>
      <c r="TRC7" s="344"/>
      <c r="TRD7" s="344"/>
      <c r="TRE7" s="344"/>
      <c r="TRF7" s="344"/>
      <c r="TRG7" s="344"/>
      <c r="TRH7" s="344"/>
      <c r="TRI7" s="344"/>
      <c r="TRJ7" s="344"/>
      <c r="TRK7" s="344"/>
      <c r="TRL7" s="344"/>
      <c r="TRM7" s="344"/>
      <c r="TRN7" s="344"/>
      <c r="TRO7" s="344"/>
      <c r="TRP7" s="344"/>
      <c r="TRQ7" s="344"/>
      <c r="TRR7" s="344"/>
      <c r="TRS7" s="344"/>
      <c r="TRT7" s="344"/>
      <c r="TRU7" s="344"/>
      <c r="TRV7" s="344"/>
      <c r="TRW7" s="344"/>
      <c r="TRX7" s="344"/>
      <c r="TRY7" s="344"/>
      <c r="TRZ7" s="344"/>
      <c r="TSA7" s="344"/>
      <c r="TSB7" s="344"/>
      <c r="TSC7" s="344"/>
      <c r="TSD7" s="344"/>
      <c r="TSE7" s="344"/>
      <c r="TSF7" s="344"/>
      <c r="TSG7" s="344"/>
      <c r="TSH7" s="344"/>
      <c r="TSI7" s="344"/>
      <c r="TSJ7" s="344"/>
      <c r="TSK7" s="344"/>
      <c r="TSL7" s="344"/>
      <c r="TSM7" s="344"/>
      <c r="TSN7" s="344"/>
      <c r="TSO7" s="344"/>
      <c r="TSP7" s="344"/>
      <c r="TSQ7" s="344"/>
      <c r="TSR7" s="344"/>
      <c r="TSS7" s="344"/>
      <c r="TST7" s="344"/>
      <c r="TSU7" s="344"/>
      <c r="TSV7" s="344"/>
      <c r="TSW7" s="344"/>
      <c r="TSX7" s="344"/>
      <c r="TSY7" s="344"/>
      <c r="TSZ7" s="344"/>
      <c r="TTA7" s="344"/>
      <c r="TTB7" s="344"/>
      <c r="TTC7" s="344"/>
      <c r="TTD7" s="344"/>
      <c r="TTE7" s="344"/>
      <c r="TTF7" s="344"/>
      <c r="TTG7" s="344"/>
      <c r="TTH7" s="344"/>
      <c r="TTI7" s="344"/>
      <c r="TTJ7" s="344"/>
      <c r="TTK7" s="344"/>
      <c r="TTL7" s="344"/>
      <c r="TTM7" s="344"/>
      <c r="TTN7" s="344"/>
      <c r="TTO7" s="344"/>
      <c r="TTP7" s="344"/>
      <c r="TTQ7" s="344"/>
      <c r="TTR7" s="344"/>
      <c r="TTS7" s="344"/>
      <c r="TTT7" s="344"/>
      <c r="TTU7" s="344"/>
      <c r="TTV7" s="344"/>
      <c r="TTW7" s="344"/>
      <c r="TTX7" s="344"/>
      <c r="TTY7" s="344"/>
      <c r="TTZ7" s="344"/>
      <c r="TUA7" s="344"/>
      <c r="TUB7" s="344"/>
      <c r="TUC7" s="344"/>
      <c r="TUD7" s="344"/>
      <c r="TUE7" s="344"/>
      <c r="TUF7" s="344"/>
      <c r="TUG7" s="344"/>
      <c r="TUH7" s="344"/>
      <c r="TUI7" s="344"/>
      <c r="TUJ7" s="344"/>
      <c r="TUK7" s="344"/>
      <c r="TUL7" s="344"/>
      <c r="TUM7" s="344"/>
      <c r="TUN7" s="344"/>
      <c r="TUO7" s="344"/>
      <c r="TUP7" s="344"/>
      <c r="TUQ7" s="344"/>
      <c r="TUR7" s="344"/>
      <c r="TUS7" s="344"/>
      <c r="TUT7" s="344"/>
      <c r="TUU7" s="344"/>
      <c r="TUV7" s="344"/>
      <c r="TUW7" s="344"/>
      <c r="TUX7" s="344"/>
      <c r="TUY7" s="344"/>
      <c r="TUZ7" s="344"/>
      <c r="TVA7" s="344"/>
      <c r="TVB7" s="344"/>
      <c r="TVC7" s="344"/>
      <c r="TVD7" s="344"/>
      <c r="TVE7" s="344"/>
      <c r="TVF7" s="344"/>
      <c r="TVG7" s="344"/>
      <c r="TVH7" s="344"/>
      <c r="TVI7" s="344"/>
      <c r="TVJ7" s="344"/>
      <c r="TVK7" s="344"/>
      <c r="TVL7" s="344"/>
      <c r="TVM7" s="344"/>
      <c r="TVN7" s="344"/>
      <c r="TVO7" s="344"/>
      <c r="TVP7" s="344"/>
      <c r="TVQ7" s="344"/>
      <c r="TVR7" s="344"/>
      <c r="TVS7" s="344"/>
      <c r="TVT7" s="344"/>
      <c r="TVU7" s="344"/>
      <c r="TVV7" s="344"/>
      <c r="TVW7" s="344"/>
      <c r="TVX7" s="344"/>
      <c r="TVY7" s="344"/>
      <c r="TVZ7" s="344"/>
      <c r="TWA7" s="344"/>
      <c r="TWB7" s="344"/>
      <c r="TWC7" s="344"/>
      <c r="TWD7" s="344"/>
      <c r="TWE7" s="344"/>
      <c r="TWF7" s="344"/>
      <c r="TWG7" s="344"/>
      <c r="TWH7" s="344"/>
      <c r="TWI7" s="344"/>
      <c r="TWJ7" s="344"/>
      <c r="TWK7" s="344"/>
      <c r="TWL7" s="344"/>
      <c r="TWM7" s="344"/>
      <c r="TWN7" s="344"/>
      <c r="TWO7" s="344"/>
      <c r="TWP7" s="344"/>
      <c r="TWQ7" s="344"/>
      <c r="TWR7" s="344"/>
      <c r="TWS7" s="344"/>
      <c r="TWT7" s="344"/>
      <c r="TWU7" s="344"/>
      <c r="TWV7" s="344"/>
      <c r="TWW7" s="344"/>
      <c r="TWX7" s="344"/>
      <c r="TWY7" s="344"/>
      <c r="TWZ7" s="344"/>
      <c r="TXA7" s="344"/>
      <c r="TXB7" s="344"/>
      <c r="TXC7" s="344"/>
      <c r="TXD7" s="344"/>
      <c r="TXE7" s="344"/>
      <c r="TXF7" s="344"/>
      <c r="TXG7" s="344"/>
      <c r="TXH7" s="344"/>
      <c r="TXI7" s="344"/>
      <c r="TXJ7" s="344"/>
      <c r="TXK7" s="344"/>
      <c r="TXL7" s="344"/>
      <c r="TXM7" s="344"/>
      <c r="TXN7" s="344"/>
      <c r="TXO7" s="344"/>
      <c r="TXP7" s="344"/>
      <c r="TXQ7" s="344"/>
      <c r="TXR7" s="344"/>
      <c r="TXS7" s="344"/>
      <c r="TXT7" s="344"/>
      <c r="TXU7" s="344"/>
      <c r="TXV7" s="344"/>
      <c r="TXW7" s="344"/>
      <c r="TXX7" s="344"/>
      <c r="TXY7" s="344"/>
      <c r="TXZ7" s="344"/>
      <c r="TYA7" s="344"/>
      <c r="TYB7" s="344"/>
      <c r="TYC7" s="344"/>
      <c r="TYD7" s="344"/>
      <c r="TYE7" s="344"/>
      <c r="TYF7" s="344"/>
      <c r="TYG7" s="344"/>
      <c r="TYH7" s="344"/>
      <c r="TYI7" s="344"/>
      <c r="TYJ7" s="344"/>
      <c r="TYK7" s="344"/>
      <c r="TYL7" s="344"/>
      <c r="TYM7" s="344"/>
      <c r="TYN7" s="344"/>
      <c r="TYO7" s="344"/>
      <c r="TYP7" s="344"/>
      <c r="TYQ7" s="344"/>
      <c r="TYR7" s="344"/>
      <c r="TYS7" s="344"/>
      <c r="TYT7" s="344"/>
      <c r="TYU7" s="344"/>
      <c r="TYV7" s="344"/>
      <c r="TYW7" s="344"/>
      <c r="TYX7" s="344"/>
      <c r="TYY7" s="344"/>
      <c r="TYZ7" s="344"/>
      <c r="TZA7" s="344"/>
      <c r="TZB7" s="344"/>
      <c r="TZC7" s="344"/>
      <c r="TZD7" s="344"/>
      <c r="TZE7" s="344"/>
      <c r="TZF7" s="344"/>
      <c r="TZG7" s="344"/>
      <c r="TZH7" s="344"/>
      <c r="TZI7" s="344"/>
      <c r="TZJ7" s="344"/>
      <c r="TZK7" s="344"/>
      <c r="TZL7" s="344"/>
      <c r="TZM7" s="344"/>
      <c r="TZN7" s="344"/>
      <c r="TZO7" s="344"/>
      <c r="TZP7" s="344"/>
      <c r="TZQ7" s="344"/>
      <c r="TZR7" s="344"/>
      <c r="TZS7" s="344"/>
      <c r="TZT7" s="344"/>
      <c r="TZU7" s="344"/>
      <c r="TZV7" s="344"/>
      <c r="TZW7" s="344"/>
      <c r="TZX7" s="344"/>
      <c r="TZY7" s="344"/>
      <c r="TZZ7" s="344"/>
      <c r="UAA7" s="344"/>
      <c r="UAB7" s="344"/>
      <c r="UAC7" s="344"/>
      <c r="UAD7" s="344"/>
      <c r="UAE7" s="344"/>
      <c r="UAF7" s="344"/>
      <c r="UAG7" s="344"/>
      <c r="UAH7" s="344"/>
      <c r="UAI7" s="344"/>
      <c r="UAJ7" s="344"/>
      <c r="UAK7" s="344"/>
      <c r="UAL7" s="344"/>
      <c r="UAM7" s="344"/>
      <c r="UAN7" s="344"/>
      <c r="UAO7" s="344"/>
      <c r="UAP7" s="344"/>
      <c r="UAQ7" s="344"/>
      <c r="UAR7" s="344"/>
      <c r="UAS7" s="344"/>
      <c r="UAT7" s="344"/>
      <c r="UAU7" s="344"/>
      <c r="UAV7" s="344"/>
      <c r="UAW7" s="344"/>
      <c r="UAX7" s="344"/>
      <c r="UAY7" s="344"/>
      <c r="UAZ7" s="344"/>
      <c r="UBA7" s="344"/>
      <c r="UBB7" s="344"/>
      <c r="UBC7" s="344"/>
      <c r="UBD7" s="344"/>
      <c r="UBE7" s="344"/>
      <c r="UBF7" s="344"/>
      <c r="UBG7" s="344"/>
      <c r="UBH7" s="344"/>
      <c r="UBI7" s="344"/>
      <c r="UBJ7" s="344"/>
      <c r="UBK7" s="344"/>
      <c r="UBL7" s="344"/>
      <c r="UBM7" s="344"/>
      <c r="UBN7" s="344"/>
      <c r="UBO7" s="344"/>
      <c r="UBP7" s="344"/>
      <c r="UBQ7" s="344"/>
      <c r="UBR7" s="344"/>
      <c r="UBS7" s="344"/>
      <c r="UBT7" s="344"/>
      <c r="UBU7" s="344"/>
      <c r="UBV7" s="344"/>
      <c r="UBW7" s="344"/>
      <c r="UBX7" s="344"/>
      <c r="UBY7" s="344"/>
      <c r="UBZ7" s="344"/>
      <c r="UCA7" s="344"/>
      <c r="UCB7" s="344"/>
      <c r="UCC7" s="344"/>
      <c r="UCD7" s="344"/>
      <c r="UCE7" s="344"/>
      <c r="UCF7" s="344"/>
      <c r="UCG7" s="344"/>
      <c r="UCH7" s="344"/>
      <c r="UCI7" s="344"/>
      <c r="UCJ7" s="344"/>
      <c r="UCK7" s="344"/>
      <c r="UCL7" s="344"/>
      <c r="UCM7" s="344"/>
      <c r="UCN7" s="344"/>
      <c r="UCO7" s="344"/>
      <c r="UCP7" s="344"/>
      <c r="UCQ7" s="344"/>
      <c r="UCR7" s="344"/>
      <c r="UCS7" s="344"/>
      <c r="UCT7" s="344"/>
      <c r="UCU7" s="344"/>
      <c r="UCV7" s="344"/>
      <c r="UCW7" s="344"/>
      <c r="UCX7" s="344"/>
      <c r="UCY7" s="344"/>
      <c r="UCZ7" s="344"/>
      <c r="UDA7" s="344"/>
      <c r="UDB7" s="344"/>
      <c r="UDC7" s="344"/>
      <c r="UDD7" s="344"/>
      <c r="UDE7" s="344"/>
      <c r="UDF7" s="344"/>
      <c r="UDG7" s="344"/>
      <c r="UDH7" s="344"/>
      <c r="UDI7" s="344"/>
      <c r="UDJ7" s="344"/>
      <c r="UDK7" s="344"/>
      <c r="UDL7" s="344"/>
      <c r="UDM7" s="344"/>
      <c r="UDN7" s="344"/>
      <c r="UDO7" s="344"/>
      <c r="UDP7" s="344"/>
      <c r="UDQ7" s="344"/>
      <c r="UDR7" s="344"/>
      <c r="UDS7" s="344"/>
      <c r="UDT7" s="344"/>
      <c r="UDU7" s="344"/>
      <c r="UDV7" s="344"/>
      <c r="UDW7" s="344"/>
      <c r="UDX7" s="344"/>
      <c r="UDY7" s="344"/>
      <c r="UDZ7" s="344"/>
      <c r="UEA7" s="344"/>
      <c r="UEB7" s="344"/>
      <c r="UEC7" s="344"/>
      <c r="UED7" s="344"/>
      <c r="UEE7" s="344"/>
      <c r="UEF7" s="344"/>
      <c r="UEG7" s="344"/>
      <c r="UEH7" s="344"/>
      <c r="UEI7" s="344"/>
      <c r="UEJ7" s="344"/>
      <c r="UEK7" s="344"/>
      <c r="UEL7" s="344"/>
      <c r="UEM7" s="344"/>
      <c r="UEN7" s="344"/>
      <c r="UEO7" s="344"/>
      <c r="UEP7" s="344"/>
      <c r="UEQ7" s="344"/>
      <c r="UER7" s="344"/>
      <c r="UES7" s="344"/>
      <c r="UET7" s="344"/>
      <c r="UEU7" s="344"/>
      <c r="UEV7" s="344"/>
      <c r="UEW7" s="344"/>
      <c r="UEX7" s="344"/>
      <c r="UEY7" s="344"/>
      <c r="UEZ7" s="344"/>
      <c r="UFA7" s="344"/>
      <c r="UFB7" s="344"/>
      <c r="UFC7" s="344"/>
      <c r="UFD7" s="344"/>
      <c r="UFE7" s="344"/>
      <c r="UFF7" s="344"/>
      <c r="UFG7" s="344"/>
      <c r="UFH7" s="344"/>
      <c r="UFI7" s="344"/>
      <c r="UFJ7" s="344"/>
      <c r="UFK7" s="344"/>
      <c r="UFL7" s="344"/>
      <c r="UFM7" s="344"/>
      <c r="UFN7" s="344"/>
      <c r="UFO7" s="344"/>
      <c r="UFP7" s="344"/>
      <c r="UFQ7" s="344"/>
      <c r="UFR7" s="344"/>
      <c r="UFS7" s="344"/>
      <c r="UFT7" s="344"/>
      <c r="UFU7" s="344"/>
      <c r="UFV7" s="344"/>
      <c r="UFW7" s="344"/>
      <c r="UFX7" s="344"/>
      <c r="UFY7" s="344"/>
      <c r="UFZ7" s="344"/>
      <c r="UGA7" s="344"/>
      <c r="UGB7" s="344"/>
      <c r="UGC7" s="344"/>
      <c r="UGD7" s="344"/>
      <c r="UGE7" s="344"/>
      <c r="UGF7" s="344"/>
      <c r="UGG7" s="344"/>
      <c r="UGH7" s="344"/>
      <c r="UGI7" s="344"/>
      <c r="UGJ7" s="344"/>
      <c r="UGK7" s="344"/>
      <c r="UGL7" s="344"/>
      <c r="UGM7" s="344"/>
      <c r="UGN7" s="344"/>
      <c r="UGO7" s="344"/>
      <c r="UGP7" s="344"/>
      <c r="UGQ7" s="344"/>
      <c r="UGR7" s="344"/>
      <c r="UGS7" s="344"/>
      <c r="UGT7" s="344"/>
      <c r="UGU7" s="344"/>
      <c r="UGV7" s="344"/>
      <c r="UGW7" s="344"/>
      <c r="UGX7" s="344"/>
      <c r="UGY7" s="344"/>
      <c r="UGZ7" s="344"/>
      <c r="UHA7" s="344"/>
      <c r="UHB7" s="344"/>
      <c r="UHC7" s="344"/>
      <c r="UHD7" s="344"/>
      <c r="UHE7" s="344"/>
      <c r="UHF7" s="344"/>
      <c r="UHG7" s="344"/>
      <c r="UHH7" s="344"/>
      <c r="UHI7" s="344"/>
      <c r="UHJ7" s="344"/>
      <c r="UHK7" s="344"/>
      <c r="UHL7" s="344"/>
      <c r="UHM7" s="344"/>
      <c r="UHN7" s="344"/>
      <c r="UHO7" s="344"/>
      <c r="UHP7" s="344"/>
      <c r="UHQ7" s="344"/>
      <c r="UHR7" s="344"/>
      <c r="UHS7" s="344"/>
      <c r="UHT7" s="344"/>
      <c r="UHU7" s="344"/>
      <c r="UHV7" s="344"/>
      <c r="UHW7" s="344"/>
      <c r="UHX7" s="344"/>
      <c r="UHY7" s="344"/>
      <c r="UHZ7" s="344"/>
      <c r="UIA7" s="344"/>
      <c r="UIB7" s="344"/>
      <c r="UIC7" s="344"/>
      <c r="UID7" s="344"/>
      <c r="UIE7" s="344"/>
      <c r="UIF7" s="344"/>
      <c r="UIG7" s="344"/>
      <c r="UIH7" s="344"/>
      <c r="UII7" s="344"/>
      <c r="UIJ7" s="344"/>
      <c r="UIK7" s="344"/>
      <c r="UIL7" s="344"/>
      <c r="UIM7" s="344"/>
      <c r="UIN7" s="344"/>
      <c r="UIO7" s="344"/>
      <c r="UIP7" s="344"/>
      <c r="UIQ7" s="344"/>
      <c r="UIR7" s="344"/>
      <c r="UIS7" s="344"/>
      <c r="UIT7" s="344"/>
      <c r="UIU7" s="344"/>
      <c r="UIV7" s="344"/>
      <c r="UIW7" s="344"/>
      <c r="UIX7" s="344"/>
      <c r="UIY7" s="344"/>
      <c r="UIZ7" s="344"/>
      <c r="UJA7" s="344"/>
      <c r="UJB7" s="344"/>
      <c r="UJC7" s="344"/>
      <c r="UJD7" s="344"/>
      <c r="UJE7" s="344"/>
      <c r="UJF7" s="344"/>
      <c r="UJG7" s="344"/>
      <c r="UJH7" s="344"/>
      <c r="UJI7" s="344"/>
      <c r="UJJ7" s="344"/>
      <c r="UJK7" s="344"/>
      <c r="UJL7" s="344"/>
      <c r="UJM7" s="344"/>
      <c r="UJN7" s="344"/>
      <c r="UJO7" s="344"/>
      <c r="UJP7" s="344"/>
      <c r="UJQ7" s="344"/>
      <c r="UJR7" s="344"/>
      <c r="UJS7" s="344"/>
      <c r="UJT7" s="344"/>
      <c r="UJU7" s="344"/>
      <c r="UJV7" s="344"/>
      <c r="UJW7" s="344"/>
      <c r="UJX7" s="344"/>
      <c r="UJY7" s="344"/>
      <c r="UJZ7" s="344"/>
      <c r="UKA7" s="344"/>
      <c r="UKB7" s="344"/>
      <c r="UKC7" s="344"/>
      <c r="UKD7" s="344"/>
      <c r="UKE7" s="344"/>
      <c r="UKF7" s="344"/>
      <c r="UKG7" s="344"/>
      <c r="UKH7" s="344"/>
      <c r="UKI7" s="344"/>
      <c r="UKJ7" s="344"/>
      <c r="UKK7" s="344"/>
      <c r="UKL7" s="344"/>
      <c r="UKM7" s="344"/>
      <c r="UKN7" s="344"/>
      <c r="UKO7" s="344"/>
      <c r="UKP7" s="344"/>
      <c r="UKQ7" s="344"/>
      <c r="UKR7" s="344"/>
      <c r="UKS7" s="344"/>
      <c r="UKT7" s="344"/>
      <c r="UKU7" s="344"/>
      <c r="UKV7" s="344"/>
      <c r="UKW7" s="344"/>
      <c r="UKX7" s="344"/>
      <c r="UKY7" s="344"/>
      <c r="UKZ7" s="344"/>
      <c r="ULA7" s="344"/>
      <c r="ULB7" s="344"/>
      <c r="ULC7" s="344"/>
      <c r="ULD7" s="344"/>
      <c r="ULE7" s="344"/>
      <c r="ULF7" s="344"/>
      <c r="ULG7" s="344"/>
      <c r="ULH7" s="344"/>
      <c r="ULI7" s="344"/>
      <c r="ULJ7" s="344"/>
      <c r="ULK7" s="344"/>
      <c r="ULL7" s="344"/>
      <c r="ULM7" s="344"/>
      <c r="ULN7" s="344"/>
      <c r="ULO7" s="344"/>
      <c r="ULP7" s="344"/>
      <c r="ULQ7" s="344"/>
      <c r="ULR7" s="344"/>
      <c r="ULS7" s="344"/>
      <c r="ULT7" s="344"/>
      <c r="ULU7" s="344"/>
      <c r="ULV7" s="344"/>
      <c r="ULW7" s="344"/>
      <c r="ULX7" s="344"/>
      <c r="ULY7" s="344"/>
      <c r="ULZ7" s="344"/>
      <c r="UMA7" s="344"/>
      <c r="UMB7" s="344"/>
      <c r="UMC7" s="344"/>
      <c r="UMD7" s="344"/>
      <c r="UME7" s="344"/>
      <c r="UMF7" s="344"/>
      <c r="UMG7" s="344"/>
      <c r="UMH7" s="344"/>
      <c r="UMI7" s="344"/>
      <c r="UMJ7" s="344"/>
      <c r="UMK7" s="344"/>
      <c r="UML7" s="344"/>
      <c r="UMM7" s="344"/>
      <c r="UMN7" s="344"/>
      <c r="UMO7" s="344"/>
      <c r="UMP7" s="344"/>
      <c r="UMQ7" s="344"/>
      <c r="UMR7" s="344"/>
      <c r="UMS7" s="344"/>
      <c r="UMT7" s="344"/>
      <c r="UMU7" s="344"/>
      <c r="UMV7" s="344"/>
      <c r="UMW7" s="344"/>
      <c r="UMX7" s="344"/>
      <c r="UMY7" s="344"/>
      <c r="UMZ7" s="344"/>
      <c r="UNA7" s="344"/>
      <c r="UNB7" s="344"/>
      <c r="UNC7" s="344"/>
      <c r="UND7" s="344"/>
      <c r="UNE7" s="344"/>
      <c r="UNF7" s="344"/>
      <c r="UNG7" s="344"/>
      <c r="UNH7" s="344"/>
      <c r="UNI7" s="344"/>
      <c r="UNJ7" s="344"/>
      <c r="UNK7" s="344"/>
      <c r="UNL7" s="344"/>
      <c r="UNM7" s="344"/>
      <c r="UNN7" s="344"/>
      <c r="UNO7" s="344"/>
      <c r="UNP7" s="344"/>
      <c r="UNQ7" s="344"/>
      <c r="UNR7" s="344"/>
      <c r="UNS7" s="344"/>
      <c r="UNT7" s="344"/>
      <c r="UNU7" s="344"/>
      <c r="UNV7" s="344"/>
      <c r="UNW7" s="344"/>
      <c r="UNX7" s="344"/>
      <c r="UNY7" s="344"/>
      <c r="UNZ7" s="344"/>
      <c r="UOA7" s="344"/>
      <c r="UOB7" s="344"/>
      <c r="UOC7" s="344"/>
      <c r="UOD7" s="344"/>
      <c r="UOE7" s="344"/>
      <c r="UOF7" s="344"/>
      <c r="UOG7" s="344"/>
      <c r="UOH7" s="344"/>
      <c r="UOI7" s="344"/>
      <c r="UOJ7" s="344"/>
      <c r="UOK7" s="344"/>
      <c r="UOL7" s="344"/>
      <c r="UOM7" s="344"/>
      <c r="UON7" s="344"/>
      <c r="UOO7" s="344"/>
      <c r="UOP7" s="344"/>
      <c r="UOQ7" s="344"/>
      <c r="UOR7" s="344"/>
      <c r="UOS7" s="344"/>
      <c r="UOT7" s="344"/>
      <c r="UOU7" s="344"/>
      <c r="UOV7" s="344"/>
      <c r="UOW7" s="344"/>
      <c r="UOX7" s="344"/>
      <c r="UOY7" s="344"/>
      <c r="UOZ7" s="344"/>
      <c r="UPA7" s="344"/>
      <c r="UPB7" s="344"/>
      <c r="UPC7" s="344"/>
      <c r="UPD7" s="344"/>
      <c r="UPE7" s="344"/>
      <c r="UPF7" s="344"/>
      <c r="UPG7" s="344"/>
      <c r="UPH7" s="344"/>
      <c r="UPI7" s="344"/>
      <c r="UPJ7" s="344"/>
      <c r="UPK7" s="344"/>
      <c r="UPL7" s="344"/>
      <c r="UPM7" s="344"/>
      <c r="UPN7" s="344"/>
      <c r="UPO7" s="344"/>
      <c r="UPP7" s="344"/>
      <c r="UPQ7" s="344"/>
      <c r="UPR7" s="344"/>
      <c r="UPS7" s="344"/>
      <c r="UPT7" s="344"/>
      <c r="UPU7" s="344"/>
      <c r="UPV7" s="344"/>
      <c r="UPW7" s="344"/>
      <c r="UPX7" s="344"/>
      <c r="UPY7" s="344"/>
      <c r="UPZ7" s="344"/>
      <c r="UQA7" s="344"/>
      <c r="UQB7" s="344"/>
      <c r="UQC7" s="344"/>
      <c r="UQD7" s="344"/>
      <c r="UQE7" s="344"/>
      <c r="UQF7" s="344"/>
      <c r="UQG7" s="344"/>
      <c r="UQH7" s="344"/>
      <c r="UQI7" s="344"/>
      <c r="UQJ7" s="344"/>
      <c r="UQK7" s="344"/>
      <c r="UQL7" s="344"/>
      <c r="UQM7" s="344"/>
      <c r="UQN7" s="344"/>
      <c r="UQO7" s="344"/>
      <c r="UQP7" s="344"/>
      <c r="UQQ7" s="344"/>
      <c r="UQR7" s="344"/>
      <c r="UQS7" s="344"/>
      <c r="UQT7" s="344"/>
      <c r="UQU7" s="344"/>
      <c r="UQV7" s="344"/>
      <c r="UQW7" s="344"/>
      <c r="UQX7" s="344"/>
      <c r="UQY7" s="344"/>
      <c r="UQZ7" s="344"/>
      <c r="URA7" s="344"/>
      <c r="URB7" s="344"/>
      <c r="URC7" s="344"/>
      <c r="URD7" s="344"/>
      <c r="URE7" s="344"/>
      <c r="URF7" s="344"/>
      <c r="URG7" s="344"/>
      <c r="URH7" s="344"/>
      <c r="URI7" s="344"/>
      <c r="URJ7" s="344"/>
      <c r="URK7" s="344"/>
      <c r="URL7" s="344"/>
      <c r="URM7" s="344"/>
      <c r="URN7" s="344"/>
      <c r="URO7" s="344"/>
      <c r="URP7" s="344"/>
      <c r="URQ7" s="344"/>
      <c r="URR7" s="344"/>
      <c r="URS7" s="344"/>
      <c r="URT7" s="344"/>
      <c r="URU7" s="344"/>
      <c r="URV7" s="344"/>
      <c r="URW7" s="344"/>
      <c r="URX7" s="344"/>
      <c r="URY7" s="344"/>
      <c r="URZ7" s="344"/>
      <c r="USA7" s="344"/>
      <c r="USB7" s="344"/>
      <c r="USC7" s="344"/>
      <c r="USD7" s="344"/>
      <c r="USE7" s="344"/>
      <c r="USF7" s="344"/>
      <c r="USG7" s="344"/>
      <c r="USH7" s="344"/>
      <c r="USI7" s="344"/>
      <c r="USJ7" s="344"/>
      <c r="USK7" s="344"/>
      <c r="USL7" s="344"/>
      <c r="USM7" s="344"/>
      <c r="USN7" s="344"/>
      <c r="USO7" s="344"/>
      <c r="USP7" s="344"/>
      <c r="USQ7" s="344"/>
      <c r="USR7" s="344"/>
      <c r="USS7" s="344"/>
      <c r="UST7" s="344"/>
      <c r="USU7" s="344"/>
      <c r="USV7" s="344"/>
      <c r="USW7" s="344"/>
      <c r="USX7" s="344"/>
      <c r="USY7" s="344"/>
      <c r="USZ7" s="344"/>
      <c r="UTA7" s="344"/>
      <c r="UTB7" s="344"/>
      <c r="UTC7" s="344"/>
      <c r="UTD7" s="344"/>
      <c r="UTE7" s="344"/>
      <c r="UTF7" s="344"/>
      <c r="UTG7" s="344"/>
      <c r="UTH7" s="344"/>
      <c r="UTI7" s="344"/>
      <c r="UTJ7" s="344"/>
      <c r="UTK7" s="344"/>
      <c r="UTL7" s="344"/>
      <c r="UTM7" s="344"/>
      <c r="UTN7" s="344"/>
      <c r="UTO7" s="344"/>
      <c r="UTP7" s="344"/>
      <c r="UTQ7" s="344"/>
      <c r="UTR7" s="344"/>
      <c r="UTS7" s="344"/>
      <c r="UTT7" s="344"/>
      <c r="UTU7" s="344"/>
      <c r="UTV7" s="344"/>
      <c r="UTW7" s="344"/>
      <c r="UTX7" s="344"/>
      <c r="UTY7" s="344"/>
      <c r="UTZ7" s="344"/>
      <c r="UUA7" s="344"/>
      <c r="UUB7" s="344"/>
      <c r="UUC7" s="344"/>
      <c r="UUD7" s="344"/>
      <c r="UUE7" s="344"/>
      <c r="UUF7" s="344"/>
      <c r="UUG7" s="344"/>
      <c r="UUH7" s="344"/>
      <c r="UUI7" s="344"/>
      <c r="UUJ7" s="344"/>
      <c r="UUK7" s="344"/>
      <c r="UUL7" s="344"/>
      <c r="UUM7" s="344"/>
      <c r="UUN7" s="344"/>
      <c r="UUO7" s="344"/>
      <c r="UUP7" s="344"/>
      <c r="UUQ7" s="344"/>
      <c r="UUR7" s="344"/>
      <c r="UUS7" s="344"/>
      <c r="UUT7" s="344"/>
      <c r="UUU7" s="344"/>
      <c r="UUV7" s="344"/>
      <c r="UUW7" s="344"/>
      <c r="UUX7" s="344"/>
      <c r="UUY7" s="344"/>
      <c r="UUZ7" s="344"/>
      <c r="UVA7" s="344"/>
      <c r="UVB7" s="344"/>
      <c r="UVC7" s="344"/>
      <c r="UVD7" s="344"/>
      <c r="UVE7" s="344"/>
      <c r="UVF7" s="344"/>
      <c r="UVG7" s="344"/>
      <c r="UVH7" s="344"/>
      <c r="UVI7" s="344"/>
      <c r="UVJ7" s="344"/>
      <c r="UVK7" s="344"/>
      <c r="UVL7" s="344"/>
      <c r="UVM7" s="344"/>
      <c r="UVN7" s="344"/>
      <c r="UVO7" s="344"/>
      <c r="UVP7" s="344"/>
      <c r="UVQ7" s="344"/>
      <c r="UVR7" s="344"/>
      <c r="UVS7" s="344"/>
      <c r="UVT7" s="344"/>
      <c r="UVU7" s="344"/>
      <c r="UVV7" s="344"/>
      <c r="UVW7" s="344"/>
      <c r="UVX7" s="344"/>
      <c r="UVY7" s="344"/>
      <c r="UVZ7" s="344"/>
      <c r="UWA7" s="344"/>
      <c r="UWB7" s="344"/>
      <c r="UWC7" s="344"/>
      <c r="UWD7" s="344"/>
      <c r="UWE7" s="344"/>
      <c r="UWF7" s="344"/>
      <c r="UWG7" s="344"/>
      <c r="UWH7" s="344"/>
      <c r="UWI7" s="344"/>
      <c r="UWJ7" s="344"/>
      <c r="UWK7" s="344"/>
      <c r="UWL7" s="344"/>
      <c r="UWM7" s="344"/>
      <c r="UWN7" s="344"/>
      <c r="UWO7" s="344"/>
      <c r="UWP7" s="344"/>
      <c r="UWQ7" s="344"/>
      <c r="UWR7" s="344"/>
      <c r="UWS7" s="344"/>
      <c r="UWT7" s="344"/>
      <c r="UWU7" s="344"/>
      <c r="UWV7" s="344"/>
      <c r="UWW7" s="344"/>
      <c r="UWX7" s="344"/>
      <c r="UWY7" s="344"/>
      <c r="UWZ7" s="344"/>
      <c r="UXA7" s="344"/>
      <c r="UXB7" s="344"/>
      <c r="UXC7" s="344"/>
      <c r="UXD7" s="344"/>
      <c r="UXE7" s="344"/>
      <c r="UXF7" s="344"/>
      <c r="UXG7" s="344"/>
      <c r="UXH7" s="344"/>
      <c r="UXI7" s="344"/>
      <c r="UXJ7" s="344"/>
      <c r="UXK7" s="344"/>
      <c r="UXL7" s="344"/>
      <c r="UXM7" s="344"/>
      <c r="UXN7" s="344"/>
      <c r="UXO7" s="344"/>
      <c r="UXP7" s="344"/>
      <c r="UXQ7" s="344"/>
      <c r="UXR7" s="344"/>
      <c r="UXS7" s="344"/>
      <c r="UXT7" s="344"/>
      <c r="UXU7" s="344"/>
      <c r="UXV7" s="344"/>
      <c r="UXW7" s="344"/>
      <c r="UXX7" s="344"/>
      <c r="UXY7" s="344"/>
      <c r="UXZ7" s="344"/>
      <c r="UYA7" s="344"/>
      <c r="UYB7" s="344"/>
      <c r="UYC7" s="344"/>
      <c r="UYD7" s="344"/>
      <c r="UYE7" s="344"/>
      <c r="UYF7" s="344"/>
      <c r="UYG7" s="344"/>
      <c r="UYH7" s="344"/>
      <c r="UYI7" s="344"/>
      <c r="UYJ7" s="344"/>
      <c r="UYK7" s="344"/>
      <c r="UYL7" s="344"/>
      <c r="UYM7" s="344"/>
      <c r="UYN7" s="344"/>
      <c r="UYO7" s="344"/>
      <c r="UYP7" s="344"/>
      <c r="UYQ7" s="344"/>
      <c r="UYR7" s="344"/>
      <c r="UYS7" s="344"/>
      <c r="UYT7" s="344"/>
      <c r="UYU7" s="344"/>
      <c r="UYV7" s="344"/>
      <c r="UYW7" s="344"/>
      <c r="UYX7" s="344"/>
      <c r="UYY7" s="344"/>
      <c r="UYZ7" s="344"/>
      <c r="UZA7" s="344"/>
      <c r="UZB7" s="344"/>
      <c r="UZC7" s="344"/>
      <c r="UZD7" s="344"/>
      <c r="UZE7" s="344"/>
      <c r="UZF7" s="344"/>
      <c r="UZG7" s="344"/>
      <c r="UZH7" s="344"/>
      <c r="UZI7" s="344"/>
      <c r="UZJ7" s="344"/>
      <c r="UZK7" s="344"/>
      <c r="UZL7" s="344"/>
      <c r="UZM7" s="344"/>
      <c r="UZN7" s="344"/>
      <c r="UZO7" s="344"/>
      <c r="UZP7" s="344"/>
      <c r="UZQ7" s="344"/>
      <c r="UZR7" s="344"/>
      <c r="UZS7" s="344"/>
      <c r="UZT7" s="344"/>
      <c r="UZU7" s="344"/>
      <c r="UZV7" s="344"/>
      <c r="UZW7" s="344"/>
      <c r="UZX7" s="344"/>
      <c r="UZY7" s="344"/>
      <c r="UZZ7" s="344"/>
      <c r="VAA7" s="344"/>
      <c r="VAB7" s="344"/>
      <c r="VAC7" s="344"/>
      <c r="VAD7" s="344"/>
      <c r="VAE7" s="344"/>
      <c r="VAF7" s="344"/>
      <c r="VAG7" s="344"/>
      <c r="VAH7" s="344"/>
      <c r="VAI7" s="344"/>
      <c r="VAJ7" s="344"/>
      <c r="VAK7" s="344"/>
      <c r="VAL7" s="344"/>
      <c r="VAM7" s="344"/>
      <c r="VAN7" s="344"/>
      <c r="VAO7" s="344"/>
      <c r="VAP7" s="344"/>
      <c r="VAQ7" s="344"/>
      <c r="VAR7" s="344"/>
      <c r="VAS7" s="344"/>
      <c r="VAT7" s="344"/>
      <c r="VAU7" s="344"/>
      <c r="VAV7" s="344"/>
      <c r="VAW7" s="344"/>
      <c r="VAX7" s="344"/>
      <c r="VAY7" s="344"/>
      <c r="VAZ7" s="344"/>
      <c r="VBA7" s="344"/>
      <c r="VBB7" s="344"/>
      <c r="VBC7" s="344"/>
      <c r="VBD7" s="344"/>
      <c r="VBE7" s="344"/>
      <c r="VBF7" s="344"/>
      <c r="VBG7" s="344"/>
      <c r="VBH7" s="344"/>
      <c r="VBI7" s="344"/>
      <c r="VBJ7" s="344"/>
      <c r="VBK7" s="344"/>
      <c r="VBL7" s="344"/>
      <c r="VBM7" s="344"/>
      <c r="VBN7" s="344"/>
      <c r="VBO7" s="344"/>
      <c r="VBP7" s="344"/>
      <c r="VBQ7" s="344"/>
      <c r="VBR7" s="344"/>
      <c r="VBS7" s="344"/>
      <c r="VBT7" s="344"/>
      <c r="VBU7" s="344"/>
      <c r="VBV7" s="344"/>
      <c r="VBW7" s="344"/>
      <c r="VBX7" s="344"/>
      <c r="VBY7" s="344"/>
      <c r="VBZ7" s="344"/>
      <c r="VCA7" s="344"/>
      <c r="VCB7" s="344"/>
      <c r="VCC7" s="344"/>
      <c r="VCD7" s="344"/>
      <c r="VCE7" s="344"/>
      <c r="VCF7" s="344"/>
      <c r="VCG7" s="344"/>
      <c r="VCH7" s="344"/>
      <c r="VCI7" s="344"/>
      <c r="VCJ7" s="344"/>
      <c r="VCK7" s="344"/>
      <c r="VCL7" s="344"/>
      <c r="VCM7" s="344"/>
      <c r="VCN7" s="344"/>
      <c r="VCO7" s="344"/>
      <c r="VCP7" s="344"/>
      <c r="VCQ7" s="344"/>
      <c r="VCR7" s="344"/>
      <c r="VCS7" s="344"/>
      <c r="VCT7" s="344"/>
      <c r="VCU7" s="344"/>
      <c r="VCV7" s="344"/>
      <c r="VCW7" s="344"/>
      <c r="VCX7" s="344"/>
      <c r="VCY7" s="344"/>
      <c r="VCZ7" s="344"/>
      <c r="VDA7" s="344"/>
      <c r="VDB7" s="344"/>
      <c r="VDC7" s="344"/>
      <c r="VDD7" s="344"/>
      <c r="VDE7" s="344"/>
      <c r="VDF7" s="344"/>
      <c r="VDG7" s="344"/>
      <c r="VDH7" s="344"/>
      <c r="VDI7" s="344"/>
      <c r="VDJ7" s="344"/>
      <c r="VDK7" s="344"/>
      <c r="VDL7" s="344"/>
      <c r="VDM7" s="344"/>
      <c r="VDN7" s="344"/>
      <c r="VDO7" s="344"/>
      <c r="VDP7" s="344"/>
      <c r="VDQ7" s="344"/>
      <c r="VDR7" s="344"/>
      <c r="VDS7" s="344"/>
      <c r="VDT7" s="344"/>
      <c r="VDU7" s="344"/>
      <c r="VDV7" s="344"/>
      <c r="VDW7" s="344"/>
      <c r="VDX7" s="344"/>
      <c r="VDY7" s="344"/>
      <c r="VDZ7" s="344"/>
      <c r="VEA7" s="344"/>
      <c r="VEB7" s="344"/>
      <c r="VEC7" s="344"/>
      <c r="VED7" s="344"/>
      <c r="VEE7" s="344"/>
      <c r="VEF7" s="344"/>
      <c r="VEG7" s="344"/>
      <c r="VEH7" s="344"/>
      <c r="VEI7" s="344"/>
      <c r="VEJ7" s="344"/>
      <c r="VEK7" s="344"/>
      <c r="VEL7" s="344"/>
      <c r="VEM7" s="344"/>
      <c r="VEN7" s="344"/>
      <c r="VEO7" s="344"/>
      <c r="VEP7" s="344"/>
      <c r="VEQ7" s="344"/>
      <c r="VER7" s="344"/>
      <c r="VES7" s="344"/>
      <c r="VET7" s="344"/>
      <c r="VEU7" s="344"/>
      <c r="VEV7" s="344"/>
      <c r="VEW7" s="344"/>
      <c r="VEX7" s="344"/>
      <c r="VEY7" s="344"/>
      <c r="VEZ7" s="344"/>
      <c r="VFA7" s="344"/>
      <c r="VFB7" s="344"/>
      <c r="VFC7" s="344"/>
      <c r="VFD7" s="344"/>
      <c r="VFE7" s="344"/>
      <c r="VFF7" s="344"/>
      <c r="VFG7" s="344"/>
      <c r="VFH7" s="344"/>
      <c r="VFI7" s="344"/>
      <c r="VFJ7" s="344"/>
      <c r="VFK7" s="344"/>
      <c r="VFL7" s="344"/>
      <c r="VFM7" s="344"/>
      <c r="VFN7" s="344"/>
      <c r="VFO7" s="344"/>
      <c r="VFP7" s="344"/>
      <c r="VFQ7" s="344"/>
      <c r="VFR7" s="344"/>
      <c r="VFS7" s="344"/>
      <c r="VFT7" s="344"/>
      <c r="VFU7" s="344"/>
      <c r="VFV7" s="344"/>
      <c r="VFW7" s="344"/>
      <c r="VFX7" s="344"/>
      <c r="VFY7" s="344"/>
      <c r="VFZ7" s="344"/>
      <c r="VGA7" s="344"/>
      <c r="VGB7" s="344"/>
      <c r="VGC7" s="344"/>
      <c r="VGD7" s="344"/>
      <c r="VGE7" s="344"/>
      <c r="VGF7" s="344"/>
      <c r="VGG7" s="344"/>
      <c r="VGH7" s="344"/>
      <c r="VGI7" s="344"/>
      <c r="VGJ7" s="344"/>
      <c r="VGK7" s="344"/>
      <c r="VGL7" s="344"/>
      <c r="VGM7" s="344"/>
      <c r="VGN7" s="344"/>
      <c r="VGO7" s="344"/>
      <c r="VGP7" s="344"/>
      <c r="VGQ7" s="344"/>
      <c r="VGR7" s="344"/>
      <c r="VGS7" s="344"/>
      <c r="VGT7" s="344"/>
      <c r="VGU7" s="344"/>
      <c r="VGV7" s="344"/>
      <c r="VGW7" s="344"/>
      <c r="VGX7" s="344"/>
      <c r="VGY7" s="344"/>
      <c r="VGZ7" s="344"/>
      <c r="VHA7" s="344"/>
      <c r="VHB7" s="344"/>
      <c r="VHC7" s="344"/>
      <c r="VHD7" s="344"/>
      <c r="VHE7" s="344"/>
      <c r="VHF7" s="344"/>
      <c r="VHG7" s="344"/>
      <c r="VHH7" s="344"/>
      <c r="VHI7" s="344"/>
      <c r="VHJ7" s="344"/>
      <c r="VHK7" s="344"/>
      <c r="VHL7" s="344"/>
      <c r="VHM7" s="344"/>
      <c r="VHN7" s="344"/>
      <c r="VHO7" s="344"/>
      <c r="VHP7" s="344"/>
      <c r="VHQ7" s="344"/>
      <c r="VHR7" s="344"/>
      <c r="VHS7" s="344"/>
      <c r="VHT7" s="344"/>
      <c r="VHU7" s="344"/>
      <c r="VHV7" s="344"/>
      <c r="VHW7" s="344"/>
      <c r="VHX7" s="344"/>
      <c r="VHY7" s="344"/>
      <c r="VHZ7" s="344"/>
      <c r="VIA7" s="344"/>
      <c r="VIB7" s="344"/>
      <c r="VIC7" s="344"/>
      <c r="VID7" s="344"/>
      <c r="VIE7" s="344"/>
      <c r="VIF7" s="344"/>
      <c r="VIG7" s="344"/>
      <c r="VIH7" s="344"/>
      <c r="VII7" s="344"/>
      <c r="VIJ7" s="344"/>
      <c r="VIK7" s="344"/>
      <c r="VIL7" s="344"/>
      <c r="VIM7" s="344"/>
      <c r="VIN7" s="344"/>
      <c r="VIO7" s="344"/>
      <c r="VIP7" s="344"/>
      <c r="VIQ7" s="344"/>
      <c r="VIR7" s="344"/>
      <c r="VIS7" s="344"/>
      <c r="VIT7" s="344"/>
      <c r="VIU7" s="344"/>
      <c r="VIV7" s="344"/>
      <c r="VIW7" s="344"/>
      <c r="VIX7" s="344"/>
      <c r="VIY7" s="344"/>
      <c r="VIZ7" s="344"/>
      <c r="VJA7" s="344"/>
      <c r="VJB7" s="344"/>
      <c r="VJC7" s="344"/>
      <c r="VJD7" s="344"/>
      <c r="VJE7" s="344"/>
      <c r="VJF7" s="344"/>
      <c r="VJG7" s="344"/>
      <c r="VJH7" s="344"/>
      <c r="VJI7" s="344"/>
      <c r="VJJ7" s="344"/>
      <c r="VJK7" s="344"/>
      <c r="VJL7" s="344"/>
      <c r="VJM7" s="344"/>
      <c r="VJN7" s="344"/>
      <c r="VJO7" s="344"/>
      <c r="VJP7" s="344"/>
      <c r="VJQ7" s="344"/>
      <c r="VJR7" s="344"/>
      <c r="VJS7" s="344"/>
      <c r="VJT7" s="344"/>
      <c r="VJU7" s="344"/>
      <c r="VJV7" s="344"/>
      <c r="VJW7" s="344"/>
      <c r="VJX7" s="344"/>
      <c r="VJY7" s="344"/>
      <c r="VJZ7" s="344"/>
      <c r="VKA7" s="344"/>
      <c r="VKB7" s="344"/>
      <c r="VKC7" s="344"/>
      <c r="VKD7" s="344"/>
      <c r="VKE7" s="344"/>
      <c r="VKF7" s="344"/>
      <c r="VKG7" s="344"/>
      <c r="VKH7" s="344"/>
      <c r="VKI7" s="344"/>
      <c r="VKJ7" s="344"/>
      <c r="VKK7" s="344"/>
      <c r="VKL7" s="344"/>
      <c r="VKM7" s="344"/>
      <c r="VKN7" s="344"/>
      <c r="VKO7" s="344"/>
      <c r="VKP7" s="344"/>
      <c r="VKQ7" s="344"/>
      <c r="VKR7" s="344"/>
      <c r="VKS7" s="344"/>
      <c r="VKT7" s="344"/>
      <c r="VKU7" s="344"/>
      <c r="VKV7" s="344"/>
      <c r="VKW7" s="344"/>
      <c r="VKX7" s="344"/>
      <c r="VKY7" s="344"/>
      <c r="VKZ7" s="344"/>
      <c r="VLA7" s="344"/>
      <c r="VLB7" s="344"/>
      <c r="VLC7" s="344"/>
      <c r="VLD7" s="344"/>
      <c r="VLE7" s="344"/>
      <c r="VLF7" s="344"/>
      <c r="VLG7" s="344"/>
      <c r="VLH7" s="344"/>
      <c r="VLI7" s="344"/>
      <c r="VLJ7" s="344"/>
      <c r="VLK7" s="344"/>
      <c r="VLL7" s="344"/>
      <c r="VLM7" s="344"/>
      <c r="VLN7" s="344"/>
      <c r="VLO7" s="344"/>
      <c r="VLP7" s="344"/>
      <c r="VLQ7" s="344"/>
      <c r="VLR7" s="344"/>
      <c r="VLS7" s="344"/>
      <c r="VLT7" s="344"/>
      <c r="VLU7" s="344"/>
      <c r="VLV7" s="344"/>
      <c r="VLW7" s="344"/>
      <c r="VLX7" s="344"/>
      <c r="VLY7" s="344"/>
      <c r="VLZ7" s="344"/>
      <c r="VMA7" s="344"/>
      <c r="VMB7" s="344"/>
      <c r="VMC7" s="344"/>
      <c r="VMD7" s="344"/>
      <c r="VME7" s="344"/>
      <c r="VMF7" s="344"/>
      <c r="VMG7" s="344"/>
      <c r="VMH7" s="344"/>
      <c r="VMI7" s="344"/>
      <c r="VMJ7" s="344"/>
      <c r="VMK7" s="344"/>
      <c r="VML7" s="344"/>
      <c r="VMM7" s="344"/>
      <c r="VMN7" s="344"/>
      <c r="VMO7" s="344"/>
      <c r="VMP7" s="344"/>
      <c r="VMQ7" s="344"/>
      <c r="VMR7" s="344"/>
      <c r="VMS7" s="344"/>
      <c r="VMT7" s="344"/>
      <c r="VMU7" s="344"/>
      <c r="VMV7" s="344"/>
      <c r="VMW7" s="344"/>
      <c r="VMX7" s="344"/>
      <c r="VMY7" s="344"/>
      <c r="VMZ7" s="344"/>
      <c r="VNA7" s="344"/>
      <c r="VNB7" s="344"/>
      <c r="VNC7" s="344"/>
      <c r="VND7" s="344"/>
      <c r="VNE7" s="344"/>
      <c r="VNF7" s="344"/>
      <c r="VNG7" s="344"/>
      <c r="VNH7" s="344"/>
      <c r="VNI7" s="344"/>
      <c r="VNJ7" s="344"/>
      <c r="VNK7" s="344"/>
      <c r="VNL7" s="344"/>
      <c r="VNM7" s="344"/>
      <c r="VNN7" s="344"/>
      <c r="VNO7" s="344"/>
      <c r="VNP7" s="344"/>
      <c r="VNQ7" s="344"/>
      <c r="VNR7" s="344"/>
      <c r="VNS7" s="344"/>
      <c r="VNT7" s="344"/>
      <c r="VNU7" s="344"/>
      <c r="VNV7" s="344"/>
      <c r="VNW7" s="344"/>
      <c r="VNX7" s="344"/>
      <c r="VNY7" s="344"/>
      <c r="VNZ7" s="344"/>
      <c r="VOA7" s="344"/>
      <c r="VOB7" s="344"/>
      <c r="VOC7" s="344"/>
      <c r="VOD7" s="344"/>
      <c r="VOE7" s="344"/>
      <c r="VOF7" s="344"/>
      <c r="VOG7" s="344"/>
      <c r="VOH7" s="344"/>
      <c r="VOI7" s="344"/>
      <c r="VOJ7" s="344"/>
      <c r="VOK7" s="344"/>
      <c r="VOL7" s="344"/>
      <c r="VOM7" s="344"/>
      <c r="VON7" s="344"/>
      <c r="VOO7" s="344"/>
      <c r="VOP7" s="344"/>
      <c r="VOQ7" s="344"/>
      <c r="VOR7" s="344"/>
      <c r="VOS7" s="344"/>
      <c r="VOT7" s="344"/>
      <c r="VOU7" s="344"/>
      <c r="VOV7" s="344"/>
      <c r="VOW7" s="344"/>
      <c r="VOX7" s="344"/>
      <c r="VOY7" s="344"/>
      <c r="VOZ7" s="344"/>
      <c r="VPA7" s="344"/>
      <c r="VPB7" s="344"/>
      <c r="VPC7" s="344"/>
      <c r="VPD7" s="344"/>
      <c r="VPE7" s="344"/>
      <c r="VPF7" s="344"/>
      <c r="VPG7" s="344"/>
      <c r="VPH7" s="344"/>
      <c r="VPI7" s="344"/>
      <c r="VPJ7" s="344"/>
      <c r="VPK7" s="344"/>
      <c r="VPL7" s="344"/>
      <c r="VPM7" s="344"/>
      <c r="VPN7" s="344"/>
      <c r="VPO7" s="344"/>
      <c r="VPP7" s="344"/>
      <c r="VPQ7" s="344"/>
      <c r="VPR7" s="344"/>
      <c r="VPS7" s="344"/>
      <c r="VPT7" s="344"/>
      <c r="VPU7" s="344"/>
      <c r="VPV7" s="344"/>
      <c r="VPW7" s="344"/>
      <c r="VPX7" s="344"/>
      <c r="VPY7" s="344"/>
      <c r="VPZ7" s="344"/>
      <c r="VQA7" s="344"/>
      <c r="VQB7" s="344"/>
      <c r="VQC7" s="344"/>
      <c r="VQD7" s="344"/>
      <c r="VQE7" s="344"/>
      <c r="VQF7" s="344"/>
      <c r="VQG7" s="344"/>
      <c r="VQH7" s="344"/>
      <c r="VQI7" s="344"/>
      <c r="VQJ7" s="344"/>
      <c r="VQK7" s="344"/>
      <c r="VQL7" s="344"/>
      <c r="VQM7" s="344"/>
      <c r="VQN7" s="344"/>
      <c r="VQO7" s="344"/>
      <c r="VQP7" s="344"/>
      <c r="VQQ7" s="344"/>
      <c r="VQR7" s="344"/>
      <c r="VQS7" s="344"/>
      <c r="VQT7" s="344"/>
      <c r="VQU7" s="344"/>
      <c r="VQV7" s="344"/>
      <c r="VQW7" s="344"/>
      <c r="VQX7" s="344"/>
      <c r="VQY7" s="344"/>
      <c r="VQZ7" s="344"/>
      <c r="VRA7" s="344"/>
      <c r="VRB7" s="344"/>
      <c r="VRC7" s="344"/>
      <c r="VRD7" s="344"/>
      <c r="VRE7" s="344"/>
      <c r="VRF7" s="344"/>
      <c r="VRG7" s="344"/>
      <c r="VRH7" s="344"/>
      <c r="VRI7" s="344"/>
      <c r="VRJ7" s="344"/>
      <c r="VRK7" s="344"/>
      <c r="VRL7" s="344"/>
      <c r="VRM7" s="344"/>
      <c r="VRN7" s="344"/>
      <c r="VRO7" s="344"/>
      <c r="VRP7" s="344"/>
      <c r="VRQ7" s="344"/>
      <c r="VRR7" s="344"/>
      <c r="VRS7" s="344"/>
      <c r="VRT7" s="344"/>
      <c r="VRU7" s="344"/>
      <c r="VRV7" s="344"/>
      <c r="VRW7" s="344"/>
      <c r="VRX7" s="344"/>
      <c r="VRY7" s="344"/>
      <c r="VRZ7" s="344"/>
      <c r="VSA7" s="344"/>
      <c r="VSB7" s="344"/>
      <c r="VSC7" s="344"/>
      <c r="VSD7" s="344"/>
      <c r="VSE7" s="344"/>
      <c r="VSF7" s="344"/>
      <c r="VSG7" s="344"/>
      <c r="VSH7" s="344"/>
      <c r="VSI7" s="344"/>
      <c r="VSJ7" s="344"/>
      <c r="VSK7" s="344"/>
      <c r="VSL7" s="344"/>
      <c r="VSM7" s="344"/>
      <c r="VSN7" s="344"/>
      <c r="VSO7" s="344"/>
      <c r="VSP7" s="344"/>
      <c r="VSQ7" s="344"/>
      <c r="VSR7" s="344"/>
      <c r="VSS7" s="344"/>
      <c r="VST7" s="344"/>
      <c r="VSU7" s="344"/>
      <c r="VSV7" s="344"/>
      <c r="VSW7" s="344"/>
      <c r="VSX7" s="344"/>
      <c r="VSY7" s="344"/>
      <c r="VSZ7" s="344"/>
      <c r="VTA7" s="344"/>
      <c r="VTB7" s="344"/>
      <c r="VTC7" s="344"/>
      <c r="VTD7" s="344"/>
      <c r="VTE7" s="344"/>
      <c r="VTF7" s="344"/>
      <c r="VTG7" s="344"/>
      <c r="VTH7" s="344"/>
      <c r="VTI7" s="344"/>
      <c r="VTJ7" s="344"/>
      <c r="VTK7" s="344"/>
      <c r="VTL7" s="344"/>
      <c r="VTM7" s="344"/>
      <c r="VTN7" s="344"/>
      <c r="VTO7" s="344"/>
      <c r="VTP7" s="344"/>
      <c r="VTQ7" s="344"/>
      <c r="VTR7" s="344"/>
      <c r="VTS7" s="344"/>
      <c r="VTT7" s="344"/>
      <c r="VTU7" s="344"/>
      <c r="VTV7" s="344"/>
      <c r="VTW7" s="344"/>
      <c r="VTX7" s="344"/>
      <c r="VTY7" s="344"/>
      <c r="VTZ7" s="344"/>
      <c r="VUA7" s="344"/>
      <c r="VUB7" s="344"/>
      <c r="VUC7" s="344"/>
      <c r="VUD7" s="344"/>
      <c r="VUE7" s="344"/>
      <c r="VUF7" s="344"/>
      <c r="VUG7" s="344"/>
      <c r="VUH7" s="344"/>
      <c r="VUI7" s="344"/>
      <c r="VUJ7" s="344"/>
      <c r="VUK7" s="344"/>
      <c r="VUL7" s="344"/>
      <c r="VUM7" s="344"/>
      <c r="VUN7" s="344"/>
      <c r="VUO7" s="344"/>
      <c r="VUP7" s="344"/>
      <c r="VUQ7" s="344"/>
      <c r="VUR7" s="344"/>
      <c r="VUS7" s="344"/>
      <c r="VUT7" s="344"/>
      <c r="VUU7" s="344"/>
      <c r="VUV7" s="344"/>
      <c r="VUW7" s="344"/>
      <c r="VUX7" s="344"/>
      <c r="VUY7" s="344"/>
      <c r="VUZ7" s="344"/>
      <c r="VVA7" s="344"/>
      <c r="VVB7" s="344"/>
      <c r="VVC7" s="344"/>
      <c r="VVD7" s="344"/>
      <c r="VVE7" s="344"/>
      <c r="VVF7" s="344"/>
      <c r="VVG7" s="344"/>
      <c r="VVH7" s="344"/>
      <c r="VVI7" s="344"/>
      <c r="VVJ7" s="344"/>
      <c r="VVK7" s="344"/>
      <c r="VVL7" s="344"/>
      <c r="VVM7" s="344"/>
      <c r="VVN7" s="344"/>
      <c r="VVO7" s="344"/>
      <c r="VVP7" s="344"/>
      <c r="VVQ7" s="344"/>
      <c r="VVR7" s="344"/>
      <c r="VVS7" s="344"/>
      <c r="VVT7" s="344"/>
      <c r="VVU7" s="344"/>
      <c r="VVV7" s="344"/>
      <c r="VVW7" s="344"/>
      <c r="VVX7" s="344"/>
      <c r="VVY7" s="344"/>
      <c r="VVZ7" s="344"/>
      <c r="VWA7" s="344"/>
      <c r="VWB7" s="344"/>
      <c r="VWC7" s="344"/>
      <c r="VWD7" s="344"/>
      <c r="VWE7" s="344"/>
      <c r="VWF7" s="344"/>
      <c r="VWG7" s="344"/>
      <c r="VWH7" s="344"/>
      <c r="VWI7" s="344"/>
      <c r="VWJ7" s="344"/>
      <c r="VWK7" s="344"/>
      <c r="VWL7" s="344"/>
      <c r="VWM7" s="344"/>
      <c r="VWN7" s="344"/>
      <c r="VWO7" s="344"/>
      <c r="VWP7" s="344"/>
      <c r="VWQ7" s="344"/>
      <c r="VWR7" s="344"/>
      <c r="VWS7" s="344"/>
      <c r="VWT7" s="344"/>
      <c r="VWU7" s="344"/>
      <c r="VWV7" s="344"/>
      <c r="VWW7" s="344"/>
      <c r="VWX7" s="344"/>
      <c r="VWY7" s="344"/>
      <c r="VWZ7" s="344"/>
      <c r="VXA7" s="344"/>
      <c r="VXB7" s="344"/>
      <c r="VXC7" s="344"/>
      <c r="VXD7" s="344"/>
      <c r="VXE7" s="344"/>
      <c r="VXF7" s="344"/>
      <c r="VXG7" s="344"/>
      <c r="VXH7" s="344"/>
      <c r="VXI7" s="344"/>
      <c r="VXJ7" s="344"/>
      <c r="VXK7" s="344"/>
      <c r="VXL7" s="344"/>
      <c r="VXM7" s="344"/>
      <c r="VXN7" s="344"/>
      <c r="VXO7" s="344"/>
      <c r="VXP7" s="344"/>
      <c r="VXQ7" s="344"/>
      <c r="VXR7" s="344"/>
      <c r="VXS7" s="344"/>
      <c r="VXT7" s="344"/>
      <c r="VXU7" s="344"/>
      <c r="VXV7" s="344"/>
      <c r="VXW7" s="344"/>
      <c r="VXX7" s="344"/>
      <c r="VXY7" s="344"/>
      <c r="VXZ7" s="344"/>
      <c r="VYA7" s="344"/>
      <c r="VYB7" s="344"/>
      <c r="VYC7" s="344"/>
      <c r="VYD7" s="344"/>
      <c r="VYE7" s="344"/>
      <c r="VYF7" s="344"/>
      <c r="VYG7" s="344"/>
      <c r="VYH7" s="344"/>
      <c r="VYI7" s="344"/>
      <c r="VYJ7" s="344"/>
      <c r="VYK7" s="344"/>
      <c r="VYL7" s="344"/>
      <c r="VYM7" s="344"/>
      <c r="VYN7" s="344"/>
      <c r="VYO7" s="344"/>
      <c r="VYP7" s="344"/>
      <c r="VYQ7" s="344"/>
      <c r="VYR7" s="344"/>
      <c r="VYS7" s="344"/>
      <c r="VYT7" s="344"/>
      <c r="VYU7" s="344"/>
      <c r="VYV7" s="344"/>
      <c r="VYW7" s="344"/>
      <c r="VYX7" s="344"/>
      <c r="VYY7" s="344"/>
      <c r="VYZ7" s="344"/>
      <c r="VZA7" s="344"/>
      <c r="VZB7" s="344"/>
      <c r="VZC7" s="344"/>
      <c r="VZD7" s="344"/>
      <c r="VZE7" s="344"/>
      <c r="VZF7" s="344"/>
      <c r="VZG7" s="344"/>
      <c r="VZH7" s="344"/>
      <c r="VZI7" s="344"/>
      <c r="VZJ7" s="344"/>
      <c r="VZK7" s="344"/>
      <c r="VZL7" s="344"/>
      <c r="VZM7" s="344"/>
      <c r="VZN7" s="344"/>
      <c r="VZO7" s="344"/>
      <c r="VZP7" s="344"/>
      <c r="VZQ7" s="344"/>
      <c r="VZR7" s="344"/>
      <c r="VZS7" s="344"/>
      <c r="VZT7" s="344"/>
      <c r="VZU7" s="344"/>
      <c r="VZV7" s="344"/>
      <c r="VZW7" s="344"/>
      <c r="VZX7" s="344"/>
      <c r="VZY7" s="344"/>
      <c r="VZZ7" s="344"/>
      <c r="WAA7" s="344"/>
      <c r="WAB7" s="344"/>
      <c r="WAC7" s="344"/>
      <c r="WAD7" s="344"/>
      <c r="WAE7" s="344"/>
      <c r="WAF7" s="344"/>
      <c r="WAG7" s="344"/>
      <c r="WAH7" s="344"/>
      <c r="WAI7" s="344"/>
      <c r="WAJ7" s="344"/>
      <c r="WAK7" s="344"/>
      <c r="WAL7" s="344"/>
      <c r="WAM7" s="344"/>
      <c r="WAN7" s="344"/>
      <c r="WAO7" s="344"/>
      <c r="WAP7" s="344"/>
      <c r="WAQ7" s="344"/>
      <c r="WAR7" s="344"/>
      <c r="WAS7" s="344"/>
      <c r="WAT7" s="344"/>
      <c r="WAU7" s="344"/>
      <c r="WAV7" s="344"/>
      <c r="WAW7" s="344"/>
      <c r="WAX7" s="344"/>
      <c r="WAY7" s="344"/>
      <c r="WAZ7" s="344"/>
      <c r="WBA7" s="344"/>
      <c r="WBB7" s="344"/>
      <c r="WBC7" s="344"/>
      <c r="WBD7" s="344"/>
      <c r="WBE7" s="344"/>
      <c r="WBF7" s="344"/>
      <c r="WBG7" s="344"/>
      <c r="WBH7" s="344"/>
      <c r="WBI7" s="344"/>
      <c r="WBJ7" s="344"/>
      <c r="WBK7" s="344"/>
      <c r="WBL7" s="344"/>
      <c r="WBM7" s="344"/>
      <c r="WBN7" s="344"/>
      <c r="WBO7" s="344"/>
      <c r="WBP7" s="344"/>
      <c r="WBQ7" s="344"/>
      <c r="WBR7" s="344"/>
      <c r="WBS7" s="344"/>
      <c r="WBT7" s="344"/>
      <c r="WBU7" s="344"/>
      <c r="WBV7" s="344"/>
      <c r="WBW7" s="344"/>
      <c r="WBX7" s="344"/>
      <c r="WBY7" s="344"/>
      <c r="WBZ7" s="344"/>
      <c r="WCA7" s="344"/>
      <c r="WCB7" s="344"/>
      <c r="WCC7" s="344"/>
      <c r="WCD7" s="344"/>
      <c r="WCE7" s="344"/>
      <c r="WCF7" s="344"/>
      <c r="WCG7" s="344"/>
      <c r="WCH7" s="344"/>
      <c r="WCI7" s="344"/>
      <c r="WCJ7" s="344"/>
      <c r="WCK7" s="344"/>
      <c r="WCL7" s="344"/>
      <c r="WCM7" s="344"/>
      <c r="WCN7" s="344"/>
      <c r="WCO7" s="344"/>
      <c r="WCP7" s="344"/>
      <c r="WCQ7" s="344"/>
      <c r="WCR7" s="344"/>
      <c r="WCS7" s="344"/>
      <c r="WCT7" s="344"/>
      <c r="WCU7" s="344"/>
      <c r="WCV7" s="344"/>
      <c r="WCW7" s="344"/>
      <c r="WCX7" s="344"/>
      <c r="WCY7" s="344"/>
      <c r="WCZ7" s="344"/>
      <c r="WDA7" s="344"/>
      <c r="WDB7" s="344"/>
      <c r="WDC7" s="344"/>
      <c r="WDD7" s="344"/>
      <c r="WDE7" s="344"/>
      <c r="WDF7" s="344"/>
      <c r="WDG7" s="344"/>
      <c r="WDH7" s="344"/>
      <c r="WDI7" s="344"/>
      <c r="WDJ7" s="344"/>
      <c r="WDK7" s="344"/>
      <c r="WDL7" s="344"/>
      <c r="WDM7" s="344"/>
      <c r="WDN7" s="344"/>
      <c r="WDO7" s="344"/>
      <c r="WDP7" s="344"/>
      <c r="WDQ7" s="344"/>
      <c r="WDR7" s="344"/>
      <c r="WDS7" s="344"/>
      <c r="WDT7" s="344"/>
      <c r="WDU7" s="344"/>
      <c r="WDV7" s="344"/>
      <c r="WDW7" s="344"/>
      <c r="WDX7" s="344"/>
      <c r="WDY7" s="344"/>
      <c r="WDZ7" s="344"/>
      <c r="WEA7" s="344"/>
      <c r="WEB7" s="344"/>
      <c r="WEC7" s="344"/>
      <c r="WED7" s="344"/>
      <c r="WEE7" s="344"/>
      <c r="WEF7" s="344"/>
      <c r="WEG7" s="344"/>
      <c r="WEH7" s="344"/>
      <c r="WEI7" s="344"/>
      <c r="WEJ7" s="344"/>
      <c r="WEK7" s="344"/>
      <c r="WEL7" s="344"/>
      <c r="WEM7" s="344"/>
      <c r="WEN7" s="344"/>
      <c r="WEO7" s="344"/>
      <c r="WEP7" s="344"/>
      <c r="WEQ7" s="344"/>
      <c r="WER7" s="344"/>
      <c r="WES7" s="344"/>
      <c r="WET7" s="344"/>
      <c r="WEU7" s="344"/>
      <c r="WEV7" s="344"/>
      <c r="WEW7" s="344"/>
      <c r="WEX7" s="344"/>
      <c r="WEY7" s="344"/>
      <c r="WEZ7" s="344"/>
      <c r="WFA7" s="344"/>
      <c r="WFB7" s="344"/>
      <c r="WFC7" s="344"/>
      <c r="WFD7" s="344"/>
      <c r="WFE7" s="344"/>
      <c r="WFF7" s="344"/>
      <c r="WFG7" s="344"/>
      <c r="WFH7" s="344"/>
      <c r="WFI7" s="344"/>
      <c r="WFJ7" s="344"/>
      <c r="WFK7" s="344"/>
      <c r="WFL7" s="344"/>
      <c r="WFM7" s="344"/>
      <c r="WFN7" s="344"/>
      <c r="WFO7" s="344"/>
      <c r="WFP7" s="344"/>
      <c r="WFQ7" s="344"/>
      <c r="WFR7" s="344"/>
      <c r="WFS7" s="344"/>
      <c r="WFT7" s="344"/>
      <c r="WFU7" s="344"/>
      <c r="WFV7" s="344"/>
      <c r="WFW7" s="344"/>
      <c r="WFX7" s="344"/>
      <c r="WFY7" s="344"/>
      <c r="WFZ7" s="344"/>
      <c r="WGA7" s="344"/>
      <c r="WGB7" s="344"/>
      <c r="WGC7" s="344"/>
      <c r="WGD7" s="344"/>
      <c r="WGE7" s="344"/>
      <c r="WGF7" s="344"/>
      <c r="WGG7" s="344"/>
      <c r="WGH7" s="344"/>
      <c r="WGI7" s="344"/>
      <c r="WGJ7" s="344"/>
      <c r="WGK7" s="344"/>
      <c r="WGL7" s="344"/>
      <c r="WGM7" s="344"/>
      <c r="WGN7" s="344"/>
      <c r="WGO7" s="344"/>
      <c r="WGP7" s="344"/>
      <c r="WGQ7" s="344"/>
      <c r="WGR7" s="344"/>
      <c r="WGS7" s="344"/>
      <c r="WGT7" s="344"/>
      <c r="WGU7" s="344"/>
      <c r="WGV7" s="344"/>
      <c r="WGW7" s="344"/>
      <c r="WGX7" s="344"/>
      <c r="WGY7" s="344"/>
      <c r="WGZ7" s="344"/>
      <c r="WHA7" s="344"/>
      <c r="WHB7" s="344"/>
      <c r="WHC7" s="344"/>
      <c r="WHD7" s="344"/>
      <c r="WHE7" s="344"/>
      <c r="WHF7" s="344"/>
      <c r="WHG7" s="344"/>
      <c r="WHH7" s="344"/>
      <c r="WHI7" s="344"/>
      <c r="WHJ7" s="344"/>
      <c r="WHK7" s="344"/>
      <c r="WHL7" s="344"/>
      <c r="WHM7" s="344"/>
      <c r="WHN7" s="344"/>
      <c r="WHO7" s="344"/>
      <c r="WHP7" s="344"/>
      <c r="WHQ7" s="344"/>
      <c r="WHR7" s="344"/>
      <c r="WHS7" s="344"/>
      <c r="WHT7" s="344"/>
      <c r="WHU7" s="344"/>
      <c r="WHV7" s="344"/>
      <c r="WHW7" s="344"/>
      <c r="WHX7" s="344"/>
      <c r="WHY7" s="344"/>
      <c r="WHZ7" s="344"/>
      <c r="WIA7" s="344"/>
      <c r="WIB7" s="344"/>
      <c r="WIC7" s="344"/>
      <c r="WID7" s="344"/>
      <c r="WIE7" s="344"/>
      <c r="WIF7" s="344"/>
      <c r="WIG7" s="344"/>
      <c r="WIH7" s="344"/>
      <c r="WII7" s="344"/>
      <c r="WIJ7" s="344"/>
      <c r="WIK7" s="344"/>
      <c r="WIL7" s="344"/>
      <c r="WIM7" s="344"/>
      <c r="WIN7" s="344"/>
      <c r="WIO7" s="344"/>
      <c r="WIP7" s="344"/>
      <c r="WIQ7" s="344"/>
      <c r="WIR7" s="344"/>
      <c r="WIS7" s="344"/>
      <c r="WIT7" s="344"/>
      <c r="WIU7" s="344"/>
      <c r="WIV7" s="344"/>
      <c r="WIW7" s="344"/>
      <c r="WIX7" s="344"/>
      <c r="WIY7" s="344"/>
      <c r="WIZ7" s="344"/>
      <c r="WJA7" s="344"/>
      <c r="WJB7" s="344"/>
      <c r="WJC7" s="344"/>
      <c r="WJD7" s="344"/>
      <c r="WJE7" s="344"/>
      <c r="WJF7" s="344"/>
      <c r="WJG7" s="344"/>
      <c r="WJH7" s="344"/>
      <c r="WJI7" s="344"/>
      <c r="WJJ7" s="344"/>
      <c r="WJK7" s="344"/>
      <c r="WJL7" s="344"/>
      <c r="WJM7" s="344"/>
      <c r="WJN7" s="344"/>
      <c r="WJO7" s="344"/>
      <c r="WJP7" s="344"/>
      <c r="WJQ7" s="344"/>
      <c r="WJR7" s="344"/>
      <c r="WJS7" s="344"/>
      <c r="WJT7" s="344"/>
      <c r="WJU7" s="344"/>
      <c r="WJV7" s="344"/>
      <c r="WJW7" s="344"/>
      <c r="WJX7" s="344"/>
      <c r="WJY7" s="344"/>
      <c r="WJZ7" s="344"/>
      <c r="WKA7" s="344"/>
      <c r="WKB7" s="344"/>
      <c r="WKC7" s="344"/>
      <c r="WKD7" s="344"/>
      <c r="WKE7" s="344"/>
      <c r="WKF7" s="344"/>
      <c r="WKG7" s="344"/>
      <c r="WKH7" s="344"/>
      <c r="WKI7" s="344"/>
      <c r="WKJ7" s="344"/>
      <c r="WKK7" s="344"/>
      <c r="WKL7" s="344"/>
      <c r="WKM7" s="344"/>
      <c r="WKN7" s="344"/>
      <c r="WKO7" s="344"/>
      <c r="WKP7" s="344"/>
      <c r="WKQ7" s="344"/>
      <c r="WKR7" s="344"/>
      <c r="WKS7" s="344"/>
      <c r="WKT7" s="344"/>
      <c r="WKU7" s="344"/>
      <c r="WKV7" s="344"/>
      <c r="WKW7" s="344"/>
      <c r="WKX7" s="344"/>
      <c r="WKY7" s="344"/>
      <c r="WKZ7" s="344"/>
      <c r="WLA7" s="344"/>
      <c r="WLB7" s="344"/>
      <c r="WLC7" s="344"/>
      <c r="WLD7" s="344"/>
      <c r="WLE7" s="344"/>
      <c r="WLF7" s="344"/>
      <c r="WLG7" s="344"/>
      <c r="WLH7" s="344"/>
      <c r="WLI7" s="344"/>
      <c r="WLJ7" s="344"/>
      <c r="WLK7" s="344"/>
      <c r="WLL7" s="344"/>
      <c r="WLM7" s="344"/>
      <c r="WLN7" s="344"/>
      <c r="WLO7" s="344"/>
      <c r="WLP7" s="344"/>
      <c r="WLQ7" s="344"/>
      <c r="WLR7" s="344"/>
      <c r="WLS7" s="344"/>
      <c r="WLT7" s="344"/>
      <c r="WLU7" s="344"/>
      <c r="WLV7" s="344"/>
      <c r="WLW7" s="344"/>
      <c r="WLX7" s="344"/>
      <c r="WLY7" s="344"/>
      <c r="WLZ7" s="344"/>
      <c r="WMA7" s="344"/>
      <c r="WMB7" s="344"/>
      <c r="WMC7" s="344"/>
      <c r="WMD7" s="344"/>
      <c r="WME7" s="344"/>
      <c r="WMF7" s="344"/>
      <c r="WMG7" s="344"/>
      <c r="WMH7" s="344"/>
      <c r="WMI7" s="344"/>
      <c r="WMJ7" s="344"/>
      <c r="WMK7" s="344"/>
      <c r="WML7" s="344"/>
      <c r="WMM7" s="344"/>
      <c r="WMN7" s="344"/>
      <c r="WMO7" s="344"/>
      <c r="WMP7" s="344"/>
      <c r="WMQ7" s="344"/>
      <c r="WMR7" s="344"/>
      <c r="WMS7" s="344"/>
      <c r="WMT7" s="344"/>
      <c r="WMU7" s="344"/>
      <c r="WMV7" s="344"/>
      <c r="WMW7" s="344"/>
      <c r="WMX7" s="344"/>
      <c r="WMY7" s="344"/>
      <c r="WMZ7" s="344"/>
      <c r="WNA7" s="344"/>
      <c r="WNB7" s="344"/>
      <c r="WNC7" s="344"/>
      <c r="WND7" s="344"/>
      <c r="WNE7" s="344"/>
      <c r="WNF7" s="344"/>
      <c r="WNG7" s="344"/>
      <c r="WNH7" s="344"/>
      <c r="WNI7" s="344"/>
      <c r="WNJ7" s="344"/>
      <c r="WNK7" s="344"/>
      <c r="WNL7" s="344"/>
      <c r="WNM7" s="344"/>
      <c r="WNN7" s="344"/>
      <c r="WNO7" s="344"/>
      <c r="WNP7" s="344"/>
      <c r="WNQ7" s="344"/>
      <c r="WNR7" s="344"/>
      <c r="WNS7" s="344"/>
      <c r="WNT7" s="344"/>
      <c r="WNU7" s="344"/>
      <c r="WNV7" s="344"/>
      <c r="WNW7" s="344"/>
      <c r="WNX7" s="344"/>
      <c r="WNY7" s="344"/>
      <c r="WNZ7" s="344"/>
      <c r="WOA7" s="344"/>
      <c r="WOB7" s="344"/>
      <c r="WOC7" s="344"/>
      <c r="WOD7" s="344"/>
      <c r="WOE7" s="344"/>
      <c r="WOF7" s="344"/>
      <c r="WOG7" s="344"/>
      <c r="WOH7" s="344"/>
      <c r="WOI7" s="344"/>
      <c r="WOJ7" s="344"/>
      <c r="WOK7" s="344"/>
      <c r="WOL7" s="344"/>
      <c r="WOM7" s="344"/>
      <c r="WON7" s="344"/>
      <c r="WOO7" s="344"/>
      <c r="WOP7" s="344"/>
      <c r="WOQ7" s="344"/>
      <c r="WOR7" s="344"/>
      <c r="WOS7" s="344"/>
      <c r="WOT7" s="344"/>
      <c r="WOU7" s="344"/>
      <c r="WOV7" s="344"/>
      <c r="WOW7" s="344"/>
      <c r="WOX7" s="344"/>
      <c r="WOY7" s="344"/>
      <c r="WOZ7" s="344"/>
      <c r="WPA7" s="344"/>
      <c r="WPB7" s="344"/>
      <c r="WPC7" s="344"/>
      <c r="WPD7" s="344"/>
      <c r="WPE7" s="344"/>
      <c r="WPF7" s="344"/>
      <c r="WPG7" s="344"/>
      <c r="WPH7" s="344"/>
      <c r="WPI7" s="344"/>
      <c r="WPJ7" s="344"/>
      <c r="WPK7" s="344"/>
      <c r="WPL7" s="344"/>
      <c r="WPM7" s="344"/>
      <c r="WPN7" s="344"/>
      <c r="WPO7" s="344"/>
      <c r="WPP7" s="344"/>
      <c r="WPQ7" s="344"/>
      <c r="WPR7" s="344"/>
      <c r="WPS7" s="344"/>
      <c r="WPT7" s="344"/>
      <c r="WPU7" s="344"/>
      <c r="WPV7" s="344"/>
      <c r="WPW7" s="344"/>
      <c r="WPX7" s="344"/>
      <c r="WPY7" s="344"/>
      <c r="WPZ7" s="344"/>
      <c r="WQA7" s="344"/>
      <c r="WQB7" s="344"/>
      <c r="WQC7" s="344"/>
      <c r="WQD7" s="344"/>
      <c r="WQE7" s="344"/>
      <c r="WQF7" s="344"/>
      <c r="WQG7" s="344"/>
      <c r="WQH7" s="344"/>
      <c r="WQI7" s="344"/>
      <c r="WQJ7" s="344"/>
      <c r="WQK7" s="344"/>
      <c r="WQL7" s="344"/>
      <c r="WQM7" s="344"/>
      <c r="WQN7" s="344"/>
      <c r="WQO7" s="344"/>
      <c r="WQP7" s="344"/>
      <c r="WQQ7" s="344"/>
      <c r="WQR7" s="344"/>
      <c r="WQS7" s="344"/>
      <c r="WQT7" s="344"/>
      <c r="WQU7" s="344"/>
      <c r="WQV7" s="344"/>
      <c r="WQW7" s="344"/>
      <c r="WQX7" s="344"/>
      <c r="WQY7" s="344"/>
      <c r="WQZ7" s="344"/>
      <c r="WRA7" s="344"/>
      <c r="WRB7" s="344"/>
      <c r="WRC7" s="344"/>
      <c r="WRD7" s="344"/>
      <c r="WRE7" s="344"/>
      <c r="WRF7" s="344"/>
      <c r="WRG7" s="344"/>
      <c r="WRH7" s="344"/>
      <c r="WRI7" s="344"/>
      <c r="WRJ7" s="344"/>
      <c r="WRK7" s="344"/>
      <c r="WRL7" s="344"/>
      <c r="WRM7" s="344"/>
      <c r="WRN7" s="344"/>
      <c r="WRO7" s="344"/>
      <c r="WRP7" s="344"/>
      <c r="WRQ7" s="344"/>
      <c r="WRR7" s="344"/>
      <c r="WRS7" s="344"/>
      <c r="WRT7" s="344"/>
      <c r="WRU7" s="344"/>
      <c r="WRV7" s="344"/>
      <c r="WRW7" s="344"/>
      <c r="WRX7" s="344"/>
      <c r="WRY7" s="344"/>
      <c r="WRZ7" s="344"/>
      <c r="WSA7" s="344"/>
      <c r="WSB7" s="344"/>
      <c r="WSC7" s="344"/>
      <c r="WSD7" s="344"/>
      <c r="WSE7" s="344"/>
      <c r="WSF7" s="344"/>
      <c r="WSG7" s="344"/>
      <c r="WSH7" s="344"/>
      <c r="WSI7" s="344"/>
      <c r="WSJ7" s="344"/>
      <c r="WSK7" s="344"/>
      <c r="WSL7" s="344"/>
      <c r="WSM7" s="344"/>
      <c r="WSN7" s="344"/>
      <c r="WSO7" s="344"/>
      <c r="WSP7" s="344"/>
      <c r="WSQ7" s="344"/>
      <c r="WSR7" s="344"/>
      <c r="WSS7" s="344"/>
      <c r="WST7" s="344"/>
      <c r="WSU7" s="344"/>
      <c r="WSV7" s="344"/>
      <c r="WSW7" s="344"/>
      <c r="WSX7" s="344"/>
      <c r="WSY7" s="344"/>
      <c r="WSZ7" s="344"/>
      <c r="WTA7" s="344"/>
      <c r="WTB7" s="344"/>
      <c r="WTC7" s="344"/>
      <c r="WTD7" s="344"/>
      <c r="WTE7" s="344"/>
      <c r="WTF7" s="344"/>
      <c r="WTG7" s="344"/>
      <c r="WTH7" s="344"/>
      <c r="WTI7" s="344"/>
      <c r="WTJ7" s="344"/>
      <c r="WTK7" s="344"/>
      <c r="WTL7" s="344"/>
      <c r="WTM7" s="344"/>
      <c r="WTN7" s="344"/>
      <c r="WTO7" s="344"/>
      <c r="WTP7" s="344"/>
      <c r="WTQ7" s="344"/>
      <c r="WTR7" s="344"/>
      <c r="WTS7" s="344"/>
      <c r="WTT7" s="344"/>
      <c r="WTU7" s="344"/>
      <c r="WTV7" s="344"/>
      <c r="WTW7" s="344"/>
      <c r="WTX7" s="344"/>
      <c r="WTY7" s="344"/>
      <c r="WTZ7" s="344"/>
      <c r="WUA7" s="344"/>
      <c r="WUB7" s="344"/>
      <c r="WUC7" s="344"/>
      <c r="WUD7" s="344"/>
      <c r="WUE7" s="344"/>
      <c r="WUF7" s="344"/>
      <c r="WUG7" s="344"/>
      <c r="WUH7" s="344"/>
      <c r="WUI7" s="344"/>
      <c r="WUJ7" s="344"/>
      <c r="WUK7" s="344"/>
      <c r="WUL7" s="344"/>
      <c r="WUM7" s="344"/>
      <c r="WUN7" s="344"/>
      <c r="WUO7" s="344"/>
      <c r="WUP7" s="344"/>
      <c r="WUQ7" s="344"/>
      <c r="WUR7" s="344"/>
      <c r="WUS7" s="344"/>
      <c r="WUT7" s="344"/>
      <c r="WUU7" s="344"/>
      <c r="WUV7" s="344"/>
      <c r="WUW7" s="344"/>
      <c r="WUX7" s="344"/>
      <c r="WUY7" s="344"/>
      <c r="WUZ7" s="344"/>
      <c r="WVA7" s="344"/>
      <c r="WVB7" s="344"/>
      <c r="WVC7" s="344"/>
      <c r="WVD7" s="344"/>
      <c r="WVE7" s="344"/>
      <c r="WVF7" s="344"/>
      <c r="WVG7" s="344"/>
      <c r="WVH7" s="344"/>
      <c r="WVI7" s="344"/>
      <c r="WVJ7" s="344"/>
      <c r="WVK7" s="344"/>
      <c r="WVL7" s="344"/>
      <c r="WVM7" s="344"/>
      <c r="WVN7" s="344"/>
      <c r="WVO7" s="344"/>
      <c r="WVP7" s="344"/>
      <c r="WVQ7" s="344"/>
      <c r="WVR7" s="344"/>
      <c r="WVS7" s="344"/>
      <c r="WVT7" s="344"/>
      <c r="WVU7" s="344"/>
      <c r="WVV7" s="344"/>
      <c r="WVW7" s="344"/>
      <c r="WVX7" s="344"/>
      <c r="WVY7" s="344"/>
      <c r="WVZ7" s="344"/>
      <c r="WWA7" s="344"/>
      <c r="WWB7" s="344"/>
      <c r="WWC7" s="344"/>
      <c r="WWD7" s="344"/>
      <c r="WWE7" s="344"/>
      <c r="WWF7" s="344"/>
      <c r="WWG7" s="344"/>
      <c r="WWH7" s="344"/>
      <c r="WWI7" s="344"/>
      <c r="WWJ7" s="344"/>
      <c r="WWK7" s="344"/>
      <c r="WWL7" s="344"/>
      <c r="WWM7" s="344"/>
      <c r="WWN7" s="344"/>
      <c r="WWO7" s="344"/>
      <c r="WWP7" s="344"/>
      <c r="WWQ7" s="344"/>
      <c r="WWR7" s="344"/>
      <c r="WWS7" s="344"/>
      <c r="WWT7" s="344"/>
      <c r="WWU7" s="344"/>
      <c r="WWV7" s="344"/>
      <c r="WWW7" s="344"/>
      <c r="WWX7" s="344"/>
      <c r="WWY7" s="344"/>
      <c r="WWZ7" s="344"/>
      <c r="WXA7" s="344"/>
      <c r="WXB7" s="344"/>
      <c r="WXC7" s="344"/>
      <c r="WXD7" s="344"/>
      <c r="WXE7" s="344"/>
      <c r="WXF7" s="344"/>
      <c r="WXG7" s="344"/>
      <c r="WXH7" s="344"/>
      <c r="WXI7" s="344"/>
      <c r="WXJ7" s="344"/>
      <c r="WXK7" s="344"/>
      <c r="WXL7" s="344"/>
      <c r="WXM7" s="344"/>
      <c r="WXN7" s="344"/>
      <c r="WXO7" s="344"/>
      <c r="WXP7" s="344"/>
      <c r="WXQ7" s="344"/>
      <c r="WXR7" s="344"/>
      <c r="WXS7" s="344"/>
      <c r="WXT7" s="344"/>
      <c r="WXU7" s="344"/>
      <c r="WXV7" s="344"/>
      <c r="WXW7" s="344"/>
      <c r="WXX7" s="344"/>
      <c r="WXY7" s="344"/>
      <c r="WXZ7" s="344"/>
      <c r="WYA7" s="344"/>
      <c r="WYB7" s="344"/>
      <c r="WYC7" s="344"/>
      <c r="WYD7" s="344"/>
      <c r="WYE7" s="344"/>
      <c r="WYF7" s="344"/>
      <c r="WYG7" s="344"/>
      <c r="WYH7" s="344"/>
      <c r="WYI7" s="344"/>
      <c r="WYJ7" s="344"/>
      <c r="WYK7" s="344"/>
      <c r="WYL7" s="344"/>
      <c r="WYM7" s="344"/>
      <c r="WYN7" s="344"/>
      <c r="WYO7" s="344"/>
      <c r="WYP7" s="344"/>
      <c r="WYQ7" s="344"/>
      <c r="WYR7" s="344"/>
      <c r="WYS7" s="344"/>
      <c r="WYT7" s="344"/>
      <c r="WYU7" s="344"/>
      <c r="WYV7" s="344"/>
      <c r="WYW7" s="344"/>
      <c r="WYX7" s="344"/>
      <c r="WYY7" s="344"/>
      <c r="WYZ7" s="344"/>
      <c r="WZA7" s="344"/>
      <c r="WZB7" s="344"/>
      <c r="WZC7" s="344"/>
      <c r="WZD7" s="344"/>
      <c r="WZE7" s="344"/>
      <c r="WZF7" s="344"/>
      <c r="WZG7" s="344"/>
      <c r="WZH7" s="344"/>
      <c r="WZI7" s="344"/>
      <c r="WZJ7" s="344"/>
      <c r="WZK7" s="344"/>
      <c r="WZL7" s="344"/>
      <c r="WZM7" s="344"/>
      <c r="WZN7" s="344"/>
      <c r="WZO7" s="344"/>
      <c r="WZP7" s="344"/>
      <c r="WZQ7" s="344"/>
      <c r="WZR7" s="344"/>
      <c r="WZS7" s="344"/>
      <c r="WZT7" s="344"/>
      <c r="WZU7" s="344"/>
      <c r="WZV7" s="344"/>
      <c r="WZW7" s="344"/>
      <c r="WZX7" s="344"/>
      <c r="WZY7" s="344"/>
      <c r="WZZ7" s="344"/>
      <c r="XAA7" s="344"/>
      <c r="XAB7" s="344"/>
      <c r="XAC7" s="344"/>
      <c r="XAD7" s="344"/>
      <c r="XAE7" s="344"/>
      <c r="XAF7" s="344"/>
      <c r="XAG7" s="344"/>
      <c r="XAH7" s="344"/>
      <c r="XAI7" s="344"/>
      <c r="XAJ7" s="344"/>
      <c r="XAK7" s="344"/>
      <c r="XAL7" s="344"/>
      <c r="XAM7" s="344"/>
      <c r="XAN7" s="344"/>
      <c r="XAO7" s="344"/>
      <c r="XAP7" s="344"/>
      <c r="XAQ7" s="344"/>
      <c r="XAR7" s="344"/>
      <c r="XAS7" s="344"/>
      <c r="XAT7" s="344"/>
      <c r="XAU7" s="344"/>
      <c r="XAV7" s="344"/>
      <c r="XAW7" s="344"/>
      <c r="XAX7" s="344"/>
      <c r="XAY7" s="344"/>
      <c r="XAZ7" s="344"/>
      <c r="XBA7" s="344"/>
      <c r="XBB7" s="344"/>
      <c r="XBC7" s="344"/>
      <c r="XBD7" s="344"/>
      <c r="XBE7" s="344"/>
      <c r="XBF7" s="344"/>
      <c r="XBG7" s="344"/>
      <c r="XBH7" s="344"/>
      <c r="XBI7" s="344"/>
      <c r="XBJ7" s="344"/>
      <c r="XBK7" s="344"/>
      <c r="XBL7" s="344"/>
      <c r="XBM7" s="344"/>
      <c r="XBN7" s="344"/>
      <c r="XBO7" s="344"/>
      <c r="XBP7" s="344"/>
      <c r="XBQ7" s="344"/>
      <c r="XBR7" s="344"/>
      <c r="XBS7" s="344"/>
      <c r="XBT7" s="344"/>
      <c r="XBU7" s="344"/>
      <c r="XBV7" s="344"/>
      <c r="XBW7" s="344"/>
      <c r="XBX7" s="344"/>
      <c r="XBY7" s="344"/>
      <c r="XBZ7" s="344"/>
      <c r="XCA7" s="344"/>
      <c r="XCB7" s="344"/>
      <c r="XCC7" s="344"/>
      <c r="XCD7" s="344"/>
      <c r="XCE7" s="344"/>
      <c r="XCF7" s="344"/>
      <c r="XCG7" s="344"/>
      <c r="XCH7" s="344"/>
      <c r="XCI7" s="344"/>
      <c r="XCJ7" s="344"/>
      <c r="XCK7" s="344"/>
      <c r="XCL7" s="344"/>
      <c r="XCM7" s="344"/>
      <c r="XCN7" s="344"/>
      <c r="XCO7" s="344"/>
      <c r="XCP7" s="344"/>
      <c r="XCQ7" s="344"/>
      <c r="XCR7" s="344"/>
      <c r="XCS7" s="344"/>
      <c r="XCT7" s="344"/>
      <c r="XCU7" s="344"/>
      <c r="XCV7" s="344"/>
      <c r="XCW7" s="344"/>
      <c r="XCX7" s="344"/>
      <c r="XCY7" s="344"/>
      <c r="XCZ7" s="344"/>
      <c r="XDA7" s="344"/>
      <c r="XDB7" s="344"/>
      <c r="XDC7" s="344"/>
      <c r="XDD7" s="344"/>
      <c r="XDE7" s="344"/>
      <c r="XDF7" s="344"/>
      <c r="XDG7" s="344"/>
      <c r="XDH7" s="344"/>
      <c r="XDI7" s="344"/>
      <c r="XDJ7" s="344"/>
      <c r="XDK7" s="344"/>
      <c r="XDL7" s="344"/>
      <c r="XDM7" s="344"/>
      <c r="XDN7" s="344"/>
      <c r="XDO7" s="344"/>
      <c r="XDP7" s="344"/>
      <c r="XDQ7" s="344"/>
      <c r="XDR7" s="344"/>
      <c r="XDS7" s="344"/>
      <c r="XDT7" s="344"/>
      <c r="XDU7" s="344"/>
      <c r="XDV7" s="344"/>
      <c r="XDW7" s="344"/>
      <c r="XDX7" s="344"/>
      <c r="XDY7" s="344"/>
      <c r="XDZ7" s="344"/>
      <c r="XEA7" s="344"/>
      <c r="XEB7" s="344"/>
      <c r="XEC7" s="344"/>
      <c r="XED7" s="344"/>
      <c r="XEE7" s="344"/>
      <c r="XEF7" s="344"/>
      <c r="XEG7" s="344"/>
      <c r="XEH7" s="344"/>
      <c r="XEI7" s="344"/>
      <c r="XEJ7" s="344"/>
      <c r="XEK7" s="344"/>
      <c r="XEL7" s="344"/>
      <c r="XEM7" s="344"/>
      <c r="XEN7" s="344"/>
      <c r="XEO7" s="344"/>
      <c r="XEP7" s="344"/>
      <c r="XEQ7" s="344"/>
      <c r="XER7" s="344"/>
      <c r="XES7" s="344"/>
      <c r="XET7" s="344"/>
      <c r="XEU7" s="344"/>
      <c r="XEV7" s="344"/>
      <c r="XEW7" s="344"/>
      <c r="XEX7" s="344"/>
      <c r="XEY7" s="344"/>
      <c r="XEZ7" s="344"/>
      <c r="XFA7" s="344"/>
      <c r="XFB7" s="344"/>
      <c r="XFC7" s="344"/>
      <c r="XFD7" s="344"/>
    </row>
    <row r="8" spans="2:16384" ht="30" customHeight="1" x14ac:dyDescent="0.25">
      <c r="B8" s="353" t="s">
        <v>449</v>
      </c>
      <c r="C8" s="353" t="s">
        <v>661</v>
      </c>
      <c r="D8" s="354" t="s">
        <v>662</v>
      </c>
      <c r="E8" s="354" t="s">
        <v>662</v>
      </c>
      <c r="F8" s="354" t="s">
        <v>662</v>
      </c>
      <c r="G8" s="354" t="s">
        <v>662</v>
      </c>
      <c r="H8" s="354" t="s">
        <v>662</v>
      </c>
      <c r="I8" s="354" t="s">
        <v>662</v>
      </c>
      <c r="J8" s="354" t="s">
        <v>662</v>
      </c>
      <c r="K8" s="354" t="s">
        <v>662</v>
      </c>
      <c r="L8" s="354" t="s">
        <v>662</v>
      </c>
    </row>
    <row r="9" spans="2:16384" s="358" customFormat="1" x14ac:dyDescent="0.25">
      <c r="B9" s="355"/>
      <c r="C9" s="356" t="s">
        <v>663</v>
      </c>
      <c r="D9" s="357"/>
      <c r="E9" s="357"/>
      <c r="F9" s="357"/>
      <c r="G9" s="357"/>
      <c r="H9" s="357"/>
      <c r="I9" s="357"/>
      <c r="J9" s="357"/>
      <c r="K9" s="357"/>
      <c r="L9" s="357"/>
      <c r="M9"/>
      <c r="N9"/>
      <c r="O9"/>
      <c r="P9"/>
      <c r="Q9"/>
      <c r="R9"/>
      <c r="S9"/>
      <c r="T9"/>
      <c r="U9"/>
      <c r="V9"/>
      <c r="W9"/>
      <c r="X9"/>
      <c r="Y9"/>
      <c r="Z9"/>
      <c r="AA9"/>
      <c r="AB9"/>
      <c r="AC9"/>
      <c r="AD9"/>
      <c r="AE9"/>
      <c r="AF9"/>
    </row>
    <row r="10" spans="2:16384" x14ac:dyDescent="0.25">
      <c r="B10" s="355">
        <v>1</v>
      </c>
      <c r="C10" s="359" t="s">
        <v>664</v>
      </c>
      <c r="D10" s="350">
        <f>'P&amp;L Assumptions'!F18</f>
        <v>982.35</v>
      </c>
      <c r="E10" s="350">
        <f>'P&amp;L Assumptions'!G18</f>
        <v>2077.8187499999999</v>
      </c>
      <c r="F10" s="350">
        <f>'P&amp;L Assumptions'!H18</f>
        <v>2227.2911718750001</v>
      </c>
      <c r="G10" s="350">
        <f>'P&amp;L Assumptions'!I18</f>
        <v>2388.9093169921875</v>
      </c>
      <c r="H10" s="350">
        <f>'P&amp;L Assumptions'!J18</f>
        <v>2563.7593619838872</v>
      </c>
      <c r="I10" s="350">
        <f>'P&amp;L Assumptions'!K18</f>
        <v>2753.0308785872357</v>
      </c>
      <c r="J10" s="350">
        <f>'P&amp;L Assumptions'!L18</f>
        <v>2958.0270347424271</v>
      </c>
      <c r="K10" s="350">
        <f>'P&amp;L Assumptions'!M18</f>
        <v>3180.1758214585261</v>
      </c>
      <c r="L10" s="350">
        <f>'P&amp;L Assumptions'!N18</f>
        <v>3421.0424095957751</v>
      </c>
    </row>
    <row r="11" spans="2:16384" x14ac:dyDescent="0.25">
      <c r="B11" s="355">
        <v>2</v>
      </c>
      <c r="C11" s="359" t="s">
        <v>665</v>
      </c>
      <c r="D11" s="350"/>
      <c r="E11" s="350"/>
      <c r="F11" s="350"/>
      <c r="G11" s="350"/>
      <c r="H11" s="350"/>
      <c r="I11" s="350"/>
      <c r="J11" s="350"/>
      <c r="K11" s="350"/>
      <c r="L11" s="350"/>
    </row>
    <row r="12" spans="2:16384" x14ac:dyDescent="0.25">
      <c r="B12" s="355">
        <v>3</v>
      </c>
      <c r="C12" s="359" t="s">
        <v>666</v>
      </c>
      <c r="D12" s="350"/>
      <c r="E12" s="350"/>
      <c r="F12" s="350"/>
      <c r="G12" s="350"/>
      <c r="H12" s="350"/>
      <c r="I12" s="350"/>
      <c r="J12" s="350"/>
      <c r="K12" s="350"/>
      <c r="L12" s="350"/>
    </row>
    <row r="13" spans="2:16384" x14ac:dyDescent="0.25">
      <c r="B13" s="355">
        <v>4</v>
      </c>
      <c r="C13" s="360" t="s">
        <v>667</v>
      </c>
      <c r="D13" s="361">
        <f t="shared" ref="D13:L13" si="1">D10+D11+D12</f>
        <v>982.35</v>
      </c>
      <c r="E13" s="361">
        <f t="shared" si="1"/>
        <v>2077.8187499999999</v>
      </c>
      <c r="F13" s="361">
        <f t="shared" si="1"/>
        <v>2227.2911718750001</v>
      </c>
      <c r="G13" s="361">
        <f t="shared" si="1"/>
        <v>2388.9093169921875</v>
      </c>
      <c r="H13" s="361">
        <f t="shared" si="1"/>
        <v>2563.7593619838872</v>
      </c>
      <c r="I13" s="361">
        <f t="shared" si="1"/>
        <v>2753.0308785872357</v>
      </c>
      <c r="J13" s="361">
        <f t="shared" si="1"/>
        <v>2958.0270347424271</v>
      </c>
      <c r="K13" s="361">
        <f t="shared" si="1"/>
        <v>3180.1758214585261</v>
      </c>
      <c r="L13" s="361">
        <f t="shared" si="1"/>
        <v>3421.0424095957751</v>
      </c>
    </row>
    <row r="14" spans="2:16384" x14ac:dyDescent="0.25">
      <c r="B14" s="355">
        <v>5</v>
      </c>
      <c r="C14" s="359" t="s">
        <v>668</v>
      </c>
      <c r="D14" s="350"/>
      <c r="E14" s="350"/>
      <c r="F14" s="350"/>
      <c r="G14" s="350"/>
      <c r="H14" s="350"/>
      <c r="I14" s="350"/>
      <c r="J14" s="350"/>
      <c r="K14" s="350"/>
      <c r="L14" s="350"/>
    </row>
    <row r="15" spans="2:16384" x14ac:dyDescent="0.25">
      <c r="B15" s="355">
        <v>6</v>
      </c>
      <c r="C15" s="359" t="s">
        <v>669</v>
      </c>
      <c r="D15" s="350"/>
      <c r="E15" s="350"/>
      <c r="F15" s="350"/>
      <c r="G15" s="350"/>
      <c r="H15" s="350"/>
      <c r="I15" s="350"/>
      <c r="J15" s="350"/>
      <c r="K15" s="350"/>
      <c r="L15" s="350"/>
    </row>
    <row r="16" spans="2:16384" x14ac:dyDescent="0.25">
      <c r="B16" s="355">
        <v>7</v>
      </c>
      <c r="C16" s="360" t="s">
        <v>590</v>
      </c>
      <c r="D16" s="361">
        <f t="shared" ref="D16:L16" si="2">D13-D14-D15</f>
        <v>982.35</v>
      </c>
      <c r="E16" s="361">
        <f t="shared" si="2"/>
        <v>2077.8187499999999</v>
      </c>
      <c r="F16" s="361">
        <f t="shared" si="2"/>
        <v>2227.2911718750001</v>
      </c>
      <c r="G16" s="361">
        <f t="shared" si="2"/>
        <v>2388.9093169921875</v>
      </c>
      <c r="H16" s="361">
        <f t="shared" si="2"/>
        <v>2563.7593619838872</v>
      </c>
      <c r="I16" s="361">
        <f t="shared" si="2"/>
        <v>2753.0308785872357</v>
      </c>
      <c r="J16" s="361">
        <f t="shared" si="2"/>
        <v>2958.0270347424271</v>
      </c>
      <c r="K16" s="361">
        <f t="shared" si="2"/>
        <v>3180.1758214585261</v>
      </c>
      <c r="L16" s="361">
        <f t="shared" si="2"/>
        <v>3421.0424095957751</v>
      </c>
    </row>
    <row r="17" spans="2:12" x14ac:dyDescent="0.25">
      <c r="B17" s="355">
        <v>8</v>
      </c>
      <c r="C17" s="362" t="s">
        <v>670</v>
      </c>
      <c r="D17" s="363"/>
      <c r="E17" s="363"/>
      <c r="F17" s="363"/>
      <c r="G17" s="363"/>
      <c r="H17" s="363"/>
      <c r="I17" s="363"/>
      <c r="J17" s="363"/>
      <c r="K17" s="363"/>
      <c r="L17" s="363"/>
    </row>
    <row r="18" spans="2:12" x14ac:dyDescent="0.25">
      <c r="B18" s="355"/>
      <c r="C18" s="364" t="str">
        <f>'P&amp;L Assumptions'!B19</f>
        <v>DEPARTMENTAL EXPENSES</v>
      </c>
      <c r="D18" s="350">
        <f>'P&amp;L Assumptions'!F25</f>
        <v>455.46750000000003</v>
      </c>
      <c r="E18" s="350">
        <f>'P&amp;L Assumptions'!G25</f>
        <v>960.20268749999991</v>
      </c>
      <c r="F18" s="350">
        <f>'P&amp;L Assumptions'!H25</f>
        <v>1028.3598379687501</v>
      </c>
      <c r="G18" s="350">
        <f>'P&amp;L Assumptions'!I25</f>
        <v>1101.9899151105469</v>
      </c>
      <c r="H18" s="350">
        <f>'P&amp;L Assumptions'!J25</f>
        <v>1181.5782348468781</v>
      </c>
      <c r="I18" s="350">
        <f>'P&amp;L Assumptions'!K25</f>
        <v>1267.6560750280582</v>
      </c>
      <c r="J18" s="350">
        <f>'P&amp;L Assumptions'!L25</f>
        <v>1360.8051973832778</v>
      </c>
      <c r="K18" s="350">
        <f>'P&amp;L Assumptions'!M25</f>
        <v>1461.6628235131498</v>
      </c>
      <c r="L18" s="350">
        <f>'P&amp;L Assumptions'!N25</f>
        <v>1570.9271109912379</v>
      </c>
    </row>
    <row r="19" spans="2:12" ht="30" customHeight="1" x14ac:dyDescent="0.25">
      <c r="B19" s="355">
        <v>9</v>
      </c>
      <c r="C19" s="364" t="s">
        <v>671</v>
      </c>
      <c r="D19" s="363"/>
      <c r="E19" s="363"/>
      <c r="F19" s="363"/>
      <c r="G19" s="363"/>
      <c r="H19" s="363"/>
      <c r="I19" s="363"/>
      <c r="J19" s="363"/>
      <c r="K19" s="363"/>
      <c r="L19" s="363"/>
    </row>
    <row r="20" spans="2:12" x14ac:dyDescent="0.25">
      <c r="B20" s="355">
        <v>10</v>
      </c>
      <c r="C20" s="359" t="s">
        <v>672</v>
      </c>
      <c r="D20" s="350"/>
      <c r="E20" s="350"/>
      <c r="F20" s="350"/>
      <c r="G20" s="350"/>
      <c r="H20" s="350"/>
      <c r="I20" s="350"/>
      <c r="J20" s="350"/>
      <c r="K20" s="350"/>
      <c r="L20" s="350"/>
    </row>
    <row r="21" spans="2:12" x14ac:dyDescent="0.25">
      <c r="B21" s="355">
        <v>11</v>
      </c>
      <c r="C21" s="359" t="s">
        <v>673</v>
      </c>
      <c r="D21" s="350"/>
      <c r="E21" s="350"/>
      <c r="F21" s="350"/>
      <c r="G21" s="350"/>
      <c r="H21" s="350"/>
      <c r="I21" s="350"/>
      <c r="J21" s="350"/>
      <c r="K21" s="350"/>
      <c r="L21" s="350"/>
    </row>
    <row r="22" spans="2:12" x14ac:dyDescent="0.25">
      <c r="B22" s="355">
        <v>12</v>
      </c>
      <c r="C22" s="365" t="str">
        <f>'P&amp;L Assumptions'!B25</f>
        <v>TOTAL DEPARTMENTAL EXPENSES</v>
      </c>
      <c r="D22" s="361">
        <f>D20+D21+D18</f>
        <v>455.46750000000003</v>
      </c>
      <c r="E22" s="361">
        <f t="shared" ref="E22:L22" si="3">E20+E21+E18</f>
        <v>960.20268749999991</v>
      </c>
      <c r="F22" s="361">
        <f t="shared" si="3"/>
        <v>1028.3598379687501</v>
      </c>
      <c r="G22" s="361">
        <f t="shared" si="3"/>
        <v>1101.9899151105469</v>
      </c>
      <c r="H22" s="361">
        <f t="shared" si="3"/>
        <v>1181.5782348468781</v>
      </c>
      <c r="I22" s="361">
        <f t="shared" si="3"/>
        <v>1267.6560750280582</v>
      </c>
      <c r="J22" s="361">
        <f t="shared" si="3"/>
        <v>1360.8051973832778</v>
      </c>
      <c r="K22" s="361">
        <f t="shared" si="3"/>
        <v>1461.6628235131498</v>
      </c>
      <c r="L22" s="361">
        <f t="shared" si="3"/>
        <v>1570.9271109912379</v>
      </c>
    </row>
    <row r="23" spans="2:12" x14ac:dyDescent="0.25">
      <c r="B23" s="355">
        <v>13</v>
      </c>
      <c r="C23" s="359" t="s">
        <v>674</v>
      </c>
      <c r="D23" s="350"/>
      <c r="E23" s="350"/>
      <c r="F23" s="350"/>
      <c r="G23" s="350"/>
      <c r="H23" s="350"/>
      <c r="I23" s="350"/>
      <c r="J23" s="350"/>
      <c r="K23" s="350"/>
      <c r="L23" s="350"/>
    </row>
    <row r="24" spans="2:12" x14ac:dyDescent="0.25">
      <c r="B24" s="355">
        <v>14</v>
      </c>
      <c r="C24" s="359" t="s">
        <v>675</v>
      </c>
      <c r="D24" s="350"/>
      <c r="E24" s="350"/>
      <c r="F24" s="350"/>
      <c r="G24" s="350"/>
      <c r="H24" s="350"/>
      <c r="I24" s="350"/>
      <c r="J24" s="350"/>
      <c r="K24" s="350"/>
      <c r="L24" s="350"/>
    </row>
    <row r="25" spans="2:12" x14ac:dyDescent="0.25">
      <c r="B25" s="355">
        <v>15</v>
      </c>
      <c r="C25" s="365" t="s">
        <v>676</v>
      </c>
      <c r="D25" s="361">
        <f t="shared" ref="D25:L25" si="4">D23+D24</f>
        <v>0</v>
      </c>
      <c r="E25" s="361">
        <f t="shared" si="4"/>
        <v>0</v>
      </c>
      <c r="F25" s="361">
        <f t="shared" si="4"/>
        <v>0</v>
      </c>
      <c r="G25" s="361">
        <f t="shared" si="4"/>
        <v>0</v>
      </c>
      <c r="H25" s="361">
        <f t="shared" si="4"/>
        <v>0</v>
      </c>
      <c r="I25" s="361">
        <f t="shared" si="4"/>
        <v>0</v>
      </c>
      <c r="J25" s="361">
        <f t="shared" si="4"/>
        <v>0</v>
      </c>
      <c r="K25" s="361">
        <f t="shared" si="4"/>
        <v>0</v>
      </c>
      <c r="L25" s="361">
        <f t="shared" si="4"/>
        <v>0</v>
      </c>
    </row>
    <row r="26" spans="2:12" x14ac:dyDescent="0.25">
      <c r="B26" s="355">
        <v>16</v>
      </c>
      <c r="C26" s="366" t="s">
        <v>677</v>
      </c>
      <c r="D26" s="350">
        <f>'P&amp;L Assumptions'!F31</f>
        <v>86.4</v>
      </c>
      <c r="E26" s="350">
        <f>'P&amp;L Assumptions'!G31</f>
        <v>172.8</v>
      </c>
      <c r="F26" s="350">
        <f>'P&amp;L Assumptions'!H31</f>
        <v>173.85000000000002</v>
      </c>
      <c r="G26" s="350">
        <f>'P&amp;L Assumptions'!I31</f>
        <v>174.90000000000003</v>
      </c>
      <c r="H26" s="350">
        <f>'P&amp;L Assumptions'!J31</f>
        <v>175.95000000000005</v>
      </c>
      <c r="I26" s="350">
        <f>'P&amp;L Assumptions'!K31</f>
        <v>177.00000000000006</v>
      </c>
      <c r="J26" s="350">
        <f>'P&amp;L Assumptions'!L31</f>
        <v>178.05000000000007</v>
      </c>
      <c r="K26" s="350">
        <f>'P&amp;L Assumptions'!M31</f>
        <v>179.10000000000008</v>
      </c>
      <c r="L26" s="350">
        <f>'P&amp;L Assumptions'!N31</f>
        <v>180.15000000000009</v>
      </c>
    </row>
    <row r="27" spans="2:12" x14ac:dyDescent="0.25">
      <c r="B27" s="355">
        <v>17</v>
      </c>
      <c r="C27" s="366" t="s">
        <v>678</v>
      </c>
      <c r="D27" s="350">
        <f>'P&amp;L Assumptions'!F28</f>
        <v>73.676249999999996</v>
      </c>
      <c r="E27" s="350">
        <f>'P&amp;L Assumptions'!G28</f>
        <v>155.83640624999998</v>
      </c>
      <c r="F27" s="350">
        <f>'P&amp;L Assumptions'!H28</f>
        <v>167.046837890625</v>
      </c>
      <c r="G27" s="350">
        <f>'P&amp;L Assumptions'!I28</f>
        <v>179.16819877441407</v>
      </c>
      <c r="H27" s="350">
        <f>'P&amp;L Assumptions'!J28</f>
        <v>192.28195214879153</v>
      </c>
      <c r="I27" s="350">
        <f>'P&amp;L Assumptions'!K28</f>
        <v>206.47731589404268</v>
      </c>
      <c r="J27" s="350">
        <f>'P&amp;L Assumptions'!L28</f>
        <v>221.85202760568203</v>
      </c>
      <c r="K27" s="350">
        <f>'P&amp;L Assumptions'!M28</f>
        <v>238.51318660938944</v>
      </c>
      <c r="L27" s="350">
        <f>'P&amp;L Assumptions'!N28</f>
        <v>256.57818071968313</v>
      </c>
    </row>
    <row r="28" spans="2:12" x14ac:dyDescent="0.25">
      <c r="B28" s="355">
        <v>18</v>
      </c>
      <c r="C28" s="366" t="s">
        <v>679</v>
      </c>
      <c r="D28" s="350">
        <f>'P&amp;L Assumptions'!F30+'P&amp;L Assumptions'!F32</f>
        <v>138.06593749999999</v>
      </c>
      <c r="E28" s="350">
        <f>'P&amp;L Assumptions'!G30+'P&amp;L Assumptions'!G32</f>
        <v>289.93846875000003</v>
      </c>
      <c r="F28" s="350">
        <f>'P&amp;L Assumptions'!H30+'P&amp;L Assumptions'!H32</f>
        <v>304.43539218750004</v>
      </c>
      <c r="G28" s="350">
        <f>'P&amp;L Assumptions'!I30+'P&amp;L Assumptions'!I32</f>
        <v>319.65716179687502</v>
      </c>
      <c r="H28" s="350">
        <f>'P&amp;L Assumptions'!J30+'P&amp;L Assumptions'!J32</f>
        <v>335.64001988671879</v>
      </c>
      <c r="I28" s="350">
        <f>'P&amp;L Assumptions'!K30+'P&amp;L Assumptions'!K32</f>
        <v>352.42202088105472</v>
      </c>
      <c r="J28" s="350">
        <f>'P&amp;L Assumptions'!L30+'P&amp;L Assumptions'!L32</f>
        <v>370.04312192510747</v>
      </c>
      <c r="K28" s="350">
        <f>'P&amp;L Assumptions'!M30+'P&amp;L Assumptions'!M32</f>
        <v>388.54527802136283</v>
      </c>
      <c r="L28" s="350">
        <f>'P&amp;L Assumptions'!N30+'P&amp;L Assumptions'!N32</f>
        <v>407.97254192243099</v>
      </c>
    </row>
    <row r="29" spans="2:12" x14ac:dyDescent="0.25">
      <c r="B29" s="355">
        <v>19</v>
      </c>
      <c r="C29" s="366" t="s">
        <v>163</v>
      </c>
      <c r="D29" s="350">
        <f>'P&amp;L Assumptions'!F41</f>
        <v>29.438050501893933</v>
      </c>
      <c r="E29" s="350">
        <f>'P&amp;L Assumptions'!G41</f>
        <v>28.618318172348477</v>
      </c>
      <c r="F29" s="350">
        <f>'P&amp;L Assumptions'!H41</f>
        <v>27.798585842803021</v>
      </c>
      <c r="G29" s="350">
        <f>'P&amp;L Assumptions'!I41</f>
        <v>26.978853513257569</v>
      </c>
      <c r="H29" s="350">
        <f>'P&amp;L Assumptions'!J41</f>
        <v>26.159121183712113</v>
      </c>
      <c r="I29" s="350">
        <f>'P&amp;L Assumptions'!K41</f>
        <v>25.339388854166661</v>
      </c>
      <c r="J29" s="350">
        <f>'P&amp;L Assumptions'!L41</f>
        <v>24.519656524621205</v>
      </c>
      <c r="K29" s="350">
        <f>'P&amp;L Assumptions'!M41</f>
        <v>23.699924195075752</v>
      </c>
      <c r="L29" s="350">
        <f>'P&amp;L Assumptions'!N41</f>
        <v>22.992854183712115</v>
      </c>
    </row>
    <row r="30" spans="2:12" x14ac:dyDescent="0.25">
      <c r="B30" s="355">
        <v>20</v>
      </c>
      <c r="C30" s="366" t="s">
        <v>162</v>
      </c>
      <c r="D30" s="350" t="e">
        <f>'P&amp;L Assumptions'!#REF!</f>
        <v>#REF!</v>
      </c>
      <c r="E30" s="350" t="e">
        <f>'P&amp;L Assumptions'!#REF!</f>
        <v>#REF!</v>
      </c>
      <c r="F30" s="350" t="e">
        <f>'P&amp;L Assumptions'!#REF!</f>
        <v>#REF!</v>
      </c>
      <c r="G30" s="350" t="e">
        <f>'P&amp;L Assumptions'!#REF!</f>
        <v>#REF!</v>
      </c>
      <c r="H30" s="350" t="e">
        <f>'P&amp;L Assumptions'!#REF!</f>
        <v>#REF!</v>
      </c>
      <c r="I30" s="350" t="e">
        <f>'P&amp;L Assumptions'!#REF!</f>
        <v>#REF!</v>
      </c>
      <c r="J30" s="350" t="e">
        <f>'P&amp;L Assumptions'!#REF!</f>
        <v>#REF!</v>
      </c>
      <c r="K30" s="350" t="e">
        <f>'P&amp;L Assumptions'!#REF!</f>
        <v>#REF!</v>
      </c>
      <c r="L30" s="350" t="e">
        <f>'P&amp;L Assumptions'!#REF!</f>
        <v>#REF!</v>
      </c>
    </row>
    <row r="31" spans="2:12" x14ac:dyDescent="0.25">
      <c r="B31" s="355">
        <v>21</v>
      </c>
      <c r="C31" s="366" t="s">
        <v>680</v>
      </c>
      <c r="D31" s="350">
        <f>Depr!C18*270/365</f>
        <v>60.637733966376096</v>
      </c>
      <c r="E31" s="350">
        <f>Depr!D18</f>
        <v>81.973232954545466</v>
      </c>
      <c r="F31" s="350">
        <f>Depr!E18</f>
        <v>81.973232954545466</v>
      </c>
      <c r="G31" s="350">
        <f>Depr!F18</f>
        <v>81.973232954545466</v>
      </c>
      <c r="H31" s="350">
        <f>Depr!G18</f>
        <v>81.973232954545466</v>
      </c>
      <c r="I31" s="350">
        <f>Depr!H18</f>
        <v>81.973232954545466</v>
      </c>
      <c r="J31" s="350">
        <f>Depr!I18</f>
        <v>81.973232954545466</v>
      </c>
      <c r="K31" s="350">
        <f>Depr!J18</f>
        <v>81.973232954545466</v>
      </c>
      <c r="L31" s="350">
        <f>Depr!K18</f>
        <v>70.707001136363601</v>
      </c>
    </row>
    <row r="32" spans="2:12" x14ac:dyDescent="0.25">
      <c r="B32" s="355">
        <v>22</v>
      </c>
      <c r="C32" s="359" t="s">
        <v>681</v>
      </c>
      <c r="D32" s="350"/>
      <c r="E32" s="350"/>
      <c r="F32" s="350"/>
      <c r="G32" s="350"/>
      <c r="H32" s="350"/>
      <c r="I32" s="350"/>
      <c r="J32" s="350"/>
      <c r="K32" s="350"/>
      <c r="L32" s="350"/>
    </row>
    <row r="33" spans="2:12" x14ac:dyDescent="0.25">
      <c r="B33" s="355">
        <v>23</v>
      </c>
      <c r="C33" s="359" t="s">
        <v>682</v>
      </c>
      <c r="D33" s="350"/>
      <c r="E33" s="350"/>
      <c r="F33" s="350"/>
      <c r="G33" s="350"/>
      <c r="H33" s="350"/>
      <c r="I33" s="350"/>
      <c r="J33" s="350"/>
      <c r="K33" s="350"/>
      <c r="L33" s="350"/>
    </row>
    <row r="34" spans="2:12" x14ac:dyDescent="0.25">
      <c r="B34" s="355">
        <v>24</v>
      </c>
      <c r="C34" s="365" t="s">
        <v>683</v>
      </c>
      <c r="D34" s="361" t="e">
        <f>D22+D25+D26+D27+D28+D31+D32-D33+D29+D30</f>
        <v>#REF!</v>
      </c>
      <c r="E34" s="361" t="e">
        <f t="shared" ref="E34:L34" si="5">E22+E25+E26+E27+E28+E31+E32-E33+E29+E30</f>
        <v>#REF!</v>
      </c>
      <c r="F34" s="361" t="e">
        <f t="shared" si="5"/>
        <v>#REF!</v>
      </c>
      <c r="G34" s="361" t="e">
        <f t="shared" si="5"/>
        <v>#REF!</v>
      </c>
      <c r="H34" s="361" t="e">
        <f t="shared" si="5"/>
        <v>#REF!</v>
      </c>
      <c r="I34" s="361" t="e">
        <f t="shared" si="5"/>
        <v>#REF!</v>
      </c>
      <c r="J34" s="361" t="e">
        <f t="shared" si="5"/>
        <v>#REF!</v>
      </c>
      <c r="K34" s="361" t="e">
        <f t="shared" si="5"/>
        <v>#REF!</v>
      </c>
      <c r="L34" s="361" t="e">
        <f t="shared" si="5"/>
        <v>#REF!</v>
      </c>
    </row>
    <row r="35" spans="2:12" x14ac:dyDescent="0.25">
      <c r="B35" s="355">
        <v>25</v>
      </c>
      <c r="C35" s="359" t="s">
        <v>684</v>
      </c>
      <c r="D35" s="350"/>
      <c r="E35" s="350"/>
      <c r="F35" s="350"/>
      <c r="G35" s="350"/>
      <c r="H35" s="350"/>
      <c r="I35" s="350"/>
      <c r="J35" s="350"/>
      <c r="K35" s="350"/>
      <c r="L35" s="350"/>
    </row>
    <row r="36" spans="2:12" x14ac:dyDescent="0.25">
      <c r="B36" s="355">
        <v>26</v>
      </c>
      <c r="C36" s="359" t="s">
        <v>685</v>
      </c>
      <c r="D36" s="350"/>
      <c r="E36" s="350"/>
      <c r="F36" s="350"/>
      <c r="G36" s="350"/>
      <c r="H36" s="350"/>
      <c r="I36" s="350"/>
      <c r="J36" s="350"/>
      <c r="K36" s="350"/>
      <c r="L36" s="350"/>
    </row>
    <row r="37" spans="2:12" x14ac:dyDescent="0.25">
      <c r="B37" s="355">
        <v>27</v>
      </c>
      <c r="C37" s="365" t="s">
        <v>686</v>
      </c>
      <c r="D37" s="361" t="e">
        <f t="shared" ref="D37:L37" si="6">D34+D35-D36</f>
        <v>#REF!</v>
      </c>
      <c r="E37" s="361" t="e">
        <f t="shared" si="6"/>
        <v>#REF!</v>
      </c>
      <c r="F37" s="361" t="e">
        <f t="shared" si="6"/>
        <v>#REF!</v>
      </c>
      <c r="G37" s="361" t="e">
        <f t="shared" si="6"/>
        <v>#REF!</v>
      </c>
      <c r="H37" s="361" t="e">
        <f t="shared" si="6"/>
        <v>#REF!</v>
      </c>
      <c r="I37" s="361" t="e">
        <f t="shared" si="6"/>
        <v>#REF!</v>
      </c>
      <c r="J37" s="361" t="e">
        <f t="shared" si="6"/>
        <v>#REF!</v>
      </c>
      <c r="K37" s="361" t="e">
        <f t="shared" si="6"/>
        <v>#REF!</v>
      </c>
      <c r="L37" s="361" t="e">
        <f t="shared" si="6"/>
        <v>#REF!</v>
      </c>
    </row>
    <row r="38" spans="2:12" x14ac:dyDescent="0.25">
      <c r="B38" s="355">
        <v>28</v>
      </c>
      <c r="C38" s="366" t="s">
        <v>687</v>
      </c>
      <c r="D38" s="350">
        <f>+'P&amp;L Assumptions'!F29</f>
        <v>24.558750000000003</v>
      </c>
      <c r="E38" s="350">
        <f>+'P&amp;L Assumptions'!G29</f>
        <v>51.945468750000003</v>
      </c>
      <c r="F38" s="350">
        <f>+'P&amp;L Assumptions'!H29</f>
        <v>55.682279296875009</v>
      </c>
      <c r="G38" s="350">
        <f>+'P&amp;L Assumptions'!I29</f>
        <v>59.722732924804689</v>
      </c>
      <c r="H38" s="350">
        <f>+'P&amp;L Assumptions'!J29</f>
        <v>64.093984049597182</v>
      </c>
      <c r="I38" s="350">
        <f>+'P&amp;L Assumptions'!K29</f>
        <v>68.825771964680897</v>
      </c>
      <c r="J38" s="350">
        <f>+'P&amp;L Assumptions'!L29</f>
        <v>73.95067586856068</v>
      </c>
      <c r="K38" s="350">
        <f>+'P&amp;L Assumptions'!M29</f>
        <v>79.504395536463164</v>
      </c>
      <c r="L38" s="350">
        <f>+'P&amp;L Assumptions'!N29</f>
        <v>85.526060239894377</v>
      </c>
    </row>
    <row r="39" spans="2:12" x14ac:dyDescent="0.25">
      <c r="B39" s="355">
        <v>29</v>
      </c>
      <c r="C39" s="365" t="s">
        <v>688</v>
      </c>
      <c r="D39" s="361" t="e">
        <f t="shared" ref="D39:L39" si="7">D16-D37-D38</f>
        <v>#REF!</v>
      </c>
      <c r="E39" s="361" t="e">
        <f t="shared" si="7"/>
        <v>#REF!</v>
      </c>
      <c r="F39" s="361" t="e">
        <f t="shared" si="7"/>
        <v>#REF!</v>
      </c>
      <c r="G39" s="361" t="e">
        <f t="shared" si="7"/>
        <v>#REF!</v>
      </c>
      <c r="H39" s="361" t="e">
        <f t="shared" si="7"/>
        <v>#REF!</v>
      </c>
      <c r="I39" s="361" t="e">
        <f t="shared" si="7"/>
        <v>#REF!</v>
      </c>
      <c r="J39" s="361" t="e">
        <f t="shared" si="7"/>
        <v>#REF!</v>
      </c>
      <c r="K39" s="361" t="e">
        <f t="shared" si="7"/>
        <v>#REF!</v>
      </c>
      <c r="L39" s="361" t="e">
        <f t="shared" si="7"/>
        <v>#REF!</v>
      </c>
    </row>
    <row r="40" spans="2:12" x14ac:dyDescent="0.25">
      <c r="B40" s="355">
        <v>30</v>
      </c>
      <c r="C40" s="359" t="s">
        <v>545</v>
      </c>
      <c r="D40" s="350">
        <f>+'P&amp;L &amp; Ratio Analysis'!F14</f>
        <v>4.5</v>
      </c>
      <c r="E40" s="350">
        <f>+'P&amp;L &amp; Ratio Analysis'!G14</f>
        <v>9</v>
      </c>
      <c r="F40" s="350">
        <f>+'P&amp;L &amp; Ratio Analysis'!H14</f>
        <v>9</v>
      </c>
      <c r="G40" s="350">
        <f>+'P&amp;L &amp; Ratio Analysis'!I14</f>
        <v>9</v>
      </c>
      <c r="H40" s="350">
        <f>+'P&amp;L &amp; Ratio Analysis'!J14</f>
        <v>9</v>
      </c>
      <c r="I40" s="350">
        <f>+'P&amp;L &amp; Ratio Analysis'!K14</f>
        <v>9</v>
      </c>
      <c r="J40" s="350">
        <f>+'P&amp;L &amp; Ratio Analysis'!L14</f>
        <v>9</v>
      </c>
      <c r="K40" s="350">
        <f>+'P&amp;L &amp; Ratio Analysis'!M14</f>
        <v>9</v>
      </c>
      <c r="L40" s="350">
        <f>+'P&amp;L &amp; Ratio Analysis'!N14</f>
        <v>9</v>
      </c>
    </row>
    <row r="41" spans="2:12" x14ac:dyDescent="0.25">
      <c r="B41" s="355">
        <v>31</v>
      </c>
      <c r="C41" s="359" t="s">
        <v>689</v>
      </c>
      <c r="D41" s="350">
        <f>'P&amp;L &amp; Ratio Analysis'!F13</f>
        <v>100.00000000000001</v>
      </c>
      <c r="E41" s="350">
        <f>'P&amp;L &amp; Ratio Analysis'!G13</f>
        <v>198.75000000000003</v>
      </c>
      <c r="F41" s="350">
        <f>'P&amp;L &amp; Ratio Analysis'!H13</f>
        <v>187.87499999999997</v>
      </c>
      <c r="G41" s="350">
        <f>'P&amp;L &amp; Ratio Analysis'!I13</f>
        <v>170.74999999999997</v>
      </c>
      <c r="H41" s="350">
        <f>'P&amp;L &amp; Ratio Analysis'!J13</f>
        <v>151.20875000000001</v>
      </c>
      <c r="I41" s="350">
        <f>'P&amp;L &amp; Ratio Analysis'!K13</f>
        <v>119.10200000000003</v>
      </c>
      <c r="J41" s="350">
        <f>'P&amp;L &amp; Ratio Analysis'!L13</f>
        <v>83.102000000000032</v>
      </c>
      <c r="K41" s="350">
        <f>'P&amp;L &amp; Ratio Analysis'!M13</f>
        <v>44.352000000000032</v>
      </c>
      <c r="L41" s="350">
        <f>'P&amp;L &amp; Ratio Analysis'!N13</f>
        <v>6.4260000000000215</v>
      </c>
    </row>
    <row r="42" spans="2:12" x14ac:dyDescent="0.25">
      <c r="B42" s="355">
        <v>32</v>
      </c>
      <c r="C42" s="359" t="s">
        <v>690</v>
      </c>
      <c r="D42" s="350"/>
      <c r="E42" s="350"/>
      <c r="F42" s="350"/>
      <c r="G42" s="350"/>
      <c r="H42" s="350"/>
      <c r="I42" s="350"/>
      <c r="J42" s="350"/>
      <c r="K42" s="350"/>
      <c r="L42" s="350"/>
    </row>
    <row r="43" spans="2:12" x14ac:dyDescent="0.25">
      <c r="B43" s="355">
        <v>33</v>
      </c>
      <c r="C43" s="365" t="s">
        <v>691</v>
      </c>
      <c r="D43" s="361">
        <f t="shared" ref="D43:L43" si="8">D40+D41+D42</f>
        <v>104.50000000000001</v>
      </c>
      <c r="E43" s="361">
        <f t="shared" si="8"/>
        <v>207.75000000000003</v>
      </c>
      <c r="F43" s="361">
        <f t="shared" si="8"/>
        <v>196.87499999999997</v>
      </c>
      <c r="G43" s="361">
        <f t="shared" si="8"/>
        <v>179.74999999999997</v>
      </c>
      <c r="H43" s="361">
        <f t="shared" si="8"/>
        <v>160.20875000000001</v>
      </c>
      <c r="I43" s="361">
        <f t="shared" si="8"/>
        <v>128.10200000000003</v>
      </c>
      <c r="J43" s="361">
        <f t="shared" si="8"/>
        <v>92.102000000000032</v>
      </c>
      <c r="K43" s="361">
        <f t="shared" si="8"/>
        <v>53.352000000000032</v>
      </c>
      <c r="L43" s="361">
        <f t="shared" si="8"/>
        <v>15.426000000000021</v>
      </c>
    </row>
    <row r="44" spans="2:12" x14ac:dyDescent="0.25">
      <c r="B44" s="355">
        <v>34</v>
      </c>
      <c r="C44" s="365" t="s">
        <v>692</v>
      </c>
      <c r="D44" s="361" t="e">
        <f t="shared" ref="D44:L44" si="9">D39-D43</f>
        <v>#REF!</v>
      </c>
      <c r="E44" s="361" t="e">
        <f t="shared" si="9"/>
        <v>#REF!</v>
      </c>
      <c r="F44" s="361" t="e">
        <f t="shared" si="9"/>
        <v>#REF!</v>
      </c>
      <c r="G44" s="361" t="e">
        <f t="shared" si="9"/>
        <v>#REF!</v>
      </c>
      <c r="H44" s="361" t="e">
        <f t="shared" si="9"/>
        <v>#REF!</v>
      </c>
      <c r="I44" s="361" t="e">
        <f t="shared" si="9"/>
        <v>#REF!</v>
      </c>
      <c r="J44" s="361" t="e">
        <f t="shared" si="9"/>
        <v>#REF!</v>
      </c>
      <c r="K44" s="361" t="e">
        <f t="shared" si="9"/>
        <v>#REF!</v>
      </c>
      <c r="L44" s="361" t="e">
        <f t="shared" si="9"/>
        <v>#REF!</v>
      </c>
    </row>
    <row r="45" spans="2:12" x14ac:dyDescent="0.25">
      <c r="B45" s="355">
        <v>35</v>
      </c>
      <c r="C45" s="362" t="s">
        <v>693</v>
      </c>
      <c r="D45" s="363"/>
      <c r="E45" s="363"/>
      <c r="F45" s="363"/>
      <c r="G45" s="363"/>
      <c r="H45" s="363"/>
      <c r="I45" s="363"/>
      <c r="J45" s="363"/>
      <c r="K45" s="363"/>
      <c r="L45" s="363"/>
    </row>
    <row r="46" spans="2:12" x14ac:dyDescent="0.25">
      <c r="B46" s="355">
        <v>36</v>
      </c>
      <c r="C46" s="359" t="s">
        <v>694</v>
      </c>
      <c r="D46" s="350"/>
      <c r="E46" s="350"/>
      <c r="F46" s="350"/>
      <c r="G46" s="350"/>
      <c r="H46" s="350"/>
      <c r="I46" s="350"/>
      <c r="J46" s="350"/>
      <c r="K46" s="350"/>
      <c r="L46" s="350"/>
    </row>
    <row r="47" spans="2:12" x14ac:dyDescent="0.25">
      <c r="B47" s="355">
        <v>37</v>
      </c>
      <c r="C47" s="359" t="s">
        <v>695</v>
      </c>
      <c r="D47" s="350"/>
      <c r="E47" s="350"/>
      <c r="F47" s="350"/>
      <c r="G47" s="350"/>
      <c r="H47" s="350"/>
      <c r="I47" s="350"/>
      <c r="J47" s="350"/>
      <c r="K47" s="350"/>
      <c r="L47" s="350"/>
    </row>
    <row r="48" spans="2:12" x14ac:dyDescent="0.25">
      <c r="B48" s="355">
        <v>38</v>
      </c>
      <c r="C48" s="359" t="s">
        <v>696</v>
      </c>
      <c r="D48" s="350"/>
      <c r="E48" s="350"/>
      <c r="F48" s="350"/>
      <c r="G48" s="350"/>
      <c r="H48" s="350"/>
      <c r="I48" s="350"/>
      <c r="J48" s="350"/>
      <c r="K48" s="350"/>
      <c r="L48" s="350"/>
    </row>
    <row r="49" spans="2:12" x14ac:dyDescent="0.25">
      <c r="B49" s="355">
        <v>39</v>
      </c>
      <c r="C49" s="359" t="s">
        <v>697</v>
      </c>
      <c r="D49" s="350"/>
      <c r="E49" s="350"/>
      <c r="F49" s="350"/>
      <c r="G49" s="350"/>
      <c r="H49" s="350"/>
      <c r="I49" s="350"/>
      <c r="J49" s="350"/>
      <c r="K49" s="350"/>
      <c r="L49" s="350"/>
    </row>
    <row r="50" spans="2:12" x14ac:dyDescent="0.25">
      <c r="B50" s="355">
        <v>40</v>
      </c>
      <c r="C50" s="359" t="s">
        <v>698</v>
      </c>
      <c r="D50" s="350"/>
      <c r="E50" s="350"/>
      <c r="F50" s="350"/>
      <c r="G50" s="350"/>
      <c r="H50" s="350"/>
      <c r="I50" s="350"/>
      <c r="J50" s="350"/>
      <c r="K50" s="350"/>
      <c r="L50" s="350"/>
    </row>
    <row r="51" spans="2:12" x14ac:dyDescent="0.25">
      <c r="B51" s="355">
        <v>41</v>
      </c>
      <c r="C51" s="359" t="s">
        <v>699</v>
      </c>
      <c r="D51" s="363"/>
      <c r="E51" s="363"/>
      <c r="F51" s="363"/>
      <c r="G51" s="363"/>
      <c r="H51" s="363"/>
      <c r="I51" s="363"/>
      <c r="J51" s="363"/>
      <c r="K51" s="363"/>
      <c r="L51" s="363"/>
    </row>
    <row r="52" spans="2:12" x14ac:dyDescent="0.25">
      <c r="B52" s="355" t="s">
        <v>700</v>
      </c>
      <c r="C52" s="367"/>
      <c r="D52" s="350"/>
      <c r="E52" s="350"/>
      <c r="F52" s="350"/>
      <c r="G52" s="350"/>
      <c r="H52" s="350"/>
      <c r="I52" s="350"/>
      <c r="J52" s="350"/>
      <c r="K52" s="350"/>
      <c r="L52" s="350"/>
    </row>
    <row r="53" spans="2:12" x14ac:dyDescent="0.25">
      <c r="B53" s="355" t="s">
        <v>701</v>
      </c>
      <c r="C53" s="367"/>
      <c r="D53" s="350"/>
      <c r="E53" s="350"/>
      <c r="F53" s="350"/>
      <c r="G53" s="350"/>
      <c r="H53" s="350"/>
      <c r="I53" s="350"/>
      <c r="J53" s="350"/>
      <c r="K53" s="350"/>
      <c r="L53" s="350"/>
    </row>
    <row r="54" spans="2:12" ht="30" customHeight="1" x14ac:dyDescent="0.25">
      <c r="B54" s="355" t="s">
        <v>702</v>
      </c>
      <c r="C54" s="367"/>
      <c r="D54" s="350"/>
      <c r="E54" s="350"/>
      <c r="F54" s="350"/>
      <c r="G54" s="350"/>
      <c r="H54" s="350"/>
      <c r="I54" s="350"/>
      <c r="J54" s="350"/>
      <c r="K54" s="350"/>
      <c r="L54" s="350"/>
    </row>
    <row r="55" spans="2:12" ht="30" customHeight="1" x14ac:dyDescent="0.25">
      <c r="B55" s="355" t="s">
        <v>703</v>
      </c>
      <c r="C55" s="367"/>
      <c r="D55" s="350"/>
      <c r="E55" s="350"/>
      <c r="F55" s="350"/>
      <c r="G55" s="350"/>
      <c r="H55" s="350"/>
      <c r="I55" s="350"/>
      <c r="J55" s="350"/>
      <c r="K55" s="350"/>
      <c r="L55" s="350"/>
    </row>
    <row r="56" spans="2:12" x14ac:dyDescent="0.25">
      <c r="B56" s="355" t="s">
        <v>704</v>
      </c>
      <c r="C56" s="367"/>
      <c r="D56" s="350"/>
      <c r="E56" s="350"/>
      <c r="F56" s="350"/>
      <c r="G56" s="350"/>
      <c r="H56" s="350"/>
      <c r="I56" s="350"/>
      <c r="J56" s="350"/>
      <c r="K56" s="350"/>
      <c r="L56" s="350"/>
    </row>
    <row r="57" spans="2:12" x14ac:dyDescent="0.25">
      <c r="B57" s="355">
        <v>40</v>
      </c>
      <c r="C57" s="365" t="s">
        <v>705</v>
      </c>
      <c r="D57" s="361">
        <f t="shared" ref="D57:L57" si="10">SUM(D46:D56)</f>
        <v>0</v>
      </c>
      <c r="E57" s="361">
        <f t="shared" si="10"/>
        <v>0</v>
      </c>
      <c r="F57" s="361">
        <f t="shared" si="10"/>
        <v>0</v>
      </c>
      <c r="G57" s="361">
        <f t="shared" si="10"/>
        <v>0</v>
      </c>
      <c r="H57" s="361">
        <f t="shared" si="10"/>
        <v>0</v>
      </c>
      <c r="I57" s="361">
        <f t="shared" si="10"/>
        <v>0</v>
      </c>
      <c r="J57" s="361">
        <f t="shared" si="10"/>
        <v>0</v>
      </c>
      <c r="K57" s="361">
        <f t="shared" si="10"/>
        <v>0</v>
      </c>
      <c r="L57" s="361">
        <f t="shared" si="10"/>
        <v>0</v>
      </c>
    </row>
    <row r="58" spans="2:12" x14ac:dyDescent="0.25">
      <c r="B58" s="355">
        <v>41</v>
      </c>
      <c r="C58" s="362" t="s">
        <v>706</v>
      </c>
      <c r="D58" s="363"/>
      <c r="E58" s="363"/>
      <c r="F58" s="363"/>
      <c r="G58" s="363"/>
      <c r="H58" s="363"/>
      <c r="I58" s="363"/>
      <c r="J58" s="363"/>
      <c r="K58" s="363"/>
      <c r="L58" s="363"/>
    </row>
    <row r="59" spans="2:12" x14ac:dyDescent="0.25">
      <c r="B59" s="355">
        <v>42</v>
      </c>
      <c r="C59" s="359" t="s">
        <v>707</v>
      </c>
      <c r="D59" s="350"/>
      <c r="E59" s="350"/>
      <c r="F59" s="350"/>
      <c r="G59" s="350"/>
      <c r="H59" s="350"/>
      <c r="I59" s="350"/>
      <c r="J59" s="350"/>
      <c r="K59" s="350"/>
      <c r="L59" s="350"/>
    </row>
    <row r="60" spans="2:12" x14ac:dyDescent="0.25">
      <c r="B60" s="355">
        <v>43</v>
      </c>
      <c r="C60" s="359" t="s">
        <v>708</v>
      </c>
      <c r="D60" s="350">
        <f>'P&amp;L Assumptions'!F35</f>
        <v>15</v>
      </c>
      <c r="E60" s="350">
        <f>'P&amp;L Assumptions'!G35</f>
        <v>15</v>
      </c>
      <c r="F60" s="350">
        <f>'P&amp;L Assumptions'!H35</f>
        <v>15</v>
      </c>
      <c r="G60" s="350">
        <f>'P&amp;L Assumptions'!I35</f>
        <v>15</v>
      </c>
      <c r="H60" s="350">
        <f>'P&amp;L Assumptions'!J35</f>
        <v>15</v>
      </c>
      <c r="I60" s="350">
        <f>'P&amp;L Assumptions'!K35</f>
        <v>0</v>
      </c>
      <c r="J60" s="350">
        <f>'P&amp;L Assumptions'!L35</f>
        <v>0</v>
      </c>
      <c r="K60" s="350">
        <f>'P&amp;L Assumptions'!M35</f>
        <v>0</v>
      </c>
      <c r="L60" s="350">
        <f>'P&amp;L Assumptions'!N35</f>
        <v>0</v>
      </c>
    </row>
    <row r="61" spans="2:12" x14ac:dyDescent="0.25">
      <c r="B61" s="355">
        <v>44</v>
      </c>
      <c r="C61" s="359" t="s">
        <v>709</v>
      </c>
      <c r="D61" s="350"/>
      <c r="E61" s="350"/>
      <c r="F61" s="350"/>
      <c r="G61" s="350"/>
      <c r="H61" s="350"/>
      <c r="I61" s="350"/>
      <c r="J61" s="350"/>
      <c r="K61" s="350"/>
      <c r="L61" s="350"/>
    </row>
    <row r="62" spans="2:12" x14ac:dyDescent="0.25">
      <c r="B62" s="355">
        <v>45</v>
      </c>
      <c r="C62" s="359" t="s">
        <v>710</v>
      </c>
      <c r="D62" s="350"/>
      <c r="E62" s="350"/>
      <c r="F62" s="350"/>
      <c r="G62" s="350"/>
      <c r="H62" s="350"/>
      <c r="I62" s="350"/>
      <c r="J62" s="350"/>
      <c r="K62" s="350"/>
      <c r="L62" s="350"/>
    </row>
    <row r="63" spans="2:12" x14ac:dyDescent="0.25">
      <c r="B63" s="355">
        <v>46</v>
      </c>
      <c r="C63" s="359" t="s">
        <v>711</v>
      </c>
      <c r="D63" s="350"/>
      <c r="E63" s="350"/>
      <c r="F63" s="350"/>
      <c r="G63" s="350"/>
      <c r="H63" s="350"/>
      <c r="I63" s="350"/>
      <c r="J63" s="350"/>
      <c r="K63" s="350"/>
      <c r="L63" s="350"/>
    </row>
    <row r="64" spans="2:12" x14ac:dyDescent="0.25">
      <c r="B64" s="355">
        <v>47</v>
      </c>
      <c r="C64" s="359" t="s">
        <v>699</v>
      </c>
      <c r="D64" s="363"/>
      <c r="E64" s="363"/>
      <c r="F64" s="363"/>
      <c r="G64" s="363"/>
      <c r="H64" s="363"/>
      <c r="I64" s="363"/>
      <c r="J64" s="363"/>
      <c r="K64" s="363"/>
      <c r="L64" s="363"/>
    </row>
    <row r="65" spans="2:12" x14ac:dyDescent="0.25">
      <c r="B65" s="355" t="s">
        <v>712</v>
      </c>
      <c r="C65" s="367"/>
      <c r="D65" s="350"/>
      <c r="E65" s="350"/>
      <c r="F65" s="350"/>
      <c r="G65" s="350"/>
      <c r="H65" s="350"/>
      <c r="I65" s="350"/>
      <c r="J65" s="350"/>
      <c r="K65" s="350"/>
      <c r="L65" s="350"/>
    </row>
    <row r="66" spans="2:12" x14ac:dyDescent="0.25">
      <c r="B66" s="355" t="s">
        <v>713</v>
      </c>
      <c r="C66" s="367"/>
      <c r="D66" s="350"/>
      <c r="E66" s="350"/>
      <c r="F66" s="350"/>
      <c r="G66" s="350"/>
      <c r="H66" s="350"/>
      <c r="I66" s="350"/>
      <c r="J66" s="350"/>
      <c r="K66" s="350"/>
      <c r="L66" s="350"/>
    </row>
    <row r="67" spans="2:12" ht="30" customHeight="1" x14ac:dyDescent="0.25">
      <c r="B67" s="355" t="s">
        <v>714</v>
      </c>
      <c r="C67" s="367"/>
      <c r="D67" s="350"/>
      <c r="E67" s="350"/>
      <c r="F67" s="350"/>
      <c r="G67" s="350"/>
      <c r="H67" s="350"/>
      <c r="I67" s="350"/>
      <c r="J67" s="350"/>
      <c r="K67" s="350"/>
      <c r="L67" s="350"/>
    </row>
    <row r="68" spans="2:12" ht="30" customHeight="1" x14ac:dyDescent="0.25">
      <c r="B68" s="355" t="s">
        <v>715</v>
      </c>
      <c r="C68" s="367"/>
      <c r="D68" s="350"/>
      <c r="E68" s="350"/>
      <c r="F68" s="350"/>
      <c r="G68" s="350"/>
      <c r="H68" s="350"/>
      <c r="I68" s="350"/>
      <c r="J68" s="350"/>
      <c r="K68" s="350"/>
      <c r="L68" s="350"/>
    </row>
    <row r="69" spans="2:12" x14ac:dyDescent="0.25">
      <c r="B69" s="355" t="s">
        <v>716</v>
      </c>
      <c r="C69" s="367"/>
      <c r="D69" s="350"/>
      <c r="E69" s="350"/>
      <c r="F69" s="350"/>
      <c r="G69" s="350"/>
      <c r="H69" s="350"/>
      <c r="I69" s="350"/>
      <c r="J69" s="350"/>
      <c r="K69" s="350"/>
      <c r="L69" s="350"/>
    </row>
    <row r="70" spans="2:12" x14ac:dyDescent="0.25">
      <c r="B70" s="355">
        <v>48</v>
      </c>
      <c r="C70" s="365" t="s">
        <v>717</v>
      </c>
      <c r="D70" s="361">
        <f t="shared" ref="D70:L70" si="11">SUM(D59:D69)</f>
        <v>15</v>
      </c>
      <c r="E70" s="361">
        <f t="shared" si="11"/>
        <v>15</v>
      </c>
      <c r="F70" s="361">
        <f t="shared" si="11"/>
        <v>15</v>
      </c>
      <c r="G70" s="361">
        <f t="shared" si="11"/>
        <v>15</v>
      </c>
      <c r="H70" s="361">
        <f t="shared" si="11"/>
        <v>15</v>
      </c>
      <c r="I70" s="361">
        <f t="shared" si="11"/>
        <v>0</v>
      </c>
      <c r="J70" s="361">
        <f t="shared" si="11"/>
        <v>0</v>
      </c>
      <c r="K70" s="361">
        <f t="shared" si="11"/>
        <v>0</v>
      </c>
      <c r="L70" s="361">
        <f t="shared" si="11"/>
        <v>0</v>
      </c>
    </row>
    <row r="71" spans="2:12" x14ac:dyDescent="0.25">
      <c r="B71" s="355">
        <v>49</v>
      </c>
      <c r="C71" s="365" t="s">
        <v>718</v>
      </c>
      <c r="D71" s="361">
        <f t="shared" ref="D71:L71" si="12">D57-D70</f>
        <v>-15</v>
      </c>
      <c r="E71" s="361">
        <f t="shared" si="12"/>
        <v>-15</v>
      </c>
      <c r="F71" s="361">
        <f t="shared" si="12"/>
        <v>-15</v>
      </c>
      <c r="G71" s="361">
        <f t="shared" si="12"/>
        <v>-15</v>
      </c>
      <c r="H71" s="361">
        <f t="shared" si="12"/>
        <v>-15</v>
      </c>
      <c r="I71" s="361">
        <f t="shared" si="12"/>
        <v>0</v>
      </c>
      <c r="J71" s="361">
        <f t="shared" si="12"/>
        <v>0</v>
      </c>
      <c r="K71" s="361">
        <f t="shared" si="12"/>
        <v>0</v>
      </c>
      <c r="L71" s="361">
        <f t="shared" si="12"/>
        <v>0</v>
      </c>
    </row>
    <row r="72" spans="2:12" x14ac:dyDescent="0.25">
      <c r="B72" s="355">
        <v>50</v>
      </c>
      <c r="C72" s="365" t="s">
        <v>719</v>
      </c>
      <c r="D72" s="361" t="e">
        <f t="shared" ref="D72:L72" si="13">D44+D71</f>
        <v>#REF!</v>
      </c>
      <c r="E72" s="361" t="e">
        <f t="shared" si="13"/>
        <v>#REF!</v>
      </c>
      <c r="F72" s="361" t="e">
        <f t="shared" si="13"/>
        <v>#REF!</v>
      </c>
      <c r="G72" s="361" t="e">
        <f t="shared" si="13"/>
        <v>#REF!</v>
      </c>
      <c r="H72" s="361" t="e">
        <f t="shared" si="13"/>
        <v>#REF!</v>
      </c>
      <c r="I72" s="361" t="e">
        <f t="shared" si="13"/>
        <v>#REF!</v>
      </c>
      <c r="J72" s="361" t="e">
        <f t="shared" si="13"/>
        <v>#REF!</v>
      </c>
      <c r="K72" s="361" t="e">
        <f t="shared" si="13"/>
        <v>#REF!</v>
      </c>
      <c r="L72" s="361" t="e">
        <f t="shared" si="13"/>
        <v>#REF!</v>
      </c>
    </row>
    <row r="73" spans="2:12" x14ac:dyDescent="0.25">
      <c r="B73" s="355">
        <v>51</v>
      </c>
      <c r="C73" s="359" t="s">
        <v>720</v>
      </c>
      <c r="D73" s="350"/>
      <c r="E73" s="350"/>
      <c r="F73" s="350"/>
      <c r="G73" s="350"/>
      <c r="H73" s="350"/>
      <c r="I73" s="350"/>
      <c r="J73" s="350"/>
      <c r="K73" s="350"/>
      <c r="L73" s="350"/>
    </row>
    <row r="74" spans="2:12" x14ac:dyDescent="0.25">
      <c r="B74" s="355">
        <v>52</v>
      </c>
      <c r="C74" s="359" t="s">
        <v>721</v>
      </c>
      <c r="D74" s="350">
        <f>'Tax Calculations'!F37</f>
        <v>0</v>
      </c>
      <c r="E74" s="350">
        <f>'Tax Calculations'!G37</f>
        <v>0</v>
      </c>
      <c r="F74" s="350">
        <f>'Tax Calculations'!H37</f>
        <v>4.8068045328284175</v>
      </c>
      <c r="G74" s="350">
        <f>'Tax Calculations'!I37</f>
        <v>35.74229086084739</v>
      </c>
      <c r="H74" s="350">
        <f>'Tax Calculations'!J37</f>
        <v>56.731779249225447</v>
      </c>
      <c r="I74" s="350">
        <f>'Tax Calculations'!K37</f>
        <v>73.317118386943889</v>
      </c>
      <c r="J74" s="350">
        <f>'Tax Calculations'!L37</f>
        <v>91.594198964467168</v>
      </c>
      <c r="K74" s="350">
        <f>'Tax Calculations'!M37</f>
        <v>127.07346376510927</v>
      </c>
      <c r="L74" s="350">
        <f>'Tax Calculations'!N37</f>
        <v>205.9515507098923</v>
      </c>
    </row>
    <row r="75" spans="2:12" x14ac:dyDescent="0.25">
      <c r="B75" s="355">
        <v>53</v>
      </c>
      <c r="C75" s="359" t="s">
        <v>722</v>
      </c>
      <c r="D75" s="350"/>
      <c r="E75" s="350"/>
      <c r="F75" s="350"/>
      <c r="G75" s="350"/>
      <c r="H75" s="350"/>
      <c r="I75" s="350"/>
      <c r="J75" s="350"/>
      <c r="K75" s="350"/>
      <c r="L75" s="350"/>
    </row>
    <row r="76" spans="2:12" x14ac:dyDescent="0.25">
      <c r="B76" s="355">
        <v>54</v>
      </c>
      <c r="C76" s="365" t="s">
        <v>723</v>
      </c>
      <c r="D76" s="361" t="e">
        <f t="shared" ref="D76:L76" si="14">D72-D73-D74-D75</f>
        <v>#REF!</v>
      </c>
      <c r="E76" s="361" t="e">
        <f t="shared" si="14"/>
        <v>#REF!</v>
      </c>
      <c r="F76" s="361" t="e">
        <f t="shared" si="14"/>
        <v>#REF!</v>
      </c>
      <c r="G76" s="361" t="e">
        <f t="shared" si="14"/>
        <v>#REF!</v>
      </c>
      <c r="H76" s="361" t="e">
        <f t="shared" si="14"/>
        <v>#REF!</v>
      </c>
      <c r="I76" s="361" t="e">
        <f t="shared" si="14"/>
        <v>#REF!</v>
      </c>
      <c r="J76" s="361" t="e">
        <f t="shared" si="14"/>
        <v>#REF!</v>
      </c>
      <c r="K76" s="361" t="e">
        <f t="shared" si="14"/>
        <v>#REF!</v>
      </c>
      <c r="L76" s="361" t="e">
        <f t="shared" si="14"/>
        <v>#REF!</v>
      </c>
    </row>
    <row r="77" spans="2:12" x14ac:dyDescent="0.25">
      <c r="B77" s="355">
        <v>55</v>
      </c>
      <c r="C77" s="359" t="s">
        <v>724</v>
      </c>
      <c r="D77" s="350"/>
      <c r="E77" s="350"/>
      <c r="F77" s="350"/>
      <c r="G77" s="350"/>
      <c r="H77" s="350"/>
      <c r="I77" s="350"/>
      <c r="J77" s="350"/>
      <c r="K77" s="350"/>
      <c r="L77" s="350"/>
    </row>
    <row r="78" spans="2:12" x14ac:dyDescent="0.25">
      <c r="B78" s="355">
        <v>56</v>
      </c>
      <c r="C78" s="365" t="s">
        <v>725</v>
      </c>
      <c r="D78" s="361" t="e">
        <f t="shared" ref="D78:L78" si="15">D76-D77</f>
        <v>#REF!</v>
      </c>
      <c r="E78" s="361" t="e">
        <f t="shared" si="15"/>
        <v>#REF!</v>
      </c>
      <c r="F78" s="361" t="e">
        <f t="shared" si="15"/>
        <v>#REF!</v>
      </c>
      <c r="G78" s="361" t="e">
        <f t="shared" si="15"/>
        <v>#REF!</v>
      </c>
      <c r="H78" s="361" t="e">
        <f t="shared" si="15"/>
        <v>#REF!</v>
      </c>
      <c r="I78" s="361" t="e">
        <f t="shared" si="15"/>
        <v>#REF!</v>
      </c>
      <c r="J78" s="361" t="e">
        <f t="shared" si="15"/>
        <v>#REF!</v>
      </c>
      <c r="K78" s="361" t="e">
        <f t="shared" si="15"/>
        <v>#REF!</v>
      </c>
      <c r="L78" s="361" t="e">
        <f t="shared" si="15"/>
        <v>#REF!</v>
      </c>
    </row>
    <row r="79" spans="2:12" x14ac:dyDescent="0.25">
      <c r="B79" s="355">
        <v>57</v>
      </c>
      <c r="C79" s="359" t="s">
        <v>726</v>
      </c>
      <c r="D79" s="350"/>
      <c r="E79" s="350"/>
      <c r="F79" s="350"/>
      <c r="G79" s="350"/>
      <c r="H79" s="350"/>
      <c r="I79" s="350"/>
      <c r="J79" s="350"/>
      <c r="K79" s="350"/>
      <c r="L79" s="350"/>
    </row>
    <row r="80" spans="2:12" x14ac:dyDescent="0.25">
      <c r="B80" s="355">
        <v>58</v>
      </c>
      <c r="C80" s="365" t="s">
        <v>727</v>
      </c>
      <c r="D80" s="361" t="e">
        <f t="shared" ref="D80:L80" si="16">D78-D79</f>
        <v>#REF!</v>
      </c>
      <c r="E80" s="361" t="e">
        <f t="shared" si="16"/>
        <v>#REF!</v>
      </c>
      <c r="F80" s="361" t="e">
        <f t="shared" si="16"/>
        <v>#REF!</v>
      </c>
      <c r="G80" s="361" t="e">
        <f t="shared" si="16"/>
        <v>#REF!</v>
      </c>
      <c r="H80" s="361" t="e">
        <f t="shared" si="16"/>
        <v>#REF!</v>
      </c>
      <c r="I80" s="361" t="e">
        <f t="shared" si="16"/>
        <v>#REF!</v>
      </c>
      <c r="J80" s="361" t="e">
        <f t="shared" si="16"/>
        <v>#REF!</v>
      </c>
      <c r="K80" s="361" t="e">
        <f t="shared" si="16"/>
        <v>#REF!</v>
      </c>
      <c r="L80" s="361" t="e">
        <f t="shared" si="16"/>
        <v>#REF!</v>
      </c>
    </row>
    <row r="81" spans="2:12" ht="73.900000000000006" customHeight="1" x14ac:dyDescent="0.25">
      <c r="B81" s="347"/>
      <c r="C81" s="368" t="s">
        <v>728</v>
      </c>
      <c r="D81" s="350"/>
      <c r="E81" s="350"/>
      <c r="F81" s="350"/>
      <c r="G81" s="350"/>
      <c r="H81" s="350"/>
      <c r="I81" s="350"/>
      <c r="J81" s="350"/>
      <c r="K81" s="350"/>
      <c r="L81" s="350"/>
    </row>
  </sheetData>
  <protectedRanges>
    <protectedRange sqref="D81:AE81" name="Range17"/>
    <protectedRange sqref="D79:AE79" name="Range16"/>
    <protectedRange sqref="D77:AE77" name="Range15"/>
    <protectedRange sqref="D73:AE75" name="Range14"/>
    <protectedRange sqref="C65:AE69" name="Range13"/>
    <protectedRange sqref="D59:AE63" name="Range12"/>
    <protectedRange sqref="C52:AE56" name="Range11"/>
    <protectedRange sqref="D46:AE50" name="Range10"/>
    <protectedRange sqref="D40:AE42" name="Range9"/>
    <protectedRange sqref="D38:AE38" name="Range8"/>
    <protectedRange sqref="D35:AE36" name="Range7"/>
    <protectedRange sqref="D26:AE33" name="Range6"/>
    <protectedRange sqref="D23:AE24" name="Range5"/>
    <protectedRange sqref="D1:AE3" name="Range1"/>
    <protectedRange sqref="D10:AE12" name="Range2"/>
    <protectedRange sqref="D14:AE15" name="Range3"/>
    <protectedRange sqref="D20:AE21" name="Range4"/>
  </protectedRanges>
  <dataValidations count="1">
    <dataValidation type="list" operator="equal" allowBlank="1" showInputMessage="1" showErrorMessage="1" sqref="D3:AE3 IZ3:KA3 SV3:TW3 ACR3:ADS3 AMN3:ANO3 AWJ3:AXK3 BGF3:BHG3 BQB3:BRC3 BZX3:CAY3 CJT3:CKU3 CTP3:CUQ3 DDL3:DEM3 DNH3:DOI3 DXD3:DYE3 EGZ3:EIA3 EQV3:ERW3 FAR3:FBS3 FKN3:FLO3 FUJ3:FVK3 GEF3:GFG3 GOB3:GPC3 GXX3:GYY3 HHT3:HIU3 HRP3:HSQ3 IBL3:ICM3 ILH3:IMI3 IVD3:IWE3 JEZ3:JGA3 JOV3:JPW3 JYR3:JZS3 KIN3:KJO3 KSJ3:KTK3 LCF3:LDG3 LMB3:LNC3 LVX3:LWY3 MFT3:MGU3 MPP3:MQQ3 MZL3:NAM3 NJH3:NKI3 NTD3:NUE3 OCZ3:OEA3 OMV3:ONW3 OWR3:OXS3 PGN3:PHO3 PQJ3:PRK3 QAF3:QBG3 QKB3:QLC3 QTX3:QUY3 RDT3:REU3 RNP3:ROQ3 RXL3:RYM3 SHH3:SII3 SRD3:SSE3 TAZ3:TCA3 TKV3:TLW3 TUR3:TVS3 UEN3:UFO3 UOJ3:UPK3 UYF3:UZG3 VIB3:VJC3 VRX3:VSY3 WBT3:WCU3 WLP3:WMQ3 WVL3:WWM3 D65545:AE65545 IZ65545:KA65545 SV65545:TW65545 ACR65545:ADS65545 AMN65545:ANO65545 AWJ65545:AXK65545 BGF65545:BHG65545 BQB65545:BRC65545 BZX65545:CAY65545 CJT65545:CKU65545 CTP65545:CUQ65545 DDL65545:DEM65545 DNH65545:DOI65545 DXD65545:DYE65545 EGZ65545:EIA65545 EQV65545:ERW65545 FAR65545:FBS65545 FKN65545:FLO65545 FUJ65545:FVK65545 GEF65545:GFG65545 GOB65545:GPC65545 GXX65545:GYY65545 HHT65545:HIU65545 HRP65545:HSQ65545 IBL65545:ICM65545 ILH65545:IMI65545 IVD65545:IWE65545 JEZ65545:JGA65545 JOV65545:JPW65545 JYR65545:JZS65545 KIN65545:KJO65545 KSJ65545:KTK65545 LCF65545:LDG65545 LMB65545:LNC65545 LVX65545:LWY65545 MFT65545:MGU65545 MPP65545:MQQ65545 MZL65545:NAM65545 NJH65545:NKI65545 NTD65545:NUE65545 OCZ65545:OEA65545 OMV65545:ONW65545 OWR65545:OXS65545 PGN65545:PHO65545 PQJ65545:PRK65545 QAF65545:QBG65545 QKB65545:QLC65545 QTX65545:QUY65545 RDT65545:REU65545 RNP65545:ROQ65545 RXL65545:RYM65545 SHH65545:SII65545 SRD65545:SSE65545 TAZ65545:TCA65545 TKV65545:TLW65545 TUR65545:TVS65545 UEN65545:UFO65545 UOJ65545:UPK65545 UYF65545:UZG65545 VIB65545:VJC65545 VRX65545:VSY65545 WBT65545:WCU65545 WLP65545:WMQ65545 WVL65545:WWM65545 D131081:AE131081 IZ131081:KA131081 SV131081:TW131081 ACR131081:ADS131081 AMN131081:ANO131081 AWJ131081:AXK131081 BGF131081:BHG131081 BQB131081:BRC131081 BZX131081:CAY131081 CJT131081:CKU131081 CTP131081:CUQ131081 DDL131081:DEM131081 DNH131081:DOI131081 DXD131081:DYE131081 EGZ131081:EIA131081 EQV131081:ERW131081 FAR131081:FBS131081 FKN131081:FLO131081 FUJ131081:FVK131081 GEF131081:GFG131081 GOB131081:GPC131081 GXX131081:GYY131081 HHT131081:HIU131081 HRP131081:HSQ131081 IBL131081:ICM131081 ILH131081:IMI131081 IVD131081:IWE131081 JEZ131081:JGA131081 JOV131081:JPW131081 JYR131081:JZS131081 KIN131081:KJO131081 KSJ131081:KTK131081 LCF131081:LDG131081 LMB131081:LNC131081 LVX131081:LWY131081 MFT131081:MGU131081 MPP131081:MQQ131081 MZL131081:NAM131081 NJH131081:NKI131081 NTD131081:NUE131081 OCZ131081:OEA131081 OMV131081:ONW131081 OWR131081:OXS131081 PGN131081:PHO131081 PQJ131081:PRK131081 QAF131081:QBG131081 QKB131081:QLC131081 QTX131081:QUY131081 RDT131081:REU131081 RNP131081:ROQ131081 RXL131081:RYM131081 SHH131081:SII131081 SRD131081:SSE131081 TAZ131081:TCA131081 TKV131081:TLW131081 TUR131081:TVS131081 UEN131081:UFO131081 UOJ131081:UPK131081 UYF131081:UZG131081 VIB131081:VJC131081 VRX131081:VSY131081 WBT131081:WCU131081 WLP131081:WMQ131081 WVL131081:WWM131081 D196617:AE196617 IZ196617:KA196617 SV196617:TW196617 ACR196617:ADS196617 AMN196617:ANO196617 AWJ196617:AXK196617 BGF196617:BHG196617 BQB196617:BRC196617 BZX196617:CAY196617 CJT196617:CKU196617 CTP196617:CUQ196617 DDL196617:DEM196617 DNH196617:DOI196617 DXD196617:DYE196617 EGZ196617:EIA196617 EQV196617:ERW196617 FAR196617:FBS196617 FKN196617:FLO196617 FUJ196617:FVK196617 GEF196617:GFG196617 GOB196617:GPC196617 GXX196617:GYY196617 HHT196617:HIU196617 HRP196617:HSQ196617 IBL196617:ICM196617 ILH196617:IMI196617 IVD196617:IWE196617 JEZ196617:JGA196617 JOV196617:JPW196617 JYR196617:JZS196617 KIN196617:KJO196617 KSJ196617:KTK196617 LCF196617:LDG196617 LMB196617:LNC196617 LVX196617:LWY196617 MFT196617:MGU196617 MPP196617:MQQ196617 MZL196617:NAM196617 NJH196617:NKI196617 NTD196617:NUE196617 OCZ196617:OEA196617 OMV196617:ONW196617 OWR196617:OXS196617 PGN196617:PHO196617 PQJ196617:PRK196617 QAF196617:QBG196617 QKB196617:QLC196617 QTX196617:QUY196617 RDT196617:REU196617 RNP196617:ROQ196617 RXL196617:RYM196617 SHH196617:SII196617 SRD196617:SSE196617 TAZ196617:TCA196617 TKV196617:TLW196617 TUR196617:TVS196617 UEN196617:UFO196617 UOJ196617:UPK196617 UYF196617:UZG196617 VIB196617:VJC196617 VRX196617:VSY196617 WBT196617:WCU196617 WLP196617:WMQ196617 WVL196617:WWM196617 D262153:AE262153 IZ262153:KA262153 SV262153:TW262153 ACR262153:ADS262153 AMN262153:ANO262153 AWJ262153:AXK262153 BGF262153:BHG262153 BQB262153:BRC262153 BZX262153:CAY262153 CJT262153:CKU262153 CTP262153:CUQ262153 DDL262153:DEM262153 DNH262153:DOI262153 DXD262153:DYE262153 EGZ262153:EIA262153 EQV262153:ERW262153 FAR262153:FBS262153 FKN262153:FLO262153 FUJ262153:FVK262153 GEF262153:GFG262153 GOB262153:GPC262153 GXX262153:GYY262153 HHT262153:HIU262153 HRP262153:HSQ262153 IBL262153:ICM262153 ILH262153:IMI262153 IVD262153:IWE262153 JEZ262153:JGA262153 JOV262153:JPW262153 JYR262153:JZS262153 KIN262153:KJO262153 KSJ262153:KTK262153 LCF262153:LDG262153 LMB262153:LNC262153 LVX262153:LWY262153 MFT262153:MGU262153 MPP262153:MQQ262153 MZL262153:NAM262153 NJH262153:NKI262153 NTD262153:NUE262153 OCZ262153:OEA262153 OMV262153:ONW262153 OWR262153:OXS262153 PGN262153:PHO262153 PQJ262153:PRK262153 QAF262153:QBG262153 QKB262153:QLC262153 QTX262153:QUY262153 RDT262153:REU262153 RNP262153:ROQ262153 RXL262153:RYM262153 SHH262153:SII262153 SRD262153:SSE262153 TAZ262153:TCA262153 TKV262153:TLW262153 TUR262153:TVS262153 UEN262153:UFO262153 UOJ262153:UPK262153 UYF262153:UZG262153 VIB262153:VJC262153 VRX262153:VSY262153 WBT262153:WCU262153 WLP262153:WMQ262153 WVL262153:WWM262153 D327689:AE327689 IZ327689:KA327689 SV327689:TW327689 ACR327689:ADS327689 AMN327689:ANO327689 AWJ327689:AXK327689 BGF327689:BHG327689 BQB327689:BRC327689 BZX327689:CAY327689 CJT327689:CKU327689 CTP327689:CUQ327689 DDL327689:DEM327689 DNH327689:DOI327689 DXD327689:DYE327689 EGZ327689:EIA327689 EQV327689:ERW327689 FAR327689:FBS327689 FKN327689:FLO327689 FUJ327689:FVK327689 GEF327689:GFG327689 GOB327689:GPC327689 GXX327689:GYY327689 HHT327689:HIU327689 HRP327689:HSQ327689 IBL327689:ICM327689 ILH327689:IMI327689 IVD327689:IWE327689 JEZ327689:JGA327689 JOV327689:JPW327689 JYR327689:JZS327689 KIN327689:KJO327689 KSJ327689:KTK327689 LCF327689:LDG327689 LMB327689:LNC327689 LVX327689:LWY327689 MFT327689:MGU327689 MPP327689:MQQ327689 MZL327689:NAM327689 NJH327689:NKI327689 NTD327689:NUE327689 OCZ327689:OEA327689 OMV327689:ONW327689 OWR327689:OXS327689 PGN327689:PHO327689 PQJ327689:PRK327689 QAF327689:QBG327689 QKB327689:QLC327689 QTX327689:QUY327689 RDT327689:REU327689 RNP327689:ROQ327689 RXL327689:RYM327689 SHH327689:SII327689 SRD327689:SSE327689 TAZ327689:TCA327689 TKV327689:TLW327689 TUR327689:TVS327689 UEN327689:UFO327689 UOJ327689:UPK327689 UYF327689:UZG327689 VIB327689:VJC327689 VRX327689:VSY327689 WBT327689:WCU327689 WLP327689:WMQ327689 WVL327689:WWM327689 D393225:AE393225 IZ393225:KA393225 SV393225:TW393225 ACR393225:ADS393225 AMN393225:ANO393225 AWJ393225:AXK393225 BGF393225:BHG393225 BQB393225:BRC393225 BZX393225:CAY393225 CJT393225:CKU393225 CTP393225:CUQ393225 DDL393225:DEM393225 DNH393225:DOI393225 DXD393225:DYE393225 EGZ393225:EIA393225 EQV393225:ERW393225 FAR393225:FBS393225 FKN393225:FLO393225 FUJ393225:FVK393225 GEF393225:GFG393225 GOB393225:GPC393225 GXX393225:GYY393225 HHT393225:HIU393225 HRP393225:HSQ393225 IBL393225:ICM393225 ILH393225:IMI393225 IVD393225:IWE393225 JEZ393225:JGA393225 JOV393225:JPW393225 JYR393225:JZS393225 KIN393225:KJO393225 KSJ393225:KTK393225 LCF393225:LDG393225 LMB393225:LNC393225 LVX393225:LWY393225 MFT393225:MGU393225 MPP393225:MQQ393225 MZL393225:NAM393225 NJH393225:NKI393225 NTD393225:NUE393225 OCZ393225:OEA393225 OMV393225:ONW393225 OWR393225:OXS393225 PGN393225:PHO393225 PQJ393225:PRK393225 QAF393225:QBG393225 QKB393225:QLC393225 QTX393225:QUY393225 RDT393225:REU393225 RNP393225:ROQ393225 RXL393225:RYM393225 SHH393225:SII393225 SRD393225:SSE393225 TAZ393225:TCA393225 TKV393225:TLW393225 TUR393225:TVS393225 UEN393225:UFO393225 UOJ393225:UPK393225 UYF393225:UZG393225 VIB393225:VJC393225 VRX393225:VSY393225 WBT393225:WCU393225 WLP393225:WMQ393225 WVL393225:WWM393225 D458761:AE458761 IZ458761:KA458761 SV458761:TW458761 ACR458761:ADS458761 AMN458761:ANO458761 AWJ458761:AXK458761 BGF458761:BHG458761 BQB458761:BRC458761 BZX458761:CAY458761 CJT458761:CKU458761 CTP458761:CUQ458761 DDL458761:DEM458761 DNH458761:DOI458761 DXD458761:DYE458761 EGZ458761:EIA458761 EQV458761:ERW458761 FAR458761:FBS458761 FKN458761:FLO458761 FUJ458761:FVK458761 GEF458761:GFG458761 GOB458761:GPC458761 GXX458761:GYY458761 HHT458761:HIU458761 HRP458761:HSQ458761 IBL458761:ICM458761 ILH458761:IMI458761 IVD458761:IWE458761 JEZ458761:JGA458761 JOV458761:JPW458761 JYR458761:JZS458761 KIN458761:KJO458761 KSJ458761:KTK458761 LCF458761:LDG458761 LMB458761:LNC458761 LVX458761:LWY458761 MFT458761:MGU458761 MPP458761:MQQ458761 MZL458761:NAM458761 NJH458761:NKI458761 NTD458761:NUE458761 OCZ458761:OEA458761 OMV458761:ONW458761 OWR458761:OXS458761 PGN458761:PHO458761 PQJ458761:PRK458761 QAF458761:QBG458761 QKB458761:QLC458761 QTX458761:QUY458761 RDT458761:REU458761 RNP458761:ROQ458761 RXL458761:RYM458761 SHH458761:SII458761 SRD458761:SSE458761 TAZ458761:TCA458761 TKV458761:TLW458761 TUR458761:TVS458761 UEN458761:UFO458761 UOJ458761:UPK458761 UYF458761:UZG458761 VIB458761:VJC458761 VRX458761:VSY458761 WBT458761:WCU458761 WLP458761:WMQ458761 WVL458761:WWM458761 D524297:AE524297 IZ524297:KA524297 SV524297:TW524297 ACR524297:ADS524297 AMN524297:ANO524297 AWJ524297:AXK524297 BGF524297:BHG524297 BQB524297:BRC524297 BZX524297:CAY524297 CJT524297:CKU524297 CTP524297:CUQ524297 DDL524297:DEM524297 DNH524297:DOI524297 DXD524297:DYE524297 EGZ524297:EIA524297 EQV524297:ERW524297 FAR524297:FBS524297 FKN524297:FLO524297 FUJ524297:FVK524297 GEF524297:GFG524297 GOB524297:GPC524297 GXX524297:GYY524297 HHT524297:HIU524297 HRP524297:HSQ524297 IBL524297:ICM524297 ILH524297:IMI524297 IVD524297:IWE524297 JEZ524297:JGA524297 JOV524297:JPW524297 JYR524297:JZS524297 KIN524297:KJO524297 KSJ524297:KTK524297 LCF524297:LDG524297 LMB524297:LNC524297 LVX524297:LWY524297 MFT524297:MGU524297 MPP524297:MQQ524297 MZL524297:NAM524297 NJH524297:NKI524297 NTD524297:NUE524297 OCZ524297:OEA524297 OMV524297:ONW524297 OWR524297:OXS524297 PGN524297:PHO524297 PQJ524297:PRK524297 QAF524297:QBG524297 QKB524297:QLC524297 QTX524297:QUY524297 RDT524297:REU524297 RNP524297:ROQ524297 RXL524297:RYM524297 SHH524297:SII524297 SRD524297:SSE524297 TAZ524297:TCA524297 TKV524297:TLW524297 TUR524297:TVS524297 UEN524297:UFO524297 UOJ524297:UPK524297 UYF524297:UZG524297 VIB524297:VJC524297 VRX524297:VSY524297 WBT524297:WCU524297 WLP524297:WMQ524297 WVL524297:WWM524297 D589833:AE589833 IZ589833:KA589833 SV589833:TW589833 ACR589833:ADS589833 AMN589833:ANO589833 AWJ589833:AXK589833 BGF589833:BHG589833 BQB589833:BRC589833 BZX589833:CAY589833 CJT589833:CKU589833 CTP589833:CUQ589833 DDL589833:DEM589833 DNH589833:DOI589833 DXD589833:DYE589833 EGZ589833:EIA589833 EQV589833:ERW589833 FAR589833:FBS589833 FKN589833:FLO589833 FUJ589833:FVK589833 GEF589833:GFG589833 GOB589833:GPC589833 GXX589833:GYY589833 HHT589833:HIU589833 HRP589833:HSQ589833 IBL589833:ICM589833 ILH589833:IMI589833 IVD589833:IWE589833 JEZ589833:JGA589833 JOV589833:JPW589833 JYR589833:JZS589833 KIN589833:KJO589833 KSJ589833:KTK589833 LCF589833:LDG589833 LMB589833:LNC589833 LVX589833:LWY589833 MFT589833:MGU589833 MPP589833:MQQ589833 MZL589833:NAM589833 NJH589833:NKI589833 NTD589833:NUE589833 OCZ589833:OEA589833 OMV589833:ONW589833 OWR589833:OXS589833 PGN589833:PHO589833 PQJ589833:PRK589833 QAF589833:QBG589833 QKB589833:QLC589833 QTX589833:QUY589833 RDT589833:REU589833 RNP589833:ROQ589833 RXL589833:RYM589833 SHH589833:SII589833 SRD589833:SSE589833 TAZ589833:TCA589833 TKV589833:TLW589833 TUR589833:TVS589833 UEN589833:UFO589833 UOJ589833:UPK589833 UYF589833:UZG589833 VIB589833:VJC589833 VRX589833:VSY589833 WBT589833:WCU589833 WLP589833:WMQ589833 WVL589833:WWM589833 D655369:AE655369 IZ655369:KA655369 SV655369:TW655369 ACR655369:ADS655369 AMN655369:ANO655369 AWJ655369:AXK655369 BGF655369:BHG655369 BQB655369:BRC655369 BZX655369:CAY655369 CJT655369:CKU655369 CTP655369:CUQ655369 DDL655369:DEM655369 DNH655369:DOI655369 DXD655369:DYE655369 EGZ655369:EIA655369 EQV655369:ERW655369 FAR655369:FBS655369 FKN655369:FLO655369 FUJ655369:FVK655369 GEF655369:GFG655369 GOB655369:GPC655369 GXX655369:GYY655369 HHT655369:HIU655369 HRP655369:HSQ655369 IBL655369:ICM655369 ILH655369:IMI655369 IVD655369:IWE655369 JEZ655369:JGA655369 JOV655369:JPW655369 JYR655369:JZS655369 KIN655369:KJO655369 KSJ655369:KTK655369 LCF655369:LDG655369 LMB655369:LNC655369 LVX655369:LWY655369 MFT655369:MGU655369 MPP655369:MQQ655369 MZL655369:NAM655369 NJH655369:NKI655369 NTD655369:NUE655369 OCZ655369:OEA655369 OMV655369:ONW655369 OWR655369:OXS655369 PGN655369:PHO655369 PQJ655369:PRK655369 QAF655369:QBG655369 QKB655369:QLC655369 QTX655369:QUY655369 RDT655369:REU655369 RNP655369:ROQ655369 RXL655369:RYM655369 SHH655369:SII655369 SRD655369:SSE655369 TAZ655369:TCA655369 TKV655369:TLW655369 TUR655369:TVS655369 UEN655369:UFO655369 UOJ655369:UPK655369 UYF655369:UZG655369 VIB655369:VJC655369 VRX655369:VSY655369 WBT655369:WCU655369 WLP655369:WMQ655369 WVL655369:WWM655369 D720905:AE720905 IZ720905:KA720905 SV720905:TW720905 ACR720905:ADS720905 AMN720905:ANO720905 AWJ720905:AXK720905 BGF720905:BHG720905 BQB720905:BRC720905 BZX720905:CAY720905 CJT720905:CKU720905 CTP720905:CUQ720905 DDL720905:DEM720905 DNH720905:DOI720905 DXD720905:DYE720905 EGZ720905:EIA720905 EQV720905:ERW720905 FAR720905:FBS720905 FKN720905:FLO720905 FUJ720905:FVK720905 GEF720905:GFG720905 GOB720905:GPC720905 GXX720905:GYY720905 HHT720905:HIU720905 HRP720905:HSQ720905 IBL720905:ICM720905 ILH720905:IMI720905 IVD720905:IWE720905 JEZ720905:JGA720905 JOV720905:JPW720905 JYR720905:JZS720905 KIN720905:KJO720905 KSJ720905:KTK720905 LCF720905:LDG720905 LMB720905:LNC720905 LVX720905:LWY720905 MFT720905:MGU720905 MPP720905:MQQ720905 MZL720905:NAM720905 NJH720905:NKI720905 NTD720905:NUE720905 OCZ720905:OEA720905 OMV720905:ONW720905 OWR720905:OXS720905 PGN720905:PHO720905 PQJ720905:PRK720905 QAF720905:QBG720905 QKB720905:QLC720905 QTX720905:QUY720905 RDT720905:REU720905 RNP720905:ROQ720905 RXL720905:RYM720905 SHH720905:SII720905 SRD720905:SSE720905 TAZ720905:TCA720905 TKV720905:TLW720905 TUR720905:TVS720905 UEN720905:UFO720905 UOJ720905:UPK720905 UYF720905:UZG720905 VIB720905:VJC720905 VRX720905:VSY720905 WBT720905:WCU720905 WLP720905:WMQ720905 WVL720905:WWM720905 D786441:AE786441 IZ786441:KA786441 SV786441:TW786441 ACR786441:ADS786441 AMN786441:ANO786441 AWJ786441:AXK786441 BGF786441:BHG786441 BQB786441:BRC786441 BZX786441:CAY786441 CJT786441:CKU786441 CTP786441:CUQ786441 DDL786441:DEM786441 DNH786441:DOI786441 DXD786441:DYE786441 EGZ786441:EIA786441 EQV786441:ERW786441 FAR786441:FBS786441 FKN786441:FLO786441 FUJ786441:FVK786441 GEF786441:GFG786441 GOB786441:GPC786441 GXX786441:GYY786441 HHT786441:HIU786441 HRP786441:HSQ786441 IBL786441:ICM786441 ILH786441:IMI786441 IVD786441:IWE786441 JEZ786441:JGA786441 JOV786441:JPW786441 JYR786441:JZS786441 KIN786441:KJO786441 KSJ786441:KTK786441 LCF786441:LDG786441 LMB786441:LNC786441 LVX786441:LWY786441 MFT786441:MGU786441 MPP786441:MQQ786441 MZL786441:NAM786441 NJH786441:NKI786441 NTD786441:NUE786441 OCZ786441:OEA786441 OMV786441:ONW786441 OWR786441:OXS786441 PGN786441:PHO786441 PQJ786441:PRK786441 QAF786441:QBG786441 QKB786441:QLC786441 QTX786441:QUY786441 RDT786441:REU786441 RNP786441:ROQ786441 RXL786441:RYM786441 SHH786441:SII786441 SRD786441:SSE786441 TAZ786441:TCA786441 TKV786441:TLW786441 TUR786441:TVS786441 UEN786441:UFO786441 UOJ786441:UPK786441 UYF786441:UZG786441 VIB786441:VJC786441 VRX786441:VSY786441 WBT786441:WCU786441 WLP786441:WMQ786441 WVL786441:WWM786441 D851977:AE851977 IZ851977:KA851977 SV851977:TW851977 ACR851977:ADS851977 AMN851977:ANO851977 AWJ851977:AXK851977 BGF851977:BHG851977 BQB851977:BRC851977 BZX851977:CAY851977 CJT851977:CKU851977 CTP851977:CUQ851977 DDL851977:DEM851977 DNH851977:DOI851977 DXD851977:DYE851977 EGZ851977:EIA851977 EQV851977:ERW851977 FAR851977:FBS851977 FKN851977:FLO851977 FUJ851977:FVK851977 GEF851977:GFG851977 GOB851977:GPC851977 GXX851977:GYY851977 HHT851977:HIU851977 HRP851977:HSQ851977 IBL851977:ICM851977 ILH851977:IMI851977 IVD851977:IWE851977 JEZ851977:JGA851977 JOV851977:JPW851977 JYR851977:JZS851977 KIN851977:KJO851977 KSJ851977:KTK851977 LCF851977:LDG851977 LMB851977:LNC851977 LVX851977:LWY851977 MFT851977:MGU851977 MPP851977:MQQ851977 MZL851977:NAM851977 NJH851977:NKI851977 NTD851977:NUE851977 OCZ851977:OEA851977 OMV851977:ONW851977 OWR851977:OXS851977 PGN851977:PHO851977 PQJ851977:PRK851977 QAF851977:QBG851977 QKB851977:QLC851977 QTX851977:QUY851977 RDT851977:REU851977 RNP851977:ROQ851977 RXL851977:RYM851977 SHH851977:SII851977 SRD851977:SSE851977 TAZ851977:TCA851977 TKV851977:TLW851977 TUR851977:TVS851977 UEN851977:UFO851977 UOJ851977:UPK851977 UYF851977:UZG851977 VIB851977:VJC851977 VRX851977:VSY851977 WBT851977:WCU851977 WLP851977:WMQ851977 WVL851977:WWM851977 D917513:AE917513 IZ917513:KA917513 SV917513:TW917513 ACR917513:ADS917513 AMN917513:ANO917513 AWJ917513:AXK917513 BGF917513:BHG917513 BQB917513:BRC917513 BZX917513:CAY917513 CJT917513:CKU917513 CTP917513:CUQ917513 DDL917513:DEM917513 DNH917513:DOI917513 DXD917513:DYE917513 EGZ917513:EIA917513 EQV917513:ERW917513 FAR917513:FBS917513 FKN917513:FLO917513 FUJ917513:FVK917513 GEF917513:GFG917513 GOB917513:GPC917513 GXX917513:GYY917513 HHT917513:HIU917513 HRP917513:HSQ917513 IBL917513:ICM917513 ILH917513:IMI917513 IVD917513:IWE917513 JEZ917513:JGA917513 JOV917513:JPW917513 JYR917513:JZS917513 KIN917513:KJO917513 KSJ917513:KTK917513 LCF917513:LDG917513 LMB917513:LNC917513 LVX917513:LWY917513 MFT917513:MGU917513 MPP917513:MQQ917513 MZL917513:NAM917513 NJH917513:NKI917513 NTD917513:NUE917513 OCZ917513:OEA917513 OMV917513:ONW917513 OWR917513:OXS917513 PGN917513:PHO917513 PQJ917513:PRK917513 QAF917513:QBG917513 QKB917513:QLC917513 QTX917513:QUY917513 RDT917513:REU917513 RNP917513:ROQ917513 RXL917513:RYM917513 SHH917513:SII917513 SRD917513:SSE917513 TAZ917513:TCA917513 TKV917513:TLW917513 TUR917513:TVS917513 UEN917513:UFO917513 UOJ917513:UPK917513 UYF917513:UZG917513 VIB917513:VJC917513 VRX917513:VSY917513 WBT917513:WCU917513 WLP917513:WMQ917513 WVL917513:WWM917513 D983049:AE983049 IZ983049:KA983049 SV983049:TW983049 ACR983049:ADS983049 AMN983049:ANO983049 AWJ983049:AXK983049 BGF983049:BHG983049 BQB983049:BRC983049 BZX983049:CAY983049 CJT983049:CKU983049 CTP983049:CUQ983049 DDL983049:DEM983049 DNH983049:DOI983049 DXD983049:DYE983049 EGZ983049:EIA983049 EQV983049:ERW983049 FAR983049:FBS983049 FKN983049:FLO983049 FUJ983049:FVK983049 GEF983049:GFG983049 GOB983049:GPC983049 GXX983049:GYY983049 HHT983049:HIU983049 HRP983049:HSQ983049 IBL983049:ICM983049 ILH983049:IMI983049 IVD983049:IWE983049 JEZ983049:JGA983049 JOV983049:JPW983049 JYR983049:JZS983049 KIN983049:KJO983049 KSJ983049:KTK983049 LCF983049:LDG983049 LMB983049:LNC983049 LVX983049:LWY983049 MFT983049:MGU983049 MPP983049:MQQ983049 MZL983049:NAM983049 NJH983049:NKI983049 NTD983049:NUE983049 OCZ983049:OEA983049 OMV983049:ONW983049 OWR983049:OXS983049 PGN983049:PHO983049 PQJ983049:PRK983049 QAF983049:QBG983049 QKB983049:QLC983049 QTX983049:QUY983049 RDT983049:REU983049 RNP983049:ROQ983049 RXL983049:RYM983049 SHH983049:SII983049 SRD983049:SSE983049 TAZ983049:TCA983049 TKV983049:TLW983049 TUR983049:TVS983049 UEN983049:UFO983049 UOJ983049:UPK983049 UYF983049:UZG983049 VIB983049:VJC983049 VRX983049:VSY983049 WBT983049:WCU983049 WLP983049:WMQ983049 WVL983049:WWM983049" xr:uid="{00000000-0002-0000-0600-000000000000}">
      <formula1>$BD$1:$BD$4</formula1>
      <formula2>0</formula2>
    </dataValidation>
  </dataValidations>
  <pageMargins left="0.7" right="0.7" top="0.75" bottom="0.75" header="0.3" footer="0.3"/>
  <legacyDrawing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8"/>
  <dimension ref="B2:U33"/>
  <sheetViews>
    <sheetView showGridLines="0" tabSelected="1" workbookViewId="0">
      <pane xSplit="4" ySplit="2" topLeftCell="E13" activePane="bottomRight" state="frozen"/>
      <selection pane="topRight" activeCell="D1" sqref="D1"/>
      <selection pane="bottomLeft" activeCell="A2" sqref="A2"/>
      <selection pane="bottomRight" activeCell="O26" sqref="O26"/>
    </sheetView>
  </sheetViews>
  <sheetFormatPr defaultRowHeight="15" x14ac:dyDescent="0.25"/>
  <cols>
    <col min="1" max="1" width="5.42578125" style="376" customWidth="1"/>
    <col min="2" max="2" width="26.7109375" style="376" customWidth="1"/>
    <col min="3" max="3" width="11.140625" style="376" customWidth="1"/>
    <col min="4" max="4" width="12.140625" style="376" customWidth="1"/>
    <col min="5" max="5" width="11" style="376" customWidth="1"/>
    <col min="6" max="6" width="12.42578125" style="448" customWidth="1"/>
    <col min="7" max="7" width="12.5703125" style="448" customWidth="1"/>
    <col min="8" max="8" width="11" style="448" customWidth="1"/>
    <col min="9" max="9" width="13" style="448" customWidth="1"/>
    <col min="10" max="10" width="12" style="448" customWidth="1"/>
    <col min="11" max="11" width="10.7109375" style="448" customWidth="1"/>
    <col min="12" max="12" width="10.85546875" style="448" customWidth="1"/>
    <col min="13" max="14" width="10.7109375" style="448" customWidth="1"/>
    <col min="15" max="15" width="11.140625" customWidth="1"/>
    <col min="16" max="16" width="10.42578125" customWidth="1"/>
    <col min="17" max="17" width="10.7109375" customWidth="1"/>
    <col min="18" max="18" width="9.28515625" customWidth="1"/>
    <col min="19" max="19" width="9.140625" customWidth="1"/>
    <col min="20" max="20" width="8.140625" customWidth="1"/>
    <col min="21" max="21" width="9.140625" style="376" customWidth="1"/>
    <col min="22" max="16384" width="9.140625" style="376"/>
  </cols>
  <sheetData>
    <row r="2" spans="2:21" x14ac:dyDescent="0.25">
      <c r="B2" s="421" t="s">
        <v>788</v>
      </c>
      <c r="C2" s="421"/>
      <c r="D2" s="421"/>
      <c r="E2" s="421"/>
      <c r="F2" s="421"/>
      <c r="G2" s="421"/>
      <c r="H2" s="421"/>
      <c r="I2" s="421"/>
      <c r="J2" s="421"/>
      <c r="K2" s="421"/>
      <c r="L2" s="421"/>
      <c r="M2" s="421"/>
      <c r="N2" s="421"/>
      <c r="O2" t="s">
        <v>864</v>
      </c>
      <c r="U2" s="311"/>
    </row>
    <row r="3" spans="2:21" x14ac:dyDescent="0.25">
      <c r="B3" s="555" t="s">
        <v>165</v>
      </c>
      <c r="C3" s="556"/>
      <c r="D3" s="556"/>
      <c r="E3" s="556"/>
      <c r="F3" s="461" t="s">
        <v>166</v>
      </c>
      <c r="G3" s="461" t="s">
        <v>167</v>
      </c>
      <c r="H3" s="461" t="s">
        <v>168</v>
      </c>
      <c r="I3" s="461" t="s">
        <v>169</v>
      </c>
      <c r="J3" s="461" t="s">
        <v>170</v>
      </c>
      <c r="K3" s="461" t="s">
        <v>171</v>
      </c>
      <c r="L3" s="461" t="s">
        <v>172</v>
      </c>
      <c r="M3" s="461" t="s">
        <v>173</v>
      </c>
      <c r="N3" s="461" t="s">
        <v>174</v>
      </c>
    </row>
    <row r="4" spans="2:21" ht="18.75" customHeight="1" x14ac:dyDescent="0.25">
      <c r="B4" s="557" t="s">
        <v>521</v>
      </c>
      <c r="C4" s="557"/>
      <c r="D4" s="557"/>
      <c r="E4" s="557"/>
      <c r="F4" s="450">
        <f>'P&amp;L Assumptions'!F18*$E$22</f>
        <v>982.35</v>
      </c>
      <c r="G4" s="450">
        <f>'P&amp;L Assumptions'!G18</f>
        <v>2077.8187499999999</v>
      </c>
      <c r="H4" s="450">
        <f>'P&amp;L Assumptions'!H18</f>
        <v>2227.2911718750001</v>
      </c>
      <c r="I4" s="450">
        <f>'P&amp;L Assumptions'!I18</f>
        <v>2388.9093169921875</v>
      </c>
      <c r="J4" s="450">
        <f>'P&amp;L Assumptions'!J18</f>
        <v>2563.7593619838872</v>
      </c>
      <c r="K4" s="450">
        <f>'P&amp;L Assumptions'!K18</f>
        <v>2753.0308785872357</v>
      </c>
      <c r="L4" s="450">
        <f>'P&amp;L Assumptions'!L18</f>
        <v>2958.0270347424271</v>
      </c>
      <c r="M4" s="450">
        <f>'P&amp;L Assumptions'!M18</f>
        <v>3180.1758214585261</v>
      </c>
      <c r="N4" s="450">
        <f>'P&amp;L Assumptions'!N18</f>
        <v>3421.0424095957751</v>
      </c>
      <c r="O4" s="37">
        <f t="shared" ref="O4:O16" si="0">SUM(F4:N4)</f>
        <v>22552.404745235039</v>
      </c>
    </row>
    <row r="5" spans="2:21" ht="18.75" customHeight="1" x14ac:dyDescent="0.25">
      <c r="B5" s="376" t="s">
        <v>522</v>
      </c>
      <c r="F5" s="397">
        <f>'P&amp;L Assumptions'!F25*$E$22</f>
        <v>455.46750000000003</v>
      </c>
      <c r="G5" s="397">
        <f>'P&amp;L Assumptions'!G25</f>
        <v>960.20268749999991</v>
      </c>
      <c r="H5" s="397">
        <f>'P&amp;L Assumptions'!H25</f>
        <v>1028.3598379687501</v>
      </c>
      <c r="I5" s="397">
        <f>'P&amp;L Assumptions'!I25</f>
        <v>1101.9899151105469</v>
      </c>
      <c r="J5" s="397">
        <f>'P&amp;L Assumptions'!J25</f>
        <v>1181.5782348468781</v>
      </c>
      <c r="K5" s="397">
        <f>'P&amp;L Assumptions'!K25</f>
        <v>1267.6560750280582</v>
      </c>
      <c r="L5" s="397">
        <f>'P&amp;L Assumptions'!L25</f>
        <v>1360.8051973832778</v>
      </c>
      <c r="M5" s="397">
        <f>'P&amp;L Assumptions'!M25</f>
        <v>1461.6628235131498</v>
      </c>
      <c r="N5" s="397">
        <f>'P&amp;L Assumptions'!N25</f>
        <v>1570.9271109912379</v>
      </c>
      <c r="O5" s="37">
        <f t="shared" si="0"/>
        <v>10388.649382341897</v>
      </c>
    </row>
    <row r="6" spans="2:21" ht="18.75" customHeight="1" x14ac:dyDescent="0.25">
      <c r="B6" s="558" t="s">
        <v>523</v>
      </c>
      <c r="C6" s="558"/>
      <c r="D6" s="558"/>
      <c r="E6" s="558"/>
      <c r="F6" s="462">
        <f>F4-F5</f>
        <v>526.88249999999994</v>
      </c>
      <c r="G6" s="462">
        <f t="shared" ref="G6:N6" si="1">G4-G5</f>
        <v>1117.6160625</v>
      </c>
      <c r="H6" s="462">
        <f t="shared" si="1"/>
        <v>1198.9313339062501</v>
      </c>
      <c r="I6" s="462">
        <f t="shared" si="1"/>
        <v>1286.9194018816406</v>
      </c>
      <c r="J6" s="462">
        <f t="shared" si="1"/>
        <v>1382.1811271370091</v>
      </c>
      <c r="K6" s="462">
        <f t="shared" si="1"/>
        <v>1485.3748035591775</v>
      </c>
      <c r="L6" s="462">
        <f t="shared" si="1"/>
        <v>1597.2218373591493</v>
      </c>
      <c r="M6" s="462">
        <f t="shared" si="1"/>
        <v>1718.5129979453764</v>
      </c>
      <c r="N6" s="462">
        <f t="shared" si="1"/>
        <v>1850.1152986045372</v>
      </c>
      <c r="O6" s="37">
        <f t="shared" si="0"/>
        <v>12163.755362893138</v>
      </c>
    </row>
    <row r="7" spans="2:21" ht="18.75" customHeight="1" x14ac:dyDescent="0.25">
      <c r="B7" s="376" t="s">
        <v>520</v>
      </c>
      <c r="F7" s="397">
        <f>'P&amp;L Assumptions'!F33*$E$22</f>
        <v>322.70093750000001</v>
      </c>
      <c r="G7" s="397">
        <f>'P&amp;L Assumptions'!G33</f>
        <v>670.52034375000005</v>
      </c>
      <c r="H7" s="397">
        <f>'P&amp;L Assumptions'!H33</f>
        <v>701.01450937499999</v>
      </c>
      <c r="I7" s="397">
        <f>'P&amp;L Assumptions'!I33</f>
        <v>733.44809349609386</v>
      </c>
      <c r="J7" s="397">
        <f>'P&amp;L Assumptions'!J33</f>
        <v>767.96595608510756</v>
      </c>
      <c r="K7" s="397">
        <f>'P&amp;L Assumptions'!K33</f>
        <v>804.72510873977831</v>
      </c>
      <c r="L7" s="397">
        <f>'P&amp;L Assumptions'!L33</f>
        <v>843.8958253993502</v>
      </c>
      <c r="M7" s="397">
        <f>'P&amp;L Assumptions'!M33</f>
        <v>885.66286016721551</v>
      </c>
      <c r="N7" s="397">
        <f>'P&amp;L Assumptions'!N33</f>
        <v>930.22678288200859</v>
      </c>
      <c r="O7" s="37">
        <f t="shared" si="0"/>
        <v>6660.1604173945543</v>
      </c>
    </row>
    <row r="8" spans="2:21" ht="18.75" customHeight="1" x14ac:dyDescent="0.25">
      <c r="B8" s="558" t="s">
        <v>524</v>
      </c>
      <c r="C8" s="558"/>
      <c r="D8" s="558"/>
      <c r="E8" s="558"/>
      <c r="F8" s="462">
        <f>F6-F7</f>
        <v>204.18156249999993</v>
      </c>
      <c r="G8" s="462">
        <f t="shared" ref="G8:N8" si="2">G6-G7</f>
        <v>447.09571874999995</v>
      </c>
      <c r="H8" s="462">
        <f t="shared" si="2"/>
        <v>497.91682453125009</v>
      </c>
      <c r="I8" s="462">
        <f t="shared" si="2"/>
        <v>553.47130838554676</v>
      </c>
      <c r="J8" s="462">
        <f t="shared" si="2"/>
        <v>614.21517105190151</v>
      </c>
      <c r="K8" s="462">
        <f t="shared" si="2"/>
        <v>680.6496948193992</v>
      </c>
      <c r="L8" s="462">
        <f t="shared" si="2"/>
        <v>753.32601195979908</v>
      </c>
      <c r="M8" s="462">
        <f t="shared" si="2"/>
        <v>832.85013777816084</v>
      </c>
      <c r="N8" s="462">
        <f t="shared" si="2"/>
        <v>919.88851572252861</v>
      </c>
      <c r="O8" s="37">
        <f t="shared" si="0"/>
        <v>5503.5949454985857</v>
      </c>
    </row>
    <row r="9" spans="2:21" ht="18.75" customHeight="1" x14ac:dyDescent="0.25">
      <c r="B9" s="376" t="s">
        <v>863</v>
      </c>
      <c r="F9" s="391">
        <f>'P&amp;L Assumptions'!F42*$E$22</f>
        <v>32.438050501893933</v>
      </c>
      <c r="G9" s="391">
        <f>'P&amp;L Assumptions'!G42</f>
        <v>34.618318172348481</v>
      </c>
      <c r="H9" s="391">
        <f>'P&amp;L Assumptions'!H42</f>
        <v>33.798585842803021</v>
      </c>
      <c r="I9" s="391">
        <f>'P&amp;L Assumptions'!I42</f>
        <v>32.978853513257569</v>
      </c>
      <c r="J9" s="391">
        <f>'P&amp;L Assumptions'!J42</f>
        <v>32.159121183712116</v>
      </c>
      <c r="K9" s="391">
        <f>'P&amp;L Assumptions'!K42</f>
        <v>31.339388854166661</v>
      </c>
      <c r="L9" s="391">
        <f>'P&amp;L Assumptions'!L42</f>
        <v>30.519656524621205</v>
      </c>
      <c r="M9" s="391">
        <f>'P&amp;L Assumptions'!M42</f>
        <v>29.699924195075752</v>
      </c>
      <c r="N9" s="391">
        <f>'P&amp;L Assumptions'!N42</f>
        <v>28.992854183712115</v>
      </c>
      <c r="O9" s="37">
        <f t="shared" si="0"/>
        <v>286.54475297159087</v>
      </c>
    </row>
    <row r="10" spans="2:21" ht="18.75" customHeight="1" x14ac:dyDescent="0.25">
      <c r="B10" s="557" t="s">
        <v>41</v>
      </c>
      <c r="C10" s="557"/>
      <c r="D10" s="557"/>
      <c r="E10" s="557"/>
      <c r="F10" s="450">
        <f>+F8-F9</f>
        <v>171.74351199810599</v>
      </c>
      <c r="G10" s="450">
        <f t="shared" ref="G10:N10" si="3">+G8-G9</f>
        <v>412.47740057765145</v>
      </c>
      <c r="H10" s="450">
        <f t="shared" si="3"/>
        <v>464.11823868844704</v>
      </c>
      <c r="I10" s="450">
        <f t="shared" si="3"/>
        <v>520.49245487228916</v>
      </c>
      <c r="J10" s="450">
        <f t="shared" si="3"/>
        <v>582.05604986818935</v>
      </c>
      <c r="K10" s="450">
        <f t="shared" si="3"/>
        <v>649.31030596523249</v>
      </c>
      <c r="L10" s="450">
        <f t="shared" si="3"/>
        <v>722.80635543517792</v>
      </c>
      <c r="M10" s="450">
        <f t="shared" si="3"/>
        <v>803.15021358308513</v>
      </c>
      <c r="N10" s="450">
        <f t="shared" si="3"/>
        <v>890.89566153881651</v>
      </c>
      <c r="O10" s="37">
        <f t="shared" si="0"/>
        <v>5217.0501925269946</v>
      </c>
    </row>
    <row r="11" spans="2:21" ht="18.75" customHeight="1" x14ac:dyDescent="0.25">
      <c r="B11" s="376" t="s">
        <v>179</v>
      </c>
      <c r="F11" s="391">
        <f>Depr!C18*$E$22*6/12</f>
        <v>40.986616477272733</v>
      </c>
      <c r="G11" s="391">
        <f>Depr!D18</f>
        <v>81.973232954545466</v>
      </c>
      <c r="H11" s="391">
        <f>Depr!E18</f>
        <v>81.973232954545466</v>
      </c>
      <c r="I11" s="391">
        <f>Depr!F18</f>
        <v>81.973232954545466</v>
      </c>
      <c r="J11" s="391">
        <f>Depr!G18</f>
        <v>81.973232954545466</v>
      </c>
      <c r="K11" s="391">
        <f>Depr!H18</f>
        <v>81.973232954545466</v>
      </c>
      <c r="L11" s="391">
        <f>Depr!I18</f>
        <v>81.973232954545466</v>
      </c>
      <c r="M11" s="391">
        <f>Depr!J18</f>
        <v>81.973232954545466</v>
      </c>
      <c r="N11" s="391">
        <f>Depr!K18</f>
        <v>70.707001136363601</v>
      </c>
      <c r="O11" s="37">
        <f t="shared" si="0"/>
        <v>685.5062482954545</v>
      </c>
    </row>
    <row r="12" spans="2:21" ht="18.75" customHeight="1" x14ac:dyDescent="0.25">
      <c r="B12" s="557" t="s">
        <v>180</v>
      </c>
      <c r="C12" s="557"/>
      <c r="D12" s="557"/>
      <c r="E12" s="557"/>
      <c r="F12" s="450">
        <f>F10-F11</f>
        <v>130.75689552083327</v>
      </c>
      <c r="G12" s="450">
        <f>G10-G11</f>
        <v>330.50416762310601</v>
      </c>
      <c r="H12" s="450">
        <f t="shared" ref="H12:N12" si="4">H10-H11</f>
        <v>382.1450057339016</v>
      </c>
      <c r="I12" s="450">
        <f t="shared" si="4"/>
        <v>438.51922191774372</v>
      </c>
      <c r="J12" s="450">
        <f t="shared" si="4"/>
        <v>500.08281691364391</v>
      </c>
      <c r="K12" s="450">
        <f t="shared" si="4"/>
        <v>567.33707301068705</v>
      </c>
      <c r="L12" s="450">
        <f t="shared" si="4"/>
        <v>640.83312248063248</v>
      </c>
      <c r="M12" s="450">
        <f t="shared" si="4"/>
        <v>721.1769806285397</v>
      </c>
      <c r="N12" s="450">
        <f t="shared" si="4"/>
        <v>820.18866040245291</v>
      </c>
      <c r="O12" s="37">
        <f t="shared" si="0"/>
        <v>4531.543944231541</v>
      </c>
    </row>
    <row r="13" spans="2:21" ht="18.75" customHeight="1" x14ac:dyDescent="0.25">
      <c r="B13" s="376" t="s">
        <v>181</v>
      </c>
      <c r="F13" s="391">
        <f>+SUM('Loan Repay Sch'!O14:O19)</f>
        <v>100.00000000000001</v>
      </c>
      <c r="G13" s="391">
        <f>+'Loan Repay Sch'!S20</f>
        <v>198.75000000000003</v>
      </c>
      <c r="H13" s="391">
        <f>+'Loan Repay Sch'!W20</f>
        <v>187.87499999999997</v>
      </c>
      <c r="I13" s="391">
        <f>+'Loan Repay Sch'!AA20</f>
        <v>170.74999999999997</v>
      </c>
      <c r="J13" s="391">
        <f>+'Loan Repay Sch'!AE20</f>
        <v>151.20875000000001</v>
      </c>
      <c r="K13" s="391">
        <f>+'Loan Repay Sch'!AI20</f>
        <v>119.10200000000003</v>
      </c>
      <c r="L13" s="391">
        <f>+'Loan Repay Sch'!AM20</f>
        <v>83.102000000000032</v>
      </c>
      <c r="M13" s="391">
        <f>+'Loan Repay Sch'!AQ20</f>
        <v>44.352000000000032</v>
      </c>
      <c r="N13" s="391">
        <f>+'Loan Repay Sch'!AU20</f>
        <v>6.4260000000000215</v>
      </c>
      <c r="O13" s="37">
        <f t="shared" si="0"/>
        <v>1061.5657500000002</v>
      </c>
    </row>
    <row r="14" spans="2:21" ht="18.75" customHeight="1" x14ac:dyDescent="0.25">
      <c r="B14" s="376" t="s">
        <v>545</v>
      </c>
      <c r="F14" s="391">
        <f>+Cost!$D$33*10%*0.5</f>
        <v>4.5</v>
      </c>
      <c r="G14" s="391">
        <f>+Cost!$D$33*10%</f>
        <v>9</v>
      </c>
      <c r="H14" s="391">
        <f>+Cost!$D$33*10%</f>
        <v>9</v>
      </c>
      <c r="I14" s="391">
        <f>+Cost!$D$33*10%</f>
        <v>9</v>
      </c>
      <c r="J14" s="391">
        <f>+Cost!$D$33*10%</f>
        <v>9</v>
      </c>
      <c r="K14" s="391">
        <f>+Cost!$D$33*10%</f>
        <v>9</v>
      </c>
      <c r="L14" s="391">
        <f>+Cost!$D$33*10%</f>
        <v>9</v>
      </c>
      <c r="M14" s="391">
        <f>+Cost!$D$33*10%</f>
        <v>9</v>
      </c>
      <c r="N14" s="391">
        <f>+Cost!$D$33*10%</f>
        <v>9</v>
      </c>
      <c r="O14" s="37">
        <f t="shared" si="0"/>
        <v>76.5</v>
      </c>
    </row>
    <row r="15" spans="2:21" ht="18.75" customHeight="1" x14ac:dyDescent="0.25">
      <c r="B15" s="558" t="s">
        <v>182</v>
      </c>
      <c r="C15" s="558"/>
      <c r="D15" s="558"/>
      <c r="E15" s="558"/>
      <c r="F15" s="462">
        <f>F13+F14</f>
        <v>104.50000000000001</v>
      </c>
      <c r="G15" s="462">
        <f t="shared" ref="G15:N15" si="5">G13+G14</f>
        <v>207.75000000000003</v>
      </c>
      <c r="H15" s="462">
        <f t="shared" si="5"/>
        <v>196.87499999999997</v>
      </c>
      <c r="I15" s="462">
        <f t="shared" si="5"/>
        <v>179.74999999999997</v>
      </c>
      <c r="J15" s="462">
        <f t="shared" si="5"/>
        <v>160.20875000000001</v>
      </c>
      <c r="K15" s="462">
        <f t="shared" si="5"/>
        <v>128.10200000000003</v>
      </c>
      <c r="L15" s="462">
        <f t="shared" si="5"/>
        <v>92.102000000000032</v>
      </c>
      <c r="M15" s="462">
        <f t="shared" si="5"/>
        <v>53.352000000000032</v>
      </c>
      <c r="N15" s="462">
        <f t="shared" si="5"/>
        <v>15.426000000000021</v>
      </c>
      <c r="O15" s="37">
        <f t="shared" si="0"/>
        <v>1138.0657500000002</v>
      </c>
    </row>
    <row r="16" spans="2:21" ht="18.75" customHeight="1" x14ac:dyDescent="0.25">
      <c r="B16" s="376" t="str">
        <f>'P&amp;L Assumptions'!B35</f>
        <v>Preliminary/pre-operative Expenses Written off (divided in 05 years)</v>
      </c>
      <c r="F16" s="391">
        <f>'P&amp;L Assumptions'!F35</f>
        <v>15</v>
      </c>
      <c r="G16" s="391">
        <f>'P&amp;L Assumptions'!G35</f>
        <v>15</v>
      </c>
      <c r="H16" s="391">
        <f>'P&amp;L Assumptions'!H35</f>
        <v>15</v>
      </c>
      <c r="I16" s="391">
        <f>'P&amp;L Assumptions'!I35</f>
        <v>15</v>
      </c>
      <c r="J16" s="391">
        <f>'P&amp;L Assumptions'!J35</f>
        <v>15</v>
      </c>
      <c r="K16" s="391">
        <f>'P&amp;L Assumptions'!K35</f>
        <v>0</v>
      </c>
      <c r="L16" s="391">
        <f>'P&amp;L Assumptions'!L35</f>
        <v>0</v>
      </c>
      <c r="M16" s="391">
        <f>'P&amp;L Assumptions'!M35</f>
        <v>0</v>
      </c>
      <c r="N16" s="391">
        <f>'P&amp;L Assumptions'!N35</f>
        <v>0</v>
      </c>
      <c r="O16" s="37">
        <f t="shared" si="0"/>
        <v>75</v>
      </c>
    </row>
    <row r="17" spans="2:21" ht="18.75" customHeight="1" x14ac:dyDescent="0.25">
      <c r="B17" s="557" t="s">
        <v>183</v>
      </c>
      <c r="C17" s="559"/>
      <c r="D17" s="559"/>
      <c r="E17" s="559"/>
      <c r="F17" s="463">
        <f>F12-F15-F16</f>
        <v>11.256895520833254</v>
      </c>
      <c r="G17" s="463">
        <f t="shared" ref="G17:N17" si="6">G12-G15-G16</f>
        <v>107.75416762310599</v>
      </c>
      <c r="H17" s="463">
        <f t="shared" si="6"/>
        <v>170.27000573390163</v>
      </c>
      <c r="I17" s="463">
        <f t="shared" si="6"/>
        <v>243.76922191774372</v>
      </c>
      <c r="J17" s="463">
        <f t="shared" si="6"/>
        <v>324.8740669136439</v>
      </c>
      <c r="K17" s="463">
        <f t="shared" si="6"/>
        <v>439.23507301068702</v>
      </c>
      <c r="L17" s="463">
        <f t="shared" si="6"/>
        <v>548.73112248063239</v>
      </c>
      <c r="M17" s="463">
        <f t="shared" si="6"/>
        <v>667.82498062853961</v>
      </c>
      <c r="N17" s="463">
        <f t="shared" si="6"/>
        <v>804.76266040245287</v>
      </c>
      <c r="O17" s="37">
        <f>SUM(F17:N17)</f>
        <v>3318.4781942315403</v>
      </c>
    </row>
    <row r="18" spans="2:21" ht="18.75" customHeight="1" x14ac:dyDescent="0.25">
      <c r="B18" s="376" t="s">
        <v>184</v>
      </c>
      <c r="F18" s="391">
        <f>'Tax Calculations'!F37</f>
        <v>0</v>
      </c>
      <c r="G18" s="391">
        <f>'Tax Calculations'!G37</f>
        <v>0</v>
      </c>
      <c r="H18" s="391">
        <f>'Tax Calculations'!H37</f>
        <v>4.8068045328284175</v>
      </c>
      <c r="I18" s="391">
        <f>'Tax Calculations'!I37</f>
        <v>35.74229086084739</v>
      </c>
      <c r="J18" s="391">
        <f>'Tax Calculations'!J37</f>
        <v>56.731779249225447</v>
      </c>
      <c r="K18" s="391">
        <f>'Tax Calculations'!K37</f>
        <v>73.317118386943889</v>
      </c>
      <c r="L18" s="391">
        <f>'Tax Calculations'!L37</f>
        <v>91.594198964467168</v>
      </c>
      <c r="M18" s="391">
        <f>'Tax Calculations'!M37</f>
        <v>127.07346376510927</v>
      </c>
      <c r="N18" s="391">
        <f>'Tax Calculations'!N37</f>
        <v>205.9515507098923</v>
      </c>
      <c r="O18" s="37">
        <f>SUM(F18:N18)</f>
        <v>595.21720646931396</v>
      </c>
    </row>
    <row r="19" spans="2:21" ht="18.75" customHeight="1" x14ac:dyDescent="0.25">
      <c r="F19" s="391"/>
      <c r="G19" s="391"/>
      <c r="H19" s="391"/>
      <c r="I19" s="391"/>
      <c r="J19" s="391"/>
      <c r="K19" s="391"/>
      <c r="L19" s="391"/>
      <c r="M19" s="391"/>
      <c r="N19" s="391"/>
    </row>
    <row r="20" spans="2:21" ht="18.75" customHeight="1" x14ac:dyDescent="0.25">
      <c r="B20" s="557" t="s">
        <v>185</v>
      </c>
      <c r="C20" s="557"/>
      <c r="D20" s="557"/>
      <c r="E20" s="559"/>
      <c r="F20" s="450">
        <f>F17-F18</f>
        <v>11.256895520833254</v>
      </c>
      <c r="G20" s="450">
        <f t="shared" ref="G20:N20" si="7">G17-G18</f>
        <v>107.75416762310599</v>
      </c>
      <c r="H20" s="450">
        <f t="shared" si="7"/>
        <v>165.46320120107322</v>
      </c>
      <c r="I20" s="450">
        <f t="shared" si="7"/>
        <v>208.02693105689633</v>
      </c>
      <c r="J20" s="450">
        <f t="shared" si="7"/>
        <v>268.14228766441846</v>
      </c>
      <c r="K20" s="450">
        <f t="shared" si="7"/>
        <v>365.91795462374313</v>
      </c>
      <c r="L20" s="450">
        <f t="shared" si="7"/>
        <v>457.13692351616521</v>
      </c>
      <c r="M20" s="450">
        <f t="shared" si="7"/>
        <v>540.75151686343031</v>
      </c>
      <c r="N20" s="450">
        <f t="shared" si="7"/>
        <v>598.81110969256054</v>
      </c>
      <c r="O20" s="37">
        <f>SUM(F20:N20)</f>
        <v>2723.2609877622263</v>
      </c>
    </row>
    <row r="21" spans="2:21" ht="18.75" customHeight="1" x14ac:dyDescent="0.25">
      <c r="B21" s="560" t="s">
        <v>549</v>
      </c>
      <c r="C21" s="560"/>
      <c r="D21" s="560"/>
      <c r="E21" s="560"/>
      <c r="F21" s="464">
        <f>F20+F11+F16</f>
        <v>67.243511998105987</v>
      </c>
      <c r="G21" s="464">
        <f t="shared" ref="G21:N21" si="8">G20+G11+G16</f>
        <v>204.72740057765145</v>
      </c>
      <c r="H21" s="464">
        <f t="shared" si="8"/>
        <v>262.43643415561871</v>
      </c>
      <c r="I21" s="464">
        <f t="shared" si="8"/>
        <v>305.00016401144183</v>
      </c>
      <c r="J21" s="464">
        <f t="shared" si="8"/>
        <v>365.11552061896396</v>
      </c>
      <c r="K21" s="464">
        <f t="shared" si="8"/>
        <v>447.89118757828862</v>
      </c>
      <c r="L21" s="464">
        <f t="shared" si="8"/>
        <v>539.11015647071065</v>
      </c>
      <c r="M21" s="464">
        <f t="shared" si="8"/>
        <v>622.72474981797575</v>
      </c>
      <c r="N21" s="464">
        <f t="shared" si="8"/>
        <v>669.51811082892414</v>
      </c>
      <c r="O21" s="37">
        <f>SUM(F21:N21)</f>
        <v>3483.7672360576807</v>
      </c>
    </row>
    <row r="22" spans="2:21" hidden="1" x14ac:dyDescent="0.25">
      <c r="E22" s="376">
        <v>1</v>
      </c>
      <c r="F22" s="465"/>
      <c r="G22" s="667"/>
      <c r="H22" s="667">
        <f>+H21/G21-1</f>
        <v>0.28188231480074255</v>
      </c>
      <c r="I22" s="667">
        <f t="shared" ref="I22:N22" si="9">+I21/H21-1</f>
        <v>0.16218681675343838</v>
      </c>
      <c r="J22" s="667">
        <f t="shared" si="9"/>
        <v>0.19709942387200474</v>
      </c>
      <c r="K22" s="667">
        <f t="shared" si="9"/>
        <v>0.2267108963732869</v>
      </c>
      <c r="L22" s="667">
        <f t="shared" si="9"/>
        <v>0.20366323656787166</v>
      </c>
      <c r="M22" s="667">
        <f t="shared" si="9"/>
        <v>0.15509741811330136</v>
      </c>
      <c r="N22" s="667">
        <f t="shared" si="9"/>
        <v>7.5142927954326977E-2</v>
      </c>
    </row>
    <row r="23" spans="2:21" x14ac:dyDescent="0.25">
      <c r="F23" s="466"/>
      <c r="G23" s="466"/>
      <c r="H23" s="466"/>
      <c r="I23" s="466"/>
      <c r="J23" s="466"/>
      <c r="K23" s="466"/>
      <c r="L23" s="466"/>
      <c r="M23" s="466"/>
      <c r="N23" s="466"/>
    </row>
    <row r="24" spans="2:21" ht="17.25" customHeight="1" x14ac:dyDescent="0.25">
      <c r="B24" s="561" t="s">
        <v>410</v>
      </c>
      <c r="F24" s="467">
        <f t="shared" ref="F24:N24" si="10">F10/F4</f>
        <v>0.17482924822935408</v>
      </c>
      <c r="G24" s="467">
        <f t="shared" si="10"/>
        <v>0.19851462047767712</v>
      </c>
      <c r="H24" s="467">
        <f t="shared" si="10"/>
        <v>0.20837789174090718</v>
      </c>
      <c r="I24" s="467">
        <f t="shared" si="10"/>
        <v>0.21787869935876319</v>
      </c>
      <c r="J24" s="467">
        <f t="shared" si="10"/>
        <v>0.22703224744844344</v>
      </c>
      <c r="K24" s="467">
        <f t="shared" si="10"/>
        <v>0.23585289617181374</v>
      </c>
      <c r="L24" s="467">
        <f t="shared" si="10"/>
        <v>0.24435420871605285</v>
      </c>
      <c r="M24" s="467">
        <f t="shared" si="10"/>
        <v>0.25254899687110249</v>
      </c>
      <c r="N24" s="467">
        <f>N10/N4</f>
        <v>0.26041643302635448</v>
      </c>
      <c r="O24" s="467">
        <f>O10/O4</f>
        <v>0.23133010654348396</v>
      </c>
      <c r="U24" s="562">
        <f>AVERAGE(F24:S24)</f>
        <v>0.22511353485839525</v>
      </c>
    </row>
    <row r="25" spans="2:21" ht="17.25" customHeight="1" x14ac:dyDescent="0.25">
      <c r="B25" s="561" t="s">
        <v>411</v>
      </c>
      <c r="F25" s="467">
        <f t="shared" ref="F25:N25" si="11">F12/F4</f>
        <v>0.13310622030929228</v>
      </c>
      <c r="G25" s="467">
        <f t="shared" si="11"/>
        <v>0.15906304032683602</v>
      </c>
      <c r="H25" s="467">
        <f t="shared" si="11"/>
        <v>0.17157388785059499</v>
      </c>
      <c r="I25" s="467">
        <f t="shared" si="11"/>
        <v>0.18356461620312639</v>
      </c>
      <c r="J25" s="467">
        <f t="shared" si="11"/>
        <v>0.19505840693514623</v>
      </c>
      <c r="K25" s="467">
        <f t="shared" si="11"/>
        <v>0.20607726466977574</v>
      </c>
      <c r="L25" s="467">
        <f t="shared" si="11"/>
        <v>0.21664207762605309</v>
      </c>
      <c r="M25" s="467">
        <f t="shared" si="11"/>
        <v>0.22677267582576169</v>
      </c>
      <c r="N25" s="467">
        <f>N12/N4</f>
        <v>0.23974817093815715</v>
      </c>
      <c r="O25" s="467">
        <f>O12/O4</f>
        <v>0.20093395783830917</v>
      </c>
      <c r="U25" s="562">
        <f>AVERAGE(F25:S25)</f>
        <v>0.19325403185230527</v>
      </c>
    </row>
    <row r="26" spans="2:21" ht="17.25" customHeight="1" x14ac:dyDescent="0.25">
      <c r="B26" s="561" t="s">
        <v>413</v>
      </c>
      <c r="F26" s="467">
        <f>F20/F4</f>
        <v>1.1459149509679089E-2</v>
      </c>
      <c r="G26" s="467">
        <f t="shared" ref="G26:O26" si="12">G20/G4</f>
        <v>5.1859271951947679E-2</v>
      </c>
      <c r="H26" s="467">
        <f t="shared" si="12"/>
        <v>7.4288985333597568E-2</v>
      </c>
      <c r="I26" s="467">
        <f t="shared" si="12"/>
        <v>8.7080296257882883E-2</v>
      </c>
      <c r="J26" s="467">
        <f t="shared" si="12"/>
        <v>0.10458949136978468</v>
      </c>
      <c r="K26" s="467">
        <f t="shared" si="12"/>
        <v>0.13291458423870645</v>
      </c>
      <c r="L26" s="467">
        <f t="shared" si="12"/>
        <v>0.15454115805806717</v>
      </c>
      <c r="M26" s="467">
        <f t="shared" si="12"/>
        <v>0.17003824543745669</v>
      </c>
      <c r="N26" s="467">
        <f>N20/N4</f>
        <v>0.17503761660859243</v>
      </c>
      <c r="O26" s="467">
        <f>O20/O4</f>
        <v>0.12075257687708925</v>
      </c>
      <c r="U26" s="562">
        <f>AVERAGE(F26:S26)</f>
        <v>0.10825613756428039</v>
      </c>
    </row>
    <row r="27" spans="2:21" ht="17.25" customHeight="1" x14ac:dyDescent="0.25">
      <c r="B27" s="561" t="s">
        <v>546</v>
      </c>
      <c r="F27" s="467"/>
      <c r="G27" s="467">
        <f>G4/F4-1</f>
        <v>1.1151511681172699</v>
      </c>
      <c r="H27" s="467">
        <f>H4/G4-1</f>
        <v>7.1937180216032015E-2</v>
      </c>
      <c r="I27" s="467">
        <f t="shared" ref="I27:L27" si="13">I4/H4-1</f>
        <v>7.2562647918696932E-2</v>
      </c>
      <c r="J27" s="467">
        <f t="shared" si="13"/>
        <v>7.3192416199309163E-2</v>
      </c>
      <c r="K27" s="467">
        <f t="shared" si="13"/>
        <v>7.3825772968367342E-2</v>
      </c>
      <c r="L27" s="467">
        <f t="shared" si="13"/>
        <v>7.4461989420325114E-2</v>
      </c>
      <c r="M27" s="467">
        <f>M4/L4-1</f>
        <v>7.5100323325964169E-2</v>
      </c>
      <c r="N27" s="467">
        <f>N4/M4-1</f>
        <v>7.5740022457871481E-2</v>
      </c>
      <c r="O27" s="633"/>
    </row>
    <row r="28" spans="2:21" ht="17.25" customHeight="1" x14ac:dyDescent="0.25">
      <c r="B28" s="561" t="s">
        <v>547</v>
      </c>
      <c r="F28" s="391">
        <f ca="1">BS!F43</f>
        <v>1.2055931681970962</v>
      </c>
      <c r="G28" s="391">
        <f ca="1">BS!G43</f>
        <v>1.3024820712836618</v>
      </c>
      <c r="H28" s="391">
        <f ca="1">BS!H43</f>
        <v>1.5020516818118863</v>
      </c>
      <c r="I28" s="391">
        <f ca="1">BS!I43</f>
        <v>1.4445827618779861</v>
      </c>
      <c r="J28" s="391">
        <f ca="1">BS!J43</f>
        <v>1.2532238185950193</v>
      </c>
      <c r="K28" s="391">
        <f ca="1">BS!K43</f>
        <v>1.4543870288039817</v>
      </c>
      <c r="L28" s="391">
        <f ca="1">BS!L43</f>
        <v>1.6674619180655443</v>
      </c>
      <c r="M28" s="391">
        <f ca="1">BS!M43</f>
        <v>3.124151851850558</v>
      </c>
      <c r="N28" s="391">
        <f ca="1">BS!N43</f>
        <v>9.0813637678634507</v>
      </c>
    </row>
    <row r="29" spans="2:21" ht="17.25" customHeight="1" x14ac:dyDescent="0.25">
      <c r="B29" s="561" t="s">
        <v>548</v>
      </c>
      <c r="F29" s="391">
        <f ca="1">BS!F46</f>
        <v>1.8981905719468981</v>
      </c>
      <c r="G29" s="391">
        <f ca="1">BS!G46</f>
        <v>1.6793433188539377</v>
      </c>
      <c r="H29" s="391">
        <f ca="1">BS!H46</f>
        <v>1.3680031580498435</v>
      </c>
      <c r="I29" s="391">
        <f ca="1">BS!I46</f>
        <v>1.0743882175425477</v>
      </c>
      <c r="J29" s="391">
        <f ca="1">BS!J46</f>
        <v>0.78144833446895201</v>
      </c>
      <c r="K29" s="391">
        <f ca="1">BS!K46</f>
        <v>0.49000254546972216</v>
      </c>
      <c r="L29" s="391">
        <f ca="1">BS!L46</f>
        <v>0.27156306233154426</v>
      </c>
      <c r="M29" s="391">
        <f ca="1">BS!M46</f>
        <v>9.5207403499265778E-2</v>
      </c>
      <c r="N29" s="391">
        <f ca="1">BS!N46</f>
        <v>2.3603116223274118E-2</v>
      </c>
    </row>
    <row r="30" spans="2:21" ht="17.25" customHeight="1" x14ac:dyDescent="0.25">
      <c r="B30" s="561" t="s">
        <v>222</v>
      </c>
      <c r="F30" s="391">
        <f ca="1">BS!F49</f>
        <v>2.03753912128589</v>
      </c>
      <c r="G30" s="391">
        <f ca="1">BS!G49</f>
        <v>1.7993135370052979</v>
      </c>
      <c r="H30" s="391">
        <f ca="1">BS!H49</f>
        <v>1.4489800270785465</v>
      </c>
      <c r="I30" s="391">
        <f ca="1">BS!I49</f>
        <v>1.1305218512807536</v>
      </c>
      <c r="J30" s="391">
        <f ca="1">BS!J49</f>
        <v>0.82263828376916426</v>
      </c>
      <c r="K30" s="391">
        <f ca="1">BS!K49</f>
        <v>0.52650946755296057</v>
      </c>
      <c r="L30" s="391">
        <f ca="1">BS!L49</f>
        <v>0.30371959185390696</v>
      </c>
      <c r="M30" s="391">
        <f ca="1">BS!M49</f>
        <v>0.12365079786980519</v>
      </c>
      <c r="N30" s="391">
        <f ca="1">BS!N49</f>
        <v>4.9124205008029435E-2</v>
      </c>
    </row>
    <row r="31" spans="2:21" ht="17.25" customHeight="1" x14ac:dyDescent="0.25">
      <c r="B31" s="561" t="s">
        <v>921</v>
      </c>
      <c r="F31" s="467">
        <f ca="1">+F12/(BS!F35-SUM(BS!F17:F19))</f>
        <v>4.2997231367333417E-2</v>
      </c>
      <c r="G31" s="467">
        <f ca="1">+G12/(BS!G35-SUM(BS!G17:G19))</f>
        <v>0.11021206825322476</v>
      </c>
      <c r="H31" s="467">
        <f ca="1">+H12/(BS!H35-SUM(BS!H17:H19))</f>
        <v>0.12805328036759661</v>
      </c>
      <c r="I31" s="467">
        <f ca="1">+I12/(BS!I35-SUM(BS!I17:I19))</f>
        <v>0.1492419503902041</v>
      </c>
      <c r="J31" s="467">
        <f ca="1">+J12/(BS!J35-SUM(BS!J17:J19))</f>
        <v>0.1756868463865382</v>
      </c>
      <c r="K31" s="467">
        <f ca="1">+K12/(BS!K35-SUM(BS!K17:K19))</f>
        <v>0.19890096752643613</v>
      </c>
      <c r="L31" s="467">
        <f ca="1">+L12/(BS!L35-SUM(BS!L17:L19))</f>
        <v>0.22178062550628402</v>
      </c>
      <c r="M31" s="467">
        <f ca="1">+M12/(BS!M35-SUM(BS!M17:M19))</f>
        <v>0.22437048249318423</v>
      </c>
      <c r="N31" s="467">
        <f ca="1">+N12/(BS!N35-SUM(BS!N17:N19))</f>
        <v>0.21510140096482733</v>
      </c>
    </row>
    <row r="32" spans="2:21" ht="17.25" customHeight="1" x14ac:dyDescent="0.25">
      <c r="B32" s="561" t="s">
        <v>419</v>
      </c>
      <c r="F32" s="468">
        <f ca="1">'P&amp;L &amp; Ratio Analysis'!F20/BS!F13</f>
        <v>2.0240655015800559E-2</v>
      </c>
      <c r="G32" s="468">
        <f ca="1">'P&amp;L &amp; Ratio Analysis'!G20/BS!G13</f>
        <v>0.16230237174181136</v>
      </c>
      <c r="H32" s="468">
        <f ca="1">'P&amp;L &amp; Ratio Analysis'!H20/BS!H13</f>
        <v>0.1995046857266036</v>
      </c>
      <c r="I32" s="468">
        <f ca="1">'P&amp;L &amp; Ratio Analysis'!I20/BS!I13</f>
        <v>0.20052721328021622</v>
      </c>
      <c r="J32" s="468">
        <f ca="1">'P&amp;L &amp; Ratio Analysis'!J20/BS!J13</f>
        <v>0.2053880292173495</v>
      </c>
      <c r="K32" s="468">
        <f ca="1">'P&amp;L &amp; Ratio Analysis'!K20/BS!K13</f>
        <v>0.21892115553093888</v>
      </c>
      <c r="L32" s="668">
        <f ca="1">'P&amp;L &amp; Ratio Analysis'!L20/BS!L13</f>
        <v>0.21476043931248628</v>
      </c>
      <c r="M32" s="668">
        <f ca="1">'P&amp;L &amp; Ratio Analysis'!M20/BS!M13</f>
        <v>0.20257797473670755</v>
      </c>
      <c r="N32" s="668">
        <f ca="1">'P&amp;L &amp; Ratio Analysis'!N20/BS!N13</f>
        <v>0.18322576302646154</v>
      </c>
    </row>
    <row r="33" spans="2:14" ht="21.75" customHeight="1" x14ac:dyDescent="0.25">
      <c r="B33" s="561" t="s">
        <v>922</v>
      </c>
      <c r="F33" s="453">
        <f ca="1">+F12/SUM(BS!F13:F16)</f>
        <v>4.2997305977506874E-2</v>
      </c>
      <c r="G33" s="453">
        <f ca="1">+G12/SUM(BS!G13:G16)</f>
        <v>0.11021192634393837</v>
      </c>
      <c r="H33" s="453">
        <f ca="1">+H12/SUM(BS!H13:H16)</f>
        <v>0.12805327242146436</v>
      </c>
      <c r="I33" s="453">
        <f ca="1">+I12/SUM(BS!I13:I16)</f>
        <v>0.1492416904074847</v>
      </c>
      <c r="J33" s="453">
        <f ca="1">+J12/SUM(BS!J13:J16)</f>
        <v>0.17568613257842947</v>
      </c>
      <c r="K33" s="453">
        <f ca="1">+K12/SUM(BS!K13:K16)</f>
        <v>0.19889983163533101</v>
      </c>
      <c r="L33" s="453">
        <f ca="1">+L12/SUM(BS!L13:L16)</f>
        <v>0.22177948737392492</v>
      </c>
      <c r="M33" s="453">
        <f ca="1">+M12/SUM(BS!M13:M16)</f>
        <v>0.22436895558814279</v>
      </c>
      <c r="N33" s="453">
        <f ca="1">+N12/SUM(BS!N13:N16)</f>
        <v>0.21510009196100668</v>
      </c>
    </row>
  </sheetData>
  <phoneticPr fontId="9" type="noConversion"/>
  <pageMargins left="0.70866141732283472" right="0.70866141732283472" top="0.74803149606299213" bottom="0.74803149606299213" header="0.31496062992125984" footer="0.31496062992125984"/>
  <pageSetup paperSize="9" orientation="landscape" r:id="rId1"/>
  <drawing r:id="rId2"/>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9">
    <pageSetUpPr fitToPage="1"/>
  </sheetPr>
  <dimension ref="B2:Y66"/>
  <sheetViews>
    <sheetView showGridLines="0" zoomScaleNormal="100" zoomScaleSheetLayoutView="102" workbookViewId="0">
      <pane xSplit="5" topLeftCell="F1" activePane="topRight" state="frozen"/>
      <selection activeCell="A13" sqref="A13"/>
      <selection pane="topRight" activeCell="B60" sqref="B60:K66"/>
    </sheetView>
  </sheetViews>
  <sheetFormatPr defaultColWidth="8.85546875" defaultRowHeight="13.5" customHeight="1" x14ac:dyDescent="0.25"/>
  <cols>
    <col min="1" max="1" width="5" style="224" customWidth="1"/>
    <col min="2" max="2" width="40.5703125" style="224" customWidth="1"/>
    <col min="3" max="3" width="9.7109375" style="401" customWidth="1"/>
    <col min="4" max="6" width="10.5703125" style="401" customWidth="1"/>
    <col min="7" max="7" width="12.28515625" style="401" customWidth="1"/>
    <col min="8" max="13" width="10.28515625" style="401" customWidth="1"/>
    <col min="14" max="14" width="11.5703125" style="401" customWidth="1"/>
    <col min="15" max="15" width="10.42578125" customWidth="1"/>
    <col min="16" max="17" width="12.28515625" customWidth="1"/>
    <col min="18" max="18" width="11.85546875" customWidth="1"/>
    <col min="19" max="19" width="7.42578125" customWidth="1"/>
    <col min="20" max="20" width="7.5703125" style="224" customWidth="1"/>
    <col min="21" max="21" width="12.28515625" style="224" customWidth="1"/>
    <col min="22" max="22" width="11.28515625" style="224" bestFit="1" customWidth="1"/>
    <col min="23" max="16384" width="8.85546875" style="224"/>
  </cols>
  <sheetData>
    <row r="2" spans="2:21" ht="13.5" customHeight="1" x14ac:dyDescent="0.25">
      <c r="B2" s="421" t="s">
        <v>788</v>
      </c>
      <c r="C2" s="343"/>
      <c r="D2" s="343"/>
      <c r="E2" s="343"/>
      <c r="F2" s="343"/>
      <c r="G2" s="343"/>
      <c r="H2" s="343"/>
      <c r="I2" s="343"/>
      <c r="J2" s="343"/>
      <c r="K2" s="343"/>
      <c r="L2" s="343"/>
      <c r="M2" s="343"/>
      <c r="N2" s="343"/>
    </row>
    <row r="3" spans="2:21" ht="3.75" customHeight="1" x14ac:dyDescent="0.25">
      <c r="B3" s="738"/>
      <c r="C3" s="738"/>
      <c r="D3" s="738"/>
      <c r="E3" s="738"/>
      <c r="F3" s="738"/>
      <c r="G3" s="738"/>
      <c r="H3" s="738"/>
      <c r="I3" s="738"/>
      <c r="J3" s="738"/>
      <c r="K3" s="738"/>
    </row>
    <row r="4" spans="2:21" ht="15" x14ac:dyDescent="0.25">
      <c r="B4" s="739" t="s">
        <v>205</v>
      </c>
      <c r="C4" s="739"/>
      <c r="D4" s="739"/>
      <c r="E4" s="739"/>
      <c r="F4" s="739"/>
      <c r="G4" s="739"/>
      <c r="H4" s="739"/>
      <c r="I4" s="739"/>
      <c r="J4" s="739"/>
      <c r="K4" s="739"/>
      <c r="L4" s="740" t="s">
        <v>594</v>
      </c>
      <c r="M4" s="740"/>
    </row>
    <row r="5" spans="2:21" ht="18" customHeight="1" x14ac:dyDescent="0.25">
      <c r="B5" s="477" t="s">
        <v>206</v>
      </c>
      <c r="C5" s="477"/>
      <c r="D5" s="478" t="s">
        <v>297</v>
      </c>
      <c r="E5" s="478" t="s">
        <v>298</v>
      </c>
      <c r="F5" s="479" t="str">
        <f>'P&amp;L &amp; Ratio Analysis'!F3</f>
        <v>FY 2027</v>
      </c>
      <c r="G5" s="479" t="str">
        <f>'P&amp;L &amp; Ratio Analysis'!G3</f>
        <v>FY 2028</v>
      </c>
      <c r="H5" s="479" t="str">
        <f>'P&amp;L &amp; Ratio Analysis'!H3</f>
        <v>FY 2029</v>
      </c>
      <c r="I5" s="479" t="str">
        <f>'P&amp;L &amp; Ratio Analysis'!I3</f>
        <v>FY 2030</v>
      </c>
      <c r="J5" s="479" t="str">
        <f>'P&amp;L &amp; Ratio Analysis'!J3</f>
        <v>FY 2031</v>
      </c>
      <c r="K5" s="479" t="str">
        <f>'P&amp;L &amp; Ratio Analysis'!K3</f>
        <v>FY 2032</v>
      </c>
      <c r="L5" s="479" t="str">
        <f>'P&amp;L &amp; Ratio Analysis'!L3</f>
        <v>FY 2033</v>
      </c>
      <c r="M5" s="479" t="str">
        <f>'P&amp;L &amp; Ratio Analysis'!M3</f>
        <v>FY 2034</v>
      </c>
      <c r="N5" s="479" t="str">
        <f>'P&amp;L &amp; Ratio Analysis'!N3</f>
        <v>FY 2035</v>
      </c>
      <c r="T5" s="479">
        <f>'P&amp;L &amp; Ratio Analysis'!T3</f>
        <v>0</v>
      </c>
    </row>
    <row r="6" spans="2:21" ht="18" customHeight="1" x14ac:dyDescent="0.25">
      <c r="B6" s="480"/>
      <c r="C6" s="481"/>
      <c r="D6" s="741" t="s">
        <v>207</v>
      </c>
      <c r="E6" s="741"/>
      <c r="F6" s="482" t="s">
        <v>208</v>
      </c>
      <c r="G6" s="482" t="s">
        <v>208</v>
      </c>
      <c r="H6" s="482" t="s">
        <v>208</v>
      </c>
      <c r="I6" s="482" t="s">
        <v>208</v>
      </c>
      <c r="J6" s="482" t="s">
        <v>208</v>
      </c>
      <c r="K6" s="482" t="s">
        <v>208</v>
      </c>
      <c r="L6" s="482" t="s">
        <v>208</v>
      </c>
      <c r="M6" s="482" t="s">
        <v>208</v>
      </c>
      <c r="N6" s="482" t="s">
        <v>208</v>
      </c>
      <c r="T6" s="483" t="s">
        <v>208</v>
      </c>
    </row>
    <row r="7" spans="2:21" ht="18.75" customHeight="1" x14ac:dyDescent="0.25">
      <c r="B7" s="413" t="s">
        <v>209</v>
      </c>
      <c r="C7" s="484"/>
      <c r="D7" s="484"/>
      <c r="E7" s="484"/>
      <c r="F7" s="475"/>
      <c r="G7" s="475"/>
      <c r="H7" s="475"/>
      <c r="I7" s="475"/>
      <c r="J7" s="475"/>
      <c r="K7" s="475"/>
      <c r="L7" s="475"/>
      <c r="M7" s="475"/>
      <c r="N7" s="474"/>
    </row>
    <row r="8" spans="2:21" ht="18.75" customHeight="1" x14ac:dyDescent="0.25">
      <c r="B8" s="224" t="s">
        <v>210</v>
      </c>
      <c r="C8" s="485"/>
      <c r="E8" s="486">
        <f>D13</f>
        <v>250</v>
      </c>
      <c r="F8" s="487">
        <f>E13</f>
        <v>544.89583333333326</v>
      </c>
      <c r="G8" s="487">
        <f ca="1">+F8+F9</f>
        <v>544.89583333333326</v>
      </c>
      <c r="H8" s="487">
        <f ca="1">G8</f>
        <v>544.89583333333326</v>
      </c>
      <c r="I8" s="487">
        <f t="shared" ref="I8:N8" ca="1" si="0">H8</f>
        <v>544.89583333333326</v>
      </c>
      <c r="J8" s="487">
        <f t="shared" ca="1" si="0"/>
        <v>544.89583333333326</v>
      </c>
      <c r="K8" s="487">
        <f t="shared" ca="1" si="0"/>
        <v>544.89583333333326</v>
      </c>
      <c r="L8" s="487">
        <f t="shared" ca="1" si="0"/>
        <v>544.89583333333326</v>
      </c>
      <c r="M8" s="487">
        <f t="shared" ca="1" si="0"/>
        <v>544.89583333333326</v>
      </c>
      <c r="N8" s="487">
        <f t="shared" ca="1" si="0"/>
        <v>544.89583333333326</v>
      </c>
      <c r="T8" s="471">
        <f t="shared" ref="T8" si="1">S13</f>
        <v>0</v>
      </c>
      <c r="U8" s="488">
        <f>F8-E8</f>
        <v>294.89583333333326</v>
      </c>
    </row>
    <row r="9" spans="2:21" ht="18.75" customHeight="1" x14ac:dyDescent="0.25">
      <c r="B9" s="224" t="s">
        <v>211</v>
      </c>
      <c r="D9" s="486">
        <f>+CF!C9</f>
        <v>250</v>
      </c>
      <c r="E9" s="486">
        <f>+CF!D9</f>
        <v>294.89583333333326</v>
      </c>
      <c r="F9" s="486">
        <f ca="1">+CF!E9</f>
        <v>0</v>
      </c>
      <c r="G9" s="486">
        <f ca="1">+CF!F9</f>
        <v>0</v>
      </c>
      <c r="H9" s="486">
        <f ca="1">+CF!G9</f>
        <v>0</v>
      </c>
      <c r="I9" s="486">
        <f ca="1">+CF!H9</f>
        <v>0</v>
      </c>
      <c r="J9" s="486">
        <f ca="1">+CF!I9</f>
        <v>0</v>
      </c>
      <c r="K9" s="486">
        <f ca="1">+CF!J9</f>
        <v>0</v>
      </c>
      <c r="L9" s="486">
        <f ca="1">+CF!K9</f>
        <v>0</v>
      </c>
      <c r="M9" s="486">
        <f ca="1">+CF!L9</f>
        <v>0</v>
      </c>
      <c r="N9" s="486">
        <f ca="1">+CF!M9</f>
        <v>0</v>
      </c>
      <c r="T9" s="471">
        <v>0</v>
      </c>
      <c r="U9" s="225">
        <f t="shared" ref="U9:U34" ca="1" si="2">F9-E9</f>
        <v>-294.89583333333326</v>
      </c>
    </row>
    <row r="10" spans="2:21" ht="18.75" customHeight="1" x14ac:dyDescent="0.25">
      <c r="B10" s="224" t="s">
        <v>212</v>
      </c>
      <c r="D10" s="486">
        <v>0</v>
      </c>
      <c r="E10" s="486">
        <v>0</v>
      </c>
      <c r="F10" s="487">
        <f>'P&amp;L &amp; Ratio Analysis'!F20</f>
        <v>11.256895520833254</v>
      </c>
      <c r="G10" s="487">
        <f>F10+'P&amp;L &amp; Ratio Analysis'!G20</f>
        <v>119.01106314393924</v>
      </c>
      <c r="H10" s="487">
        <f>G10+'P&amp;L &amp; Ratio Analysis'!H20</f>
        <v>284.47426434501244</v>
      </c>
      <c r="I10" s="487">
        <f>H10+'P&amp;L &amp; Ratio Analysis'!I20</f>
        <v>492.50119540190877</v>
      </c>
      <c r="J10" s="487">
        <f>I10+'P&amp;L &amp; Ratio Analysis'!J20</f>
        <v>760.64348306632724</v>
      </c>
      <c r="K10" s="487">
        <f>J10+'P&amp;L &amp; Ratio Analysis'!K20</f>
        <v>1126.5614376900703</v>
      </c>
      <c r="L10" s="487">
        <f>K10+'P&amp;L &amp; Ratio Analysis'!L20</f>
        <v>1583.6983612062354</v>
      </c>
      <c r="M10" s="487">
        <f>L10+'P&amp;L &amp; Ratio Analysis'!M20</f>
        <v>2124.4498780696658</v>
      </c>
      <c r="N10" s="487">
        <f>M10+'P&amp;L &amp; Ratio Analysis'!N20</f>
        <v>2723.2609877622263</v>
      </c>
      <c r="T10" s="471">
        <f>'P&amp;L &amp; Ratio Analysis'!T20</f>
        <v>0</v>
      </c>
      <c r="U10" s="225">
        <f t="shared" si="2"/>
        <v>11.256895520833254</v>
      </c>
    </row>
    <row r="11" spans="2:21" ht="18.75" customHeight="1" x14ac:dyDescent="0.25">
      <c r="B11" s="224" t="s">
        <v>213</v>
      </c>
      <c r="D11" s="486">
        <f>SUM(D8:D10)</f>
        <v>250</v>
      </c>
      <c r="E11" s="486">
        <f>SUM(E8:E10)</f>
        <v>544.89583333333326</v>
      </c>
      <c r="F11" s="486">
        <f ca="1">SUM(F8:F10)</f>
        <v>556.15272885416653</v>
      </c>
      <c r="G11" s="486">
        <f t="shared" ref="G11:N11" ca="1" si="3">ROUND(SUM(G8:G10),2)</f>
        <v>663.91</v>
      </c>
      <c r="H11" s="486">
        <f t="shared" ca="1" si="3"/>
        <v>829.37</v>
      </c>
      <c r="I11" s="486">
        <f t="shared" ca="1" si="3"/>
        <v>1037.4000000000001</v>
      </c>
      <c r="J11" s="486">
        <f t="shared" ca="1" si="3"/>
        <v>1305.54</v>
      </c>
      <c r="K11" s="486">
        <f t="shared" ca="1" si="3"/>
        <v>1671.46</v>
      </c>
      <c r="L11" s="486">
        <f t="shared" ca="1" si="3"/>
        <v>2128.59</v>
      </c>
      <c r="M11" s="486">
        <f t="shared" ca="1" si="3"/>
        <v>2669.35</v>
      </c>
      <c r="N11" s="486">
        <f t="shared" ca="1" si="3"/>
        <v>3268.16</v>
      </c>
      <c r="T11" s="225">
        <f t="shared" ref="T11" si="4">ROUND(SUM(T8:T10),2)</f>
        <v>0</v>
      </c>
      <c r="U11" s="225">
        <f t="shared" ca="1" si="2"/>
        <v>11.256895520833268</v>
      </c>
    </row>
    <row r="12" spans="2:21" ht="18.75" customHeight="1" x14ac:dyDescent="0.25">
      <c r="B12" s="224" t="s">
        <v>214</v>
      </c>
      <c r="D12" s="486"/>
      <c r="E12" s="486"/>
      <c r="F12" s="489">
        <v>0</v>
      </c>
      <c r="G12" s="489">
        <v>0</v>
      </c>
      <c r="H12" s="489">
        <v>0</v>
      </c>
      <c r="I12" s="489">
        <v>0</v>
      </c>
      <c r="J12" s="489">
        <v>0</v>
      </c>
      <c r="K12" s="489">
        <v>0</v>
      </c>
      <c r="L12" s="489">
        <v>0</v>
      </c>
      <c r="M12" s="489">
        <v>0</v>
      </c>
      <c r="N12" s="489">
        <v>0</v>
      </c>
      <c r="T12" s="490">
        <v>0</v>
      </c>
      <c r="U12" s="225">
        <f t="shared" si="2"/>
        <v>0</v>
      </c>
    </row>
    <row r="13" spans="2:21" ht="18.75" customHeight="1" x14ac:dyDescent="0.25">
      <c r="B13" s="491" t="s">
        <v>215</v>
      </c>
      <c r="C13" s="492"/>
      <c r="D13" s="493">
        <f t="shared" ref="D13:N13" si="5">D11-D12</f>
        <v>250</v>
      </c>
      <c r="E13" s="493">
        <f t="shared" si="5"/>
        <v>544.89583333333326</v>
      </c>
      <c r="F13" s="493">
        <f t="shared" ca="1" si="5"/>
        <v>556.15272885416653</v>
      </c>
      <c r="G13" s="493">
        <f t="shared" ca="1" si="5"/>
        <v>663.91</v>
      </c>
      <c r="H13" s="493">
        <f t="shared" ca="1" si="5"/>
        <v>829.37</v>
      </c>
      <c r="I13" s="493">
        <f t="shared" ca="1" si="5"/>
        <v>1037.4000000000001</v>
      </c>
      <c r="J13" s="493">
        <f t="shared" ca="1" si="5"/>
        <v>1305.54</v>
      </c>
      <c r="K13" s="493">
        <f t="shared" ca="1" si="5"/>
        <v>1671.46</v>
      </c>
      <c r="L13" s="493">
        <f t="shared" ca="1" si="5"/>
        <v>2128.59</v>
      </c>
      <c r="M13" s="493">
        <f t="shared" ca="1" si="5"/>
        <v>2669.35</v>
      </c>
      <c r="N13" s="493">
        <f t="shared" ca="1" si="5"/>
        <v>3268.16</v>
      </c>
      <c r="T13" s="494">
        <f t="shared" ref="T13" si="6">T11-T12</f>
        <v>0</v>
      </c>
      <c r="U13" s="225">
        <f t="shared" ca="1" si="2"/>
        <v>11.256895520833268</v>
      </c>
    </row>
    <row r="14" spans="2:21" ht="18.75" customHeight="1" x14ac:dyDescent="0.25">
      <c r="B14" s="224" t="s">
        <v>309</v>
      </c>
      <c r="D14" s="486">
        <f>'Loan Repay Sch'!D20</f>
        <v>700</v>
      </c>
      <c r="E14" s="486">
        <f>'Loan Repay Sch'!I19-E18</f>
        <v>1700</v>
      </c>
      <c r="F14" s="486">
        <f>'Loan Repay Sch'!P8-'Loan Repay Sch'!Q20</f>
        <v>1940</v>
      </c>
      <c r="G14" s="486">
        <f>'Loan Repay Sch'!P23</f>
        <v>1790</v>
      </c>
      <c r="H14" s="486">
        <f>'Loan Repay Sch'!T23</f>
        <v>1610</v>
      </c>
      <c r="I14" s="486">
        <f>'Loan Repay Sch'!X23</f>
        <v>1356.02</v>
      </c>
      <c r="J14" s="486">
        <f>'Loan Repay Sch'!AB23</f>
        <v>996.02000000000044</v>
      </c>
      <c r="K14" s="486">
        <f>'Loan Repay Sch'!AF23</f>
        <v>636.02000000000044</v>
      </c>
      <c r="L14" s="486">
        <f>'Loan Repay Sch'!AJ23</f>
        <v>216.02000000000044</v>
      </c>
      <c r="M14" s="486">
        <f>'Loan Repay Sch'!AN23</f>
        <v>0</v>
      </c>
      <c r="N14" s="486">
        <f>'Loan Repay Sch'!AR23</f>
        <v>0</v>
      </c>
      <c r="T14" s="225">
        <f>'Loan Repay Sch'!AE23</f>
        <v>0</v>
      </c>
      <c r="U14" s="225">
        <f t="shared" si="2"/>
        <v>240</v>
      </c>
    </row>
    <row r="15" spans="2:21" ht="18.75" hidden="1" customHeight="1" x14ac:dyDescent="0.25">
      <c r="D15" s="486"/>
      <c r="E15" s="486"/>
      <c r="F15" s="486"/>
      <c r="G15" s="486"/>
      <c r="H15" s="486"/>
      <c r="I15" s="486"/>
      <c r="J15" s="486"/>
      <c r="K15" s="486"/>
      <c r="L15" s="486"/>
      <c r="M15" s="486"/>
      <c r="N15" s="486"/>
      <c r="T15" s="225"/>
      <c r="U15" s="225"/>
    </row>
    <row r="16" spans="2:21" ht="18.75" customHeight="1" x14ac:dyDescent="0.25">
      <c r="B16" s="224" t="s">
        <v>869</v>
      </c>
      <c r="D16" s="486">
        <f>+CF!C11</f>
        <v>0</v>
      </c>
      <c r="E16" s="486">
        <f>+D16+CF!D11</f>
        <v>200</v>
      </c>
      <c r="F16" s="486">
        <f>+E16+CF!E11</f>
        <v>544.89583333333326</v>
      </c>
      <c r="G16" s="486">
        <f>+F16+CF!F11</f>
        <v>544.89583333333326</v>
      </c>
      <c r="H16" s="486">
        <f>+G16+CF!G11</f>
        <v>544.89583333333326</v>
      </c>
      <c r="I16" s="486">
        <f>+H16+CF!H11</f>
        <v>544.89583333333326</v>
      </c>
      <c r="J16" s="486">
        <f>+I16+CF!I11</f>
        <v>544.89583333333326</v>
      </c>
      <c r="K16" s="486">
        <f>+J16+CF!J11</f>
        <v>544.89583333333326</v>
      </c>
      <c r="L16" s="486">
        <f>+K16+CF!K11</f>
        <v>544.89583333333326</v>
      </c>
      <c r="M16" s="486">
        <f>+L16+CF!L11</f>
        <v>544.89583333333326</v>
      </c>
      <c r="N16" s="486">
        <f>+M16+CF!M11</f>
        <v>544.89583333333326</v>
      </c>
      <c r="T16" s="225"/>
      <c r="U16" s="225"/>
    </row>
    <row r="17" spans="2:21" ht="18.75" customHeight="1" x14ac:dyDescent="0.25">
      <c r="B17" s="224" t="s">
        <v>870</v>
      </c>
      <c r="D17" s="486"/>
      <c r="E17" s="486"/>
      <c r="F17" s="486">
        <v>90</v>
      </c>
      <c r="G17" s="486">
        <v>90</v>
      </c>
      <c r="H17" s="486">
        <v>90</v>
      </c>
      <c r="I17" s="486">
        <v>90</v>
      </c>
      <c r="J17" s="486">
        <v>90</v>
      </c>
      <c r="K17" s="486">
        <v>90</v>
      </c>
      <c r="L17" s="486">
        <v>90</v>
      </c>
      <c r="M17" s="486">
        <v>90</v>
      </c>
      <c r="N17" s="486">
        <v>90</v>
      </c>
      <c r="T17" s="225"/>
      <c r="U17" s="225"/>
    </row>
    <row r="18" spans="2:21" ht="18.75" customHeight="1" x14ac:dyDescent="0.25">
      <c r="B18" s="224" t="s">
        <v>310</v>
      </c>
      <c r="D18" s="486">
        <v>0</v>
      </c>
      <c r="E18" s="486">
        <f>+'Loan Repay Sch'!N20</f>
        <v>0</v>
      </c>
      <c r="F18" s="486">
        <f>'Loan Repay Sch'!Q20</f>
        <v>60</v>
      </c>
      <c r="G18" s="486">
        <f>'Loan Repay Sch'!P24</f>
        <v>150</v>
      </c>
      <c r="H18" s="486">
        <f>'Loan Repay Sch'!T24</f>
        <v>180</v>
      </c>
      <c r="I18" s="486">
        <f>'Loan Repay Sch'!X24</f>
        <v>253.97999999999996</v>
      </c>
      <c r="J18" s="486">
        <f>'Loan Repay Sch'!AB24</f>
        <v>360</v>
      </c>
      <c r="K18" s="486">
        <f>'Loan Repay Sch'!AF24</f>
        <v>360</v>
      </c>
      <c r="L18" s="486">
        <f>'Loan Repay Sch'!AJ24</f>
        <v>420</v>
      </c>
      <c r="M18" s="486">
        <f>'Loan Repay Sch'!AN24</f>
        <v>216.02000000000044</v>
      </c>
      <c r="N18" s="486">
        <f>'Loan Repay Sch'!AR24</f>
        <v>0</v>
      </c>
      <c r="T18" s="225">
        <f>'Loan Repay Sch'!AE24</f>
        <v>0</v>
      </c>
      <c r="U18" s="225">
        <f t="shared" si="2"/>
        <v>60</v>
      </c>
    </row>
    <row r="19" spans="2:21" ht="30" x14ac:dyDescent="0.25">
      <c r="B19" s="320" t="s">
        <v>963</v>
      </c>
      <c r="C19" s="495"/>
      <c r="D19" s="486">
        <v>0</v>
      </c>
      <c r="E19" s="486">
        <v>0</v>
      </c>
      <c r="F19" s="486">
        <f>('P&amp;L &amp; Ratio Analysis'!F5+'P&amp;L &amp; Ratio Analysis'!F7+'P&amp;L &amp; Ratio Analysis'!F9)*2/52</f>
        <v>31.177172615457458</v>
      </c>
      <c r="G19" s="486">
        <f>('P&amp;L &amp; Ratio Analysis'!G5+'P&amp;L &amp; Ratio Analysis'!G7+'P&amp;L &amp; Ratio Analysis'!G9)*2/52</f>
        <v>64.051590362398017</v>
      </c>
      <c r="H19" s="486">
        <f>('P&amp;L &amp; Ratio Analysis'!H5+'P&amp;L &amp; Ratio Analysis'!H7+'P&amp;L &amp; Ratio Analysis'!H9)*2/52</f>
        <v>67.814343584098197</v>
      </c>
      <c r="I19" s="486">
        <f>('P&amp;L &amp; Ratio Analysis'!I5+'P&amp;L &amp; Ratio Analysis'!I7+'P&amp;L &amp; Ratio Analysis'!I9)*2/52</f>
        <v>71.862187004611471</v>
      </c>
      <c r="J19" s="486">
        <f>('P&amp;L &amp; Ratio Analysis'!J5+'P&amp;L &amp; Ratio Analysis'!J7+'P&amp;L &amp; Ratio Analysis'!J9)*2/52</f>
        <v>76.219358158296075</v>
      </c>
      <c r="K19" s="486">
        <f>('P&amp;L &amp; Ratio Analysis'!K5+'P&amp;L &amp; Ratio Analysis'!K7+'P&amp;L &amp; Ratio Analysis'!K9)*2/52</f>
        <v>80.912329716230914</v>
      </c>
      <c r="L19" s="486">
        <f>('P&amp;L &amp; Ratio Analysis'!L5+'P&amp;L &amp; Ratio Analysis'!L7+'P&amp;L &amp; Ratio Analysis'!L9)*2/52</f>
        <v>85.970026127201891</v>
      </c>
      <c r="M19" s="486">
        <f>('P&amp;L &amp; Ratio Analysis'!M5+'P&amp;L &amp; Ratio Analysis'!M7+'P&amp;L &amp; Ratio Analysis'!M9)*2/52</f>
        <v>91.424061841363113</v>
      </c>
      <c r="N19" s="486">
        <f>('P&amp;L &amp; Ratio Analysis'!N5+'P&amp;L &amp; Ratio Analysis'!N7+'P&amp;L &amp; Ratio Analysis'!N9)*2/52</f>
        <v>97.313336463729172</v>
      </c>
      <c r="Q19" s="239"/>
      <c r="T19" s="225" t="e">
        <f>('P&amp;L &amp; Ratio Analysis'!T5+'P&amp;L &amp; Ratio Analysis'!T7+'P&amp;L &amp; Ratio Analysis'!#REF!+'P&amp;L &amp; Ratio Analysis'!T9+'P&amp;L &amp; Ratio Analysis'!#REF!)*1/12</f>
        <v>#REF!</v>
      </c>
      <c r="U19" s="225">
        <f t="shared" si="2"/>
        <v>31.177172615457458</v>
      </c>
    </row>
    <row r="20" spans="2:21" ht="18.75" customHeight="1" x14ac:dyDescent="0.25">
      <c r="B20" s="491" t="s">
        <v>213</v>
      </c>
      <c r="C20" s="492"/>
      <c r="D20" s="493">
        <f t="shared" ref="D20:N20" si="7">SUM(D13:D19)</f>
        <v>950</v>
      </c>
      <c r="E20" s="493">
        <f t="shared" si="7"/>
        <v>2444.895833333333</v>
      </c>
      <c r="F20" s="493">
        <f t="shared" ca="1" si="7"/>
        <v>3222.225734802957</v>
      </c>
      <c r="G20" s="493">
        <f t="shared" ca="1" si="7"/>
        <v>3302.8574236957311</v>
      </c>
      <c r="H20" s="493">
        <f t="shared" ca="1" si="7"/>
        <v>3322.0801769174313</v>
      </c>
      <c r="I20" s="493">
        <f t="shared" ca="1" si="7"/>
        <v>3354.1580203379444</v>
      </c>
      <c r="J20" s="493">
        <f t="shared" ca="1" si="7"/>
        <v>3372.6751914916294</v>
      </c>
      <c r="K20" s="493">
        <f t="shared" ca="1" si="7"/>
        <v>3383.2881630495644</v>
      </c>
      <c r="L20" s="493">
        <f t="shared" ca="1" si="7"/>
        <v>3485.4758594605355</v>
      </c>
      <c r="M20" s="493">
        <f t="shared" ca="1" si="7"/>
        <v>3611.6898951746971</v>
      </c>
      <c r="N20" s="493">
        <f t="shared" ca="1" si="7"/>
        <v>4000.3691697970621</v>
      </c>
      <c r="Q20" s="239"/>
      <c r="T20" s="494" t="e">
        <f t="shared" ref="T20" si="8">SUM(T13:T19)</f>
        <v>#REF!</v>
      </c>
      <c r="U20" s="225">
        <f t="shared" ca="1" si="2"/>
        <v>777.32990146962402</v>
      </c>
    </row>
    <row r="21" spans="2:21" ht="18.75" customHeight="1" x14ac:dyDescent="0.25">
      <c r="B21" s="413" t="s">
        <v>217</v>
      </c>
      <c r="C21" s="484"/>
      <c r="D21" s="496"/>
      <c r="E21" s="496"/>
      <c r="F21" s="496"/>
      <c r="G21" s="641"/>
      <c r="H21" s="641"/>
      <c r="I21" s="641"/>
      <c r="J21" s="641"/>
      <c r="K21" s="641"/>
      <c r="L21" s="641"/>
      <c r="M21" s="641"/>
      <c r="N21" s="641"/>
      <c r="T21" s="497"/>
      <c r="U21" s="225">
        <f t="shared" si="2"/>
        <v>0</v>
      </c>
    </row>
    <row r="22" spans="2:21" ht="18.75" customHeight="1" x14ac:dyDescent="0.25">
      <c r="B22" s="193" t="s">
        <v>294</v>
      </c>
      <c r="C22" s="498"/>
      <c r="D22" s="499"/>
      <c r="E22" s="499"/>
      <c r="F22" s="499"/>
      <c r="G22" s="499"/>
      <c r="H22" s="499"/>
      <c r="I22" s="499"/>
      <c r="J22" s="499"/>
      <c r="K22" s="499"/>
      <c r="L22" s="499"/>
      <c r="M22" s="499"/>
      <c r="N22" s="475"/>
      <c r="U22" s="225">
        <f t="shared" si="2"/>
        <v>0</v>
      </c>
    </row>
    <row r="23" spans="2:21" ht="18.75" customHeight="1" x14ac:dyDescent="0.25">
      <c r="B23" s="376" t="s">
        <v>277</v>
      </c>
      <c r="C23" s="448"/>
      <c r="D23" s="634">
        <f>950-D31</f>
        <v>912.5</v>
      </c>
      <c r="E23" s="500">
        <f>+Depr!F3*0.85</f>
        <v>2075.7869318181815</v>
      </c>
      <c r="F23" s="500">
        <f>Depr!F3</f>
        <v>2442.1022727272725</v>
      </c>
      <c r="G23" s="500">
        <f>F23</f>
        <v>2442.1022727272725</v>
      </c>
      <c r="H23" s="500">
        <f t="shared" ref="H23:N23" si="9">G23</f>
        <v>2442.1022727272725</v>
      </c>
      <c r="I23" s="500">
        <f t="shared" si="9"/>
        <v>2442.1022727272725</v>
      </c>
      <c r="J23" s="500">
        <f t="shared" si="9"/>
        <v>2442.1022727272725</v>
      </c>
      <c r="K23" s="500">
        <f t="shared" si="9"/>
        <v>2442.1022727272725</v>
      </c>
      <c r="L23" s="500">
        <f t="shared" si="9"/>
        <v>2442.1022727272725</v>
      </c>
      <c r="M23" s="500">
        <f t="shared" si="9"/>
        <v>2442.1022727272725</v>
      </c>
      <c r="N23" s="500">
        <f t="shared" si="9"/>
        <v>2442.1022727272725</v>
      </c>
      <c r="T23" s="501">
        <f t="shared" ref="T23" si="10">S23</f>
        <v>0</v>
      </c>
      <c r="U23" s="225">
        <f t="shared" si="2"/>
        <v>366.31534090909099</v>
      </c>
    </row>
    <row r="24" spans="2:21" ht="18.75" customHeight="1" x14ac:dyDescent="0.25">
      <c r="B24" s="376" t="s">
        <v>278</v>
      </c>
      <c r="C24" s="448"/>
      <c r="D24" s="500"/>
      <c r="E24" s="500">
        <f>Cost!D20</f>
        <v>0</v>
      </c>
      <c r="F24" s="500">
        <f>Depr!F4</f>
        <v>162.80681818181819</v>
      </c>
      <c r="G24" s="500">
        <f>F24</f>
        <v>162.80681818181819</v>
      </c>
      <c r="H24" s="500">
        <f t="shared" ref="H24:N24" si="11">G24</f>
        <v>162.80681818181819</v>
      </c>
      <c r="I24" s="500">
        <f t="shared" si="11"/>
        <v>162.80681818181819</v>
      </c>
      <c r="J24" s="500">
        <f t="shared" si="11"/>
        <v>162.80681818181819</v>
      </c>
      <c r="K24" s="500">
        <f t="shared" si="11"/>
        <v>162.80681818181819</v>
      </c>
      <c r="L24" s="500">
        <f t="shared" si="11"/>
        <v>162.80681818181819</v>
      </c>
      <c r="M24" s="500">
        <f t="shared" si="11"/>
        <v>162.80681818181819</v>
      </c>
      <c r="N24" s="500">
        <f t="shared" si="11"/>
        <v>162.80681818181819</v>
      </c>
      <c r="T24" s="501">
        <f t="shared" ref="T24" si="12">S24</f>
        <v>0</v>
      </c>
      <c r="U24" s="225">
        <f t="shared" si="2"/>
        <v>162.80681818181819</v>
      </c>
    </row>
    <row r="25" spans="2:21" ht="18.75" customHeight="1" x14ac:dyDescent="0.25">
      <c r="B25" s="376" t="s">
        <v>279</v>
      </c>
      <c r="C25" s="448"/>
      <c r="D25" s="500"/>
      <c r="E25" s="500">
        <f>+E20-E23-E31</f>
        <v>294.1089015151515</v>
      </c>
      <c r="F25" s="500">
        <f>Depr!F5</f>
        <v>379.88257575757575</v>
      </c>
      <c r="G25" s="500">
        <f>F25</f>
        <v>379.88257575757575</v>
      </c>
      <c r="H25" s="500">
        <f t="shared" ref="H25:N25" si="13">G25</f>
        <v>379.88257575757575</v>
      </c>
      <c r="I25" s="500">
        <f t="shared" si="13"/>
        <v>379.88257575757575</v>
      </c>
      <c r="J25" s="500">
        <f t="shared" si="13"/>
        <v>379.88257575757575</v>
      </c>
      <c r="K25" s="500">
        <f t="shared" si="13"/>
        <v>379.88257575757575</v>
      </c>
      <c r="L25" s="500">
        <f t="shared" si="13"/>
        <v>379.88257575757575</v>
      </c>
      <c r="M25" s="500">
        <f t="shared" si="13"/>
        <v>379.88257575757575</v>
      </c>
      <c r="N25" s="500">
        <f t="shared" si="13"/>
        <v>379.88257575757575</v>
      </c>
      <c r="T25" s="501">
        <f t="shared" ref="T25" si="14">S25</f>
        <v>0</v>
      </c>
      <c r="U25" s="225">
        <f t="shared" si="2"/>
        <v>85.773674242424249</v>
      </c>
    </row>
    <row r="26" spans="2:21" ht="18.75" customHeight="1" x14ac:dyDescent="0.25">
      <c r="B26" s="193" t="s">
        <v>295</v>
      </c>
      <c r="C26" s="498"/>
      <c r="D26" s="500">
        <f>SUM(D23:D25)</f>
        <v>912.5</v>
      </c>
      <c r="E26" s="500">
        <f t="shared" ref="E26" si="15">SUM(E23:E25)</f>
        <v>2369.895833333333</v>
      </c>
      <c r="F26" s="500">
        <f>SUM(F23:F25)</f>
        <v>2984.7916666666661</v>
      </c>
      <c r="G26" s="500">
        <f>SUM(G23:G25)</f>
        <v>2984.7916666666661</v>
      </c>
      <c r="H26" s="500">
        <f t="shared" ref="H26:T26" si="16">SUM(H23:H25)</f>
        <v>2984.7916666666661</v>
      </c>
      <c r="I26" s="500">
        <f t="shared" si="16"/>
        <v>2984.7916666666661</v>
      </c>
      <c r="J26" s="500">
        <f t="shared" si="16"/>
        <v>2984.7916666666661</v>
      </c>
      <c r="K26" s="500">
        <f t="shared" si="16"/>
        <v>2984.7916666666661</v>
      </c>
      <c r="L26" s="500">
        <f t="shared" si="16"/>
        <v>2984.7916666666661</v>
      </c>
      <c r="M26" s="500">
        <f t="shared" si="16"/>
        <v>2984.7916666666661</v>
      </c>
      <c r="N26" s="500">
        <f t="shared" si="16"/>
        <v>2984.7916666666661</v>
      </c>
      <c r="T26" s="501">
        <f t="shared" si="16"/>
        <v>0</v>
      </c>
      <c r="U26" s="225">
        <f t="shared" si="2"/>
        <v>614.89583333333303</v>
      </c>
    </row>
    <row r="27" spans="2:21" ht="18.75" customHeight="1" x14ac:dyDescent="0.25">
      <c r="B27" s="155" t="s">
        <v>231</v>
      </c>
      <c r="C27" s="150"/>
      <c r="D27" s="500"/>
      <c r="E27" s="500"/>
      <c r="F27" s="500">
        <f>'P&amp;L &amp; Ratio Analysis'!F11</f>
        <v>40.986616477272733</v>
      </c>
      <c r="G27" s="500">
        <f>F27+'P&amp;L &amp; Ratio Analysis'!G11</f>
        <v>122.9598494318182</v>
      </c>
      <c r="H27" s="500">
        <f>G27+'P&amp;L &amp; Ratio Analysis'!H11</f>
        <v>204.93308238636365</v>
      </c>
      <c r="I27" s="500">
        <f>H27+'P&amp;L &amp; Ratio Analysis'!I11</f>
        <v>286.90631534090915</v>
      </c>
      <c r="J27" s="500">
        <f>I27+'P&amp;L &amp; Ratio Analysis'!J11</f>
        <v>368.87954829545458</v>
      </c>
      <c r="K27" s="500">
        <f>J27+'P&amp;L &amp; Ratio Analysis'!K11</f>
        <v>450.85278125000002</v>
      </c>
      <c r="L27" s="500">
        <f>K27+'P&amp;L &amp; Ratio Analysis'!L11</f>
        <v>532.82601420454546</v>
      </c>
      <c r="M27" s="500">
        <f>L27+'P&amp;L &amp; Ratio Analysis'!M11</f>
        <v>614.7992471590909</v>
      </c>
      <c r="N27" s="500">
        <f>M27+'P&amp;L &amp; Ratio Analysis'!N11</f>
        <v>685.5062482954545</v>
      </c>
      <c r="T27" s="501">
        <f>S27+'P&amp;L &amp; Ratio Analysis'!T11</f>
        <v>0</v>
      </c>
      <c r="U27" s="225">
        <f t="shared" si="2"/>
        <v>40.986616477272733</v>
      </c>
    </row>
    <row r="28" spans="2:21" ht="18.75" customHeight="1" x14ac:dyDescent="0.25">
      <c r="B28" s="193" t="s">
        <v>296</v>
      </c>
      <c r="C28" s="498"/>
      <c r="D28" s="500">
        <f t="shared" ref="D28:E28" si="17">D26-D27</f>
        <v>912.5</v>
      </c>
      <c r="E28" s="500">
        <f t="shared" si="17"/>
        <v>2369.895833333333</v>
      </c>
      <c r="F28" s="500">
        <f>F26-F27</f>
        <v>2943.8050501893931</v>
      </c>
      <c r="G28" s="500">
        <f t="shared" ref="G28:T28" si="18">G26-G27</f>
        <v>2861.8318172348477</v>
      </c>
      <c r="H28" s="500">
        <f t="shared" si="18"/>
        <v>2779.8585842803022</v>
      </c>
      <c r="I28" s="500">
        <f t="shared" si="18"/>
        <v>2697.8853513257568</v>
      </c>
      <c r="J28" s="500">
        <f t="shared" si="18"/>
        <v>2615.9121183712114</v>
      </c>
      <c r="K28" s="500">
        <f t="shared" si="18"/>
        <v>2533.9388854166659</v>
      </c>
      <c r="L28" s="500">
        <f t="shared" si="18"/>
        <v>2451.9656524621205</v>
      </c>
      <c r="M28" s="500">
        <f t="shared" si="18"/>
        <v>2369.9924195075751</v>
      </c>
      <c r="N28" s="500">
        <f t="shared" si="18"/>
        <v>2299.2854183712116</v>
      </c>
      <c r="T28" s="501">
        <f t="shared" si="18"/>
        <v>0</v>
      </c>
      <c r="U28" s="225">
        <f t="shared" si="2"/>
        <v>573.90921685606008</v>
      </c>
    </row>
    <row r="29" spans="2:21" ht="18.75" customHeight="1" x14ac:dyDescent="0.25">
      <c r="B29" s="502"/>
      <c r="C29" s="503"/>
      <c r="D29" s="486"/>
      <c r="E29" s="486"/>
      <c r="F29" s="486"/>
      <c r="G29" s="487"/>
      <c r="H29" s="487"/>
      <c r="I29" s="486"/>
      <c r="J29" s="486"/>
      <c r="K29" s="486"/>
      <c r="L29" s="486"/>
      <c r="M29" s="486"/>
      <c r="N29" s="486"/>
      <c r="T29" s="225"/>
      <c r="U29" s="225">
        <f t="shared" si="2"/>
        <v>0</v>
      </c>
    </row>
    <row r="30" spans="2:21" ht="18.75" customHeight="1" x14ac:dyDescent="0.25">
      <c r="B30" s="224" t="s">
        <v>720</v>
      </c>
      <c r="D30" s="487">
        <v>0</v>
      </c>
      <c r="E30" s="487">
        <v>0</v>
      </c>
      <c r="F30" s="489">
        <f>+'Tax Calculations'!F42</f>
        <v>0</v>
      </c>
      <c r="G30" s="489">
        <f>+'Tax Calculations'!G42</f>
        <v>0</v>
      </c>
      <c r="H30" s="489">
        <f>+'Tax Calculations'!H42</f>
        <v>4.8068045328284175</v>
      </c>
      <c r="I30" s="489">
        <f>+'Tax Calculations'!I42</f>
        <v>40.549095393675806</v>
      </c>
      <c r="J30" s="489">
        <f>+'Tax Calculations'!J42</f>
        <v>97.280874642901253</v>
      </c>
      <c r="K30" s="489">
        <f>+'Tax Calculations'!K42</f>
        <v>77.180982406622562</v>
      </c>
      <c r="L30" s="489">
        <f>+'Tax Calculations'!L42</f>
        <v>39.738055775697859</v>
      </c>
      <c r="M30" s="489">
        <f>+'Tax Calculations'!M42</f>
        <v>0</v>
      </c>
      <c r="N30" s="489">
        <f>+'Tax Calculations'!N42</f>
        <v>0</v>
      </c>
      <c r="T30" s="490">
        <v>1</v>
      </c>
      <c r="U30" s="225">
        <f t="shared" si="2"/>
        <v>0</v>
      </c>
    </row>
    <row r="31" spans="2:21" ht="18.75" customHeight="1" x14ac:dyDescent="0.25">
      <c r="B31" s="502" t="s">
        <v>218</v>
      </c>
      <c r="C31" s="503"/>
      <c r="D31" s="486">
        <f>CF!C23</f>
        <v>37.5</v>
      </c>
      <c r="E31" s="486">
        <f>+D31+CF!D23</f>
        <v>75</v>
      </c>
      <c r="F31" s="486">
        <f>+E31-'P&amp;L Assumptions'!F35</f>
        <v>60</v>
      </c>
      <c r="G31" s="486">
        <f>+F31-'P&amp;L Assumptions'!G35</f>
        <v>45</v>
      </c>
      <c r="H31" s="486">
        <f>+G31-'P&amp;L Assumptions'!H35</f>
        <v>30</v>
      </c>
      <c r="I31" s="486">
        <f>+H31-'P&amp;L Assumptions'!I35</f>
        <v>15</v>
      </c>
      <c r="J31" s="486">
        <f>+I31-'P&amp;L Assumptions'!J35</f>
        <v>0</v>
      </c>
      <c r="K31" s="486">
        <v>0</v>
      </c>
      <c r="L31" s="486">
        <v>0</v>
      </c>
      <c r="M31" s="486">
        <v>0</v>
      </c>
      <c r="N31" s="486">
        <v>0</v>
      </c>
      <c r="T31" s="225">
        <v>0</v>
      </c>
      <c r="U31" s="225">
        <f t="shared" si="2"/>
        <v>-15</v>
      </c>
    </row>
    <row r="32" spans="2:21" ht="18.75" customHeight="1" x14ac:dyDescent="0.25">
      <c r="B32" s="224" t="s">
        <v>967</v>
      </c>
      <c r="D32" s="487">
        <v>0</v>
      </c>
      <c r="E32" s="487">
        <v>0</v>
      </c>
      <c r="F32" s="487">
        <f>ROUND(('P&amp;L Assumptions'!F18)*3/52*1,2)</f>
        <v>56.67</v>
      </c>
      <c r="G32" s="487">
        <f>ROUND(('P&amp;L Assumptions'!G18)*3/52*1,2)</f>
        <v>119.87</v>
      </c>
      <c r="H32" s="487">
        <f>ROUND(('P&amp;L Assumptions'!H18)*3/52*1,2)</f>
        <v>128.5</v>
      </c>
      <c r="I32" s="487">
        <f>ROUND(('P&amp;L Assumptions'!I18)*3/52*1,2)</f>
        <v>137.82</v>
      </c>
      <c r="J32" s="487">
        <f>ROUND(('P&amp;L Assumptions'!J18)*3/52*1,2)</f>
        <v>147.91</v>
      </c>
      <c r="K32" s="487">
        <f>ROUND(('P&amp;L Assumptions'!K18)*3/52*1,2)</f>
        <v>158.83000000000001</v>
      </c>
      <c r="L32" s="487">
        <f>ROUND(('P&amp;L Assumptions'!L18)*3/52*1,2)</f>
        <v>170.66</v>
      </c>
      <c r="M32" s="487">
        <f>ROUND(('P&amp;L Assumptions'!M18)*3/52*1,2)</f>
        <v>183.47</v>
      </c>
      <c r="N32" s="487">
        <f>ROUND(('P&amp;L Assumptions'!N18)*3/52*1,2)</f>
        <v>197.37</v>
      </c>
      <c r="T32" s="471">
        <f>ROUND(('P&amp;L Assumptions'!T13+'P&amp;L Assumptions'!T14)/12*2,2)</f>
        <v>0</v>
      </c>
      <c r="U32" s="225">
        <f t="shared" si="2"/>
        <v>56.67</v>
      </c>
    </row>
    <row r="33" spans="2:25" ht="18.75" customHeight="1" x14ac:dyDescent="0.25">
      <c r="B33" s="224" t="s">
        <v>958</v>
      </c>
      <c r="D33" s="487">
        <v>0</v>
      </c>
      <c r="E33" s="487">
        <v>0</v>
      </c>
      <c r="F33" s="487">
        <f>('P&amp;L Assumptions'!F25)*4/52</f>
        <v>35.035961538461542</v>
      </c>
      <c r="G33" s="487">
        <f>('P&amp;L Assumptions'!G25)*4/52</f>
        <v>73.86174519230768</v>
      </c>
      <c r="H33" s="487">
        <f>('P&amp;L Assumptions'!H25)*4/52</f>
        <v>79.104602920673088</v>
      </c>
      <c r="I33" s="487">
        <f>('P&amp;L Assumptions'!I25)*4/52</f>
        <v>84.768455008503608</v>
      </c>
      <c r="J33" s="487">
        <f>('P&amp;L Assumptions'!J25)*4/52</f>
        <v>90.890633449759861</v>
      </c>
      <c r="K33" s="487">
        <f>('P&amp;L Assumptions'!K25)*4/52</f>
        <v>97.512005771389099</v>
      </c>
      <c r="L33" s="487">
        <f>('P&amp;L Assumptions'!L25)*4/52</f>
        <v>104.67732287563675</v>
      </c>
      <c r="M33" s="487">
        <f>('P&amp;L Assumptions'!M25)*4/52</f>
        <v>112.43560180870382</v>
      </c>
      <c r="N33" s="487">
        <f>('P&amp;L Assumptions'!N25)*4/52</f>
        <v>120.84054699932599</v>
      </c>
      <c r="T33" s="471">
        <f>('P&amp;L Assumptions'!T14)*1/12</f>
        <v>0</v>
      </c>
      <c r="U33" s="225">
        <f t="shared" si="2"/>
        <v>35.035961538461542</v>
      </c>
    </row>
    <row r="34" spans="2:25" ht="18.75" customHeight="1" x14ac:dyDescent="0.25">
      <c r="B34" s="224" t="s">
        <v>219</v>
      </c>
      <c r="D34" s="487">
        <v>0</v>
      </c>
      <c r="E34" s="487">
        <v>0</v>
      </c>
      <c r="F34" s="487">
        <f ca="1">CF!E28</f>
        <v>126.72</v>
      </c>
      <c r="G34" s="487">
        <f ca="1">CF!F28</f>
        <v>202.29</v>
      </c>
      <c r="H34" s="487">
        <f ca="1">CF!G28</f>
        <v>299.81</v>
      </c>
      <c r="I34" s="487">
        <f ca="1">CF!H28</f>
        <v>378.13</v>
      </c>
      <c r="J34" s="487">
        <f ca="1">CF!I28</f>
        <v>420.67</v>
      </c>
      <c r="K34" s="487">
        <f ca="1">CF!J28</f>
        <v>515.80999999999995</v>
      </c>
      <c r="L34" s="487">
        <f ca="1">CF!K28</f>
        <v>718.42</v>
      </c>
      <c r="M34" s="487">
        <f ca="1">CF!L28</f>
        <v>945.77</v>
      </c>
      <c r="N34" s="487">
        <f ca="1">CF!M28</f>
        <v>1382.85</v>
      </c>
      <c r="O34" s="239"/>
      <c r="T34" s="471">
        <f>CF!S28</f>
        <v>0</v>
      </c>
      <c r="U34" s="225">
        <f t="shared" ca="1" si="2"/>
        <v>126.72</v>
      </c>
    </row>
    <row r="35" spans="2:25" ht="18.75" customHeight="1" x14ac:dyDescent="0.25">
      <c r="B35" s="491" t="s">
        <v>213</v>
      </c>
      <c r="C35" s="492"/>
      <c r="D35" s="504">
        <f>SUM(D28:D34)</f>
        <v>950</v>
      </c>
      <c r="E35" s="504">
        <f>SUM(E28:E34)</f>
        <v>2444.895833333333</v>
      </c>
      <c r="F35" s="504">
        <f t="shared" ref="F35:T35" ca="1" si="19">SUM(F28:F34)</f>
        <v>3222.2310117278544</v>
      </c>
      <c r="G35" s="504">
        <f t="shared" ca="1" si="19"/>
        <v>3302.8535624271553</v>
      </c>
      <c r="H35" s="504">
        <f t="shared" ca="1" si="19"/>
        <v>3322.0799917338036</v>
      </c>
      <c r="I35" s="504">
        <f t="shared" ca="1" si="19"/>
        <v>3354.1529017279368</v>
      </c>
      <c r="J35" s="504">
        <f t="shared" ca="1" si="19"/>
        <v>3372.6636264638723</v>
      </c>
      <c r="K35" s="504">
        <f t="shared" ca="1" si="19"/>
        <v>3383.2718735946773</v>
      </c>
      <c r="L35" s="504">
        <f t="shared" ca="1" si="19"/>
        <v>3485.4610311134552</v>
      </c>
      <c r="M35" s="504">
        <f t="shared" ca="1" si="19"/>
        <v>3611.6680213162786</v>
      </c>
      <c r="N35" s="504">
        <f t="shared" ca="1" si="19"/>
        <v>4000.3459653705372</v>
      </c>
      <c r="T35" s="505">
        <f t="shared" si="19"/>
        <v>1</v>
      </c>
      <c r="U35" s="225"/>
      <c r="V35" s="225"/>
      <c r="W35" s="225"/>
      <c r="X35" s="225"/>
      <c r="Y35" s="225"/>
    </row>
    <row r="36" spans="2:25" ht="18.75" hidden="1" customHeight="1" x14ac:dyDescent="0.25">
      <c r="B36" s="224" t="s">
        <v>303</v>
      </c>
      <c r="D36" s="506">
        <f>D35-D20</f>
        <v>0</v>
      </c>
      <c r="E36" s="506">
        <f t="shared" ref="E36:T36" si="20">E35-E20</f>
        <v>0</v>
      </c>
      <c r="F36" s="506">
        <f t="shared" ca="1" si="20"/>
        <v>5.2769248973163485E-3</v>
      </c>
      <c r="G36" s="506">
        <f t="shared" ca="1" si="20"/>
        <v>-3.8612685757470899E-3</v>
      </c>
      <c r="H36" s="506">
        <f t="shared" ca="1" si="20"/>
        <v>-1.8518362776376307E-4</v>
      </c>
      <c r="I36" s="506">
        <f t="shared" ca="1" si="20"/>
        <v>-5.1186100076847652E-3</v>
      </c>
      <c r="J36" s="506">
        <f t="shared" ca="1" si="20"/>
        <v>-1.1565027757114876E-2</v>
      </c>
      <c r="K36" s="506">
        <f t="shared" ca="1" si="20"/>
        <v>-1.6289454887100874E-2</v>
      </c>
      <c r="L36" s="506">
        <f t="shared" ca="1" si="20"/>
        <v>-1.4828347080310778E-2</v>
      </c>
      <c r="M36" s="506">
        <f t="shared" ca="1" si="20"/>
        <v>-2.187385841853029E-2</v>
      </c>
      <c r="N36" s="506">
        <f t="shared" ca="1" si="20"/>
        <v>-2.3204426524898736E-2</v>
      </c>
      <c r="T36" s="507" t="e">
        <f t="shared" si="20"/>
        <v>#REF!</v>
      </c>
      <c r="U36" s="225"/>
      <c r="V36" s="225"/>
      <c r="W36" s="225"/>
      <c r="X36" s="225"/>
      <c r="Y36" s="225"/>
    </row>
    <row r="37" spans="2:25" ht="18.75" customHeight="1" x14ac:dyDescent="0.25">
      <c r="B37" s="311"/>
      <c r="C37" s="402"/>
      <c r="D37" s="508"/>
      <c r="E37" s="508"/>
      <c r="F37" s="508"/>
      <c r="G37" s="508"/>
      <c r="H37" s="508"/>
      <c r="I37" s="508"/>
      <c r="J37" s="508"/>
      <c r="K37" s="508"/>
      <c r="L37" s="508"/>
      <c r="M37" s="508"/>
      <c r="N37" s="508"/>
      <c r="T37" s="509"/>
      <c r="U37" s="225"/>
      <c r="V37" s="225"/>
      <c r="W37" s="225"/>
      <c r="X37" s="225"/>
      <c r="Y37" s="225"/>
    </row>
    <row r="38" spans="2:25" ht="18.75" customHeight="1" x14ac:dyDescent="0.25">
      <c r="B38" s="224" t="s">
        <v>874</v>
      </c>
      <c r="D38" s="475">
        <f>D32+D33</f>
        <v>0</v>
      </c>
      <c r="E38" s="475">
        <f t="shared" ref="E38:N38" si="21">E32+E33</f>
        <v>0</v>
      </c>
      <c r="F38" s="475">
        <f t="shared" si="21"/>
        <v>91.705961538461537</v>
      </c>
      <c r="G38" s="475">
        <f t="shared" si="21"/>
        <v>193.7317451923077</v>
      </c>
      <c r="H38" s="475">
        <f t="shared" si="21"/>
        <v>207.60460292067307</v>
      </c>
      <c r="I38" s="475">
        <f t="shared" si="21"/>
        <v>222.58845500850362</v>
      </c>
      <c r="J38" s="475">
        <f t="shared" si="21"/>
        <v>238.80063344975986</v>
      </c>
      <c r="K38" s="475">
        <f t="shared" si="21"/>
        <v>256.3420057713891</v>
      </c>
      <c r="L38" s="475">
        <f t="shared" si="21"/>
        <v>275.33732287563674</v>
      </c>
      <c r="M38" s="475">
        <f t="shared" si="21"/>
        <v>295.90560180870381</v>
      </c>
      <c r="N38" s="475">
        <f t="shared" si="21"/>
        <v>318.21054699932597</v>
      </c>
      <c r="T38" s="471">
        <f t="shared" ref="T38" si="22">T32+T33</f>
        <v>0</v>
      </c>
    </row>
    <row r="39" spans="2:25" ht="18.75" customHeight="1" x14ac:dyDescent="0.25">
      <c r="B39" s="224" t="s">
        <v>875</v>
      </c>
      <c r="D39" s="475">
        <f t="shared" ref="D39:N39" si="23">SUM(D32:D34)</f>
        <v>0</v>
      </c>
      <c r="E39" s="475">
        <f t="shared" si="23"/>
        <v>0</v>
      </c>
      <c r="F39" s="475">
        <f ca="1">SUM(F32:F34)</f>
        <v>218.42596153846154</v>
      </c>
      <c r="G39" s="475">
        <f t="shared" ca="1" si="23"/>
        <v>396.02174519230766</v>
      </c>
      <c r="H39" s="475">
        <f t="shared" ca="1" si="23"/>
        <v>507.41460292067308</v>
      </c>
      <c r="I39" s="475">
        <f t="shared" ca="1" si="23"/>
        <v>600.71845500850361</v>
      </c>
      <c r="J39" s="475">
        <f t="shared" ca="1" si="23"/>
        <v>659.47063344975982</v>
      </c>
      <c r="K39" s="475">
        <f t="shared" ca="1" si="23"/>
        <v>772.15200577138899</v>
      </c>
      <c r="L39" s="475">
        <f t="shared" ca="1" si="23"/>
        <v>993.75732287563665</v>
      </c>
      <c r="M39" s="475">
        <f t="shared" ca="1" si="23"/>
        <v>1241.6756018087037</v>
      </c>
      <c r="N39" s="475">
        <f t="shared" ca="1" si="23"/>
        <v>1701.0605469993259</v>
      </c>
      <c r="P39" s="37"/>
      <c r="T39" s="471">
        <f t="shared" ref="T39" si="24">SUM(T32:T34)</f>
        <v>0</v>
      </c>
      <c r="U39" s="472">
        <f ca="1">SUM(D39:M39)</f>
        <v>5389.6363285654343</v>
      </c>
    </row>
    <row r="40" spans="2:25" ht="18.75" customHeight="1" x14ac:dyDescent="0.25">
      <c r="B40" s="224" t="s">
        <v>978</v>
      </c>
      <c r="D40" s="475">
        <f t="shared" ref="D40:T40" si="25">D19</f>
        <v>0</v>
      </c>
      <c r="E40" s="475">
        <f t="shared" si="25"/>
        <v>0</v>
      </c>
      <c r="F40" s="475">
        <f>F19</f>
        <v>31.177172615457458</v>
      </c>
      <c r="G40" s="475">
        <f t="shared" si="25"/>
        <v>64.051590362398017</v>
      </c>
      <c r="H40" s="475">
        <f t="shared" si="25"/>
        <v>67.814343584098197</v>
      </c>
      <c r="I40" s="475">
        <f t="shared" si="25"/>
        <v>71.862187004611471</v>
      </c>
      <c r="J40" s="475">
        <f t="shared" si="25"/>
        <v>76.219358158296075</v>
      </c>
      <c r="K40" s="475">
        <f t="shared" si="25"/>
        <v>80.912329716230914</v>
      </c>
      <c r="L40" s="475">
        <f t="shared" si="25"/>
        <v>85.970026127201891</v>
      </c>
      <c r="M40" s="475">
        <f t="shared" si="25"/>
        <v>91.424061841363113</v>
      </c>
      <c r="N40" s="475">
        <f t="shared" si="25"/>
        <v>97.313336463729172</v>
      </c>
      <c r="P40" s="37"/>
      <c r="T40" s="471" t="e">
        <f t="shared" si="25"/>
        <v>#REF!</v>
      </c>
      <c r="U40" s="472">
        <f>SUM(D40:M40)</f>
        <v>569.4310694096572</v>
      </c>
    </row>
    <row r="41" spans="2:25" ht="18.75" customHeight="1" x14ac:dyDescent="0.25">
      <c r="B41" s="224" t="s">
        <v>973</v>
      </c>
      <c r="D41" s="475">
        <f>+SUM(D17:D19)</f>
        <v>0</v>
      </c>
      <c r="E41" s="475">
        <f t="shared" ref="E41" si="26">+SUM(E17:E19)</f>
        <v>0</v>
      </c>
      <c r="F41" s="475">
        <f>+SUM(F17:F19)</f>
        <v>181.17717261545747</v>
      </c>
      <c r="G41" s="475">
        <f>+SUM(G17:G19)</f>
        <v>304.05159036239803</v>
      </c>
      <c r="H41" s="475">
        <f t="shared" ref="H41:N41" si="27">+SUM(H17:H19)</f>
        <v>337.8143435840982</v>
      </c>
      <c r="I41" s="475">
        <f t="shared" si="27"/>
        <v>415.84218700461145</v>
      </c>
      <c r="J41" s="475">
        <f t="shared" si="27"/>
        <v>526.21935815829602</v>
      </c>
      <c r="K41" s="475">
        <f t="shared" si="27"/>
        <v>530.91232971623094</v>
      </c>
      <c r="L41" s="475">
        <f t="shared" si="27"/>
        <v>595.97002612720189</v>
      </c>
      <c r="M41" s="475">
        <f t="shared" si="27"/>
        <v>397.44406184136358</v>
      </c>
      <c r="N41" s="475">
        <f t="shared" si="27"/>
        <v>187.31333646372917</v>
      </c>
      <c r="P41" s="37"/>
      <c r="T41" s="471"/>
      <c r="U41" s="472"/>
    </row>
    <row r="42" spans="2:25" ht="18.75" customHeight="1" x14ac:dyDescent="0.25">
      <c r="B42" s="491" t="s">
        <v>876</v>
      </c>
      <c r="C42" s="492"/>
      <c r="D42" s="510">
        <f>D38-D40</f>
        <v>0</v>
      </c>
      <c r="E42" s="510">
        <f t="shared" ref="E42:N42" si="28">E38-E40</f>
        <v>0</v>
      </c>
      <c r="F42" s="510">
        <f>F38-F40</f>
        <v>60.528788923004079</v>
      </c>
      <c r="G42" s="510">
        <f>G38-G40</f>
        <v>129.68015482990967</v>
      </c>
      <c r="H42" s="510">
        <f t="shared" si="28"/>
        <v>139.79025933657488</v>
      </c>
      <c r="I42" s="510">
        <f t="shared" si="28"/>
        <v>150.72626800389213</v>
      </c>
      <c r="J42" s="510">
        <f t="shared" si="28"/>
        <v>162.58127529146378</v>
      </c>
      <c r="K42" s="510">
        <f t="shared" si="28"/>
        <v>175.42967605515818</v>
      </c>
      <c r="L42" s="510">
        <f t="shared" si="28"/>
        <v>189.36729674843485</v>
      </c>
      <c r="M42" s="510">
        <f t="shared" si="28"/>
        <v>204.48153996734069</v>
      </c>
      <c r="N42" s="510">
        <f t="shared" si="28"/>
        <v>220.8972105355968</v>
      </c>
      <c r="T42" s="494" t="e">
        <f t="shared" ref="T42" si="29">T39-T40</f>
        <v>#REF!</v>
      </c>
      <c r="U42" s="472">
        <f ca="1">U39-U40</f>
        <v>4820.2052591557767</v>
      </c>
    </row>
    <row r="43" spans="2:25" ht="18.75" customHeight="1" x14ac:dyDescent="0.25">
      <c r="B43" s="224" t="s">
        <v>974</v>
      </c>
      <c r="D43" s="485">
        <v>0</v>
      </c>
      <c r="E43" s="485">
        <v>0</v>
      </c>
      <c r="F43" s="485">
        <f ca="1">F39/F41</f>
        <v>1.2055931681970962</v>
      </c>
      <c r="G43" s="485">
        <f t="shared" ref="G43:N43" ca="1" si="30">G39/G41</f>
        <v>1.3024820712836618</v>
      </c>
      <c r="H43" s="485">
        <f t="shared" ca="1" si="30"/>
        <v>1.5020516818118863</v>
      </c>
      <c r="I43" s="485">
        <f t="shared" ca="1" si="30"/>
        <v>1.4445827618779861</v>
      </c>
      <c r="J43" s="485">
        <f t="shared" ca="1" si="30"/>
        <v>1.2532238185950193</v>
      </c>
      <c r="K43" s="485">
        <f t="shared" ca="1" si="30"/>
        <v>1.4543870288039817</v>
      </c>
      <c r="L43" s="485">
        <f t="shared" ca="1" si="30"/>
        <v>1.6674619180655443</v>
      </c>
      <c r="M43" s="485">
        <f t="shared" ca="1" si="30"/>
        <v>3.124151851850558</v>
      </c>
      <c r="N43" s="485">
        <f t="shared" ca="1" si="30"/>
        <v>9.0813637678634507</v>
      </c>
      <c r="T43" s="225" t="e">
        <f>(T39+S14-U14)/T40</f>
        <v>#REF!</v>
      </c>
      <c r="U43" s="472">
        <f ca="1">U39/U40</f>
        <v>9.4649495226050782</v>
      </c>
    </row>
    <row r="44" spans="2:25" ht="18.75" customHeight="1" x14ac:dyDescent="0.25">
      <c r="B44" s="224" t="s">
        <v>975</v>
      </c>
      <c r="D44" s="475">
        <f>D14+D18+D17</f>
        <v>700</v>
      </c>
      <c r="E44" s="475">
        <f t="shared" ref="E44:N44" si="31">E14+E18+E17</f>
        <v>1700</v>
      </c>
      <c r="F44" s="475">
        <f t="shared" si="31"/>
        <v>2090</v>
      </c>
      <c r="G44" s="475">
        <f t="shared" si="31"/>
        <v>2030</v>
      </c>
      <c r="H44" s="475">
        <f t="shared" si="31"/>
        <v>1880</v>
      </c>
      <c r="I44" s="475">
        <f t="shared" si="31"/>
        <v>1700</v>
      </c>
      <c r="J44" s="475">
        <f t="shared" si="31"/>
        <v>1446.0200000000004</v>
      </c>
      <c r="K44" s="475">
        <f t="shared" si="31"/>
        <v>1086.0200000000004</v>
      </c>
      <c r="L44" s="475">
        <f t="shared" si="31"/>
        <v>726.02000000000044</v>
      </c>
      <c r="M44" s="475">
        <f t="shared" si="31"/>
        <v>306.02000000000044</v>
      </c>
      <c r="N44" s="475">
        <f t="shared" si="31"/>
        <v>90</v>
      </c>
      <c r="T44" s="471">
        <f t="shared" ref="T44" si="32">T14</f>
        <v>0</v>
      </c>
      <c r="U44" s="472">
        <f>F44+G44+H44+I44+J44+K44+L44+M44+E44</f>
        <v>12964.080000000002</v>
      </c>
    </row>
    <row r="45" spans="2:25" ht="18.75" customHeight="1" x14ac:dyDescent="0.25">
      <c r="B45" s="224" t="s">
        <v>976</v>
      </c>
      <c r="D45" s="475">
        <f>D13+D16</f>
        <v>250</v>
      </c>
      <c r="E45" s="475">
        <f t="shared" ref="E45:N45" si="33">E13+E16</f>
        <v>744.89583333333326</v>
      </c>
      <c r="F45" s="475">
        <f t="shared" ca="1" si="33"/>
        <v>1101.0485621874998</v>
      </c>
      <c r="G45" s="475">
        <f t="shared" ca="1" si="33"/>
        <v>1208.8058333333333</v>
      </c>
      <c r="H45" s="475">
        <f t="shared" ca="1" si="33"/>
        <v>1374.2658333333334</v>
      </c>
      <c r="I45" s="475">
        <f t="shared" ca="1" si="33"/>
        <v>1582.2958333333333</v>
      </c>
      <c r="J45" s="475">
        <f t="shared" ca="1" si="33"/>
        <v>1850.4358333333332</v>
      </c>
      <c r="K45" s="475">
        <f t="shared" ca="1" si="33"/>
        <v>2216.3558333333331</v>
      </c>
      <c r="L45" s="475">
        <f t="shared" ca="1" si="33"/>
        <v>2673.4858333333332</v>
      </c>
      <c r="M45" s="475">
        <f t="shared" ca="1" si="33"/>
        <v>3214.2458333333334</v>
      </c>
      <c r="N45" s="475">
        <f t="shared" ca="1" si="33"/>
        <v>3813.0558333333329</v>
      </c>
      <c r="T45" s="511">
        <f>T13</f>
        <v>0</v>
      </c>
      <c r="U45" s="472">
        <f ca="1">F45+G45+H45+I45+J45+K45+L45+M45+E45</f>
        <v>15965.835228854166</v>
      </c>
    </row>
    <row r="46" spans="2:25" ht="18.75" customHeight="1" x14ac:dyDescent="0.25">
      <c r="B46" s="491" t="s">
        <v>977</v>
      </c>
      <c r="C46" s="492"/>
      <c r="D46" s="635">
        <f>D44/D45</f>
        <v>2.8</v>
      </c>
      <c r="E46" s="635">
        <f t="shared" ref="E46:M46" si="34">E44/E45</f>
        <v>2.2821982939449033</v>
      </c>
      <c r="F46" s="635">
        <f t="shared" ca="1" si="34"/>
        <v>1.8981905719468981</v>
      </c>
      <c r="G46" s="635">
        <f t="shared" ca="1" si="34"/>
        <v>1.6793433188539377</v>
      </c>
      <c r="H46" s="635">
        <f t="shared" ca="1" si="34"/>
        <v>1.3680031580498435</v>
      </c>
      <c r="I46" s="635">
        <f t="shared" ca="1" si="34"/>
        <v>1.0743882175425477</v>
      </c>
      <c r="J46" s="635">
        <f t="shared" ca="1" si="34"/>
        <v>0.78144833446895201</v>
      </c>
      <c r="K46" s="635">
        <f t="shared" ca="1" si="34"/>
        <v>0.49000254546972216</v>
      </c>
      <c r="L46" s="635">
        <f t="shared" ca="1" si="34"/>
        <v>0.27156306233154426</v>
      </c>
      <c r="M46" s="635">
        <f t="shared" ca="1" si="34"/>
        <v>9.5207403499265778E-2</v>
      </c>
      <c r="N46" s="635">
        <f t="shared" ref="N46:T46" ca="1" si="35">N44/N45</f>
        <v>2.3603116223274118E-2</v>
      </c>
      <c r="T46" s="512" t="e">
        <f t="shared" si="35"/>
        <v>#DIV/0!</v>
      </c>
      <c r="U46" s="469">
        <f ca="1">U44/U45</f>
        <v>0.81198883830209778</v>
      </c>
    </row>
    <row r="47" spans="2:25" ht="18.75" customHeight="1" x14ac:dyDescent="0.25">
      <c r="B47" s="224" t="s">
        <v>221</v>
      </c>
      <c r="D47" s="485">
        <f t="shared" ref="D47:E47" si="36">D14+D18+D19+D17</f>
        <v>700</v>
      </c>
      <c r="E47" s="485">
        <f t="shared" si="36"/>
        <v>1700</v>
      </c>
      <c r="F47" s="485">
        <f>F14+F18+F19+F17</f>
        <v>2121.1771726154575</v>
      </c>
      <c r="G47" s="485">
        <f>G14+G18+G19+G17</f>
        <v>2094.0515903623982</v>
      </c>
      <c r="H47" s="485">
        <f t="shared" ref="H47:N47" si="37">H14+H18+H19+H17</f>
        <v>1947.8143435840982</v>
      </c>
      <c r="I47" s="485">
        <f t="shared" si="37"/>
        <v>1771.8621870046115</v>
      </c>
      <c r="J47" s="485">
        <f t="shared" si="37"/>
        <v>1522.2393581582965</v>
      </c>
      <c r="K47" s="485">
        <f t="shared" si="37"/>
        <v>1166.9323297162314</v>
      </c>
      <c r="L47" s="485">
        <f t="shared" si="37"/>
        <v>811.99002612720233</v>
      </c>
      <c r="M47" s="485">
        <f t="shared" si="37"/>
        <v>397.44406184136358</v>
      </c>
      <c r="N47" s="485">
        <f t="shared" si="37"/>
        <v>187.31333646372917</v>
      </c>
      <c r="T47" s="225">
        <f>T14</f>
        <v>0</v>
      </c>
    </row>
    <row r="48" spans="2:25" ht="18.75" customHeight="1" x14ac:dyDescent="0.25">
      <c r="B48" s="224" t="s">
        <v>877</v>
      </c>
      <c r="D48" s="485">
        <f>D13+D16-D31</f>
        <v>212.5</v>
      </c>
      <c r="E48" s="485">
        <f t="shared" ref="E48:N48" si="38">E13+E16-E31</f>
        <v>669.89583333333326</v>
      </c>
      <c r="F48" s="485">
        <f t="shared" ca="1" si="38"/>
        <v>1041.0485621874998</v>
      </c>
      <c r="G48" s="485">
        <f t="shared" ca="1" si="38"/>
        <v>1163.8058333333333</v>
      </c>
      <c r="H48" s="485">
        <f t="shared" ca="1" si="38"/>
        <v>1344.2658333333334</v>
      </c>
      <c r="I48" s="485">
        <f t="shared" ca="1" si="38"/>
        <v>1567.2958333333333</v>
      </c>
      <c r="J48" s="485">
        <f t="shared" ca="1" si="38"/>
        <v>1850.4358333333332</v>
      </c>
      <c r="K48" s="485">
        <f t="shared" ca="1" si="38"/>
        <v>2216.3558333333331</v>
      </c>
      <c r="L48" s="485">
        <f t="shared" ca="1" si="38"/>
        <v>2673.4858333333332</v>
      </c>
      <c r="M48" s="485">
        <f t="shared" ca="1" si="38"/>
        <v>3214.2458333333334</v>
      </c>
      <c r="N48" s="485">
        <f t="shared" ca="1" si="38"/>
        <v>3813.0558333333329</v>
      </c>
      <c r="T48" s="225">
        <f>T13+T18</f>
        <v>0</v>
      </c>
    </row>
    <row r="49" spans="2:21" ht="18.75" customHeight="1" x14ac:dyDescent="0.25">
      <c r="B49" s="224" t="s">
        <v>222</v>
      </c>
      <c r="D49" s="485">
        <f>D47/D48</f>
        <v>3.2941176470588234</v>
      </c>
      <c r="E49" s="485">
        <f t="shared" ref="E49:N49" si="39">E47/E48</f>
        <v>2.5377079769864719</v>
      </c>
      <c r="F49" s="485">
        <f t="shared" ca="1" si="39"/>
        <v>2.03753912128589</v>
      </c>
      <c r="G49" s="485">
        <f t="shared" ca="1" si="39"/>
        <v>1.7993135370052979</v>
      </c>
      <c r="H49" s="485">
        <f t="shared" ca="1" si="39"/>
        <v>1.4489800270785465</v>
      </c>
      <c r="I49" s="485">
        <f t="shared" ca="1" si="39"/>
        <v>1.1305218512807536</v>
      </c>
      <c r="J49" s="485">
        <f t="shared" ca="1" si="39"/>
        <v>0.82263828376916426</v>
      </c>
      <c r="K49" s="485">
        <f t="shared" ca="1" si="39"/>
        <v>0.52650946755296057</v>
      </c>
      <c r="L49" s="485">
        <f t="shared" ca="1" si="39"/>
        <v>0.30371959185390696</v>
      </c>
      <c r="M49" s="485">
        <f t="shared" ca="1" si="39"/>
        <v>0.12365079786980519</v>
      </c>
      <c r="N49" s="485">
        <f t="shared" ca="1" si="39"/>
        <v>4.9124205008029435E-2</v>
      </c>
      <c r="T49" s="225" t="e">
        <f t="shared" ref="T49" si="40">T47/T48</f>
        <v>#DIV/0!</v>
      </c>
      <c r="U49" s="225">
        <f ca="1">SUM(D49:M49)/9</f>
        <v>1.5582998113046247</v>
      </c>
    </row>
    <row r="50" spans="2:21" ht="18.75" customHeight="1" x14ac:dyDescent="0.25">
      <c r="F50" s="485"/>
      <c r="G50" s="485"/>
      <c r="H50" s="485"/>
      <c r="I50" s="485"/>
      <c r="J50" s="485"/>
      <c r="K50" s="485"/>
      <c r="L50" s="485"/>
      <c r="M50" s="485"/>
      <c r="N50" s="485"/>
    </row>
    <row r="51" spans="2:21" ht="18.75" customHeight="1" x14ac:dyDescent="0.25">
      <c r="B51" s="224" t="s">
        <v>223</v>
      </c>
      <c r="E51" s="485">
        <v>0</v>
      </c>
      <c r="F51" s="485">
        <f>F10-F12+'P&amp;L &amp; Ratio Analysis'!F11+'P&amp;L &amp; Ratio Analysis'!F16</f>
        <v>67.243511998105987</v>
      </c>
      <c r="G51" s="485">
        <f>G10-G12+'P&amp;L &amp; Ratio Analysis'!G11+'P&amp;L &amp; Ratio Analysis'!G16</f>
        <v>215.98429609848472</v>
      </c>
      <c r="H51" s="485">
        <f>H10-H12+'P&amp;L &amp; Ratio Analysis'!H11+'P&amp;L &amp; Ratio Analysis'!H16</f>
        <v>381.44749729955788</v>
      </c>
      <c r="I51" s="485">
        <f>I10-I12+'P&amp;L &amp; Ratio Analysis'!I11+'P&amp;L &amp; Ratio Analysis'!I16</f>
        <v>589.47442835645427</v>
      </c>
      <c r="J51" s="485">
        <f>J10-J12+'P&amp;L &amp; Ratio Analysis'!J11+'P&amp;L &amp; Ratio Analysis'!J16</f>
        <v>857.61671602087267</v>
      </c>
      <c r="K51" s="485">
        <f>K10-K12+'P&amp;L &amp; Ratio Analysis'!K11+'P&amp;L &amp; Ratio Analysis'!K16</f>
        <v>1208.5346706446157</v>
      </c>
      <c r="L51" s="485">
        <f>L10-L12+'P&amp;L &amp; Ratio Analysis'!L11+'P&amp;L &amp; Ratio Analysis'!L16</f>
        <v>1665.6715941607808</v>
      </c>
      <c r="M51" s="485">
        <f>M10-M12+'P&amp;L &amp; Ratio Analysis'!M11+'P&amp;L &amp; Ratio Analysis'!M16</f>
        <v>2206.4231110242113</v>
      </c>
      <c r="N51" s="485">
        <f>N10-N12+'P&amp;L &amp; Ratio Analysis'!N11+'P&amp;L &amp; Ratio Analysis'!N16</f>
        <v>2793.9679888985897</v>
      </c>
      <c r="T51" s="225">
        <f>T10-T12+'P&amp;L &amp; Ratio Analysis'!T11</f>
        <v>0</v>
      </c>
    </row>
    <row r="52" spans="2:21" ht="18.75" customHeight="1" x14ac:dyDescent="0.25">
      <c r="B52" s="224" t="s">
        <v>224</v>
      </c>
      <c r="E52" s="485">
        <f>E38-E40</f>
        <v>0</v>
      </c>
      <c r="F52" s="485">
        <f ca="1">F39-F41</f>
        <v>37.248788923004071</v>
      </c>
      <c r="G52" s="485">
        <f t="shared" ref="G52:N52" ca="1" si="41">G39-G41</f>
        <v>91.970154829909632</v>
      </c>
      <c r="H52" s="485">
        <f t="shared" ca="1" si="41"/>
        <v>169.60025933657488</v>
      </c>
      <c r="I52" s="485">
        <f t="shared" ca="1" si="41"/>
        <v>184.87626800389216</v>
      </c>
      <c r="J52" s="485">
        <f t="shared" ca="1" si="41"/>
        <v>133.2512752914638</v>
      </c>
      <c r="K52" s="485">
        <f t="shared" ca="1" si="41"/>
        <v>241.23967605515804</v>
      </c>
      <c r="L52" s="485">
        <f t="shared" ca="1" si="41"/>
        <v>397.78729674843476</v>
      </c>
      <c r="M52" s="485">
        <f t="shared" ca="1" si="41"/>
        <v>844.23153996734015</v>
      </c>
      <c r="N52" s="485">
        <f t="shared" ca="1" si="41"/>
        <v>1513.7472105355967</v>
      </c>
      <c r="T52" s="225" t="e">
        <f>T39-T40</f>
        <v>#REF!</v>
      </c>
    </row>
    <row r="53" spans="2:21" ht="18.75" customHeight="1" x14ac:dyDescent="0.25">
      <c r="B53" s="224" t="s">
        <v>225</v>
      </c>
      <c r="F53" s="485">
        <f ca="1">F52-E52</f>
        <v>37.248788923004071</v>
      </c>
      <c r="G53" s="485">
        <f ca="1">G52-F52</f>
        <v>54.721365906905561</v>
      </c>
      <c r="H53" s="485">
        <f ca="1">H52-G52</f>
        <v>77.630104506665248</v>
      </c>
      <c r="I53" s="485">
        <f ca="1">I52-H52</f>
        <v>15.276008667317285</v>
      </c>
      <c r="J53" s="485">
        <f ca="1">J52-I52</f>
        <v>-51.624992712428366</v>
      </c>
      <c r="K53" s="485">
        <f t="shared" ref="K53:M53" ca="1" si="42">K52-J52</f>
        <v>107.98840076369424</v>
      </c>
      <c r="L53" s="485">
        <f t="shared" ca="1" si="42"/>
        <v>156.54762069327671</v>
      </c>
      <c r="M53" s="485">
        <f t="shared" ca="1" si="42"/>
        <v>446.4442432189054</v>
      </c>
      <c r="N53" s="485">
        <f t="shared" ref="N53" ca="1" si="43">N52-M52</f>
        <v>669.5156705682565</v>
      </c>
      <c r="T53" s="225" t="e">
        <f t="shared" ref="T53" si="44">T52-S52</f>
        <v>#REF!</v>
      </c>
    </row>
    <row r="54" spans="2:21" ht="13.5" customHeight="1" x14ac:dyDescent="0.25">
      <c r="F54" s="485"/>
      <c r="G54" s="485"/>
      <c r="H54" s="485"/>
      <c r="I54" s="485"/>
      <c r="J54" s="485"/>
      <c r="K54" s="485"/>
      <c r="L54" s="485"/>
      <c r="M54" s="485"/>
      <c r="N54" s="485"/>
    </row>
    <row r="59" spans="2:21" ht="13.5" customHeight="1" thickBot="1" x14ac:dyDescent="0.3"/>
    <row r="60" spans="2:21" ht="13.5" customHeight="1" x14ac:dyDescent="0.25">
      <c r="B60" s="803" t="s">
        <v>1007</v>
      </c>
      <c r="C60" s="803" t="s">
        <v>166</v>
      </c>
      <c r="D60" s="803" t="s">
        <v>167</v>
      </c>
      <c r="E60" s="803" t="s">
        <v>168</v>
      </c>
      <c r="F60" s="803" t="s">
        <v>169</v>
      </c>
      <c r="G60" s="803" t="s">
        <v>170</v>
      </c>
      <c r="H60" s="803" t="s">
        <v>171</v>
      </c>
      <c r="I60" s="805" t="s">
        <v>172</v>
      </c>
      <c r="J60" s="805" t="s">
        <v>173</v>
      </c>
      <c r="K60" s="805" t="s">
        <v>174</v>
      </c>
    </row>
    <row r="61" spans="2:21" ht="13.5" customHeight="1" thickBot="1" x14ac:dyDescent="0.3">
      <c r="B61" s="804"/>
      <c r="C61" s="804"/>
      <c r="D61" s="804"/>
      <c r="E61" s="804"/>
      <c r="F61" s="804"/>
      <c r="G61" s="804"/>
      <c r="H61" s="804"/>
      <c r="I61" s="806"/>
      <c r="J61" s="806"/>
      <c r="K61" s="806"/>
    </row>
    <row r="62" spans="2:21" ht="13.5" customHeight="1" x14ac:dyDescent="0.25">
      <c r="B62" s="143" t="s">
        <v>874</v>
      </c>
      <c r="C62" s="473">
        <v>91.705961538461537</v>
      </c>
      <c r="D62" s="473">
        <v>193.7317451923077</v>
      </c>
      <c r="E62" s="473">
        <v>207.60460292067307</v>
      </c>
      <c r="F62" s="473">
        <v>222.58845500850362</v>
      </c>
      <c r="G62" s="473">
        <v>238.80063344975986</v>
      </c>
      <c r="H62" s="473">
        <v>256.3420057713891</v>
      </c>
      <c r="I62" s="473">
        <v>275.33732287563674</v>
      </c>
      <c r="J62" s="473">
        <v>295.90560180870381</v>
      </c>
      <c r="K62" s="473">
        <v>318.21054699932597</v>
      </c>
    </row>
    <row r="63" spans="2:21" ht="13.5" customHeight="1" x14ac:dyDescent="0.25">
      <c r="B63" s="143" t="s">
        <v>875</v>
      </c>
      <c r="C63" s="473">
        <v>218.42596153846154</v>
      </c>
      <c r="D63" s="473">
        <v>396.02174519230766</v>
      </c>
      <c r="E63" s="473">
        <v>507.41460292067308</v>
      </c>
      <c r="F63" s="473">
        <v>600.71845500850361</v>
      </c>
      <c r="G63" s="473">
        <v>659.47063344975982</v>
      </c>
      <c r="H63" s="473">
        <v>772.15200577138899</v>
      </c>
      <c r="I63" s="473">
        <v>993.75732287563665</v>
      </c>
      <c r="J63" s="473">
        <v>1241.6756018087037</v>
      </c>
      <c r="K63" s="473">
        <v>1701.0605469993259</v>
      </c>
    </row>
    <row r="64" spans="2:21" ht="13.5" customHeight="1" x14ac:dyDescent="0.25">
      <c r="B64" s="143" t="s">
        <v>978</v>
      </c>
      <c r="C64" s="473">
        <v>31.177172615457458</v>
      </c>
      <c r="D64" s="473">
        <v>64.051590362398017</v>
      </c>
      <c r="E64" s="473">
        <v>67.814343584098197</v>
      </c>
      <c r="F64" s="473">
        <v>71.862187004611471</v>
      </c>
      <c r="G64" s="473">
        <v>76.219358158296075</v>
      </c>
      <c r="H64" s="473">
        <v>80.912329716230914</v>
      </c>
      <c r="I64" s="473">
        <v>85.970026127201891</v>
      </c>
      <c r="J64" s="473">
        <v>91.424061841363113</v>
      </c>
      <c r="K64" s="473">
        <v>97.313336463729172</v>
      </c>
    </row>
    <row r="65" spans="2:11" ht="13.5" customHeight="1" x14ac:dyDescent="0.25">
      <c r="B65" s="143" t="s">
        <v>973</v>
      </c>
      <c r="C65" s="473">
        <v>181.17717261545747</v>
      </c>
      <c r="D65" s="473">
        <v>304.05159036239803</v>
      </c>
      <c r="E65" s="473">
        <v>337.8143435840982</v>
      </c>
      <c r="F65" s="473">
        <v>415.84218700461145</v>
      </c>
      <c r="G65" s="473">
        <v>526.21935815829602</v>
      </c>
      <c r="H65" s="473">
        <v>530.91232971623094</v>
      </c>
      <c r="I65" s="473">
        <v>595.97002612720189</v>
      </c>
      <c r="J65" s="473">
        <v>397.44406184136358</v>
      </c>
      <c r="K65" s="473">
        <v>187.31333646372917</v>
      </c>
    </row>
    <row r="66" spans="2:11" ht="13.5" customHeight="1" x14ac:dyDescent="0.25">
      <c r="B66" s="470" t="s">
        <v>876</v>
      </c>
      <c r="C66" s="802">
        <v>60.528788923004079</v>
      </c>
      <c r="D66" s="802">
        <v>129.68015482990967</v>
      </c>
      <c r="E66" s="802">
        <v>139.79025933657488</v>
      </c>
      <c r="F66" s="802">
        <v>150.72626800389213</v>
      </c>
      <c r="G66" s="802">
        <v>162.58127529146378</v>
      </c>
      <c r="H66" s="802">
        <v>175.42967605515818</v>
      </c>
      <c r="I66" s="802">
        <v>189.36729674843485</v>
      </c>
      <c r="J66" s="802">
        <v>204.48153996734069</v>
      </c>
      <c r="K66" s="802">
        <v>220.8972105355968</v>
      </c>
    </row>
  </sheetData>
  <mergeCells count="14">
    <mergeCell ref="K60:K61"/>
    <mergeCell ref="G60:G61"/>
    <mergeCell ref="H60:H61"/>
    <mergeCell ref="B60:B61"/>
    <mergeCell ref="I60:I61"/>
    <mergeCell ref="J60:J61"/>
    <mergeCell ref="B3:K3"/>
    <mergeCell ref="B4:K4"/>
    <mergeCell ref="L4:M4"/>
    <mergeCell ref="D6:E6"/>
    <mergeCell ref="C60:C61"/>
    <mergeCell ref="D60:D61"/>
    <mergeCell ref="E60:E61"/>
    <mergeCell ref="F60:F61"/>
  </mergeCells>
  <phoneticPr fontId="9" type="noConversion"/>
  <pageMargins left="0.7" right="0.7" top="0.75" bottom="0.75" header="0.3" footer="0.3"/>
  <pageSetup paperSize="9" scale="64" orientation="landscape" horizontalDpi="4294967294" verticalDpi="4294967294" r:id="rId1"/>
  <headerFooter alignWithMargins="0"/>
  <legacy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10"/>
  <dimension ref="C4:O42"/>
  <sheetViews>
    <sheetView workbookViewId="0">
      <selection activeCell="J26" sqref="J26"/>
    </sheetView>
  </sheetViews>
  <sheetFormatPr defaultRowHeight="15" x14ac:dyDescent="0.25"/>
  <cols>
    <col min="4" max="4" width="12.140625" bestFit="1" customWidth="1"/>
    <col min="5" max="5" width="26.7109375" customWidth="1"/>
    <col min="6" max="6" width="16" customWidth="1"/>
    <col min="7" max="7" width="14.140625" customWidth="1"/>
    <col min="10" max="10" width="9.5703125" bestFit="1" customWidth="1"/>
    <col min="13" max="13" width="11" bestFit="1" customWidth="1"/>
    <col min="14" max="14" width="12.140625" bestFit="1" customWidth="1"/>
  </cols>
  <sheetData>
    <row r="4" spans="3:14" x14ac:dyDescent="0.25">
      <c r="F4" t="s">
        <v>611</v>
      </c>
    </row>
    <row r="5" spans="3:14" x14ac:dyDescent="0.25">
      <c r="F5" t="s">
        <v>612</v>
      </c>
      <c r="G5" t="s">
        <v>613</v>
      </c>
      <c r="H5" t="s">
        <v>614</v>
      </c>
      <c r="I5" t="s">
        <v>615</v>
      </c>
      <c r="J5" t="s">
        <v>616</v>
      </c>
    </row>
    <row r="6" spans="3:14" x14ac:dyDescent="0.25">
      <c r="F6">
        <v>1</v>
      </c>
      <c r="G6" t="s">
        <v>617</v>
      </c>
      <c r="H6">
        <v>74</v>
      </c>
      <c r="I6" t="s">
        <v>618</v>
      </c>
      <c r="J6" t="s">
        <v>619</v>
      </c>
    </row>
    <row r="7" spans="3:14" x14ac:dyDescent="0.25">
      <c r="F7">
        <v>2</v>
      </c>
      <c r="G7" t="s">
        <v>620</v>
      </c>
      <c r="H7">
        <v>6</v>
      </c>
      <c r="I7" t="s">
        <v>621</v>
      </c>
      <c r="J7" t="s">
        <v>622</v>
      </c>
    </row>
    <row r="8" spans="3:14" x14ac:dyDescent="0.25">
      <c r="F8">
        <v>3</v>
      </c>
      <c r="G8" t="s">
        <v>623</v>
      </c>
      <c r="H8">
        <v>1</v>
      </c>
      <c r="I8">
        <v>211.5</v>
      </c>
      <c r="J8">
        <v>2276.5700000000002</v>
      </c>
    </row>
    <row r="9" spans="3:14" x14ac:dyDescent="0.25">
      <c r="F9">
        <v>4</v>
      </c>
      <c r="G9" t="s">
        <v>624</v>
      </c>
      <c r="H9">
        <v>8</v>
      </c>
      <c r="I9">
        <v>1071</v>
      </c>
      <c r="J9">
        <v>8568</v>
      </c>
    </row>
    <row r="10" spans="3:14" x14ac:dyDescent="0.25">
      <c r="F10">
        <v>5</v>
      </c>
      <c r="G10" t="s">
        <v>625</v>
      </c>
      <c r="H10">
        <v>1</v>
      </c>
      <c r="I10">
        <v>1428.37</v>
      </c>
      <c r="J10">
        <v>1428.37</v>
      </c>
    </row>
    <row r="12" spans="3:14" x14ac:dyDescent="0.25">
      <c r="C12">
        <v>100</v>
      </c>
      <c r="D12">
        <v>3000</v>
      </c>
      <c r="E12">
        <v>4000</v>
      </c>
    </row>
    <row r="13" spans="3:14" x14ac:dyDescent="0.25">
      <c r="C13">
        <v>1</v>
      </c>
      <c r="D13">
        <f>D12/C12</f>
        <v>30</v>
      </c>
      <c r="E13">
        <f>E12/C12</f>
        <v>40</v>
      </c>
    </row>
    <row r="14" spans="3:14" x14ac:dyDescent="0.25">
      <c r="C14">
        <v>90</v>
      </c>
      <c r="D14">
        <f>D13*C14</f>
        <v>2700</v>
      </c>
      <c r="E14">
        <f>E13*C14</f>
        <v>3600</v>
      </c>
      <c r="L14">
        <v>3000</v>
      </c>
      <c r="M14">
        <v>90</v>
      </c>
      <c r="N14" s="342">
        <f>L14*M14</f>
        <v>270000</v>
      </c>
    </row>
    <row r="15" spans="3:14" ht="15.75" x14ac:dyDescent="0.25">
      <c r="D15" s="342">
        <f>D14*365</f>
        <v>985500</v>
      </c>
      <c r="E15" s="342">
        <f>E14*365</f>
        <v>1314000</v>
      </c>
      <c r="G15" s="303">
        <v>142326.99</v>
      </c>
    </row>
    <row r="16" spans="3:14" ht="15.75" x14ac:dyDescent="0.25">
      <c r="G16" s="303" t="s">
        <v>626</v>
      </c>
      <c r="L16">
        <v>0.55000000000000004</v>
      </c>
      <c r="M16">
        <v>90</v>
      </c>
      <c r="N16">
        <f>L16*M16</f>
        <v>49.500000000000007</v>
      </c>
    </row>
    <row r="17" spans="5:15" x14ac:dyDescent="0.25">
      <c r="G17">
        <f>SUM(G15:G16)</f>
        <v>142326.99</v>
      </c>
    </row>
    <row r="18" spans="5:15" x14ac:dyDescent="0.25">
      <c r="E18" t="s">
        <v>649</v>
      </c>
    </row>
    <row r="20" spans="5:15" x14ac:dyDescent="0.25">
      <c r="E20" t="s">
        <v>627</v>
      </c>
      <c r="I20" t="s">
        <v>648</v>
      </c>
    </row>
    <row r="21" spans="5:15" x14ac:dyDescent="0.25">
      <c r="E21" t="s">
        <v>628</v>
      </c>
      <c r="F21" t="s">
        <v>629</v>
      </c>
      <c r="G21" t="s">
        <v>630</v>
      </c>
    </row>
    <row r="22" spans="5:15" x14ac:dyDescent="0.25">
      <c r="E22" t="s">
        <v>314</v>
      </c>
      <c r="F22" s="16" t="s">
        <v>631</v>
      </c>
      <c r="G22" s="16" t="s">
        <v>632</v>
      </c>
    </row>
    <row r="23" spans="5:15" x14ac:dyDescent="0.25">
      <c r="E23" t="s">
        <v>633</v>
      </c>
      <c r="F23" s="16" t="s">
        <v>634</v>
      </c>
      <c r="G23" s="16">
        <v>2</v>
      </c>
    </row>
    <row r="24" spans="5:15" x14ac:dyDescent="0.25">
      <c r="E24" t="s">
        <v>316</v>
      </c>
      <c r="F24" s="16" t="s">
        <v>635</v>
      </c>
      <c r="G24" s="16" t="s">
        <v>632</v>
      </c>
    </row>
    <row r="25" spans="5:15" x14ac:dyDescent="0.25">
      <c r="E25" t="s">
        <v>317</v>
      </c>
      <c r="F25" s="16" t="s">
        <v>636</v>
      </c>
      <c r="G25" s="16" t="s">
        <v>632</v>
      </c>
      <c r="I25">
        <v>318</v>
      </c>
      <c r="J25">
        <v>790</v>
      </c>
    </row>
    <row r="26" spans="5:15" x14ac:dyDescent="0.25">
      <c r="E26" t="s">
        <v>637</v>
      </c>
      <c r="F26" s="16" t="s">
        <v>638</v>
      </c>
      <c r="G26" s="16" t="s">
        <v>632</v>
      </c>
      <c r="J26" s="37">
        <f>J25/I25</f>
        <v>2.4842767295597485</v>
      </c>
    </row>
    <row r="27" spans="5:15" x14ac:dyDescent="0.25">
      <c r="E27" t="s">
        <v>319</v>
      </c>
      <c r="F27" s="16" t="s">
        <v>639</v>
      </c>
      <c r="G27" s="16">
        <v>1</v>
      </c>
      <c r="M27">
        <v>21196.38</v>
      </c>
    </row>
    <row r="28" spans="5:15" x14ac:dyDescent="0.25">
      <c r="E28" t="s">
        <v>320</v>
      </c>
      <c r="F28" s="16" t="s">
        <v>640</v>
      </c>
      <c r="G28" s="16" t="s">
        <v>632</v>
      </c>
    </row>
    <row r="29" spans="5:15" x14ac:dyDescent="0.25">
      <c r="E29" t="s">
        <v>321</v>
      </c>
      <c r="F29" s="16" t="s">
        <v>641</v>
      </c>
      <c r="G29" s="16" t="s">
        <v>632</v>
      </c>
    </row>
    <row r="30" spans="5:15" x14ac:dyDescent="0.25">
      <c r="L30">
        <v>13034</v>
      </c>
      <c r="M30">
        <v>140298</v>
      </c>
      <c r="N30">
        <v>1635</v>
      </c>
      <c r="O30">
        <v>22.94</v>
      </c>
    </row>
    <row r="32" spans="5:15" x14ac:dyDescent="0.25">
      <c r="E32" t="s">
        <v>642</v>
      </c>
      <c r="M32">
        <f>M30*L30</f>
        <v>1828644132</v>
      </c>
      <c r="N32">
        <f>N30*L30</f>
        <v>21310590</v>
      </c>
    </row>
    <row r="33" spans="5:14" x14ac:dyDescent="0.25">
      <c r="E33" t="s">
        <v>630</v>
      </c>
      <c r="F33" t="s">
        <v>643</v>
      </c>
      <c r="G33" t="s">
        <v>644</v>
      </c>
      <c r="H33" t="s">
        <v>645</v>
      </c>
      <c r="I33" t="s">
        <v>628</v>
      </c>
      <c r="N33">
        <f>N32/10^7</f>
        <v>2.131059</v>
      </c>
    </row>
    <row r="34" spans="5:14" x14ac:dyDescent="0.25">
      <c r="E34" t="s">
        <v>646</v>
      </c>
      <c r="F34">
        <v>142326.99</v>
      </c>
      <c r="G34">
        <v>13222.61</v>
      </c>
    </row>
    <row r="35" spans="5:14" ht="15.75" thickBot="1" x14ac:dyDescent="0.3">
      <c r="E35" t="s">
        <v>647</v>
      </c>
      <c r="F35" t="s">
        <v>626</v>
      </c>
      <c r="G35">
        <v>7958.27</v>
      </c>
    </row>
    <row r="36" spans="5:14" ht="15.75" thickBot="1" x14ac:dyDescent="0.3">
      <c r="G36">
        <f>SUM(G34:G35)</f>
        <v>21180.880000000001</v>
      </c>
      <c r="K36" s="304">
        <v>13034</v>
      </c>
    </row>
    <row r="37" spans="5:14" ht="15.75" thickBot="1" x14ac:dyDescent="0.3">
      <c r="K37" s="305">
        <v>8822</v>
      </c>
    </row>
    <row r="38" spans="5:14" ht="15.75" thickBot="1" x14ac:dyDescent="0.3">
      <c r="K38" s="305">
        <v>1047</v>
      </c>
    </row>
    <row r="39" spans="5:14" ht="15.75" thickBot="1" x14ac:dyDescent="0.3">
      <c r="K39" s="305">
        <v>2155</v>
      </c>
    </row>
    <row r="40" spans="5:14" ht="15.75" thickBot="1" x14ac:dyDescent="0.3">
      <c r="E40">
        <v>514.25</v>
      </c>
      <c r="K40" s="305">
        <v>1019</v>
      </c>
    </row>
    <row r="41" spans="5:14" ht="15.75" thickBot="1" x14ac:dyDescent="0.3">
      <c r="E41">
        <v>511</v>
      </c>
      <c r="K41" s="305">
        <v>215</v>
      </c>
    </row>
    <row r="42" spans="5:14" x14ac:dyDescent="0.25">
      <c r="E42" s="37">
        <f>E40/E41</f>
        <v>1.0063600782778865</v>
      </c>
      <c r="K42">
        <f>SUM(K36:K41)</f>
        <v>26292</v>
      </c>
    </row>
  </sheetData>
  <pageMargins left="0.7" right="0.7" top="0.75" bottom="0.75" header="0.3" footer="0.3"/>
  <pageSetup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11"/>
  <dimension ref="B2:W29"/>
  <sheetViews>
    <sheetView showGridLines="0" zoomScaleNormal="100" zoomScaleSheetLayoutView="115" workbookViewId="0">
      <selection activeCell="E27" sqref="E27:M28"/>
    </sheetView>
  </sheetViews>
  <sheetFormatPr defaultColWidth="9.140625" defaultRowHeight="18" customHeight="1" x14ac:dyDescent="0.25"/>
  <cols>
    <col min="1" max="1" width="5.42578125" style="224" customWidth="1"/>
    <col min="2" max="2" width="46" style="224" customWidth="1"/>
    <col min="3" max="4" width="13.5703125" style="401" customWidth="1"/>
    <col min="5" max="5" width="11.7109375" style="401" customWidth="1"/>
    <col min="6" max="6" width="13.7109375" style="401" customWidth="1"/>
    <col min="7" max="7" width="15.28515625" style="401" customWidth="1"/>
    <col min="8" max="8" width="12.42578125" style="401" customWidth="1"/>
    <col min="9" max="9" width="9.42578125" style="401" customWidth="1"/>
    <col min="10" max="11" width="10.7109375" style="401" customWidth="1"/>
    <col min="12" max="12" width="10.28515625" style="401" customWidth="1"/>
    <col min="13" max="13" width="11.5703125" style="401" customWidth="1"/>
    <col min="14" max="18" width="10.42578125" customWidth="1"/>
    <col min="19" max="19" width="10.5703125" style="224" bestFit="1" customWidth="1"/>
    <col min="20" max="16384" width="9.140625" style="224"/>
  </cols>
  <sheetData>
    <row r="2" spans="2:23" ht="18" customHeight="1" x14ac:dyDescent="0.25">
      <c r="B2" s="421" t="s">
        <v>788</v>
      </c>
      <c r="C2" s="343"/>
      <c r="D2" s="343"/>
      <c r="E2" s="343"/>
      <c r="F2" s="343"/>
      <c r="G2" s="343"/>
      <c r="H2" s="343"/>
      <c r="I2" s="343"/>
      <c r="J2" s="343"/>
      <c r="K2" s="343"/>
      <c r="L2" s="343"/>
      <c r="M2" s="343"/>
    </row>
    <row r="3" spans="2:23" ht="11.25" customHeight="1" x14ac:dyDescent="0.25">
      <c r="B3" s="742">
        <v>0</v>
      </c>
      <c r="C3" s="742"/>
      <c r="D3" s="742"/>
      <c r="E3" s="742"/>
      <c r="F3" s="742"/>
      <c r="G3" s="742"/>
      <c r="H3" s="742"/>
      <c r="I3" s="742"/>
      <c r="J3" s="742"/>
      <c r="K3" s="742"/>
    </row>
    <row r="4" spans="2:23" ht="18" customHeight="1" x14ac:dyDescent="0.25">
      <c r="B4" s="516" t="s">
        <v>226</v>
      </c>
      <c r="C4" s="517"/>
      <c r="D4" s="517"/>
      <c r="E4" s="517"/>
      <c r="F4" s="517"/>
      <c r="G4" s="517"/>
      <c r="H4" s="517"/>
      <c r="I4" s="517"/>
      <c r="J4" s="517"/>
      <c r="K4" s="517"/>
      <c r="L4" s="517"/>
      <c r="M4" s="517"/>
    </row>
    <row r="5" spans="2:23" ht="12" customHeight="1" x14ac:dyDescent="0.25"/>
    <row r="6" spans="2:23" ht="18" customHeight="1" x14ac:dyDescent="0.25">
      <c r="B6" s="743" t="s">
        <v>227</v>
      </c>
      <c r="C6" s="744" t="s">
        <v>207</v>
      </c>
      <c r="D6" s="745"/>
      <c r="E6" s="514" t="str">
        <f>BS!F5</f>
        <v>FY 2027</v>
      </c>
      <c r="F6" s="514" t="str">
        <f>BS!G5</f>
        <v>FY 2028</v>
      </c>
      <c r="G6" s="514" t="str">
        <f>BS!H5</f>
        <v>FY 2029</v>
      </c>
      <c r="H6" s="514" t="str">
        <f>BS!I5</f>
        <v>FY 2030</v>
      </c>
      <c r="I6" s="514" t="str">
        <f>BS!J5</f>
        <v>FY 2031</v>
      </c>
      <c r="J6" s="514" t="str">
        <f>BS!K5</f>
        <v>FY 2032</v>
      </c>
      <c r="K6" s="514" t="str">
        <f>BS!L5</f>
        <v>FY 2033</v>
      </c>
      <c r="L6" s="514" t="str">
        <f>BS!M5</f>
        <v>FY 2034</v>
      </c>
      <c r="M6" s="514" t="str">
        <f>BS!N5</f>
        <v>FY 2035</v>
      </c>
    </row>
    <row r="7" spans="2:23" ht="15.75" customHeight="1" x14ac:dyDescent="0.25">
      <c r="B7" s="743"/>
      <c r="C7" s="515" t="str">
        <f>BS!D5</f>
        <v>FY 2025</v>
      </c>
      <c r="D7" s="515" t="str">
        <f>BS!E5</f>
        <v>FY 2026</v>
      </c>
      <c r="E7" s="518" t="s">
        <v>208</v>
      </c>
      <c r="F7" s="518" t="s">
        <v>208</v>
      </c>
      <c r="G7" s="518" t="s">
        <v>208</v>
      </c>
      <c r="H7" s="518" t="s">
        <v>208</v>
      </c>
      <c r="I7" s="518" t="s">
        <v>208</v>
      </c>
      <c r="J7" s="518" t="s">
        <v>208</v>
      </c>
      <c r="K7" s="518" t="s">
        <v>208</v>
      </c>
      <c r="L7" s="518" t="s">
        <v>208</v>
      </c>
      <c r="M7" s="518" t="s">
        <v>208</v>
      </c>
      <c r="S7" s="311" t="s">
        <v>594</v>
      </c>
    </row>
    <row r="8" spans="2:23" ht="18" customHeight="1" x14ac:dyDescent="0.25">
      <c r="B8" s="680" t="s">
        <v>228</v>
      </c>
      <c r="C8" s="476"/>
      <c r="D8" s="476"/>
      <c r="E8" s="519"/>
      <c r="F8" s="519"/>
      <c r="G8" s="519"/>
      <c r="H8" s="519"/>
      <c r="I8" s="519"/>
      <c r="J8" s="519"/>
      <c r="K8" s="519"/>
      <c r="L8" s="519"/>
      <c r="M8" s="519"/>
    </row>
    <row r="9" spans="2:23" ht="18" customHeight="1" thickBot="1" x14ac:dyDescent="0.3">
      <c r="B9" s="143" t="s">
        <v>229</v>
      </c>
      <c r="C9" s="422">
        <v>250</v>
      </c>
      <c r="D9" s="422">
        <f>+Cost!Y35-CF!C9</f>
        <v>294.89583333333326</v>
      </c>
      <c r="E9" s="422">
        <f ca="1">BS!F9</f>
        <v>0</v>
      </c>
      <c r="F9" s="422">
        <f ca="1">BS!G9</f>
        <v>0</v>
      </c>
      <c r="G9" s="422">
        <f ca="1">BS!H9</f>
        <v>0</v>
      </c>
      <c r="H9" s="422">
        <f ca="1">BS!I9</f>
        <v>0</v>
      </c>
      <c r="I9" s="422">
        <f ca="1">BS!J9</f>
        <v>0</v>
      </c>
      <c r="J9" s="422">
        <f ca="1">BS!K9</f>
        <v>0</v>
      </c>
      <c r="K9" s="422">
        <f ca="1">BS!L9</f>
        <v>0</v>
      </c>
      <c r="L9" s="422">
        <f ca="1">BS!M9</f>
        <v>0</v>
      </c>
      <c r="M9" s="422">
        <f ca="1">BS!N9</f>
        <v>0</v>
      </c>
      <c r="O9" s="695">
        <v>0</v>
      </c>
      <c r="P9" s="695">
        <v>0</v>
      </c>
      <c r="Q9" s="695">
        <v>0</v>
      </c>
      <c r="R9" s="695">
        <v>0</v>
      </c>
      <c r="S9" s="695">
        <v>0</v>
      </c>
      <c r="T9" s="695">
        <v>0</v>
      </c>
      <c r="U9" s="695">
        <v>0</v>
      </c>
      <c r="V9" s="696">
        <v>0</v>
      </c>
      <c r="W9" s="696">
        <v>0</v>
      </c>
    </row>
    <row r="10" spans="2:23" ht="18" customHeight="1" thickBot="1" x14ac:dyDescent="0.3">
      <c r="B10" s="143" t="s">
        <v>230</v>
      </c>
      <c r="C10" s="422">
        <v>0</v>
      </c>
      <c r="D10" s="422">
        <v>0</v>
      </c>
      <c r="E10" s="520">
        <f>'P&amp;L &amp; Ratio Analysis'!F17</f>
        <v>11.256895520833254</v>
      </c>
      <c r="F10" s="520">
        <f>'P&amp;L &amp; Ratio Analysis'!G17</f>
        <v>107.75416762310599</v>
      </c>
      <c r="G10" s="520">
        <f>'P&amp;L &amp; Ratio Analysis'!H17</f>
        <v>170.27000573390163</v>
      </c>
      <c r="H10" s="520">
        <f>'P&amp;L &amp; Ratio Analysis'!I17</f>
        <v>243.76922191774372</v>
      </c>
      <c r="I10" s="520">
        <f>'P&amp;L &amp; Ratio Analysis'!J17</f>
        <v>324.8740669136439</v>
      </c>
      <c r="J10" s="520">
        <f>'P&amp;L &amp; Ratio Analysis'!K17</f>
        <v>439.23507301068702</v>
      </c>
      <c r="K10" s="520">
        <f>'P&amp;L &amp; Ratio Analysis'!L17</f>
        <v>548.73112248063239</v>
      </c>
      <c r="L10" s="520">
        <f>'P&amp;L &amp; Ratio Analysis'!M17</f>
        <v>667.82498062853961</v>
      </c>
      <c r="M10" s="520">
        <f>'P&amp;L &amp; Ratio Analysis'!N17</f>
        <v>804.76266040245287</v>
      </c>
      <c r="N10" s="37">
        <f>SUM(C10:M10)</f>
        <v>3318.4781942315403</v>
      </c>
      <c r="O10" s="695">
        <v>11.26</v>
      </c>
      <c r="P10" s="695">
        <v>107.75</v>
      </c>
      <c r="Q10" s="695">
        <v>170.27</v>
      </c>
      <c r="R10" s="695">
        <v>243.77</v>
      </c>
      <c r="S10" s="695">
        <v>324.87</v>
      </c>
      <c r="T10" s="695">
        <v>439.24</v>
      </c>
      <c r="U10" s="695">
        <v>548.73</v>
      </c>
      <c r="V10" s="696">
        <v>667.82</v>
      </c>
      <c r="W10" s="696">
        <v>804.76</v>
      </c>
    </row>
    <row r="11" spans="2:23" ht="18" customHeight="1" thickBot="1" x14ac:dyDescent="0.3">
      <c r="B11" s="143" t="s">
        <v>868</v>
      </c>
      <c r="C11" s="422"/>
      <c r="D11" s="422">
        <v>200</v>
      </c>
      <c r="E11" s="520">
        <f>+Cost!Y35-CF!D11</f>
        <v>344.89583333333326</v>
      </c>
      <c r="F11" s="520"/>
      <c r="G11" s="520"/>
      <c r="H11" s="520"/>
      <c r="I11" s="520"/>
      <c r="J11" s="520"/>
      <c r="K11" s="520"/>
      <c r="L11" s="520"/>
      <c r="M11" s="520"/>
      <c r="O11" s="695">
        <v>344.9</v>
      </c>
      <c r="P11" s="695"/>
      <c r="Q11" s="695"/>
      <c r="R11" s="695"/>
      <c r="S11" s="695"/>
      <c r="T11" s="695"/>
      <c r="U11" s="695"/>
      <c r="V11" s="696"/>
      <c r="W11" s="696"/>
    </row>
    <row r="12" spans="2:23" ht="18" customHeight="1" thickBot="1" x14ac:dyDescent="0.3">
      <c r="B12" s="143" t="s">
        <v>311</v>
      </c>
      <c r="C12" s="422">
        <f>'Loan Repay Sch'!D20</f>
        <v>700</v>
      </c>
      <c r="D12" s="422">
        <f>'Loan Repay Sch'!H20</f>
        <v>1000</v>
      </c>
      <c r="E12" s="520">
        <f>'Loan Repay Sch'!L20</f>
        <v>300</v>
      </c>
      <c r="F12" s="473">
        <v>0</v>
      </c>
      <c r="G12" s="473">
        <v>0</v>
      </c>
      <c r="H12" s="473">
        <v>0</v>
      </c>
      <c r="I12" s="473">
        <v>0</v>
      </c>
      <c r="J12" s="473">
        <v>0</v>
      </c>
      <c r="K12" s="473">
        <v>0</v>
      </c>
      <c r="L12" s="473">
        <v>0</v>
      </c>
      <c r="M12" s="473">
        <v>0</v>
      </c>
      <c r="O12" s="695">
        <v>300</v>
      </c>
      <c r="P12" s="695">
        <v>0</v>
      </c>
      <c r="Q12" s="695">
        <v>0</v>
      </c>
      <c r="R12" s="695">
        <v>0</v>
      </c>
      <c r="S12" s="695">
        <v>0</v>
      </c>
      <c r="T12" s="695">
        <v>0</v>
      </c>
      <c r="U12" s="695">
        <v>0</v>
      </c>
      <c r="V12" s="696">
        <v>0</v>
      </c>
      <c r="W12" s="696">
        <v>0</v>
      </c>
    </row>
    <row r="13" spans="2:23" ht="18" customHeight="1" thickBot="1" x14ac:dyDescent="0.3">
      <c r="B13" s="143" t="s">
        <v>872</v>
      </c>
      <c r="C13" s="422">
        <f>+BS!D17</f>
        <v>0</v>
      </c>
      <c r="D13" s="422">
        <f>+BS!E17-BS!D17</f>
        <v>0</v>
      </c>
      <c r="E13" s="422">
        <f>+BS!F17-BS!E17</f>
        <v>90</v>
      </c>
      <c r="F13" s="422">
        <f>+BS!G17-BS!F17</f>
        <v>0</v>
      </c>
      <c r="G13" s="422">
        <f>+BS!H17-BS!G17</f>
        <v>0</v>
      </c>
      <c r="H13" s="422">
        <f>+BS!I17-BS!H17</f>
        <v>0</v>
      </c>
      <c r="I13" s="422">
        <f>+BS!J17-BS!I17</f>
        <v>0</v>
      </c>
      <c r="J13" s="422">
        <f>+BS!K17-BS!J17</f>
        <v>0</v>
      </c>
      <c r="K13" s="422">
        <f>+BS!L17-BS!K17</f>
        <v>0</v>
      </c>
      <c r="L13" s="422">
        <f>+BS!M17-BS!L17</f>
        <v>0</v>
      </c>
      <c r="M13" s="422">
        <f>+BS!N17-BS!M17</f>
        <v>0</v>
      </c>
      <c r="O13" s="695">
        <v>90</v>
      </c>
      <c r="P13" s="695">
        <v>0</v>
      </c>
      <c r="Q13" s="695">
        <v>0</v>
      </c>
      <c r="R13" s="695">
        <v>0</v>
      </c>
      <c r="S13" s="695">
        <v>0</v>
      </c>
      <c r="T13" s="695">
        <v>0</v>
      </c>
      <c r="U13" s="695">
        <v>0</v>
      </c>
      <c r="V13" s="696">
        <v>0</v>
      </c>
      <c r="W13" s="696">
        <v>0</v>
      </c>
    </row>
    <row r="14" spans="2:23" ht="18" customHeight="1" thickBot="1" x14ac:dyDescent="0.3">
      <c r="B14" s="143" t="s">
        <v>231</v>
      </c>
      <c r="C14" s="422">
        <v>0</v>
      </c>
      <c r="D14" s="422">
        <v>0</v>
      </c>
      <c r="E14" s="520">
        <f>'P&amp;L &amp; Ratio Analysis'!F11</f>
        <v>40.986616477272733</v>
      </c>
      <c r="F14" s="520">
        <f>'P&amp;L &amp; Ratio Analysis'!G11</f>
        <v>81.973232954545466</v>
      </c>
      <c r="G14" s="520">
        <f>'P&amp;L &amp; Ratio Analysis'!H11</f>
        <v>81.973232954545466</v>
      </c>
      <c r="H14" s="520">
        <f>'P&amp;L &amp; Ratio Analysis'!I11</f>
        <v>81.973232954545466</v>
      </c>
      <c r="I14" s="520">
        <f>'P&amp;L &amp; Ratio Analysis'!J11</f>
        <v>81.973232954545466</v>
      </c>
      <c r="J14" s="520">
        <f>'P&amp;L &amp; Ratio Analysis'!K11</f>
        <v>81.973232954545466</v>
      </c>
      <c r="K14" s="520">
        <f>'P&amp;L &amp; Ratio Analysis'!L11</f>
        <v>81.973232954545466</v>
      </c>
      <c r="L14" s="520">
        <f>'P&amp;L &amp; Ratio Analysis'!M11</f>
        <v>81.973232954545466</v>
      </c>
      <c r="M14" s="520">
        <f>'P&amp;L &amp; Ratio Analysis'!N11</f>
        <v>70.707001136363601</v>
      </c>
      <c r="O14" s="695">
        <v>40.99</v>
      </c>
      <c r="P14" s="695">
        <v>81.97</v>
      </c>
      <c r="Q14" s="695">
        <v>81.97</v>
      </c>
      <c r="R14" s="695">
        <v>81.97</v>
      </c>
      <c r="S14" s="695">
        <v>81.97</v>
      </c>
      <c r="T14" s="695">
        <v>81.97</v>
      </c>
      <c r="U14" s="695">
        <v>81.97</v>
      </c>
      <c r="V14" s="696">
        <v>81.97</v>
      </c>
      <c r="W14" s="696">
        <v>70.709999999999994</v>
      </c>
    </row>
    <row r="15" spans="2:23" ht="18" customHeight="1" thickBot="1" x14ac:dyDescent="0.3">
      <c r="B15" s="143" t="s">
        <v>232</v>
      </c>
      <c r="C15" s="422">
        <v>0</v>
      </c>
      <c r="D15" s="422">
        <v>0</v>
      </c>
      <c r="E15" s="520">
        <f>'P&amp;L Assumptions'!F35</f>
        <v>15</v>
      </c>
      <c r="F15" s="520">
        <f>'P&amp;L Assumptions'!G35</f>
        <v>15</v>
      </c>
      <c r="G15" s="520">
        <f>'P&amp;L Assumptions'!H35</f>
        <v>15</v>
      </c>
      <c r="H15" s="520">
        <f>'P&amp;L Assumptions'!I35</f>
        <v>15</v>
      </c>
      <c r="I15" s="520">
        <f>'P&amp;L Assumptions'!J35</f>
        <v>15</v>
      </c>
      <c r="J15" s="520">
        <f>'P&amp;L Assumptions'!K35</f>
        <v>0</v>
      </c>
      <c r="K15" s="520">
        <f>'P&amp;L Assumptions'!L35</f>
        <v>0</v>
      </c>
      <c r="L15" s="520">
        <f>'P&amp;L Assumptions'!M35</f>
        <v>0</v>
      </c>
      <c r="M15" s="520">
        <f>'P&amp;L Assumptions'!N35</f>
        <v>0</v>
      </c>
      <c r="O15" s="695">
        <v>15</v>
      </c>
      <c r="P15" s="695">
        <v>15</v>
      </c>
      <c r="Q15" s="695">
        <v>15</v>
      </c>
      <c r="R15" s="695">
        <v>15</v>
      </c>
      <c r="S15" s="695">
        <v>15</v>
      </c>
      <c r="T15" s="695">
        <v>0</v>
      </c>
      <c r="U15" s="695">
        <v>0</v>
      </c>
      <c r="V15" s="696">
        <v>0</v>
      </c>
      <c r="W15" s="696">
        <v>0</v>
      </c>
    </row>
    <row r="16" spans="2:23" ht="18" customHeight="1" thickBot="1" x14ac:dyDescent="0.3">
      <c r="B16" s="143" t="s">
        <v>923</v>
      </c>
      <c r="C16" s="422">
        <v>0</v>
      </c>
      <c r="D16" s="422">
        <v>0</v>
      </c>
      <c r="E16" s="520">
        <f>BS!F19-BS!E19</f>
        <v>31.177172615457458</v>
      </c>
      <c r="F16" s="520">
        <f>BS!G19-BS!F19</f>
        <v>32.874417746940559</v>
      </c>
      <c r="G16" s="520">
        <f>BS!H19-BS!G19</f>
        <v>3.76275322170018</v>
      </c>
      <c r="H16" s="520">
        <f>BS!I19-BS!H19</f>
        <v>4.0478434205132743</v>
      </c>
      <c r="I16" s="520">
        <f>BS!J19-BS!I19</f>
        <v>4.3571711536846038</v>
      </c>
      <c r="J16" s="520">
        <f>BS!K19-BS!J19</f>
        <v>4.6929715579348397</v>
      </c>
      <c r="K16" s="520">
        <f>BS!L19-BS!K19</f>
        <v>5.0576964109709763</v>
      </c>
      <c r="L16" s="520">
        <f>BS!M19-BS!L19</f>
        <v>5.4540357141612219</v>
      </c>
      <c r="M16" s="520">
        <f>BS!N19-BS!M19</f>
        <v>5.8892746223660595</v>
      </c>
      <c r="O16" s="695">
        <v>31.18</v>
      </c>
      <c r="P16" s="695">
        <v>32.869999999999997</v>
      </c>
      <c r="Q16" s="695">
        <v>3.76</v>
      </c>
      <c r="R16" s="695">
        <v>4.05</v>
      </c>
      <c r="S16" s="695">
        <v>4.3600000000000003</v>
      </c>
      <c r="T16" s="695">
        <v>4.6900000000000004</v>
      </c>
      <c r="U16" s="695">
        <v>5.0599999999999996</v>
      </c>
      <c r="V16" s="696">
        <v>5.45</v>
      </c>
      <c r="W16" s="696">
        <v>5.89</v>
      </c>
    </row>
    <row r="17" spans="2:19" ht="18" customHeight="1" x14ac:dyDescent="0.25">
      <c r="B17" s="470" t="s">
        <v>213</v>
      </c>
      <c r="C17" s="521">
        <f t="shared" ref="C17:M17" si="0">SUM(C9:C16)</f>
        <v>950</v>
      </c>
      <c r="D17" s="521">
        <f t="shared" si="0"/>
        <v>1494.8958333333333</v>
      </c>
      <c r="E17" s="521">
        <f t="shared" ca="1" si="0"/>
        <v>833.31651794689674</v>
      </c>
      <c r="F17" s="521">
        <f t="shared" ca="1" si="0"/>
        <v>237.60181832459202</v>
      </c>
      <c r="G17" s="521">
        <f t="shared" ca="1" si="0"/>
        <v>271.00599191014726</v>
      </c>
      <c r="H17" s="521">
        <f t="shared" ca="1" si="0"/>
        <v>344.79029829280245</v>
      </c>
      <c r="I17" s="521">
        <f t="shared" ca="1" si="0"/>
        <v>426.20447102187393</v>
      </c>
      <c r="J17" s="521">
        <f t="shared" ca="1" si="0"/>
        <v>525.90127752316732</v>
      </c>
      <c r="K17" s="521">
        <f t="shared" ca="1" si="0"/>
        <v>635.76205184614878</v>
      </c>
      <c r="L17" s="521">
        <f t="shared" ca="1" si="0"/>
        <v>755.25224929724629</v>
      </c>
      <c r="M17" s="521">
        <f t="shared" ca="1" si="0"/>
        <v>881.35893616118256</v>
      </c>
      <c r="O17" s="697">
        <f>SUM(O9:O16)</f>
        <v>833.32999999999993</v>
      </c>
      <c r="P17" s="697">
        <f t="shared" ref="P17:Q17" si="1">SUM(P9:P16)</f>
        <v>237.59</v>
      </c>
      <c r="Q17" s="697">
        <f t="shared" si="1"/>
        <v>271</v>
      </c>
    </row>
    <row r="18" spans="2:19" ht="18" customHeight="1" x14ac:dyDescent="0.25">
      <c r="B18" s="680" t="s">
        <v>233</v>
      </c>
      <c r="C18" s="476"/>
      <c r="D18" s="476"/>
      <c r="E18" s="473"/>
      <c r="F18" s="473"/>
      <c r="G18" s="473"/>
      <c r="H18" s="473"/>
      <c r="I18" s="473"/>
      <c r="J18" s="473"/>
      <c r="K18" s="473"/>
      <c r="L18" s="473"/>
      <c r="M18" s="473"/>
    </row>
    <row r="19" spans="2:19" ht="18" customHeight="1" x14ac:dyDescent="0.25">
      <c r="B19" s="143" t="s">
        <v>234</v>
      </c>
      <c r="C19" s="422">
        <f>BS!D26-BS!C26</f>
        <v>912.5</v>
      </c>
      <c r="D19" s="422">
        <f>BS!E26-BS!D26</f>
        <v>1457.395833333333</v>
      </c>
      <c r="E19" s="422">
        <f>BS!F26-BS!E26</f>
        <v>614.89583333333303</v>
      </c>
      <c r="F19" s="422">
        <f>BS!G26-BS!F26</f>
        <v>0</v>
      </c>
      <c r="G19" s="422">
        <f>BS!H26-BS!G26</f>
        <v>0</v>
      </c>
      <c r="H19" s="422">
        <f>BS!I26-BS!H26</f>
        <v>0</v>
      </c>
      <c r="I19" s="422">
        <f>BS!J26-BS!I26</f>
        <v>0</v>
      </c>
      <c r="J19" s="422">
        <f>BS!K26-BS!J26</f>
        <v>0</v>
      </c>
      <c r="K19" s="422">
        <f>BS!L26-BS!K26</f>
        <v>0</v>
      </c>
      <c r="L19" s="422">
        <f>BS!M26-BS!L26</f>
        <v>0</v>
      </c>
      <c r="M19" s="422">
        <f>BS!N26-BS!M26</f>
        <v>0</v>
      </c>
    </row>
    <row r="20" spans="2:19" ht="18" customHeight="1" x14ac:dyDescent="0.25">
      <c r="B20" s="143" t="s">
        <v>235</v>
      </c>
      <c r="C20" s="422">
        <f>BS!D38-BS!C38</f>
        <v>0</v>
      </c>
      <c r="D20" s="422">
        <f>BS!E38-BS!D38</f>
        <v>0</v>
      </c>
      <c r="E20" s="422">
        <f>BS!F38-BS!E38</f>
        <v>91.705961538461537</v>
      </c>
      <c r="F20" s="422">
        <f>BS!G38-BS!F38</f>
        <v>102.02578365384616</v>
      </c>
      <c r="G20" s="422">
        <f>BS!H38-BS!G38</f>
        <v>13.872857728365375</v>
      </c>
      <c r="H20" s="422">
        <f>BS!I38-BS!H38</f>
        <v>14.983852087830542</v>
      </c>
      <c r="I20" s="422">
        <f>BS!J38-BS!I38</f>
        <v>16.212178441256242</v>
      </c>
      <c r="J20" s="422">
        <f>BS!K38-BS!J38</f>
        <v>17.54137232162924</v>
      </c>
      <c r="K20" s="422">
        <f>BS!L38-BS!K38</f>
        <v>18.995317104247647</v>
      </c>
      <c r="L20" s="422">
        <f>BS!M38-BS!L38</f>
        <v>20.568278933067063</v>
      </c>
      <c r="M20" s="422">
        <f>BS!N38-BS!M38</f>
        <v>22.304945190622163</v>
      </c>
    </row>
    <row r="21" spans="2:19" ht="18" customHeight="1" x14ac:dyDescent="0.25">
      <c r="B21" s="143" t="s">
        <v>903</v>
      </c>
      <c r="C21" s="422"/>
      <c r="D21" s="422"/>
      <c r="E21" s="422">
        <f>+BS!F30-BS!E30</f>
        <v>0</v>
      </c>
      <c r="F21" s="422">
        <f>+BS!G30-BS!F30</f>
        <v>0</v>
      </c>
      <c r="G21" s="422">
        <f>+BS!H30-BS!G30</f>
        <v>4.8068045328284175</v>
      </c>
      <c r="H21" s="422">
        <f>+BS!I30-BS!H30</f>
        <v>35.74229086084739</v>
      </c>
      <c r="I21" s="422">
        <f>+BS!J30-BS!I30</f>
        <v>56.731779249225447</v>
      </c>
      <c r="J21" s="422">
        <f>+BS!K30-BS!J30</f>
        <v>-20.099892236278691</v>
      </c>
      <c r="K21" s="422">
        <f>+BS!L30-BS!K30</f>
        <v>-37.442926630924703</v>
      </c>
      <c r="L21" s="422">
        <f>+BS!M30-BS!L30</f>
        <v>-39.738055775697859</v>
      </c>
      <c r="M21" s="422">
        <f>+BS!N30-BS!M30</f>
        <v>0</v>
      </c>
    </row>
    <row r="22" spans="2:19" ht="18" customHeight="1" x14ac:dyDescent="0.25">
      <c r="B22" s="143" t="s">
        <v>236</v>
      </c>
      <c r="C22" s="422">
        <f>'Loan Repay Sch'!F20</f>
        <v>0</v>
      </c>
      <c r="D22" s="422">
        <f>'Loan Repay Sch'!J20</f>
        <v>0</v>
      </c>
      <c r="E22" s="422">
        <f>'Loan Repay Sch'!N20</f>
        <v>0</v>
      </c>
      <c r="F22" s="422">
        <f>'Loan Repay Sch'!Q20</f>
        <v>60</v>
      </c>
      <c r="G22" s="422">
        <f>'Loan Repay Sch'!U20</f>
        <v>150</v>
      </c>
      <c r="H22" s="422">
        <f>'Loan Repay Sch'!Y20</f>
        <v>180</v>
      </c>
      <c r="I22" s="422">
        <f>'Loan Repay Sch'!AC20</f>
        <v>253.97999999999996</v>
      </c>
      <c r="J22" s="422">
        <f>'Loan Repay Sch'!AG20</f>
        <v>360</v>
      </c>
      <c r="K22" s="422">
        <f>'Loan Repay Sch'!AK20</f>
        <v>360</v>
      </c>
      <c r="L22" s="422">
        <f>'Loan Repay Sch'!AO20</f>
        <v>420</v>
      </c>
      <c r="M22" s="422">
        <f>'Loan Repay Sch'!AS20</f>
        <v>216.02000000000044</v>
      </c>
    </row>
    <row r="23" spans="2:19" ht="18" customHeight="1" x14ac:dyDescent="0.25">
      <c r="B23" s="143" t="s">
        <v>299</v>
      </c>
      <c r="C23" s="422">
        <f>+(Cost!D24+Cost!D22)/2</f>
        <v>37.5</v>
      </c>
      <c r="D23" s="422">
        <f>C23</f>
        <v>37.5</v>
      </c>
      <c r="E23" s="422">
        <v>0</v>
      </c>
      <c r="F23" s="422">
        <v>0</v>
      </c>
      <c r="G23" s="422">
        <v>0</v>
      </c>
      <c r="H23" s="422">
        <v>0</v>
      </c>
      <c r="I23" s="422">
        <v>0</v>
      </c>
      <c r="J23" s="422">
        <v>0</v>
      </c>
      <c r="K23" s="422">
        <v>0</v>
      </c>
      <c r="L23" s="422">
        <v>0</v>
      </c>
      <c r="M23" s="422">
        <v>0</v>
      </c>
    </row>
    <row r="24" spans="2:19" ht="18" customHeight="1" x14ac:dyDescent="0.25">
      <c r="B24" s="143" t="s">
        <v>237</v>
      </c>
      <c r="C24" s="422">
        <v>0</v>
      </c>
      <c r="D24" s="422">
        <v>0</v>
      </c>
      <c r="E24" s="473">
        <f>'P&amp;L &amp; Ratio Analysis'!F18</f>
        <v>0</v>
      </c>
      <c r="F24" s="473">
        <f>'P&amp;L &amp; Ratio Analysis'!G18</f>
        <v>0</v>
      </c>
      <c r="G24" s="473">
        <f>'P&amp;L &amp; Ratio Analysis'!H18</f>
        <v>4.8068045328284175</v>
      </c>
      <c r="H24" s="473">
        <f>'P&amp;L &amp; Ratio Analysis'!I18</f>
        <v>35.74229086084739</v>
      </c>
      <c r="I24" s="473">
        <f>'P&amp;L &amp; Ratio Analysis'!J18</f>
        <v>56.731779249225447</v>
      </c>
      <c r="J24" s="473">
        <f>'P&amp;L &amp; Ratio Analysis'!K18</f>
        <v>73.317118386943889</v>
      </c>
      <c r="K24" s="473">
        <f>'P&amp;L &amp; Ratio Analysis'!L18</f>
        <v>91.594198964467168</v>
      </c>
      <c r="L24" s="473">
        <f>'P&amp;L &amp; Ratio Analysis'!M18</f>
        <v>127.07346376510927</v>
      </c>
      <c r="M24" s="473">
        <f>'P&amp;L &amp; Ratio Analysis'!N18</f>
        <v>205.9515507098923</v>
      </c>
    </row>
    <row r="25" spans="2:19" ht="18" customHeight="1" x14ac:dyDescent="0.25">
      <c r="B25" s="470" t="s">
        <v>213</v>
      </c>
      <c r="C25" s="521">
        <f t="shared" ref="C25:M25" si="2">ROUND(SUM(C19:C24),2)</f>
        <v>950</v>
      </c>
      <c r="D25" s="521">
        <f>SUM(D19:D24)</f>
        <v>1494.895833333333</v>
      </c>
      <c r="E25" s="521">
        <f t="shared" si="2"/>
        <v>706.6</v>
      </c>
      <c r="F25" s="521">
        <f t="shared" si="2"/>
        <v>162.03</v>
      </c>
      <c r="G25" s="521">
        <f t="shared" si="2"/>
        <v>173.49</v>
      </c>
      <c r="H25" s="521">
        <f t="shared" si="2"/>
        <v>266.47000000000003</v>
      </c>
      <c r="I25" s="521">
        <f t="shared" si="2"/>
        <v>383.66</v>
      </c>
      <c r="J25" s="521">
        <f t="shared" si="2"/>
        <v>430.76</v>
      </c>
      <c r="K25" s="521">
        <f t="shared" si="2"/>
        <v>433.15</v>
      </c>
      <c r="L25" s="521">
        <f t="shared" si="2"/>
        <v>527.9</v>
      </c>
      <c r="M25" s="521">
        <f t="shared" si="2"/>
        <v>444.28</v>
      </c>
    </row>
    <row r="26" spans="2:19" ht="18" customHeight="1" x14ac:dyDescent="0.25">
      <c r="B26" s="143" t="s">
        <v>238</v>
      </c>
      <c r="C26" s="422">
        <v>0</v>
      </c>
      <c r="D26" s="422">
        <f>C28</f>
        <v>0</v>
      </c>
      <c r="E26" s="473">
        <f>D28</f>
        <v>0</v>
      </c>
      <c r="F26" s="473">
        <f ca="1">E28</f>
        <v>126.72</v>
      </c>
      <c r="G26" s="473">
        <f t="shared" ref="G26:L26" ca="1" si="3">F28</f>
        <v>202.29</v>
      </c>
      <c r="H26" s="473">
        <f t="shared" ca="1" si="3"/>
        <v>299.81</v>
      </c>
      <c r="I26" s="473">
        <f t="shared" ca="1" si="3"/>
        <v>378.13</v>
      </c>
      <c r="J26" s="473">
        <f t="shared" ca="1" si="3"/>
        <v>420.67</v>
      </c>
      <c r="K26" s="473">
        <f t="shared" ca="1" si="3"/>
        <v>515.80999999999995</v>
      </c>
      <c r="L26" s="473">
        <f t="shared" ca="1" si="3"/>
        <v>718.42</v>
      </c>
      <c r="M26" s="473">
        <f t="shared" ref="M26" ca="1" si="4">L28</f>
        <v>945.77</v>
      </c>
    </row>
    <row r="27" spans="2:19" ht="18" customHeight="1" x14ac:dyDescent="0.25">
      <c r="B27" s="143" t="s">
        <v>239</v>
      </c>
      <c r="C27" s="422">
        <f t="shared" ref="C27:L27" si="5">C17-C25</f>
        <v>0</v>
      </c>
      <c r="D27" s="422">
        <f t="shared" si="5"/>
        <v>0</v>
      </c>
      <c r="E27" s="473">
        <f t="shared" ca="1" si="5"/>
        <v>126.71651794689672</v>
      </c>
      <c r="F27" s="473">
        <f ca="1">F17-F25</f>
        <v>75.571818324592016</v>
      </c>
      <c r="G27" s="473">
        <f ca="1">G17-G25</f>
        <v>97.51599191014725</v>
      </c>
      <c r="H27" s="473">
        <f ca="1">H17-H25</f>
        <v>78.32029829280242</v>
      </c>
      <c r="I27" s="473">
        <f t="shared" ca="1" si="5"/>
        <v>42.544471021873903</v>
      </c>
      <c r="J27" s="473">
        <f t="shared" ca="1" si="5"/>
        <v>95.141277523167332</v>
      </c>
      <c r="K27" s="473">
        <f t="shared" ca="1" si="5"/>
        <v>202.6120518461488</v>
      </c>
      <c r="L27" s="473">
        <f t="shared" ca="1" si="5"/>
        <v>227.35224929724632</v>
      </c>
      <c r="M27" s="473">
        <f t="shared" ref="M27" ca="1" si="6">M17-M25</f>
        <v>437.07893616118258</v>
      </c>
    </row>
    <row r="28" spans="2:19" ht="18" customHeight="1" x14ac:dyDescent="0.25">
      <c r="B28" s="143" t="s">
        <v>240</v>
      </c>
      <c r="C28" s="473">
        <f>ROUND(SUM(C26:C27),2)</f>
        <v>0</v>
      </c>
      <c r="D28" s="473">
        <f>ROUND(SUM(D26:D27),2)</f>
        <v>0</v>
      </c>
      <c r="E28" s="473">
        <f ca="1">ROUND(SUM(E26:E27),2)</f>
        <v>126.72</v>
      </c>
      <c r="F28" s="473">
        <f t="shared" ref="F28:M28" ca="1" si="7">ROUND(SUM(F26:F27),2)</f>
        <v>202.29</v>
      </c>
      <c r="G28" s="473">
        <f t="shared" ca="1" si="7"/>
        <v>299.81</v>
      </c>
      <c r="H28" s="473">
        <f t="shared" ca="1" si="7"/>
        <v>378.13</v>
      </c>
      <c r="I28" s="473">
        <f t="shared" ca="1" si="7"/>
        <v>420.67</v>
      </c>
      <c r="J28" s="473">
        <f t="shared" ca="1" si="7"/>
        <v>515.80999999999995</v>
      </c>
      <c r="K28" s="473">
        <f t="shared" ca="1" si="7"/>
        <v>718.42</v>
      </c>
      <c r="L28" s="473">
        <f t="shared" ca="1" si="7"/>
        <v>945.77</v>
      </c>
      <c r="M28" s="473">
        <f t="shared" ca="1" si="7"/>
        <v>1382.85</v>
      </c>
      <c r="S28" s="513"/>
    </row>
    <row r="29" spans="2:19" ht="18" customHeight="1" x14ac:dyDescent="0.25">
      <c r="B29" s="143"/>
      <c r="C29" s="473"/>
      <c r="D29" s="473"/>
      <c r="E29" s="473"/>
      <c r="F29" s="473"/>
      <c r="G29" s="473"/>
      <c r="H29" s="473"/>
      <c r="I29" s="473"/>
      <c r="J29" s="473"/>
      <c r="K29" s="473"/>
      <c r="L29" s="473"/>
      <c r="M29" s="473"/>
      <c r="S29" s="513"/>
    </row>
  </sheetData>
  <mergeCells count="3">
    <mergeCell ref="B3:K3"/>
    <mergeCell ref="B6:B7"/>
    <mergeCell ref="C6:D6"/>
  </mergeCells>
  <pageMargins left="0.7" right="0.7" top="0.75" bottom="0.75" header="0.3" footer="0.3"/>
  <pageSetup paperSize="9" scale="88" orientation="landscape" horizontalDpi="4294967294" verticalDpi="4294967294" r:id="rId1"/>
  <headerFooter alignWithMargins="0"/>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74A0584-D025-41D8-B078-0511B5F750AC}">
  <dimension ref="A3:T50"/>
  <sheetViews>
    <sheetView topLeftCell="C31" workbookViewId="0">
      <selection activeCell="C37" sqref="C37:H50"/>
    </sheetView>
  </sheetViews>
  <sheetFormatPr defaultRowHeight="15" x14ac:dyDescent="0.25"/>
  <cols>
    <col min="1" max="1" width="9.7109375" bestFit="1" customWidth="1"/>
    <col min="2" max="2" width="13.28515625" bestFit="1" customWidth="1"/>
    <col min="3" max="3" width="11.140625" bestFit="1" customWidth="1"/>
    <col min="4" max="4" width="12.28515625" bestFit="1" customWidth="1"/>
    <col min="5" max="5" width="12.28515625" customWidth="1"/>
    <col min="6" max="6" width="11.85546875" bestFit="1" customWidth="1"/>
    <col min="7" max="7" width="15.85546875" bestFit="1" customWidth="1"/>
    <col min="8" max="8" width="18.42578125" bestFit="1" customWidth="1"/>
    <col min="9" max="9" width="19.5703125" bestFit="1" customWidth="1"/>
    <col min="10" max="10" width="9.28515625" bestFit="1" customWidth="1"/>
    <col min="11" max="16" width="9.5703125" bestFit="1" customWidth="1"/>
    <col min="17" max="20" width="9.28515625" bestFit="1" customWidth="1"/>
  </cols>
  <sheetData>
    <row r="3" spans="1:8" x14ac:dyDescent="0.25">
      <c r="A3" s="689" t="s">
        <v>550</v>
      </c>
      <c r="B3" s="783" t="s">
        <v>996</v>
      </c>
      <c r="C3" s="783" t="s">
        <v>995</v>
      </c>
      <c r="D3" s="783" t="s">
        <v>999</v>
      </c>
      <c r="E3" s="783" t="s">
        <v>991</v>
      </c>
      <c r="F3" s="783" t="s">
        <v>998</v>
      </c>
      <c r="G3" s="783" t="s">
        <v>993</v>
      </c>
      <c r="H3" s="783" t="s">
        <v>994</v>
      </c>
    </row>
    <row r="4" spans="1:8" x14ac:dyDescent="0.25">
      <c r="A4" s="689" t="s">
        <v>980</v>
      </c>
      <c r="B4" s="528">
        <v>700</v>
      </c>
      <c r="C4" s="528">
        <v>17.083333333333332</v>
      </c>
      <c r="D4" s="689">
        <v>0</v>
      </c>
      <c r="E4" s="528">
        <v>17.083333333333332</v>
      </c>
      <c r="F4" s="528">
        <v>700</v>
      </c>
      <c r="G4" s="528">
        <v>0</v>
      </c>
      <c r="H4" s="528">
        <v>700</v>
      </c>
    </row>
    <row r="5" spans="1:8" x14ac:dyDescent="0.25">
      <c r="A5" s="689" t="s">
        <v>981</v>
      </c>
      <c r="B5" s="528">
        <v>1000</v>
      </c>
      <c r="C5" s="528">
        <v>120.20833333333334</v>
      </c>
      <c r="D5" s="689">
        <v>0</v>
      </c>
      <c r="E5" s="528">
        <v>120.20833333333334</v>
      </c>
      <c r="F5" s="528">
        <v>1700</v>
      </c>
      <c r="G5" s="689">
        <v>0</v>
      </c>
      <c r="H5" s="528">
        <v>1700</v>
      </c>
    </row>
    <row r="6" spans="1:8" x14ac:dyDescent="0.25">
      <c r="A6" s="689" t="s">
        <v>982</v>
      </c>
      <c r="B6" s="528">
        <v>300</v>
      </c>
      <c r="C6" s="528">
        <v>197.49999999999997</v>
      </c>
      <c r="D6" s="689">
        <v>0</v>
      </c>
      <c r="E6" s="528">
        <v>197.49999999999997</v>
      </c>
      <c r="F6" s="528">
        <v>2000</v>
      </c>
      <c r="G6" s="528">
        <v>60</v>
      </c>
      <c r="H6" s="528">
        <v>1940</v>
      </c>
    </row>
    <row r="7" spans="1:8" x14ac:dyDescent="0.25">
      <c r="A7" s="689" t="s">
        <v>983</v>
      </c>
      <c r="B7" s="689">
        <v>0</v>
      </c>
      <c r="C7" s="528">
        <v>258.75</v>
      </c>
      <c r="D7" s="528">
        <v>60</v>
      </c>
      <c r="E7" s="528">
        <v>198.75000000000003</v>
      </c>
      <c r="F7" s="528">
        <v>1940</v>
      </c>
      <c r="G7" s="528">
        <v>150</v>
      </c>
      <c r="H7" s="528">
        <v>1790</v>
      </c>
    </row>
    <row r="8" spans="1:8" x14ac:dyDescent="0.25">
      <c r="A8" s="689" t="s">
        <v>984</v>
      </c>
      <c r="B8" s="689">
        <v>0</v>
      </c>
      <c r="C8" s="528">
        <v>337.875</v>
      </c>
      <c r="D8" s="528">
        <v>150</v>
      </c>
      <c r="E8" s="528">
        <v>187.87499999999997</v>
      </c>
      <c r="F8" s="528">
        <v>1790</v>
      </c>
      <c r="G8" s="528">
        <v>180</v>
      </c>
      <c r="H8" s="528">
        <v>1610</v>
      </c>
    </row>
    <row r="9" spans="1:8" x14ac:dyDescent="0.25">
      <c r="A9" s="689" t="s">
        <v>985</v>
      </c>
      <c r="B9" s="689">
        <v>0</v>
      </c>
      <c r="C9" s="528">
        <v>350.75</v>
      </c>
      <c r="D9" s="528">
        <v>180</v>
      </c>
      <c r="E9" s="528">
        <v>170.74999999999997</v>
      </c>
      <c r="F9" s="528">
        <v>1610</v>
      </c>
      <c r="G9" s="528">
        <v>253.97999999999996</v>
      </c>
      <c r="H9" s="528">
        <v>1356.02</v>
      </c>
    </row>
    <row r="10" spans="1:8" x14ac:dyDescent="0.25">
      <c r="A10" s="689" t="s">
        <v>986</v>
      </c>
      <c r="B10" s="689">
        <v>0</v>
      </c>
      <c r="C10" s="528">
        <v>405.18874999999997</v>
      </c>
      <c r="D10" s="528">
        <v>253.97999999999996</v>
      </c>
      <c r="E10" s="528">
        <v>151.20875000000001</v>
      </c>
      <c r="F10" s="528">
        <v>1356.02</v>
      </c>
      <c r="G10" s="528">
        <v>360</v>
      </c>
      <c r="H10" s="528">
        <v>996.02</v>
      </c>
    </row>
    <row r="11" spans="1:8" x14ac:dyDescent="0.25">
      <c r="A11" s="689" t="s">
        <v>987</v>
      </c>
      <c r="B11" s="689">
        <v>0</v>
      </c>
      <c r="C11" s="528">
        <v>479.10200000000003</v>
      </c>
      <c r="D11" s="528">
        <v>360</v>
      </c>
      <c r="E11" s="528">
        <v>119.10200000000003</v>
      </c>
      <c r="F11" s="528">
        <v>996.02</v>
      </c>
      <c r="G11" s="528">
        <v>360</v>
      </c>
      <c r="H11" s="528">
        <v>636.02</v>
      </c>
    </row>
    <row r="12" spans="1:8" x14ac:dyDescent="0.25">
      <c r="A12" s="689" t="s">
        <v>988</v>
      </c>
      <c r="B12" s="689">
        <v>0</v>
      </c>
      <c r="C12" s="528">
        <v>443.10200000000003</v>
      </c>
      <c r="D12" s="528">
        <v>360</v>
      </c>
      <c r="E12" s="528">
        <v>83.102000000000032</v>
      </c>
      <c r="F12" s="528">
        <v>636.02</v>
      </c>
      <c r="G12" s="528">
        <v>420</v>
      </c>
      <c r="H12" s="528">
        <v>216.01999999999998</v>
      </c>
    </row>
    <row r="13" spans="1:8" x14ac:dyDescent="0.25">
      <c r="A13" s="689" t="s">
        <v>990</v>
      </c>
      <c r="B13" s="689">
        <v>0</v>
      </c>
      <c r="C13" s="528">
        <v>464.35200000000003</v>
      </c>
      <c r="D13" s="528">
        <v>420</v>
      </c>
      <c r="E13" s="528">
        <v>44.352000000000032</v>
      </c>
      <c r="F13" s="528">
        <v>216.01999999999998</v>
      </c>
      <c r="G13" s="528">
        <v>216.02000000000044</v>
      </c>
      <c r="H13" s="528">
        <v>-4.5474735088646412E-13</v>
      </c>
    </row>
    <row r="14" spans="1:8" x14ac:dyDescent="0.25">
      <c r="A14" s="689" t="s">
        <v>989</v>
      </c>
      <c r="B14" s="689">
        <v>0</v>
      </c>
      <c r="C14" s="528">
        <v>222.44600000000045</v>
      </c>
      <c r="D14" s="528">
        <v>216.02000000000044</v>
      </c>
      <c r="E14" s="528">
        <v>6.4260000000000215</v>
      </c>
      <c r="F14" s="528">
        <v>-4.5474735088646412E-13</v>
      </c>
      <c r="G14" s="528">
        <v>0</v>
      </c>
      <c r="H14" s="528">
        <v>-4.5474735088646412E-13</v>
      </c>
    </row>
    <row r="15" spans="1:8" x14ac:dyDescent="0.25">
      <c r="A15" s="448"/>
      <c r="B15" s="448"/>
      <c r="C15" s="448"/>
      <c r="D15" s="448"/>
      <c r="E15" s="448"/>
      <c r="F15" s="448"/>
      <c r="G15" s="448"/>
      <c r="H15" s="448"/>
    </row>
    <row r="18" spans="3:20" ht="15.75" thickBot="1" x14ac:dyDescent="0.3"/>
    <row r="19" spans="3:20" ht="15.75" thickBot="1" x14ac:dyDescent="0.3">
      <c r="I19" s="3" t="s">
        <v>550</v>
      </c>
      <c r="J19" s="785">
        <v>45717</v>
      </c>
      <c r="K19" s="785">
        <v>46082</v>
      </c>
      <c r="L19" s="785">
        <v>46447</v>
      </c>
      <c r="M19" s="786">
        <v>46813</v>
      </c>
      <c r="N19" s="786">
        <v>47178</v>
      </c>
      <c r="O19" s="786">
        <v>11018</v>
      </c>
      <c r="P19" s="786">
        <v>11383</v>
      </c>
      <c r="Q19" s="786">
        <v>11749</v>
      </c>
      <c r="R19" s="786">
        <v>12114</v>
      </c>
      <c r="S19" s="787">
        <v>12479</v>
      </c>
      <c r="T19" s="787">
        <v>12844</v>
      </c>
    </row>
    <row r="20" spans="3:20" x14ac:dyDescent="0.25">
      <c r="C20" s="796" t="s">
        <v>250</v>
      </c>
      <c r="D20" s="796" t="s">
        <v>314</v>
      </c>
      <c r="E20" s="788" t="s">
        <v>1000</v>
      </c>
      <c r="F20" s="796" t="s">
        <v>316</v>
      </c>
      <c r="G20" s="796" t="s">
        <v>783</v>
      </c>
      <c r="H20" s="796" t="s">
        <v>1002</v>
      </c>
      <c r="I20" s="3" t="s">
        <v>996</v>
      </c>
      <c r="J20" s="784">
        <v>700</v>
      </c>
      <c r="K20" s="784">
        <v>1000</v>
      </c>
      <c r="L20" s="784">
        <v>300</v>
      </c>
      <c r="M20" s="784">
        <v>0</v>
      </c>
      <c r="N20" s="784">
        <v>0</v>
      </c>
      <c r="O20" s="784">
        <v>0</v>
      </c>
      <c r="P20" s="784">
        <v>0</v>
      </c>
      <c r="Q20" s="784">
        <v>0</v>
      </c>
      <c r="R20" s="784">
        <v>0</v>
      </c>
      <c r="S20" s="784">
        <v>0</v>
      </c>
      <c r="T20" s="784">
        <v>0</v>
      </c>
    </row>
    <row r="21" spans="3:20" ht="15.75" thickBot="1" x14ac:dyDescent="0.3">
      <c r="C21" s="797"/>
      <c r="D21" s="797"/>
      <c r="E21" s="789" t="s">
        <v>1001</v>
      </c>
      <c r="F21" s="797"/>
      <c r="G21" s="797"/>
      <c r="H21" s="797"/>
      <c r="I21" s="3" t="s">
        <v>995</v>
      </c>
      <c r="J21" s="784">
        <v>17.083333333333332</v>
      </c>
      <c r="K21" s="784">
        <v>120.20833333333334</v>
      </c>
      <c r="L21" s="784">
        <v>197.49999999999997</v>
      </c>
      <c r="M21" s="784">
        <v>258.75</v>
      </c>
      <c r="N21" s="784">
        <v>337.875</v>
      </c>
      <c r="O21" s="784">
        <v>350.75</v>
      </c>
      <c r="P21" s="784">
        <v>405.18874999999997</v>
      </c>
      <c r="Q21" s="784">
        <v>479.10200000000003</v>
      </c>
      <c r="R21" s="784">
        <v>443.10200000000003</v>
      </c>
      <c r="S21" s="784">
        <v>464.35200000000003</v>
      </c>
      <c r="T21" s="784">
        <v>222.44600000000045</v>
      </c>
    </row>
    <row r="22" spans="3:20" ht="15.75" thickBot="1" x14ac:dyDescent="0.3">
      <c r="C22" s="790" t="s">
        <v>1003</v>
      </c>
      <c r="D22" s="791">
        <v>80</v>
      </c>
      <c r="E22" s="792">
        <v>100</v>
      </c>
      <c r="F22" s="792">
        <v>80</v>
      </c>
      <c r="G22" s="792">
        <v>250</v>
      </c>
      <c r="H22" s="792">
        <v>150</v>
      </c>
      <c r="I22" s="3" t="s">
        <v>999</v>
      </c>
      <c r="J22" s="784">
        <v>0</v>
      </c>
      <c r="K22" s="784">
        <v>0</v>
      </c>
      <c r="L22" s="784">
        <v>0</v>
      </c>
      <c r="M22" s="784">
        <v>60</v>
      </c>
      <c r="N22" s="784">
        <v>150</v>
      </c>
      <c r="O22" s="784">
        <v>180</v>
      </c>
      <c r="P22" s="784">
        <v>253.97999999999996</v>
      </c>
      <c r="Q22" s="784">
        <v>360</v>
      </c>
      <c r="R22" s="784">
        <v>360</v>
      </c>
      <c r="S22" s="784">
        <v>420</v>
      </c>
      <c r="T22" s="784">
        <v>216.02000000000044</v>
      </c>
    </row>
    <row r="23" spans="3:20" ht="15.75" thickBot="1" x14ac:dyDescent="0.3">
      <c r="C23" s="793" t="s">
        <v>1004</v>
      </c>
      <c r="D23" s="792">
        <v>180</v>
      </c>
      <c r="E23" s="792">
        <v>180</v>
      </c>
      <c r="F23" s="792">
        <v>180</v>
      </c>
      <c r="G23" s="792">
        <v>180</v>
      </c>
      <c r="H23" s="792">
        <v>180</v>
      </c>
      <c r="I23" s="3" t="s">
        <v>991</v>
      </c>
      <c r="J23" s="784">
        <v>17.083333333333332</v>
      </c>
      <c r="K23" s="784">
        <v>120.20833333333334</v>
      </c>
      <c r="L23" s="784">
        <v>197.49999999999997</v>
      </c>
      <c r="M23" s="784">
        <v>198.75000000000003</v>
      </c>
      <c r="N23" s="784">
        <v>187.87499999999997</v>
      </c>
      <c r="O23" s="784">
        <v>170.74999999999997</v>
      </c>
      <c r="P23" s="784">
        <v>151.20875000000001</v>
      </c>
      <c r="Q23" s="784">
        <v>119.10200000000003</v>
      </c>
      <c r="R23" s="784">
        <v>83.102000000000032</v>
      </c>
      <c r="S23" s="784">
        <v>44.352000000000032</v>
      </c>
      <c r="T23" s="784">
        <v>6.4260000000000215</v>
      </c>
    </row>
    <row r="24" spans="3:20" ht="15.75" thickBot="1" x14ac:dyDescent="0.3">
      <c r="C24" s="798" t="s">
        <v>324</v>
      </c>
      <c r="D24" s="799"/>
      <c r="E24" s="799"/>
      <c r="F24" s="799"/>
      <c r="G24" s="799"/>
      <c r="H24" s="800"/>
      <c r="I24" s="3" t="s">
        <v>998</v>
      </c>
      <c r="J24" s="784">
        <v>700</v>
      </c>
      <c r="K24" s="784">
        <v>1700</v>
      </c>
      <c r="L24" s="784">
        <v>2000</v>
      </c>
      <c r="M24" s="784">
        <v>1940</v>
      </c>
      <c r="N24" s="784">
        <v>1790</v>
      </c>
      <c r="O24" s="784">
        <v>1610</v>
      </c>
      <c r="P24" s="784">
        <v>1356.02</v>
      </c>
      <c r="Q24" s="784">
        <v>996.02</v>
      </c>
      <c r="R24" s="784">
        <v>636.02</v>
      </c>
      <c r="S24" s="784">
        <v>216.01999999999998</v>
      </c>
      <c r="T24" s="784">
        <v>-4.5474735088646412E-13</v>
      </c>
    </row>
    <row r="25" spans="3:20" ht="15.75" thickBot="1" x14ac:dyDescent="0.3">
      <c r="C25" s="794" t="s">
        <v>326</v>
      </c>
      <c r="D25" s="795">
        <v>0.4</v>
      </c>
      <c r="E25" s="795">
        <v>0</v>
      </c>
      <c r="F25" s="795">
        <v>0</v>
      </c>
      <c r="G25" s="795">
        <v>0</v>
      </c>
      <c r="H25" s="795">
        <v>0</v>
      </c>
      <c r="I25" s="3" t="s">
        <v>993</v>
      </c>
      <c r="J25" s="784">
        <v>0</v>
      </c>
      <c r="K25" s="784">
        <v>0</v>
      </c>
      <c r="L25" s="784">
        <v>60</v>
      </c>
      <c r="M25" s="784">
        <v>150</v>
      </c>
      <c r="N25" s="784">
        <v>180</v>
      </c>
      <c r="O25" s="784">
        <v>253.97999999999996</v>
      </c>
      <c r="P25" s="784">
        <v>360</v>
      </c>
      <c r="Q25" s="784">
        <v>360</v>
      </c>
      <c r="R25" s="784">
        <v>420</v>
      </c>
      <c r="S25" s="784">
        <v>216.02000000000044</v>
      </c>
      <c r="T25" s="784">
        <v>0</v>
      </c>
    </row>
    <row r="26" spans="3:20" ht="15.75" thickBot="1" x14ac:dyDescent="0.3">
      <c r="C26" s="794" t="s">
        <v>323</v>
      </c>
      <c r="D26" s="795">
        <v>0.6</v>
      </c>
      <c r="E26" s="795">
        <v>0.5</v>
      </c>
      <c r="F26" s="795">
        <v>0.5</v>
      </c>
      <c r="G26" s="795">
        <v>0.35</v>
      </c>
      <c r="H26" s="795">
        <v>0.25</v>
      </c>
      <c r="I26" s="3" t="s">
        <v>994</v>
      </c>
      <c r="J26" s="784">
        <v>700</v>
      </c>
      <c r="K26" s="784">
        <v>1700</v>
      </c>
      <c r="L26" s="784">
        <v>1940</v>
      </c>
      <c r="M26" s="784">
        <v>1790</v>
      </c>
      <c r="N26" s="784">
        <v>1610</v>
      </c>
      <c r="O26" s="784">
        <v>1356.02</v>
      </c>
      <c r="P26" s="784">
        <v>996.02</v>
      </c>
      <c r="Q26" s="784">
        <v>636.02</v>
      </c>
      <c r="R26" s="784">
        <v>216.01999999999998</v>
      </c>
      <c r="S26" s="784">
        <v>-4.5474735088646412E-13</v>
      </c>
      <c r="T26" s="784">
        <v>-4.5474735088646412E-13</v>
      </c>
    </row>
    <row r="27" spans="3:20" ht="15.75" thickBot="1" x14ac:dyDescent="0.3">
      <c r="C27" s="798" t="s">
        <v>327</v>
      </c>
      <c r="D27" s="799"/>
      <c r="E27" s="799"/>
      <c r="F27" s="799"/>
      <c r="G27" s="799"/>
      <c r="H27" s="800"/>
    </row>
    <row r="28" spans="3:20" ht="15.75" thickBot="1" x14ac:dyDescent="0.3">
      <c r="C28" s="794" t="s">
        <v>326</v>
      </c>
      <c r="D28" s="792">
        <v>5760</v>
      </c>
      <c r="E28" s="791" t="s">
        <v>1005</v>
      </c>
      <c r="F28" s="791" t="s">
        <v>1005</v>
      </c>
      <c r="G28" s="791" t="s">
        <v>1005</v>
      </c>
      <c r="H28" s="791" t="s">
        <v>1005</v>
      </c>
    </row>
    <row r="29" spans="3:20" ht="15.75" thickBot="1" x14ac:dyDescent="0.3">
      <c r="C29" s="794" t="s">
        <v>323</v>
      </c>
      <c r="D29" s="792">
        <v>8640</v>
      </c>
      <c r="E29" s="792">
        <v>9000</v>
      </c>
      <c r="F29" s="792">
        <v>7200</v>
      </c>
      <c r="G29" s="792">
        <v>15750</v>
      </c>
      <c r="H29" s="792">
        <v>6750</v>
      </c>
    </row>
    <row r="30" spans="3:20" ht="15.75" thickBot="1" x14ac:dyDescent="0.3">
      <c r="C30" s="798" t="s">
        <v>328</v>
      </c>
      <c r="D30" s="799"/>
      <c r="E30" s="799"/>
      <c r="F30" s="799"/>
      <c r="G30" s="799"/>
      <c r="H30" s="800"/>
    </row>
    <row r="31" spans="3:20" ht="15.75" thickBot="1" x14ac:dyDescent="0.3">
      <c r="C31" s="794" t="s">
        <v>326</v>
      </c>
      <c r="D31" s="792">
        <v>750</v>
      </c>
      <c r="E31" s="792">
        <v>0</v>
      </c>
      <c r="F31" s="792">
        <v>0</v>
      </c>
      <c r="G31" s="792">
        <v>0</v>
      </c>
      <c r="H31" s="792">
        <v>0</v>
      </c>
    </row>
    <row r="32" spans="3:20" ht="15.75" thickBot="1" x14ac:dyDescent="0.3">
      <c r="C32" s="794" t="s">
        <v>323</v>
      </c>
      <c r="D32" s="792">
        <v>1000</v>
      </c>
      <c r="E32" s="792">
        <v>1500</v>
      </c>
      <c r="F32" s="792">
        <v>1250</v>
      </c>
      <c r="G32" s="792">
        <v>2000</v>
      </c>
      <c r="H32" s="792">
        <v>1000</v>
      </c>
    </row>
    <row r="33" spans="3:8" ht="24.75" thickBot="1" x14ac:dyDescent="0.3">
      <c r="C33" s="793" t="s">
        <v>1006</v>
      </c>
      <c r="D33" s="791">
        <v>129.6</v>
      </c>
      <c r="E33" s="792">
        <v>135</v>
      </c>
      <c r="F33" s="792">
        <v>90</v>
      </c>
      <c r="G33" s="792">
        <v>315</v>
      </c>
      <c r="H33" s="792">
        <v>67.5</v>
      </c>
    </row>
    <row r="36" spans="3:8" ht="15.75" thickBot="1" x14ac:dyDescent="0.3"/>
    <row r="37" spans="3:8" x14ac:dyDescent="0.25">
      <c r="C37" s="796" t="s">
        <v>250</v>
      </c>
      <c r="D37" s="796" t="s">
        <v>314</v>
      </c>
      <c r="E37" s="788" t="s">
        <v>1000</v>
      </c>
      <c r="F37" s="796" t="s">
        <v>316</v>
      </c>
      <c r="G37" s="796" t="s">
        <v>783</v>
      </c>
      <c r="H37" s="796" t="s">
        <v>1002</v>
      </c>
    </row>
    <row r="38" spans="3:8" ht="15.75" thickBot="1" x14ac:dyDescent="0.3">
      <c r="C38" s="797"/>
      <c r="D38" s="797"/>
      <c r="E38" s="789" t="s">
        <v>1001</v>
      </c>
      <c r="F38" s="797"/>
      <c r="G38" s="797"/>
      <c r="H38" s="797"/>
    </row>
    <row r="39" spans="3:8" ht="15.75" thickBot="1" x14ac:dyDescent="0.3">
      <c r="C39" s="790" t="s">
        <v>1003</v>
      </c>
      <c r="D39" s="791">
        <v>80</v>
      </c>
      <c r="E39" s="792">
        <v>100</v>
      </c>
      <c r="F39" s="792">
        <v>80</v>
      </c>
      <c r="G39" s="792">
        <v>250</v>
      </c>
      <c r="H39" s="792">
        <v>150</v>
      </c>
    </row>
    <row r="40" spans="3:8" ht="15.75" thickBot="1" x14ac:dyDescent="0.3">
      <c r="C40" s="793" t="s">
        <v>1004</v>
      </c>
      <c r="D40" s="792">
        <v>180</v>
      </c>
      <c r="E40" s="792">
        <v>180</v>
      </c>
      <c r="F40" s="792">
        <v>180</v>
      </c>
      <c r="G40" s="792">
        <v>180</v>
      </c>
      <c r="H40" s="792">
        <v>180</v>
      </c>
    </row>
    <row r="41" spans="3:8" ht="24.75" customHeight="1" thickBot="1" x14ac:dyDescent="0.3">
      <c r="C41" s="798" t="s">
        <v>324</v>
      </c>
      <c r="D41" s="799"/>
      <c r="E41" s="800"/>
      <c r="F41" s="792"/>
      <c r="G41" s="792"/>
      <c r="H41" s="792"/>
    </row>
    <row r="42" spans="3:8" ht="15.75" thickBot="1" x14ac:dyDescent="0.3">
      <c r="C42" s="794" t="s">
        <v>326</v>
      </c>
      <c r="D42" s="795">
        <v>0.4</v>
      </c>
      <c r="E42" s="795">
        <v>0</v>
      </c>
      <c r="F42" s="795">
        <v>0</v>
      </c>
      <c r="G42" s="795">
        <v>0</v>
      </c>
      <c r="H42" s="795">
        <v>0</v>
      </c>
    </row>
    <row r="43" spans="3:8" ht="15.75" thickBot="1" x14ac:dyDescent="0.3">
      <c r="C43" s="794" t="s">
        <v>323</v>
      </c>
      <c r="D43" s="795">
        <v>0.6</v>
      </c>
      <c r="E43" s="795">
        <v>0.5</v>
      </c>
      <c r="F43" s="795">
        <v>0.5</v>
      </c>
      <c r="G43" s="795">
        <v>0.35</v>
      </c>
      <c r="H43" s="795">
        <v>0.25</v>
      </c>
    </row>
    <row r="44" spans="3:8" ht="15.75" thickBot="1" x14ac:dyDescent="0.3">
      <c r="C44" s="798" t="s">
        <v>327</v>
      </c>
      <c r="D44" s="799"/>
      <c r="E44" s="800"/>
      <c r="F44" s="792"/>
      <c r="G44" s="792"/>
      <c r="H44" s="792"/>
    </row>
    <row r="45" spans="3:8" ht="15.75" thickBot="1" x14ac:dyDescent="0.3">
      <c r="C45" s="794" t="s">
        <v>326</v>
      </c>
      <c r="D45" s="792">
        <v>5760</v>
      </c>
      <c r="E45" s="791" t="s">
        <v>1005</v>
      </c>
      <c r="F45" s="791" t="s">
        <v>1005</v>
      </c>
      <c r="G45" s="791" t="s">
        <v>1005</v>
      </c>
      <c r="H45" s="791" t="s">
        <v>1005</v>
      </c>
    </row>
    <row r="46" spans="3:8" ht="15.75" thickBot="1" x14ac:dyDescent="0.3">
      <c r="C46" s="794" t="s">
        <v>323</v>
      </c>
      <c r="D46" s="792">
        <v>8640</v>
      </c>
      <c r="E46" s="792">
        <v>9000</v>
      </c>
      <c r="F46" s="792">
        <v>7200</v>
      </c>
      <c r="G46" s="792">
        <v>15750</v>
      </c>
      <c r="H46" s="792">
        <v>6750</v>
      </c>
    </row>
    <row r="47" spans="3:8" ht="24.75" customHeight="1" thickBot="1" x14ac:dyDescent="0.3">
      <c r="C47" s="798" t="s">
        <v>328</v>
      </c>
      <c r="D47" s="799"/>
      <c r="E47" s="800"/>
      <c r="F47" s="792"/>
      <c r="G47" s="792"/>
      <c r="H47" s="792"/>
    </row>
    <row r="48" spans="3:8" ht="15.75" thickBot="1" x14ac:dyDescent="0.3">
      <c r="C48" s="794" t="s">
        <v>326</v>
      </c>
      <c r="D48" s="792">
        <v>750</v>
      </c>
      <c r="E48" s="792">
        <v>0</v>
      </c>
      <c r="F48" s="792">
        <v>0</v>
      </c>
      <c r="G48" s="792">
        <v>0</v>
      </c>
      <c r="H48" s="792">
        <v>0</v>
      </c>
    </row>
    <row r="49" spans="3:8" ht="15.75" thickBot="1" x14ac:dyDescent="0.3">
      <c r="C49" s="794" t="s">
        <v>323</v>
      </c>
      <c r="D49" s="792">
        <v>1000</v>
      </c>
      <c r="E49" s="792">
        <v>1500</v>
      </c>
      <c r="F49" s="792">
        <v>1250</v>
      </c>
      <c r="G49" s="792">
        <v>2000</v>
      </c>
      <c r="H49" s="792">
        <v>1000</v>
      </c>
    </row>
    <row r="50" spans="3:8" ht="24.75" thickBot="1" x14ac:dyDescent="0.3">
      <c r="C50" s="793" t="s">
        <v>1006</v>
      </c>
      <c r="D50" s="791">
        <v>129.6</v>
      </c>
      <c r="E50" s="792">
        <v>135</v>
      </c>
      <c r="F50" s="792">
        <v>90</v>
      </c>
      <c r="G50" s="792">
        <v>315</v>
      </c>
      <c r="H50" s="792">
        <v>67.5</v>
      </c>
    </row>
  </sheetData>
  <mergeCells count="16">
    <mergeCell ref="C41:E41"/>
    <mergeCell ref="C44:E44"/>
    <mergeCell ref="C47:E47"/>
    <mergeCell ref="C27:H27"/>
    <mergeCell ref="C30:H30"/>
    <mergeCell ref="C37:C38"/>
    <mergeCell ref="D37:D38"/>
    <mergeCell ref="F37:F38"/>
    <mergeCell ref="G37:G38"/>
    <mergeCell ref="H37:H38"/>
    <mergeCell ref="C20:C21"/>
    <mergeCell ref="D20:D21"/>
    <mergeCell ref="F20:F21"/>
    <mergeCell ref="G20:G21"/>
    <mergeCell ref="H20:H21"/>
    <mergeCell ref="C24:H24"/>
  </mergeCells>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12">
    <pageSetUpPr fitToPage="1"/>
  </sheetPr>
  <dimension ref="B2:BH47"/>
  <sheetViews>
    <sheetView showGridLines="0" workbookViewId="0">
      <selection activeCell="C13" sqref="C13"/>
    </sheetView>
  </sheetViews>
  <sheetFormatPr defaultRowHeight="15" x14ac:dyDescent="0.25"/>
  <cols>
    <col min="1" max="1" width="5.140625" customWidth="1"/>
    <col min="3" max="3" width="11.140625" bestFit="1" customWidth="1"/>
    <col min="4" max="4" width="12.5703125" style="448" customWidth="1"/>
    <col min="5" max="5" width="16.7109375" style="448" bestFit="1" customWidth="1"/>
    <col min="6" max="11" width="9.140625" style="448"/>
    <col min="12" max="12" width="15.85546875" style="448" bestFit="1" customWidth="1"/>
    <col min="13" max="14" width="9.140625" style="448"/>
    <col min="15" max="15" width="21.5703125" style="448" bestFit="1" customWidth="1"/>
    <col min="16" max="16" width="9.140625" style="448"/>
    <col min="17" max="17" width="11.140625" style="448" bestFit="1" customWidth="1"/>
    <col min="18" max="18" width="9.140625" style="448"/>
    <col min="19" max="19" width="15.85546875" style="448" bestFit="1" customWidth="1"/>
    <col min="20" max="20" width="18.42578125" style="448" bestFit="1" customWidth="1"/>
    <col min="21" max="47" width="9.140625" style="448"/>
    <col min="51" max="59" width="9.140625" style="448"/>
  </cols>
  <sheetData>
    <row r="2" spans="2:59" x14ac:dyDescent="0.25">
      <c r="B2" s="218" t="s">
        <v>788</v>
      </c>
      <c r="C2" s="218"/>
      <c r="D2" s="343"/>
      <c r="E2" s="343"/>
      <c r="F2" s="343"/>
      <c r="G2" s="343"/>
      <c r="H2" s="343"/>
      <c r="I2" s="343"/>
      <c r="J2" s="343"/>
      <c r="K2" s="343"/>
      <c r="L2" s="343"/>
      <c r="M2" s="343"/>
      <c r="N2" s="343"/>
      <c r="O2" s="343"/>
      <c r="P2" s="343"/>
      <c r="Q2" s="343"/>
      <c r="R2" s="343"/>
      <c r="S2" s="343"/>
      <c r="T2" s="343"/>
      <c r="U2" s="343"/>
      <c r="V2" s="343"/>
      <c r="W2" s="343"/>
      <c r="X2" s="343"/>
      <c r="Y2" s="343"/>
      <c r="Z2" s="343"/>
      <c r="AA2" s="343"/>
      <c r="AB2" s="343"/>
      <c r="AC2" s="343"/>
      <c r="AD2" s="343"/>
      <c r="AE2" s="343"/>
      <c r="AF2" s="343"/>
      <c r="AG2" s="343"/>
      <c r="AH2" s="343"/>
      <c r="AI2" s="343"/>
      <c r="AJ2" s="343"/>
      <c r="AK2" s="343"/>
      <c r="AL2" s="343"/>
      <c r="AM2" s="343"/>
      <c r="AN2" s="343"/>
      <c r="AO2" s="343"/>
      <c r="AP2" s="343"/>
      <c r="AQ2" s="343"/>
      <c r="AR2" s="343"/>
      <c r="AS2" s="343"/>
      <c r="AT2" s="343"/>
      <c r="AU2" s="343"/>
      <c r="AY2"/>
      <c r="AZ2"/>
      <c r="BA2"/>
      <c r="BB2"/>
      <c r="BC2"/>
      <c r="BD2"/>
      <c r="BE2"/>
      <c r="BF2"/>
      <c r="BG2"/>
    </row>
    <row r="3" spans="2:59" ht="15.75" thickBot="1" x14ac:dyDescent="0.3">
      <c r="AY3"/>
      <c r="AZ3"/>
      <c r="BA3"/>
      <c r="BB3"/>
      <c r="BC3"/>
      <c r="BD3"/>
      <c r="BE3"/>
      <c r="BF3"/>
      <c r="BG3"/>
    </row>
    <row r="4" spans="2:59" ht="15.75" thickBot="1" x14ac:dyDescent="0.3">
      <c r="B4" s="145" t="s">
        <v>594</v>
      </c>
      <c r="D4" s="608" t="s">
        <v>193</v>
      </c>
      <c r="E4" s="609"/>
      <c r="F4" s="609"/>
      <c r="G4" s="609"/>
      <c r="H4" s="609"/>
      <c r="I4" s="609"/>
      <c r="J4" s="609"/>
      <c r="K4" s="609"/>
      <c r="L4" s="609"/>
      <c r="M4" s="609"/>
      <c r="N4" s="609"/>
      <c r="O4" s="609"/>
      <c r="P4" s="609"/>
      <c r="Q4" s="609"/>
      <c r="R4" s="609"/>
      <c r="S4" s="609"/>
      <c r="T4" s="609"/>
      <c r="U4" s="609"/>
      <c r="V4" s="609"/>
      <c r="W4" s="609"/>
      <c r="X4" s="609"/>
      <c r="Y4" s="609"/>
      <c r="Z4" s="609"/>
      <c r="AA4" s="609"/>
      <c r="AB4" s="609"/>
      <c r="AC4" s="609"/>
      <c r="AD4" s="609"/>
      <c r="AE4" s="609"/>
      <c r="AF4" s="609"/>
      <c r="AG4" s="609"/>
      <c r="AH4" s="609"/>
      <c r="AI4" s="609"/>
      <c r="AJ4" s="609"/>
      <c r="AK4" s="609"/>
      <c r="AL4" s="609"/>
      <c r="AM4" s="609"/>
      <c r="AN4" s="609"/>
      <c r="AO4" s="609"/>
      <c r="AP4" s="609"/>
      <c r="AQ4" s="609"/>
      <c r="AR4" s="609"/>
      <c r="AS4" s="609"/>
      <c r="AT4" s="609"/>
      <c r="AU4" s="609"/>
      <c r="AY4"/>
      <c r="AZ4"/>
      <c r="BA4"/>
      <c r="BB4"/>
      <c r="BC4"/>
      <c r="BD4"/>
      <c r="BE4"/>
      <c r="BF4"/>
      <c r="BG4"/>
    </row>
    <row r="5" spans="2:59" ht="11.25" customHeight="1" thickBot="1" x14ac:dyDescent="0.3"/>
    <row r="6" spans="2:59" ht="15.75" thickBot="1" x14ac:dyDescent="0.3">
      <c r="D6" s="746">
        <v>2025</v>
      </c>
      <c r="E6" s="747"/>
      <c r="F6" s="747"/>
      <c r="G6" s="748"/>
      <c r="H6" s="746">
        <v>2026</v>
      </c>
      <c r="I6" s="747"/>
      <c r="J6" s="747"/>
      <c r="K6" s="748"/>
      <c r="L6" s="746">
        <v>2027</v>
      </c>
      <c r="M6" s="747"/>
      <c r="N6" s="747"/>
      <c r="O6" s="748"/>
      <c r="P6" s="746">
        <v>2028</v>
      </c>
      <c r="Q6" s="747"/>
      <c r="R6" s="747"/>
      <c r="S6" s="748"/>
      <c r="T6" s="746">
        <v>2029</v>
      </c>
      <c r="U6" s="747"/>
      <c r="V6" s="747"/>
      <c r="W6" s="748"/>
      <c r="X6" s="746">
        <v>2030</v>
      </c>
      <c r="Y6" s="747"/>
      <c r="Z6" s="747"/>
      <c r="AA6" s="748"/>
      <c r="AB6" s="746">
        <v>2031</v>
      </c>
      <c r="AC6" s="747"/>
      <c r="AD6" s="747"/>
      <c r="AE6" s="748"/>
      <c r="AF6" s="746">
        <v>2032</v>
      </c>
      <c r="AG6" s="747"/>
      <c r="AH6" s="747"/>
      <c r="AI6" s="748"/>
      <c r="AJ6" s="746">
        <v>2033</v>
      </c>
      <c r="AK6" s="747"/>
      <c r="AL6" s="747"/>
      <c r="AM6" s="748"/>
      <c r="AN6" s="746">
        <v>2034</v>
      </c>
      <c r="AO6" s="747"/>
      <c r="AP6" s="747"/>
      <c r="AQ6" s="748"/>
      <c r="AR6" s="746">
        <v>2035</v>
      </c>
      <c r="AS6" s="747"/>
      <c r="AT6" s="747"/>
      <c r="AU6" s="748"/>
      <c r="AY6"/>
      <c r="AZ6"/>
      <c r="BA6"/>
      <c r="BB6"/>
      <c r="BC6"/>
      <c r="BD6"/>
      <c r="BE6"/>
      <c r="BF6"/>
      <c r="BG6"/>
    </row>
    <row r="7" spans="2:59" x14ac:dyDescent="0.25">
      <c r="D7" s="614" t="s">
        <v>192</v>
      </c>
      <c r="E7" s="523" t="s">
        <v>114</v>
      </c>
      <c r="F7" s="523" t="s">
        <v>194</v>
      </c>
      <c r="G7" s="524" t="s">
        <v>31</v>
      </c>
      <c r="H7" s="523" t="s">
        <v>192</v>
      </c>
      <c r="I7" s="522" t="s">
        <v>114</v>
      </c>
      <c r="J7" s="523" t="s">
        <v>194</v>
      </c>
      <c r="K7" s="524" t="s">
        <v>31</v>
      </c>
      <c r="L7" s="523" t="s">
        <v>192</v>
      </c>
      <c r="M7" s="522" t="s">
        <v>114</v>
      </c>
      <c r="N7" s="523" t="s">
        <v>194</v>
      </c>
      <c r="O7" s="524" t="s">
        <v>31</v>
      </c>
      <c r="P7" s="522" t="s">
        <v>114</v>
      </c>
      <c r="Q7" s="523" t="s">
        <v>194</v>
      </c>
      <c r="R7" s="523" t="s">
        <v>802</v>
      </c>
      <c r="S7" s="524" t="s">
        <v>31</v>
      </c>
      <c r="T7" s="522" t="s">
        <v>114</v>
      </c>
      <c r="U7" s="523" t="s">
        <v>194</v>
      </c>
      <c r="V7" s="523" t="s">
        <v>802</v>
      </c>
      <c r="W7" s="524" t="s">
        <v>31</v>
      </c>
      <c r="X7" s="522" t="s">
        <v>114</v>
      </c>
      <c r="Y7" s="523" t="s">
        <v>194</v>
      </c>
      <c r="Z7" s="523" t="s">
        <v>802</v>
      </c>
      <c r="AA7" s="524" t="s">
        <v>31</v>
      </c>
      <c r="AB7" s="522" t="s">
        <v>114</v>
      </c>
      <c r="AC7" s="523" t="s">
        <v>194</v>
      </c>
      <c r="AD7" s="523" t="s">
        <v>802</v>
      </c>
      <c r="AE7" s="524" t="s">
        <v>31</v>
      </c>
      <c r="AF7" s="522" t="s">
        <v>114</v>
      </c>
      <c r="AG7" s="523" t="s">
        <v>194</v>
      </c>
      <c r="AH7" s="523" t="s">
        <v>802</v>
      </c>
      <c r="AI7" s="524" t="s">
        <v>31</v>
      </c>
      <c r="AJ7" s="522" t="s">
        <v>114</v>
      </c>
      <c r="AK7" s="523" t="s">
        <v>194</v>
      </c>
      <c r="AL7" s="523" t="s">
        <v>802</v>
      </c>
      <c r="AM7" s="524" t="s">
        <v>31</v>
      </c>
      <c r="AN7" s="522" t="s">
        <v>114</v>
      </c>
      <c r="AO7" s="523" t="s">
        <v>194</v>
      </c>
      <c r="AP7" s="523" t="s">
        <v>802</v>
      </c>
      <c r="AQ7" s="524" t="s">
        <v>31</v>
      </c>
      <c r="AR7" s="522" t="s">
        <v>114</v>
      </c>
      <c r="AS7" s="523" t="s">
        <v>194</v>
      </c>
      <c r="AT7" s="523" t="s">
        <v>802</v>
      </c>
      <c r="AU7" s="524" t="s">
        <v>31</v>
      </c>
      <c r="AY7"/>
      <c r="AZ7"/>
      <c r="BA7"/>
      <c r="BB7"/>
      <c r="BC7"/>
      <c r="BD7"/>
      <c r="BE7"/>
      <c r="BF7"/>
      <c r="BG7"/>
    </row>
    <row r="8" spans="2:59" x14ac:dyDescent="0.25">
      <c r="B8">
        <v>10000</v>
      </c>
      <c r="C8" s="1" t="s">
        <v>75</v>
      </c>
      <c r="D8" s="615"/>
      <c r="E8" s="613"/>
      <c r="F8" s="525"/>
      <c r="G8" s="460">
        <f>E8*0.09/12</f>
        <v>0</v>
      </c>
      <c r="H8" s="391">
        <v>75</v>
      </c>
      <c r="I8" s="459">
        <f>E19+H8</f>
        <v>775</v>
      </c>
      <c r="J8" s="525"/>
      <c r="K8" s="539">
        <f t="shared" ref="K8:K19" si="0">I8*$E$27</f>
        <v>6.458333333333333</v>
      </c>
      <c r="L8" s="391">
        <v>100</v>
      </c>
      <c r="M8" s="459">
        <f>I19+L8</f>
        <v>1800</v>
      </c>
      <c r="N8" s="451">
        <v>0</v>
      </c>
      <c r="O8" s="539">
        <f>M8*$E$27</f>
        <v>15</v>
      </c>
      <c r="P8" s="459">
        <f>M19-N19</f>
        <v>2000</v>
      </c>
      <c r="Q8" s="451">
        <v>0</v>
      </c>
      <c r="R8" s="526">
        <f>+P8-Q8</f>
        <v>2000</v>
      </c>
      <c r="S8" s="539">
        <f t="shared" ref="S8:S19" si="1">P8*$E$27</f>
        <v>16.666666666666668</v>
      </c>
      <c r="T8" s="459">
        <f>P19-Q19</f>
        <v>1940</v>
      </c>
      <c r="U8" s="451">
        <v>10</v>
      </c>
      <c r="V8" s="526">
        <f t="shared" ref="V8:V19" si="2">+T8-U8</f>
        <v>1930</v>
      </c>
      <c r="W8" s="539">
        <f t="shared" ref="W8:W19" si="3">T8*$E$27</f>
        <v>16.166666666666668</v>
      </c>
      <c r="X8" s="459">
        <f>T19-U19</f>
        <v>1790</v>
      </c>
      <c r="Y8" s="451">
        <v>15</v>
      </c>
      <c r="Z8" s="526">
        <f t="shared" ref="Z8:Z19" si="4">+X8-Y8</f>
        <v>1775</v>
      </c>
      <c r="AA8" s="460">
        <f t="shared" ref="AA8:AA19" si="5">(X8)*$E$27</f>
        <v>14.916666666666666</v>
      </c>
      <c r="AB8" s="459">
        <f>X19-Y19</f>
        <v>1610</v>
      </c>
      <c r="AC8" s="451">
        <v>15</v>
      </c>
      <c r="AD8" s="526">
        <f t="shared" ref="AD8:AD19" si="6">+AB8-AC8</f>
        <v>1595</v>
      </c>
      <c r="AE8" s="460">
        <f t="shared" ref="AE8:AE18" si="7">(AB8)*$E$27</f>
        <v>13.416666666666666</v>
      </c>
      <c r="AF8" s="459">
        <f>AB19-AC19</f>
        <v>1356.0200000000004</v>
      </c>
      <c r="AG8" s="451">
        <v>30</v>
      </c>
      <c r="AH8" s="526">
        <f t="shared" ref="AH8:AH19" si="8">+AF8-AG8</f>
        <v>1326.0200000000004</v>
      </c>
      <c r="AI8" s="460">
        <f t="shared" ref="AI8:AI19" si="9">(AF8)*$E$27</f>
        <v>11.300166666666669</v>
      </c>
      <c r="AJ8" s="459">
        <f>AF19-AG19</f>
        <v>996.02000000000044</v>
      </c>
      <c r="AK8" s="451">
        <v>30</v>
      </c>
      <c r="AL8" s="526">
        <f t="shared" ref="AL8:AL19" si="10">+AJ8-AK8</f>
        <v>966.02000000000044</v>
      </c>
      <c r="AM8" s="460">
        <f t="shared" ref="AM8:AM19" si="11">(AJ8)*$E$27</f>
        <v>8.3001666666666694</v>
      </c>
      <c r="AN8" s="459">
        <f>AJ19-AK19</f>
        <v>636.02000000000044</v>
      </c>
      <c r="AO8" s="451">
        <v>35</v>
      </c>
      <c r="AP8" s="526">
        <f t="shared" ref="AP8:AP19" si="12">+AN8-AO8</f>
        <v>601.02000000000044</v>
      </c>
      <c r="AQ8" s="460">
        <f t="shared" ref="AQ8:AQ19" si="13">(AN8)*$E$27</f>
        <v>5.3001666666666702</v>
      </c>
      <c r="AR8" s="459">
        <f>AN19-AO19</f>
        <v>216.02000000000044</v>
      </c>
      <c r="AS8" s="451">
        <v>35</v>
      </c>
      <c r="AT8" s="526">
        <f t="shared" ref="AT8:AT13" si="14">+AR8-AS8</f>
        <v>181.02000000000044</v>
      </c>
      <c r="AU8" s="460">
        <f t="shared" ref="AU8:AU13" si="15">(AR8)*$E$27</f>
        <v>1.8001666666666702</v>
      </c>
      <c r="AY8"/>
      <c r="AZ8"/>
      <c r="BA8"/>
      <c r="BB8"/>
      <c r="BC8"/>
      <c r="BD8"/>
      <c r="BE8"/>
      <c r="BF8"/>
      <c r="BG8"/>
    </row>
    <row r="9" spans="2:59" x14ac:dyDescent="0.25">
      <c r="C9" s="1" t="s">
        <v>76</v>
      </c>
      <c r="D9" s="615"/>
      <c r="E9" s="613"/>
      <c r="F9" s="525"/>
      <c r="G9" s="460">
        <f t="shared" ref="G9:G13" si="16">E9*0.09/12</f>
        <v>0</v>
      </c>
      <c r="H9" s="391">
        <v>75</v>
      </c>
      <c r="I9" s="459">
        <f>I8+H9</f>
        <v>850</v>
      </c>
      <c r="J9" s="525"/>
      <c r="K9" s="539">
        <f t="shared" si="0"/>
        <v>7.083333333333333</v>
      </c>
      <c r="L9" s="391">
        <v>100</v>
      </c>
      <c r="M9" s="459">
        <f>M8+L9</f>
        <v>1900</v>
      </c>
      <c r="N9" s="451">
        <v>0</v>
      </c>
      <c r="O9" s="539">
        <f t="shared" ref="O9:O19" si="17">M9*$E$27</f>
        <v>15.833333333333334</v>
      </c>
      <c r="P9" s="459">
        <f>P8-Q8</f>
        <v>2000</v>
      </c>
      <c r="Q9" s="451">
        <v>0</v>
      </c>
      <c r="R9" s="526">
        <f t="shared" ref="R9:R19" si="18">+P9-Q9</f>
        <v>2000</v>
      </c>
      <c r="S9" s="539">
        <f t="shared" si="1"/>
        <v>16.666666666666668</v>
      </c>
      <c r="T9" s="459">
        <f>T8-U8</f>
        <v>1930</v>
      </c>
      <c r="U9" s="451">
        <v>10</v>
      </c>
      <c r="V9" s="526">
        <f t="shared" si="2"/>
        <v>1920</v>
      </c>
      <c r="W9" s="539">
        <f t="shared" si="3"/>
        <v>16.083333333333332</v>
      </c>
      <c r="X9" s="459">
        <f>X8-Y8</f>
        <v>1775</v>
      </c>
      <c r="Y9" s="451">
        <v>15</v>
      </c>
      <c r="Z9" s="526">
        <f t="shared" si="4"/>
        <v>1760</v>
      </c>
      <c r="AA9" s="460">
        <f t="shared" si="5"/>
        <v>14.791666666666666</v>
      </c>
      <c r="AB9" s="459">
        <f>AB8-AC8</f>
        <v>1595</v>
      </c>
      <c r="AC9" s="451">
        <v>15</v>
      </c>
      <c r="AD9" s="526">
        <f t="shared" si="6"/>
        <v>1580</v>
      </c>
      <c r="AE9" s="460">
        <f t="shared" si="7"/>
        <v>13.291666666666666</v>
      </c>
      <c r="AF9" s="459">
        <f>AF8-AG8</f>
        <v>1326.0200000000004</v>
      </c>
      <c r="AG9" s="451">
        <v>30</v>
      </c>
      <c r="AH9" s="526">
        <f t="shared" si="8"/>
        <v>1296.0200000000004</v>
      </c>
      <c r="AI9" s="460">
        <f t="shared" si="9"/>
        <v>11.050166666666669</v>
      </c>
      <c r="AJ9" s="459">
        <f>AJ8-AK8</f>
        <v>966.02000000000044</v>
      </c>
      <c r="AK9" s="451">
        <v>30</v>
      </c>
      <c r="AL9" s="526">
        <f t="shared" si="10"/>
        <v>936.02000000000044</v>
      </c>
      <c r="AM9" s="460">
        <f t="shared" si="11"/>
        <v>8.0501666666666694</v>
      </c>
      <c r="AN9" s="459">
        <f>AN8-AO8</f>
        <v>601.02000000000044</v>
      </c>
      <c r="AO9" s="451">
        <v>35</v>
      </c>
      <c r="AP9" s="526">
        <f t="shared" si="12"/>
        <v>566.02000000000044</v>
      </c>
      <c r="AQ9" s="460">
        <f t="shared" si="13"/>
        <v>5.0085000000000033</v>
      </c>
      <c r="AR9" s="459">
        <f>AR8-AS8</f>
        <v>181.02000000000044</v>
      </c>
      <c r="AS9" s="451">
        <v>35</v>
      </c>
      <c r="AT9" s="526">
        <f t="shared" si="14"/>
        <v>146.02000000000044</v>
      </c>
      <c r="AU9" s="460">
        <f t="shared" si="15"/>
        <v>1.5085000000000037</v>
      </c>
      <c r="AY9"/>
      <c r="AZ9"/>
      <c r="BA9"/>
      <c r="BB9"/>
      <c r="BC9"/>
      <c r="BD9"/>
      <c r="BE9"/>
      <c r="BF9"/>
      <c r="BG9"/>
    </row>
    <row r="10" spans="2:59" x14ac:dyDescent="0.25">
      <c r="C10" s="1" t="s">
        <v>77</v>
      </c>
      <c r="D10" s="615"/>
      <c r="E10" s="613"/>
      <c r="F10" s="525"/>
      <c r="G10" s="460">
        <f t="shared" si="16"/>
        <v>0</v>
      </c>
      <c r="H10" s="391">
        <v>75</v>
      </c>
      <c r="I10" s="459">
        <f t="shared" ref="I10:I19" si="19">I9+H10</f>
        <v>925</v>
      </c>
      <c r="J10" s="525"/>
      <c r="K10" s="539">
        <f t="shared" si="0"/>
        <v>7.708333333333333</v>
      </c>
      <c r="L10" s="391">
        <v>100</v>
      </c>
      <c r="M10" s="459">
        <f>M9+L10</f>
        <v>2000</v>
      </c>
      <c r="N10" s="451">
        <v>0</v>
      </c>
      <c r="O10" s="539">
        <f t="shared" si="17"/>
        <v>16.666666666666668</v>
      </c>
      <c r="P10" s="459">
        <f t="shared" ref="P10:P19" si="20">P9-Q9</f>
        <v>2000</v>
      </c>
      <c r="Q10" s="451">
        <v>0</v>
      </c>
      <c r="R10" s="526">
        <f t="shared" si="18"/>
        <v>2000</v>
      </c>
      <c r="S10" s="539">
        <f t="shared" si="1"/>
        <v>16.666666666666668</v>
      </c>
      <c r="T10" s="459">
        <f t="shared" ref="T10:T19" si="21">T9-U9</f>
        <v>1920</v>
      </c>
      <c r="U10" s="451">
        <v>10</v>
      </c>
      <c r="V10" s="526">
        <f t="shared" si="2"/>
        <v>1910</v>
      </c>
      <c r="W10" s="539">
        <f t="shared" si="3"/>
        <v>16</v>
      </c>
      <c r="X10" s="459">
        <f t="shared" ref="X10:X19" si="22">X9-Y9</f>
        <v>1760</v>
      </c>
      <c r="Y10" s="451">
        <v>15</v>
      </c>
      <c r="Z10" s="526">
        <f t="shared" si="4"/>
        <v>1745</v>
      </c>
      <c r="AA10" s="460">
        <f t="shared" si="5"/>
        <v>14.666666666666666</v>
      </c>
      <c r="AB10" s="459">
        <f t="shared" ref="AB10:AB19" si="23">AB9-AC9</f>
        <v>1580</v>
      </c>
      <c r="AC10" s="451">
        <v>15</v>
      </c>
      <c r="AD10" s="526">
        <f t="shared" si="6"/>
        <v>1565</v>
      </c>
      <c r="AE10" s="460">
        <f t="shared" si="7"/>
        <v>13.166666666666666</v>
      </c>
      <c r="AF10" s="459">
        <f t="shared" ref="AF10:AF19" si="24">AF9-AG9</f>
        <v>1296.0200000000004</v>
      </c>
      <c r="AG10" s="451">
        <v>30</v>
      </c>
      <c r="AH10" s="526">
        <f t="shared" si="8"/>
        <v>1266.0200000000004</v>
      </c>
      <c r="AI10" s="460">
        <f t="shared" si="9"/>
        <v>10.800166666666669</v>
      </c>
      <c r="AJ10" s="459">
        <f t="shared" ref="AJ10:AJ19" si="25">AJ9-AK9</f>
        <v>936.02000000000044</v>
      </c>
      <c r="AK10" s="451">
        <v>30</v>
      </c>
      <c r="AL10" s="526">
        <f t="shared" si="10"/>
        <v>906.02000000000044</v>
      </c>
      <c r="AM10" s="460">
        <f t="shared" si="11"/>
        <v>7.8001666666666702</v>
      </c>
      <c r="AN10" s="459">
        <f t="shared" ref="AN10:AN19" si="26">AN9-AO9</f>
        <v>566.02000000000044</v>
      </c>
      <c r="AO10" s="451">
        <v>35</v>
      </c>
      <c r="AP10" s="526">
        <f t="shared" si="12"/>
        <v>531.02000000000044</v>
      </c>
      <c r="AQ10" s="460">
        <f t="shared" si="13"/>
        <v>4.7168333333333372</v>
      </c>
      <c r="AR10" s="459">
        <f t="shared" ref="AR10:AR13" si="27">AR9-AS9</f>
        <v>146.02000000000044</v>
      </c>
      <c r="AS10" s="451">
        <v>35</v>
      </c>
      <c r="AT10" s="526">
        <f t="shared" si="14"/>
        <v>111.02000000000044</v>
      </c>
      <c r="AU10" s="460">
        <f t="shared" si="15"/>
        <v>1.216833333333337</v>
      </c>
      <c r="AY10"/>
      <c r="AZ10"/>
      <c r="BA10"/>
      <c r="BB10"/>
      <c r="BC10"/>
      <c r="BD10"/>
      <c r="BE10"/>
      <c r="BF10"/>
      <c r="BG10"/>
    </row>
    <row r="11" spans="2:59" x14ac:dyDescent="0.25">
      <c r="C11" s="1" t="s">
        <v>78</v>
      </c>
      <c r="D11" s="615"/>
      <c r="E11" s="613"/>
      <c r="F11" s="525"/>
      <c r="G11" s="460">
        <f t="shared" si="16"/>
        <v>0</v>
      </c>
      <c r="H11" s="391">
        <v>75</v>
      </c>
      <c r="I11" s="459">
        <f t="shared" si="19"/>
        <v>1000</v>
      </c>
      <c r="J11" s="525"/>
      <c r="K11" s="539">
        <f t="shared" si="0"/>
        <v>8.3333333333333339</v>
      </c>
      <c r="L11" s="527"/>
      <c r="M11" s="459">
        <f t="shared" ref="M11:M19" si="28">M10-N10</f>
        <v>2000</v>
      </c>
      <c r="N11" s="451">
        <v>0</v>
      </c>
      <c r="O11" s="539">
        <f t="shared" si="17"/>
        <v>16.666666666666668</v>
      </c>
      <c r="P11" s="459">
        <f t="shared" si="20"/>
        <v>2000</v>
      </c>
      <c r="Q11" s="451">
        <v>0</v>
      </c>
      <c r="R11" s="526">
        <f t="shared" si="18"/>
        <v>2000</v>
      </c>
      <c r="S11" s="539">
        <f t="shared" si="1"/>
        <v>16.666666666666668</v>
      </c>
      <c r="T11" s="459">
        <f t="shared" si="21"/>
        <v>1910</v>
      </c>
      <c r="U11" s="451">
        <v>10</v>
      </c>
      <c r="V11" s="526">
        <f t="shared" si="2"/>
        <v>1900</v>
      </c>
      <c r="W11" s="539">
        <f t="shared" si="3"/>
        <v>15.916666666666666</v>
      </c>
      <c r="X11" s="459">
        <f t="shared" si="22"/>
        <v>1745</v>
      </c>
      <c r="Y11" s="451">
        <v>15</v>
      </c>
      <c r="Z11" s="526">
        <f t="shared" si="4"/>
        <v>1730</v>
      </c>
      <c r="AA11" s="460">
        <f t="shared" si="5"/>
        <v>14.541666666666666</v>
      </c>
      <c r="AB11" s="459">
        <f t="shared" si="23"/>
        <v>1565</v>
      </c>
      <c r="AC11" s="451">
        <v>15</v>
      </c>
      <c r="AD11" s="526">
        <f t="shared" si="6"/>
        <v>1550</v>
      </c>
      <c r="AE11" s="460">
        <f t="shared" si="7"/>
        <v>13.041666666666666</v>
      </c>
      <c r="AF11" s="459">
        <f t="shared" si="24"/>
        <v>1266.0200000000004</v>
      </c>
      <c r="AG11" s="451">
        <v>30</v>
      </c>
      <c r="AH11" s="526">
        <f t="shared" si="8"/>
        <v>1236.0200000000004</v>
      </c>
      <c r="AI11" s="460">
        <f t="shared" si="9"/>
        <v>10.550166666666669</v>
      </c>
      <c r="AJ11" s="459">
        <f t="shared" si="25"/>
        <v>906.02000000000044</v>
      </c>
      <c r="AK11" s="451">
        <v>30</v>
      </c>
      <c r="AL11" s="526">
        <f t="shared" si="10"/>
        <v>876.02000000000044</v>
      </c>
      <c r="AM11" s="460">
        <f t="shared" si="11"/>
        <v>7.5501666666666702</v>
      </c>
      <c r="AN11" s="459">
        <f t="shared" si="26"/>
        <v>531.02000000000044</v>
      </c>
      <c r="AO11" s="451">
        <v>35</v>
      </c>
      <c r="AP11" s="526">
        <f t="shared" si="12"/>
        <v>496.02000000000044</v>
      </c>
      <c r="AQ11" s="460">
        <f t="shared" si="13"/>
        <v>4.4251666666666702</v>
      </c>
      <c r="AR11" s="459">
        <f t="shared" si="27"/>
        <v>111.02000000000044</v>
      </c>
      <c r="AS11" s="451">
        <v>35</v>
      </c>
      <c r="AT11" s="526">
        <f t="shared" si="14"/>
        <v>76.020000000000437</v>
      </c>
      <c r="AU11" s="460">
        <f t="shared" si="15"/>
        <v>0.92516666666667025</v>
      </c>
      <c r="AY11"/>
      <c r="AZ11"/>
      <c r="BA11"/>
      <c r="BB11"/>
      <c r="BC11"/>
      <c r="BD11"/>
      <c r="BE11"/>
      <c r="BF11"/>
      <c r="BG11"/>
    </row>
    <row r="12" spans="2:59" x14ac:dyDescent="0.25">
      <c r="C12" s="1" t="s">
        <v>79</v>
      </c>
      <c r="D12" s="615"/>
      <c r="E12" s="613"/>
      <c r="F12" s="525"/>
      <c r="G12" s="460">
        <f t="shared" si="16"/>
        <v>0</v>
      </c>
      <c r="H12" s="391">
        <v>75</v>
      </c>
      <c r="I12" s="459">
        <f t="shared" si="19"/>
        <v>1075</v>
      </c>
      <c r="J12" s="525"/>
      <c r="K12" s="539">
        <f t="shared" si="0"/>
        <v>8.9583333333333339</v>
      </c>
      <c r="L12" s="527"/>
      <c r="M12" s="459">
        <f t="shared" si="28"/>
        <v>2000</v>
      </c>
      <c r="N12" s="451">
        <v>0</v>
      </c>
      <c r="O12" s="539">
        <f t="shared" si="17"/>
        <v>16.666666666666668</v>
      </c>
      <c r="P12" s="459">
        <f t="shared" si="20"/>
        <v>2000</v>
      </c>
      <c r="Q12" s="451">
        <v>0</v>
      </c>
      <c r="R12" s="526">
        <f t="shared" si="18"/>
        <v>2000</v>
      </c>
      <c r="S12" s="539">
        <f t="shared" si="1"/>
        <v>16.666666666666668</v>
      </c>
      <c r="T12" s="459">
        <f t="shared" si="21"/>
        <v>1900</v>
      </c>
      <c r="U12" s="451">
        <v>10</v>
      </c>
      <c r="V12" s="526">
        <f t="shared" si="2"/>
        <v>1890</v>
      </c>
      <c r="W12" s="539">
        <f t="shared" si="3"/>
        <v>15.833333333333334</v>
      </c>
      <c r="X12" s="459">
        <f t="shared" si="22"/>
        <v>1730</v>
      </c>
      <c r="Y12" s="451">
        <v>15</v>
      </c>
      <c r="Z12" s="526">
        <f t="shared" si="4"/>
        <v>1715</v>
      </c>
      <c r="AA12" s="460">
        <f t="shared" si="5"/>
        <v>14.416666666666666</v>
      </c>
      <c r="AB12" s="459">
        <f t="shared" si="23"/>
        <v>1550</v>
      </c>
      <c r="AC12" s="451">
        <v>15</v>
      </c>
      <c r="AD12" s="526">
        <f t="shared" si="6"/>
        <v>1535</v>
      </c>
      <c r="AE12" s="460">
        <f t="shared" si="7"/>
        <v>12.916666666666666</v>
      </c>
      <c r="AF12" s="459">
        <f t="shared" si="24"/>
        <v>1236.0200000000004</v>
      </c>
      <c r="AG12" s="451">
        <v>30</v>
      </c>
      <c r="AH12" s="526">
        <f t="shared" si="8"/>
        <v>1206.0200000000004</v>
      </c>
      <c r="AI12" s="460">
        <f t="shared" si="9"/>
        <v>10.300166666666669</v>
      </c>
      <c r="AJ12" s="459">
        <f t="shared" si="25"/>
        <v>876.02000000000044</v>
      </c>
      <c r="AK12" s="451">
        <v>30</v>
      </c>
      <c r="AL12" s="526">
        <f t="shared" si="10"/>
        <v>846.02000000000044</v>
      </c>
      <c r="AM12" s="460">
        <f t="shared" si="11"/>
        <v>7.3001666666666702</v>
      </c>
      <c r="AN12" s="459">
        <f t="shared" si="26"/>
        <v>496.02000000000044</v>
      </c>
      <c r="AO12" s="451">
        <v>35</v>
      </c>
      <c r="AP12" s="526">
        <f t="shared" si="12"/>
        <v>461.02000000000044</v>
      </c>
      <c r="AQ12" s="460">
        <f t="shared" si="13"/>
        <v>4.1335000000000033</v>
      </c>
      <c r="AR12" s="459">
        <f t="shared" si="27"/>
        <v>76.020000000000437</v>
      </c>
      <c r="AS12" s="451">
        <v>35</v>
      </c>
      <c r="AT12" s="526">
        <f t="shared" si="14"/>
        <v>41.020000000000437</v>
      </c>
      <c r="AU12" s="460">
        <f t="shared" si="15"/>
        <v>0.63350000000000362</v>
      </c>
      <c r="AY12"/>
      <c r="AZ12"/>
      <c r="BA12"/>
      <c r="BB12"/>
      <c r="BC12"/>
      <c r="BD12"/>
      <c r="BE12"/>
      <c r="BF12"/>
      <c r="BG12"/>
    </row>
    <row r="13" spans="2:59" x14ac:dyDescent="0.25">
      <c r="C13" s="1" t="s">
        <v>80</v>
      </c>
      <c r="D13" s="616"/>
      <c r="E13" s="613"/>
      <c r="F13" s="525"/>
      <c r="G13" s="460">
        <f t="shared" si="16"/>
        <v>0</v>
      </c>
      <c r="H13" s="391">
        <v>75</v>
      </c>
      <c r="I13" s="459">
        <f t="shared" si="19"/>
        <v>1150</v>
      </c>
      <c r="J13" s="525"/>
      <c r="K13" s="539">
        <f t="shared" si="0"/>
        <v>9.5833333333333339</v>
      </c>
      <c r="L13" s="527"/>
      <c r="M13" s="776">
        <f t="shared" si="28"/>
        <v>2000</v>
      </c>
      <c r="N13" s="777">
        <v>0</v>
      </c>
      <c r="O13" s="778">
        <f t="shared" si="17"/>
        <v>16.666666666666668</v>
      </c>
      <c r="P13" s="459">
        <f t="shared" si="20"/>
        <v>2000</v>
      </c>
      <c r="Q13" s="451">
        <v>0</v>
      </c>
      <c r="R13" s="526">
        <f t="shared" si="18"/>
        <v>2000</v>
      </c>
      <c r="S13" s="539">
        <f t="shared" si="1"/>
        <v>16.666666666666668</v>
      </c>
      <c r="T13" s="459">
        <f t="shared" si="21"/>
        <v>1890</v>
      </c>
      <c r="U13" s="451">
        <v>10</v>
      </c>
      <c r="V13" s="526">
        <f t="shared" si="2"/>
        <v>1880</v>
      </c>
      <c r="W13" s="539">
        <f t="shared" si="3"/>
        <v>15.75</v>
      </c>
      <c r="X13" s="459">
        <f t="shared" si="22"/>
        <v>1715</v>
      </c>
      <c r="Y13" s="451">
        <v>15</v>
      </c>
      <c r="Z13" s="526">
        <f t="shared" si="4"/>
        <v>1700</v>
      </c>
      <c r="AA13" s="460">
        <f t="shared" si="5"/>
        <v>14.291666666666666</v>
      </c>
      <c r="AB13" s="459">
        <f t="shared" si="23"/>
        <v>1535</v>
      </c>
      <c r="AC13" s="451">
        <v>15</v>
      </c>
      <c r="AD13" s="526">
        <f t="shared" si="6"/>
        <v>1520</v>
      </c>
      <c r="AE13" s="460">
        <f t="shared" si="7"/>
        <v>12.791666666666666</v>
      </c>
      <c r="AF13" s="459">
        <f t="shared" si="24"/>
        <v>1206.0200000000004</v>
      </c>
      <c r="AG13" s="451">
        <v>30</v>
      </c>
      <c r="AH13" s="526">
        <f t="shared" si="8"/>
        <v>1176.0200000000004</v>
      </c>
      <c r="AI13" s="460">
        <f t="shared" si="9"/>
        <v>10.050166666666669</v>
      </c>
      <c r="AJ13" s="459">
        <f t="shared" si="25"/>
        <v>846.02000000000044</v>
      </c>
      <c r="AK13" s="451">
        <v>30</v>
      </c>
      <c r="AL13" s="526">
        <f t="shared" si="10"/>
        <v>816.02000000000044</v>
      </c>
      <c r="AM13" s="460">
        <f t="shared" si="11"/>
        <v>7.0501666666666702</v>
      </c>
      <c r="AN13" s="459">
        <f t="shared" si="26"/>
        <v>461.02000000000044</v>
      </c>
      <c r="AO13" s="451">
        <v>35</v>
      </c>
      <c r="AP13" s="526">
        <f t="shared" si="12"/>
        <v>426.02000000000044</v>
      </c>
      <c r="AQ13" s="460">
        <f t="shared" si="13"/>
        <v>3.8418333333333368</v>
      </c>
      <c r="AR13" s="459">
        <f t="shared" si="27"/>
        <v>41.020000000000437</v>
      </c>
      <c r="AS13" s="451">
        <f>+AR13</f>
        <v>41.020000000000437</v>
      </c>
      <c r="AT13" s="526">
        <f t="shared" si="14"/>
        <v>0</v>
      </c>
      <c r="AU13" s="460">
        <f t="shared" si="15"/>
        <v>0.34183333333333699</v>
      </c>
      <c r="AY13"/>
      <c r="AZ13"/>
      <c r="BA13"/>
      <c r="BB13"/>
      <c r="BC13"/>
      <c r="BD13"/>
      <c r="BE13"/>
      <c r="BF13"/>
      <c r="BG13"/>
    </row>
    <row r="14" spans="2:59" x14ac:dyDescent="0.25">
      <c r="C14" s="1" t="s">
        <v>81</v>
      </c>
      <c r="D14" s="616"/>
      <c r="E14" s="529">
        <f t="shared" ref="E14:E19" si="29">E13+D14</f>
        <v>0</v>
      </c>
      <c r="F14" s="525"/>
      <c r="G14" s="460">
        <f>E14*$E$27</f>
        <v>0</v>
      </c>
      <c r="H14" s="391">
        <v>75</v>
      </c>
      <c r="I14" s="459">
        <f t="shared" si="19"/>
        <v>1225</v>
      </c>
      <c r="J14" s="525"/>
      <c r="K14" s="539">
        <f t="shared" si="0"/>
        <v>10.208333333333334</v>
      </c>
      <c r="L14" s="527"/>
      <c r="M14" s="459">
        <f t="shared" si="28"/>
        <v>2000</v>
      </c>
      <c r="N14" s="451">
        <v>0</v>
      </c>
      <c r="O14" s="539">
        <f t="shared" si="17"/>
        <v>16.666666666666668</v>
      </c>
      <c r="P14" s="779">
        <f t="shared" si="20"/>
        <v>2000</v>
      </c>
      <c r="Q14" s="780">
        <v>10</v>
      </c>
      <c r="R14" s="781">
        <f t="shared" si="18"/>
        <v>1990</v>
      </c>
      <c r="S14" s="539">
        <f t="shared" si="1"/>
        <v>16.666666666666668</v>
      </c>
      <c r="T14" s="459">
        <f t="shared" si="21"/>
        <v>1880</v>
      </c>
      <c r="U14" s="451">
        <v>15</v>
      </c>
      <c r="V14" s="526">
        <f t="shared" si="2"/>
        <v>1865</v>
      </c>
      <c r="W14" s="539">
        <f t="shared" si="3"/>
        <v>15.666666666666666</v>
      </c>
      <c r="X14" s="459">
        <f t="shared" si="22"/>
        <v>1700</v>
      </c>
      <c r="Y14" s="451">
        <v>15</v>
      </c>
      <c r="Z14" s="526">
        <f t="shared" si="4"/>
        <v>1685</v>
      </c>
      <c r="AA14" s="460">
        <f t="shared" si="5"/>
        <v>14.166666666666666</v>
      </c>
      <c r="AB14" s="459">
        <f t="shared" si="23"/>
        <v>1520</v>
      </c>
      <c r="AC14" s="451">
        <v>27.33</v>
      </c>
      <c r="AD14" s="526">
        <f t="shared" si="6"/>
        <v>1492.67</v>
      </c>
      <c r="AE14" s="460">
        <f t="shared" si="7"/>
        <v>12.666666666666666</v>
      </c>
      <c r="AF14" s="459">
        <f t="shared" si="24"/>
        <v>1176.0200000000004</v>
      </c>
      <c r="AG14" s="451">
        <v>30</v>
      </c>
      <c r="AH14" s="526">
        <f t="shared" si="8"/>
        <v>1146.0200000000004</v>
      </c>
      <c r="AI14" s="460">
        <f t="shared" si="9"/>
        <v>9.8001666666666694</v>
      </c>
      <c r="AJ14" s="459">
        <f t="shared" si="25"/>
        <v>816.02000000000044</v>
      </c>
      <c r="AK14" s="451">
        <v>30</v>
      </c>
      <c r="AL14" s="526">
        <f t="shared" si="10"/>
        <v>786.02000000000044</v>
      </c>
      <c r="AM14" s="460">
        <f t="shared" si="11"/>
        <v>6.8001666666666702</v>
      </c>
      <c r="AN14" s="459">
        <f t="shared" si="26"/>
        <v>426.02000000000044</v>
      </c>
      <c r="AO14" s="451">
        <v>35</v>
      </c>
      <c r="AP14" s="526">
        <f t="shared" si="12"/>
        <v>391.02000000000044</v>
      </c>
      <c r="AQ14" s="460">
        <f t="shared" si="13"/>
        <v>3.5501666666666702</v>
      </c>
      <c r="AR14" s="459"/>
      <c r="AS14" s="451"/>
      <c r="AT14" s="526"/>
      <c r="AU14" s="460"/>
      <c r="AY14"/>
      <c r="AZ14"/>
      <c r="BA14"/>
      <c r="BB14"/>
      <c r="BC14"/>
      <c r="BD14"/>
      <c r="BE14"/>
      <c r="BF14"/>
      <c r="BG14"/>
    </row>
    <row r="15" spans="2:59" x14ac:dyDescent="0.25">
      <c r="C15" s="1" t="s">
        <v>82</v>
      </c>
      <c r="D15" s="611"/>
      <c r="E15" s="529">
        <f t="shared" si="29"/>
        <v>0</v>
      </c>
      <c r="F15" s="525"/>
      <c r="G15" s="460">
        <f t="shared" ref="G15:G19" si="30">E15*$E$27</f>
        <v>0</v>
      </c>
      <c r="H15" s="391">
        <v>75</v>
      </c>
      <c r="I15" s="459">
        <f t="shared" si="19"/>
        <v>1300</v>
      </c>
      <c r="J15" s="525"/>
      <c r="K15" s="539">
        <f t="shared" si="0"/>
        <v>10.833333333333334</v>
      </c>
      <c r="L15" s="527"/>
      <c r="M15" s="459">
        <f t="shared" si="28"/>
        <v>2000</v>
      </c>
      <c r="N15" s="451">
        <v>0</v>
      </c>
      <c r="O15" s="539">
        <f t="shared" si="17"/>
        <v>16.666666666666668</v>
      </c>
      <c r="P15" s="459">
        <f t="shared" si="20"/>
        <v>1990</v>
      </c>
      <c r="Q15" s="451">
        <v>10</v>
      </c>
      <c r="R15" s="526">
        <f t="shared" si="18"/>
        <v>1980</v>
      </c>
      <c r="S15" s="539">
        <f t="shared" si="1"/>
        <v>16.583333333333332</v>
      </c>
      <c r="T15" s="459">
        <f t="shared" si="21"/>
        <v>1865</v>
      </c>
      <c r="U15" s="451">
        <v>15</v>
      </c>
      <c r="V15" s="526">
        <f t="shared" si="2"/>
        <v>1850</v>
      </c>
      <c r="W15" s="539">
        <f t="shared" si="3"/>
        <v>15.541666666666666</v>
      </c>
      <c r="X15" s="459">
        <f t="shared" si="22"/>
        <v>1685</v>
      </c>
      <c r="Y15" s="451">
        <v>15</v>
      </c>
      <c r="Z15" s="526">
        <f t="shared" si="4"/>
        <v>1670</v>
      </c>
      <c r="AA15" s="460">
        <f t="shared" si="5"/>
        <v>14.041666666666666</v>
      </c>
      <c r="AB15" s="459">
        <f t="shared" si="23"/>
        <v>1492.67</v>
      </c>
      <c r="AC15" s="451">
        <v>27.33</v>
      </c>
      <c r="AD15" s="526">
        <f t="shared" si="6"/>
        <v>1465.3400000000001</v>
      </c>
      <c r="AE15" s="460">
        <f t="shared" si="7"/>
        <v>12.438916666666668</v>
      </c>
      <c r="AF15" s="459">
        <f t="shared" si="24"/>
        <v>1146.0200000000004</v>
      </c>
      <c r="AG15" s="451">
        <v>30</v>
      </c>
      <c r="AH15" s="526">
        <f t="shared" si="8"/>
        <v>1116.0200000000004</v>
      </c>
      <c r="AI15" s="460">
        <f t="shared" si="9"/>
        <v>9.5501666666666694</v>
      </c>
      <c r="AJ15" s="459">
        <f t="shared" si="25"/>
        <v>786.02000000000044</v>
      </c>
      <c r="AK15" s="451">
        <v>30</v>
      </c>
      <c r="AL15" s="526">
        <f t="shared" si="10"/>
        <v>756.02000000000044</v>
      </c>
      <c r="AM15" s="460">
        <f t="shared" si="11"/>
        <v>6.5501666666666702</v>
      </c>
      <c r="AN15" s="459">
        <f t="shared" si="26"/>
        <v>391.02000000000044</v>
      </c>
      <c r="AO15" s="451">
        <v>35</v>
      </c>
      <c r="AP15" s="526">
        <f t="shared" si="12"/>
        <v>356.02000000000044</v>
      </c>
      <c r="AQ15" s="460">
        <f t="shared" si="13"/>
        <v>3.2585000000000037</v>
      </c>
      <c r="AR15" s="459"/>
      <c r="AS15" s="451"/>
      <c r="AT15" s="526"/>
      <c r="AU15" s="460"/>
      <c r="AY15"/>
      <c r="AZ15"/>
      <c r="BA15"/>
      <c r="BB15"/>
      <c r="BC15"/>
      <c r="BD15"/>
      <c r="BE15"/>
      <c r="BF15"/>
      <c r="BG15"/>
    </row>
    <row r="16" spans="2:59" x14ac:dyDescent="0.25">
      <c r="C16" s="1" t="s">
        <v>83</v>
      </c>
      <c r="D16" s="611">
        <v>350</v>
      </c>
      <c r="E16" s="529">
        <f t="shared" si="29"/>
        <v>350</v>
      </c>
      <c r="F16" s="525"/>
      <c r="G16" s="460">
        <f>E16*$E$27</f>
        <v>2.9166666666666665</v>
      </c>
      <c r="H16" s="391">
        <v>75</v>
      </c>
      <c r="I16" s="459">
        <f t="shared" si="19"/>
        <v>1375</v>
      </c>
      <c r="J16" s="525"/>
      <c r="K16" s="539">
        <f t="shared" si="0"/>
        <v>11.458333333333334</v>
      </c>
      <c r="L16" s="527"/>
      <c r="M16" s="459">
        <f t="shared" si="28"/>
        <v>2000</v>
      </c>
      <c r="N16" s="451">
        <v>0</v>
      </c>
      <c r="O16" s="539">
        <f t="shared" si="17"/>
        <v>16.666666666666668</v>
      </c>
      <c r="P16" s="459">
        <f t="shared" si="20"/>
        <v>1980</v>
      </c>
      <c r="Q16" s="451">
        <v>10</v>
      </c>
      <c r="R16" s="526">
        <f t="shared" si="18"/>
        <v>1970</v>
      </c>
      <c r="S16" s="539">
        <f t="shared" si="1"/>
        <v>16.5</v>
      </c>
      <c r="T16" s="459">
        <f t="shared" si="21"/>
        <v>1850</v>
      </c>
      <c r="U16" s="451">
        <v>15</v>
      </c>
      <c r="V16" s="526">
        <f t="shared" si="2"/>
        <v>1835</v>
      </c>
      <c r="W16" s="539">
        <f t="shared" si="3"/>
        <v>15.416666666666666</v>
      </c>
      <c r="X16" s="459">
        <f t="shared" si="22"/>
        <v>1670</v>
      </c>
      <c r="Y16" s="451">
        <v>15</v>
      </c>
      <c r="Z16" s="526">
        <f t="shared" si="4"/>
        <v>1655</v>
      </c>
      <c r="AA16" s="460">
        <f t="shared" si="5"/>
        <v>13.916666666666666</v>
      </c>
      <c r="AB16" s="459">
        <f t="shared" si="23"/>
        <v>1465.3400000000001</v>
      </c>
      <c r="AC16" s="451">
        <v>27.33</v>
      </c>
      <c r="AD16" s="526">
        <f t="shared" si="6"/>
        <v>1438.0100000000002</v>
      </c>
      <c r="AE16" s="460">
        <f t="shared" si="7"/>
        <v>12.211166666666667</v>
      </c>
      <c r="AF16" s="459">
        <f t="shared" si="24"/>
        <v>1116.0200000000004</v>
      </c>
      <c r="AG16" s="451">
        <v>30</v>
      </c>
      <c r="AH16" s="526">
        <f t="shared" si="8"/>
        <v>1086.0200000000004</v>
      </c>
      <c r="AI16" s="460">
        <f t="shared" si="9"/>
        <v>9.3001666666666694</v>
      </c>
      <c r="AJ16" s="459">
        <f t="shared" si="25"/>
        <v>756.02000000000044</v>
      </c>
      <c r="AK16" s="451">
        <v>30</v>
      </c>
      <c r="AL16" s="526">
        <f t="shared" si="10"/>
        <v>726.02000000000044</v>
      </c>
      <c r="AM16" s="460">
        <f t="shared" si="11"/>
        <v>6.3001666666666702</v>
      </c>
      <c r="AN16" s="459">
        <f t="shared" si="26"/>
        <v>356.02000000000044</v>
      </c>
      <c r="AO16" s="451">
        <v>35</v>
      </c>
      <c r="AP16" s="526">
        <f t="shared" si="12"/>
        <v>321.02000000000044</v>
      </c>
      <c r="AQ16" s="460">
        <f t="shared" si="13"/>
        <v>2.9668333333333368</v>
      </c>
      <c r="AR16" s="459"/>
      <c r="AS16" s="451"/>
      <c r="AT16" s="526"/>
      <c r="AU16" s="460"/>
      <c r="AY16"/>
      <c r="AZ16"/>
      <c r="BA16"/>
      <c r="BB16"/>
      <c r="BC16"/>
      <c r="BD16"/>
      <c r="BE16"/>
      <c r="BF16"/>
      <c r="BG16"/>
    </row>
    <row r="17" spans="2:60" x14ac:dyDescent="0.25">
      <c r="C17" s="1" t="s">
        <v>84</v>
      </c>
      <c r="D17" s="611">
        <v>100</v>
      </c>
      <c r="E17" s="529">
        <f t="shared" si="29"/>
        <v>450</v>
      </c>
      <c r="F17" s="525"/>
      <c r="G17" s="460">
        <f t="shared" si="30"/>
        <v>3.75</v>
      </c>
      <c r="H17" s="391">
        <v>100</v>
      </c>
      <c r="I17" s="459">
        <f t="shared" si="19"/>
        <v>1475</v>
      </c>
      <c r="J17" s="525"/>
      <c r="K17" s="539">
        <f t="shared" si="0"/>
        <v>12.291666666666666</v>
      </c>
      <c r="L17" s="527"/>
      <c r="M17" s="459">
        <f t="shared" si="28"/>
        <v>2000</v>
      </c>
      <c r="N17" s="451">
        <v>0</v>
      </c>
      <c r="O17" s="539">
        <f t="shared" si="17"/>
        <v>16.666666666666668</v>
      </c>
      <c r="P17" s="459">
        <f t="shared" si="20"/>
        <v>1970</v>
      </c>
      <c r="Q17" s="451">
        <v>10</v>
      </c>
      <c r="R17" s="526">
        <f t="shared" si="18"/>
        <v>1960</v>
      </c>
      <c r="S17" s="539">
        <f t="shared" si="1"/>
        <v>16.416666666666668</v>
      </c>
      <c r="T17" s="459">
        <f t="shared" si="21"/>
        <v>1835</v>
      </c>
      <c r="U17" s="451">
        <v>15</v>
      </c>
      <c r="V17" s="526">
        <f t="shared" si="2"/>
        <v>1820</v>
      </c>
      <c r="W17" s="539">
        <f t="shared" si="3"/>
        <v>15.291666666666666</v>
      </c>
      <c r="X17" s="459">
        <f t="shared" si="22"/>
        <v>1655</v>
      </c>
      <c r="Y17" s="451">
        <v>15</v>
      </c>
      <c r="Z17" s="526">
        <f t="shared" si="4"/>
        <v>1640</v>
      </c>
      <c r="AA17" s="460">
        <f t="shared" si="5"/>
        <v>13.791666666666666</v>
      </c>
      <c r="AB17" s="459">
        <f t="shared" si="23"/>
        <v>1438.0100000000002</v>
      </c>
      <c r="AC17" s="451">
        <v>27.33</v>
      </c>
      <c r="AD17" s="526">
        <f t="shared" si="6"/>
        <v>1410.6800000000003</v>
      </c>
      <c r="AE17" s="460">
        <f t="shared" si="7"/>
        <v>11.983416666666669</v>
      </c>
      <c r="AF17" s="459">
        <f t="shared" si="24"/>
        <v>1086.0200000000004</v>
      </c>
      <c r="AG17" s="451">
        <v>30</v>
      </c>
      <c r="AH17" s="526">
        <f t="shared" si="8"/>
        <v>1056.0200000000004</v>
      </c>
      <c r="AI17" s="460">
        <f t="shared" si="9"/>
        <v>9.0501666666666694</v>
      </c>
      <c r="AJ17" s="459">
        <f t="shared" si="25"/>
        <v>726.02000000000044</v>
      </c>
      <c r="AK17" s="451">
        <v>30</v>
      </c>
      <c r="AL17" s="526">
        <f t="shared" si="10"/>
        <v>696.02000000000044</v>
      </c>
      <c r="AM17" s="460">
        <f t="shared" si="11"/>
        <v>6.0501666666666702</v>
      </c>
      <c r="AN17" s="459">
        <f t="shared" si="26"/>
        <v>321.02000000000044</v>
      </c>
      <c r="AO17" s="451">
        <v>35</v>
      </c>
      <c r="AP17" s="526">
        <f t="shared" si="12"/>
        <v>286.02000000000044</v>
      </c>
      <c r="AQ17" s="460">
        <f t="shared" si="13"/>
        <v>2.6751666666666702</v>
      </c>
      <c r="AR17" s="459"/>
      <c r="AS17" s="451"/>
      <c r="AT17" s="526"/>
      <c r="AU17" s="460"/>
      <c r="AY17"/>
      <c r="AZ17"/>
      <c r="BA17"/>
      <c r="BB17"/>
      <c r="BC17"/>
      <c r="BD17"/>
      <c r="BE17"/>
      <c r="BF17"/>
      <c r="BG17"/>
    </row>
    <row r="18" spans="2:60" x14ac:dyDescent="0.25">
      <c r="C18" s="1" t="s">
        <v>85</v>
      </c>
      <c r="D18" s="611">
        <v>100</v>
      </c>
      <c r="E18" s="529">
        <f t="shared" si="29"/>
        <v>550</v>
      </c>
      <c r="F18" s="525"/>
      <c r="G18" s="460">
        <f t="shared" si="30"/>
        <v>4.583333333333333</v>
      </c>
      <c r="H18" s="391">
        <v>100</v>
      </c>
      <c r="I18" s="459">
        <f t="shared" si="19"/>
        <v>1575</v>
      </c>
      <c r="J18" s="525"/>
      <c r="K18" s="539">
        <f t="shared" si="0"/>
        <v>13.125</v>
      </c>
      <c r="L18" s="527"/>
      <c r="M18" s="459">
        <f t="shared" si="28"/>
        <v>2000</v>
      </c>
      <c r="N18" s="451">
        <v>0</v>
      </c>
      <c r="O18" s="539">
        <f t="shared" si="17"/>
        <v>16.666666666666668</v>
      </c>
      <c r="P18" s="459">
        <f t="shared" si="20"/>
        <v>1960</v>
      </c>
      <c r="Q18" s="451">
        <v>10</v>
      </c>
      <c r="R18" s="526">
        <f t="shared" si="18"/>
        <v>1950</v>
      </c>
      <c r="S18" s="539">
        <f t="shared" si="1"/>
        <v>16.333333333333332</v>
      </c>
      <c r="T18" s="459">
        <f t="shared" si="21"/>
        <v>1820</v>
      </c>
      <c r="U18" s="451">
        <v>15</v>
      </c>
      <c r="V18" s="526">
        <f t="shared" si="2"/>
        <v>1805</v>
      </c>
      <c r="W18" s="539">
        <f t="shared" si="3"/>
        <v>15.166666666666666</v>
      </c>
      <c r="X18" s="459">
        <f t="shared" si="22"/>
        <v>1640</v>
      </c>
      <c r="Y18" s="451">
        <v>15</v>
      </c>
      <c r="Z18" s="526">
        <f t="shared" si="4"/>
        <v>1625</v>
      </c>
      <c r="AA18" s="460">
        <f t="shared" si="5"/>
        <v>13.666666666666666</v>
      </c>
      <c r="AB18" s="459">
        <f t="shared" si="23"/>
        <v>1410.6800000000003</v>
      </c>
      <c r="AC18" s="451">
        <v>27.33</v>
      </c>
      <c r="AD18" s="526">
        <f t="shared" si="6"/>
        <v>1383.3500000000004</v>
      </c>
      <c r="AE18" s="460">
        <f t="shared" si="7"/>
        <v>11.755666666666668</v>
      </c>
      <c r="AF18" s="459">
        <f t="shared" si="24"/>
        <v>1056.0200000000004</v>
      </c>
      <c r="AG18" s="451">
        <v>30</v>
      </c>
      <c r="AH18" s="526">
        <f t="shared" si="8"/>
        <v>1026.0200000000004</v>
      </c>
      <c r="AI18" s="460">
        <f t="shared" si="9"/>
        <v>8.8001666666666694</v>
      </c>
      <c r="AJ18" s="459">
        <f t="shared" si="25"/>
        <v>696.02000000000044</v>
      </c>
      <c r="AK18" s="451">
        <v>30</v>
      </c>
      <c r="AL18" s="526">
        <f t="shared" si="10"/>
        <v>666.02000000000044</v>
      </c>
      <c r="AM18" s="460">
        <f t="shared" si="11"/>
        <v>5.8001666666666702</v>
      </c>
      <c r="AN18" s="459">
        <f t="shared" si="26"/>
        <v>286.02000000000044</v>
      </c>
      <c r="AO18" s="451">
        <v>35</v>
      </c>
      <c r="AP18" s="526">
        <f t="shared" si="12"/>
        <v>251.02000000000044</v>
      </c>
      <c r="AQ18" s="460">
        <f t="shared" si="13"/>
        <v>2.3835000000000037</v>
      </c>
      <c r="AR18" s="459"/>
      <c r="AS18" s="451"/>
      <c r="AT18" s="526"/>
      <c r="AU18" s="460"/>
      <c r="AY18"/>
      <c r="AZ18"/>
      <c r="BA18"/>
      <c r="BB18"/>
      <c r="BC18"/>
      <c r="BD18"/>
      <c r="BE18"/>
      <c r="BF18"/>
      <c r="BG18"/>
    </row>
    <row r="19" spans="2:60" ht="15.75" thickBot="1" x14ac:dyDescent="0.3">
      <c r="C19" s="1" t="s">
        <v>86</v>
      </c>
      <c r="D19" s="617">
        <v>150</v>
      </c>
      <c r="E19" s="529">
        <f t="shared" si="29"/>
        <v>700</v>
      </c>
      <c r="F19" s="525"/>
      <c r="G19" s="460">
        <f t="shared" si="30"/>
        <v>5.833333333333333</v>
      </c>
      <c r="H19" s="391">
        <v>125</v>
      </c>
      <c r="I19" s="459">
        <f t="shared" si="19"/>
        <v>1700</v>
      </c>
      <c r="J19" s="525"/>
      <c r="K19" s="539">
        <f t="shared" si="0"/>
        <v>14.166666666666666</v>
      </c>
      <c r="L19" s="527"/>
      <c r="M19" s="459">
        <f t="shared" si="28"/>
        <v>2000</v>
      </c>
      <c r="N19" s="451">
        <v>0</v>
      </c>
      <c r="O19" s="539">
        <f t="shared" si="17"/>
        <v>16.666666666666668</v>
      </c>
      <c r="P19" s="459">
        <f t="shared" si="20"/>
        <v>1950</v>
      </c>
      <c r="Q19" s="451">
        <v>10</v>
      </c>
      <c r="R19" s="526">
        <f t="shared" si="18"/>
        <v>1940</v>
      </c>
      <c r="S19" s="539">
        <f t="shared" si="1"/>
        <v>16.25</v>
      </c>
      <c r="T19" s="459">
        <f t="shared" si="21"/>
        <v>1805</v>
      </c>
      <c r="U19" s="451">
        <v>15</v>
      </c>
      <c r="V19" s="526">
        <f t="shared" si="2"/>
        <v>1790</v>
      </c>
      <c r="W19" s="539">
        <f t="shared" si="3"/>
        <v>15.041666666666666</v>
      </c>
      <c r="X19" s="459">
        <f t="shared" si="22"/>
        <v>1625</v>
      </c>
      <c r="Y19" s="451">
        <v>15</v>
      </c>
      <c r="Z19" s="526">
        <f t="shared" si="4"/>
        <v>1610</v>
      </c>
      <c r="AA19" s="460">
        <f t="shared" si="5"/>
        <v>13.541666666666666</v>
      </c>
      <c r="AB19" s="459">
        <f t="shared" si="23"/>
        <v>1383.3500000000004</v>
      </c>
      <c r="AC19" s="451">
        <v>27.33</v>
      </c>
      <c r="AD19" s="526">
        <f t="shared" si="6"/>
        <v>1356.0200000000004</v>
      </c>
      <c r="AE19" s="460">
        <f>(AB19)*$E$27</f>
        <v>11.52791666666667</v>
      </c>
      <c r="AF19" s="459">
        <f t="shared" si="24"/>
        <v>1026.0200000000004</v>
      </c>
      <c r="AG19" s="451">
        <v>30</v>
      </c>
      <c r="AH19" s="526">
        <f t="shared" si="8"/>
        <v>996.02000000000044</v>
      </c>
      <c r="AI19" s="460">
        <f t="shared" si="9"/>
        <v>8.5501666666666694</v>
      </c>
      <c r="AJ19" s="459">
        <f t="shared" si="25"/>
        <v>666.02000000000044</v>
      </c>
      <c r="AK19" s="451">
        <v>30</v>
      </c>
      <c r="AL19" s="526">
        <f t="shared" si="10"/>
        <v>636.02000000000044</v>
      </c>
      <c r="AM19" s="460">
        <f t="shared" si="11"/>
        <v>5.5501666666666702</v>
      </c>
      <c r="AN19" s="459">
        <f t="shared" si="26"/>
        <v>251.02000000000044</v>
      </c>
      <c r="AO19" s="451">
        <v>35</v>
      </c>
      <c r="AP19" s="526">
        <f t="shared" si="12"/>
        <v>216.02000000000044</v>
      </c>
      <c r="AQ19" s="460">
        <f t="shared" si="13"/>
        <v>2.0918333333333368</v>
      </c>
      <c r="AR19" s="459"/>
      <c r="AS19" s="451"/>
      <c r="AT19" s="526"/>
      <c r="AU19" s="460"/>
      <c r="AY19"/>
      <c r="AZ19"/>
      <c r="BA19"/>
      <c r="BB19"/>
      <c r="BC19"/>
      <c r="BD19"/>
      <c r="BE19"/>
      <c r="BF19"/>
      <c r="BG19"/>
    </row>
    <row r="20" spans="2:60" ht="15.75" thickBot="1" x14ac:dyDescent="0.3">
      <c r="C20" s="1" t="s">
        <v>30</v>
      </c>
      <c r="D20" s="612">
        <f>SUM(D14:D19)</f>
        <v>700</v>
      </c>
      <c r="E20" s="610"/>
      <c r="F20" s="531">
        <f t="shared" ref="F20" si="31">SUM(F8:F19)</f>
        <v>0</v>
      </c>
      <c r="G20" s="532">
        <f>SUM(G8:G19)</f>
        <v>17.083333333333332</v>
      </c>
      <c r="H20" s="533">
        <f>SUM(H8:H19)</f>
        <v>1000</v>
      </c>
      <c r="I20" s="530"/>
      <c r="J20" s="531">
        <f t="shared" ref="J20" si="32">SUM(J8:J19)</f>
        <v>0</v>
      </c>
      <c r="K20" s="532">
        <f>SUM(K8:K19)</f>
        <v>120.20833333333334</v>
      </c>
      <c r="L20" s="533">
        <f>SUM(L8:L19)</f>
        <v>300</v>
      </c>
      <c r="M20" s="530"/>
      <c r="N20" s="531">
        <f t="shared" ref="N20" si="33">SUM(N8:N19)</f>
        <v>0</v>
      </c>
      <c r="O20" s="532">
        <f>SUM(O8:O19)</f>
        <v>197.49999999999997</v>
      </c>
      <c r="P20" s="530"/>
      <c r="Q20" s="531">
        <f t="shared" ref="Q20:S20" si="34">SUM(Q8:Q19)</f>
        <v>60</v>
      </c>
      <c r="R20" s="534"/>
      <c r="S20" s="532">
        <f t="shared" si="34"/>
        <v>198.75000000000003</v>
      </c>
      <c r="T20" s="530"/>
      <c r="U20" s="531">
        <f t="shared" ref="U20" si="35">SUM(U8:U19)</f>
        <v>150</v>
      </c>
      <c r="V20" s="534"/>
      <c r="W20" s="532">
        <f t="shared" ref="W20" si="36">SUM(W8:W19)</f>
        <v>187.87499999999997</v>
      </c>
      <c r="X20" s="530"/>
      <c r="Y20" s="531">
        <f t="shared" ref="Y20" si="37">SUM(Y8:Y19)</f>
        <v>180</v>
      </c>
      <c r="Z20" s="534"/>
      <c r="AA20" s="532">
        <f t="shared" ref="AA20" si="38">SUM(AA8:AA19)</f>
        <v>170.74999999999997</v>
      </c>
      <c r="AB20" s="530"/>
      <c r="AC20" s="531">
        <f t="shared" ref="AC20" si="39">SUM(AC8:AC19)</f>
        <v>253.97999999999996</v>
      </c>
      <c r="AD20" s="534"/>
      <c r="AE20" s="532">
        <f t="shared" ref="AE20" si="40">SUM(AE8:AE19)</f>
        <v>151.20875000000001</v>
      </c>
      <c r="AF20" s="530"/>
      <c r="AG20" s="531">
        <f t="shared" ref="AG20" si="41">SUM(AG8:AG19)</f>
        <v>360</v>
      </c>
      <c r="AH20" s="534"/>
      <c r="AI20" s="532">
        <f t="shared" ref="AI20" si="42">SUM(AI8:AI19)</f>
        <v>119.10200000000003</v>
      </c>
      <c r="AJ20" s="530"/>
      <c r="AK20" s="531">
        <f t="shared" ref="AK20" si="43">SUM(AK8:AK19)</f>
        <v>360</v>
      </c>
      <c r="AL20" s="534"/>
      <c r="AM20" s="532">
        <f t="shared" ref="AM20" si="44">SUM(AM8:AM19)</f>
        <v>83.102000000000032</v>
      </c>
      <c r="AN20" s="530"/>
      <c r="AO20" s="531">
        <f>SUM(AO8:AO19)</f>
        <v>420</v>
      </c>
      <c r="AP20" s="534"/>
      <c r="AQ20" s="532">
        <f t="shared" ref="AQ20" si="45">SUM(AQ8:AQ19)</f>
        <v>44.352000000000032</v>
      </c>
      <c r="AR20" s="530"/>
      <c r="AS20" s="531">
        <f>SUM(AS8:AS19)</f>
        <v>216.02000000000044</v>
      </c>
      <c r="AT20" s="534"/>
      <c r="AU20" s="532">
        <f>SUM(AU8:AU19)</f>
        <v>6.4260000000000215</v>
      </c>
      <c r="AY20"/>
      <c r="AZ20"/>
      <c r="BA20"/>
      <c r="BB20"/>
      <c r="BC20"/>
      <c r="BD20"/>
      <c r="BE20"/>
      <c r="BF20"/>
      <c r="BG20"/>
    </row>
    <row r="21" spans="2:60" x14ac:dyDescent="0.25">
      <c r="D21" s="391"/>
      <c r="E21" s="391"/>
      <c r="F21" s="397"/>
      <c r="G21" s="397">
        <f>G20</f>
        <v>17.083333333333332</v>
      </c>
      <c r="H21" s="397"/>
      <c r="I21" s="391"/>
      <c r="J21" s="397"/>
      <c r="K21" s="397">
        <f>K20</f>
        <v>120.20833333333334</v>
      </c>
      <c r="L21" s="397"/>
      <c r="M21" s="391"/>
      <c r="N21" s="397">
        <f>J21+N20</f>
        <v>0</v>
      </c>
      <c r="O21" s="397">
        <f>O20</f>
        <v>197.49999999999997</v>
      </c>
      <c r="P21" s="391"/>
      <c r="Q21" s="397">
        <f>N21+Q20</f>
        <v>60</v>
      </c>
      <c r="R21" s="397"/>
      <c r="S21" s="397">
        <f>S20</f>
        <v>198.75000000000003</v>
      </c>
      <c r="T21" s="391"/>
      <c r="U21" s="397">
        <f>Q21+U20</f>
        <v>210</v>
      </c>
      <c r="V21" s="397"/>
      <c r="W21" s="397">
        <f>W20</f>
        <v>187.87499999999997</v>
      </c>
      <c r="X21" s="391"/>
      <c r="Y21" s="391">
        <f>U21+Y20</f>
        <v>390</v>
      </c>
      <c r="Z21" s="391"/>
      <c r="AA21" s="391">
        <f>AA20</f>
        <v>170.74999999999997</v>
      </c>
      <c r="AB21" s="391"/>
      <c r="AC21" s="391">
        <f>Y21+AC20</f>
        <v>643.98</v>
      </c>
      <c r="AD21" s="391"/>
      <c r="AE21" s="391">
        <f>AE20</f>
        <v>151.20875000000001</v>
      </c>
      <c r="AF21" s="391"/>
      <c r="AG21" s="391">
        <f>AC21+AG20</f>
        <v>1003.98</v>
      </c>
      <c r="AH21" s="391"/>
      <c r="AI21" s="391">
        <f>AI20</f>
        <v>119.10200000000003</v>
      </c>
      <c r="AJ21" s="391"/>
      <c r="AK21" s="391">
        <f>AG21+AK20</f>
        <v>1363.98</v>
      </c>
      <c r="AL21" s="391"/>
      <c r="AM21" s="391">
        <f>AM20</f>
        <v>83.102000000000032</v>
      </c>
      <c r="AN21" s="391"/>
      <c r="AO21" s="391">
        <f>AK21+AO20</f>
        <v>1783.98</v>
      </c>
      <c r="AP21" s="391"/>
      <c r="AQ21" s="391">
        <f>AQ20</f>
        <v>44.352000000000032</v>
      </c>
      <c r="AR21" s="391"/>
      <c r="AS21" s="391">
        <f>AO21+AS20</f>
        <v>2000.0000000000005</v>
      </c>
      <c r="AT21" s="391"/>
      <c r="AU21" s="391">
        <f>AU20</f>
        <v>6.4260000000000215</v>
      </c>
      <c r="AY21" s="391"/>
      <c r="AZ21" s="391">
        <f>AW21+AZ20</f>
        <v>0</v>
      </c>
      <c r="BA21" s="391">
        <f>BA20</f>
        <v>0</v>
      </c>
      <c r="BB21" s="391"/>
      <c r="BC21" s="391">
        <f>AZ21+BC20</f>
        <v>0</v>
      </c>
      <c r="BD21" s="391">
        <f>BD20</f>
        <v>0</v>
      </c>
      <c r="BE21" s="391"/>
      <c r="BF21" s="391"/>
      <c r="BG21" s="391">
        <f>BG20</f>
        <v>0</v>
      </c>
      <c r="BH21" s="37"/>
    </row>
    <row r="22" spans="2:60" x14ac:dyDescent="0.25">
      <c r="B22" t="s">
        <v>801</v>
      </c>
      <c r="D22" s="535" t="s">
        <v>201</v>
      </c>
      <c r="E22" s="454"/>
      <c r="F22" s="454"/>
      <c r="G22" s="535">
        <f>G21+K21+O8+O9+O10</f>
        <v>184.79166666666669</v>
      </c>
      <c r="H22" s="535"/>
      <c r="I22" s="454"/>
    </row>
    <row r="23" spans="2:60" x14ac:dyDescent="0.25">
      <c r="D23" s="448" t="s">
        <v>307</v>
      </c>
      <c r="E23" s="448">
        <v>150</v>
      </c>
      <c r="K23" s="465" t="s">
        <v>304</v>
      </c>
      <c r="M23" s="391">
        <f>P8-Q20</f>
        <v>1940</v>
      </c>
      <c r="N23" s="391"/>
      <c r="O23" s="391"/>
      <c r="P23" s="391">
        <f>T8-U20</f>
        <v>1790</v>
      </c>
      <c r="Q23" s="391"/>
      <c r="R23" s="391"/>
      <c r="S23" s="391"/>
      <c r="T23" s="391">
        <f>X8-Y20</f>
        <v>1610</v>
      </c>
      <c r="U23" s="391"/>
      <c r="V23" s="391"/>
      <c r="W23" s="391"/>
      <c r="X23" s="391">
        <f>AB8-AC20</f>
        <v>1356.02</v>
      </c>
      <c r="Y23" s="391"/>
      <c r="Z23" s="391"/>
      <c r="AA23" s="391"/>
      <c r="AB23" s="391">
        <f>AF8-AG20</f>
        <v>996.02000000000044</v>
      </c>
      <c r="AC23" s="391"/>
      <c r="AD23" s="391"/>
      <c r="AE23" s="391"/>
      <c r="AF23" s="391">
        <f>AJ8-AK20</f>
        <v>636.02000000000044</v>
      </c>
      <c r="AG23" s="391"/>
      <c r="AH23" s="391"/>
      <c r="AI23" s="391"/>
      <c r="AJ23" s="391">
        <f>AN8-AO20</f>
        <v>216.02000000000044</v>
      </c>
      <c r="AK23" s="391"/>
      <c r="AL23" s="391"/>
      <c r="AM23" s="391"/>
      <c r="AN23" s="391">
        <f>AR8-AS20</f>
        <v>0</v>
      </c>
      <c r="AO23" s="391"/>
      <c r="AP23" s="391"/>
      <c r="AQ23" s="391"/>
      <c r="AR23" s="391">
        <f>AV8-AW20</f>
        <v>0</v>
      </c>
      <c r="AS23" s="391"/>
      <c r="AT23" s="391"/>
      <c r="AU23" s="391"/>
      <c r="AY23" s="391">
        <f>BB8-BC20</f>
        <v>0</v>
      </c>
      <c r="AZ23" s="391"/>
      <c r="BA23" s="391"/>
      <c r="BB23" s="391">
        <f>BE8-BF20</f>
        <v>0</v>
      </c>
      <c r="BC23" s="391"/>
      <c r="BD23" s="391"/>
      <c r="BE23" s="391">
        <v>0</v>
      </c>
      <c r="BF23" s="391"/>
    </row>
    <row r="24" spans="2:60" x14ac:dyDescent="0.25">
      <c r="D24" s="448" t="s">
        <v>308</v>
      </c>
      <c r="E24" s="465">
        <f>M10</f>
        <v>2000</v>
      </c>
      <c r="K24" s="448" t="s">
        <v>305</v>
      </c>
      <c r="M24" s="391">
        <f>Q20</f>
        <v>60</v>
      </c>
      <c r="N24" s="391"/>
      <c r="O24" s="391"/>
      <c r="P24" s="391">
        <f>U20</f>
        <v>150</v>
      </c>
      <c r="Q24" s="391"/>
      <c r="R24" s="391"/>
      <c r="S24" s="391"/>
      <c r="T24" s="391">
        <f>Y20</f>
        <v>180</v>
      </c>
      <c r="U24" s="391"/>
      <c r="V24" s="391"/>
      <c r="W24" s="391"/>
      <c r="X24" s="391">
        <f>AC20</f>
        <v>253.97999999999996</v>
      </c>
      <c r="Y24" s="391"/>
      <c r="Z24" s="391"/>
      <c r="AA24" s="391"/>
      <c r="AB24" s="391">
        <f>AG20</f>
        <v>360</v>
      </c>
      <c r="AC24" s="391"/>
      <c r="AD24" s="391"/>
      <c r="AE24" s="391"/>
      <c r="AF24" s="391">
        <f>AK20</f>
        <v>360</v>
      </c>
      <c r="AG24" s="391"/>
      <c r="AH24" s="391"/>
      <c r="AI24" s="391"/>
      <c r="AJ24" s="391">
        <f>AO20</f>
        <v>420</v>
      </c>
      <c r="AK24" s="391"/>
      <c r="AL24" s="391"/>
      <c r="AM24" s="391"/>
      <c r="AN24" s="391">
        <f>AS20</f>
        <v>216.02000000000044</v>
      </c>
      <c r="AO24" s="391"/>
      <c r="AP24" s="391"/>
      <c r="AQ24" s="391"/>
      <c r="AR24" s="391">
        <f>AW20</f>
        <v>0</v>
      </c>
      <c r="AS24" s="391"/>
      <c r="AT24" s="391"/>
      <c r="AU24" s="391"/>
      <c r="AY24" s="391">
        <f>BC20</f>
        <v>0</v>
      </c>
      <c r="AZ24" s="391"/>
      <c r="BA24" s="391"/>
      <c r="BB24" s="391">
        <f>BF20</f>
        <v>0</v>
      </c>
      <c r="BC24" s="391"/>
      <c r="BD24" s="391"/>
      <c r="BE24" s="391">
        <v>0</v>
      </c>
      <c r="BF24" s="391"/>
    </row>
    <row r="25" spans="2:60" x14ac:dyDescent="0.25">
      <c r="D25" s="448" t="s">
        <v>306</v>
      </c>
      <c r="E25" s="465">
        <f>M10/150</f>
        <v>13.333333333333334</v>
      </c>
      <c r="K25" s="448">
        <f>S30-S29</f>
        <v>2526</v>
      </c>
    </row>
    <row r="26" spans="2:60" x14ac:dyDescent="0.25">
      <c r="D26" s="448" t="s">
        <v>587</v>
      </c>
      <c r="E26" s="536">
        <f>10%+F26</f>
        <v>0.1</v>
      </c>
      <c r="F26" s="452">
        <v>0</v>
      </c>
      <c r="L26" s="465"/>
    </row>
    <row r="27" spans="2:60" x14ac:dyDescent="0.25">
      <c r="D27" s="448" t="s">
        <v>586</v>
      </c>
      <c r="E27" s="448">
        <f>E26/12</f>
        <v>8.3333333333333332E-3</v>
      </c>
      <c r="L27" s="537"/>
      <c r="O27" s="448" t="s">
        <v>603</v>
      </c>
      <c r="S27" s="538">
        <v>45627</v>
      </c>
    </row>
    <row r="28" spans="2:60" x14ac:dyDescent="0.25">
      <c r="D28" s="448" t="s">
        <v>592</v>
      </c>
      <c r="E28" s="391">
        <f>E24/E23</f>
        <v>13.333333333333334</v>
      </c>
      <c r="O28" s="448" t="s">
        <v>604</v>
      </c>
      <c r="S28" s="538">
        <v>46539</v>
      </c>
    </row>
    <row r="29" spans="2:60" x14ac:dyDescent="0.25">
      <c r="D29" s="448" t="s">
        <v>979</v>
      </c>
      <c r="E29" s="448">
        <v>22</v>
      </c>
      <c r="G29" s="448">
        <f>+E23-E29-(E33-E29)</f>
        <v>116</v>
      </c>
      <c r="O29" s="448" t="s">
        <v>605</v>
      </c>
      <c r="S29" s="538">
        <v>47027</v>
      </c>
    </row>
    <row r="30" spans="2:60" x14ac:dyDescent="0.25">
      <c r="D30" s="448" t="s">
        <v>595</v>
      </c>
      <c r="E30" s="448">
        <f>E31-E33</f>
        <v>84</v>
      </c>
      <c r="K30" s="391"/>
      <c r="O30" s="448" t="s">
        <v>606</v>
      </c>
      <c r="S30" s="538">
        <v>49553</v>
      </c>
    </row>
    <row r="31" spans="2:60" x14ac:dyDescent="0.25">
      <c r="D31" s="448" t="s">
        <v>596</v>
      </c>
      <c r="E31" s="448">
        <v>118</v>
      </c>
      <c r="F31" s="391">
        <f>E31/12</f>
        <v>9.8333333333333339</v>
      </c>
      <c r="K31" s="689">
        <v>234.79</v>
      </c>
      <c r="L31" s="692">
        <v>0.1</v>
      </c>
    </row>
    <row r="32" spans="2:60" x14ac:dyDescent="0.25">
      <c r="D32" s="448" t="s">
        <v>597</v>
      </c>
      <c r="E32" s="448">
        <v>19</v>
      </c>
      <c r="K32" s="689">
        <v>211.31</v>
      </c>
      <c r="L32" s="692">
        <v>0.09</v>
      </c>
    </row>
    <row r="33" spans="4:21" x14ac:dyDescent="0.25">
      <c r="D33" s="448" t="s">
        <v>866</v>
      </c>
      <c r="E33" s="448">
        <f>+E32+15</f>
        <v>34</v>
      </c>
      <c r="K33" s="689">
        <f>+K31-K32</f>
        <v>23.47999999999999</v>
      </c>
      <c r="L33" s="689" t="s">
        <v>955</v>
      </c>
    </row>
    <row r="35" spans="4:21" x14ac:dyDescent="0.25">
      <c r="D35" s="448" t="s">
        <v>919</v>
      </c>
      <c r="E35" s="672">
        <f>+G20+K20+SUM(O8:O13)</f>
        <v>234.79166666666669</v>
      </c>
      <c r="O35" s="192" t="s">
        <v>991</v>
      </c>
      <c r="P35" s="192" t="s">
        <v>996</v>
      </c>
      <c r="Q35" s="192" t="s">
        <v>997</v>
      </c>
      <c r="R35" s="192" t="s">
        <v>992</v>
      </c>
      <c r="S35" s="192" t="s">
        <v>993</v>
      </c>
      <c r="T35" s="192" t="s">
        <v>994</v>
      </c>
      <c r="U35" s="192" t="s">
        <v>995</v>
      </c>
    </row>
    <row r="36" spans="4:21" x14ac:dyDescent="0.25">
      <c r="L36" s="448">
        <v>4</v>
      </c>
      <c r="M36" s="689"/>
      <c r="N36" s="448" t="s">
        <v>980</v>
      </c>
      <c r="O36" s="391">
        <f>+G20</f>
        <v>17.083333333333332</v>
      </c>
      <c r="P36" s="391">
        <f>+SUM(D16:D19)</f>
        <v>700</v>
      </c>
      <c r="Q36" s="448">
        <v>0</v>
      </c>
      <c r="R36" s="391">
        <f>+P36-Q36</f>
        <v>700</v>
      </c>
      <c r="S36" s="391">
        <v>0</v>
      </c>
      <c r="T36" s="391">
        <f>+R36-S36</f>
        <v>700</v>
      </c>
      <c r="U36" s="391">
        <f>+Q36+O36</f>
        <v>17.083333333333332</v>
      </c>
    </row>
    <row r="37" spans="4:21" x14ac:dyDescent="0.25">
      <c r="L37" s="448">
        <v>12</v>
      </c>
      <c r="M37" s="689"/>
      <c r="N37" s="448" t="s">
        <v>981</v>
      </c>
      <c r="O37" s="391">
        <f>+K20</f>
        <v>120.20833333333334</v>
      </c>
      <c r="P37" s="391">
        <f>+SUM(H8:H19)</f>
        <v>1000</v>
      </c>
      <c r="Q37" s="448">
        <v>0</v>
      </c>
      <c r="R37" s="391">
        <f>+P37-Q37+R36</f>
        <v>1700</v>
      </c>
      <c r="S37" s="448">
        <v>0</v>
      </c>
      <c r="T37" s="391">
        <f t="shared" ref="T37:T46" si="46">+R37-S37</f>
        <v>1700</v>
      </c>
      <c r="U37" s="391">
        <f t="shared" ref="U37:U46" si="47">+Q37+O37</f>
        <v>120.20833333333334</v>
      </c>
    </row>
    <row r="38" spans="4:21" x14ac:dyDescent="0.25">
      <c r="L38" s="448">
        <v>12</v>
      </c>
      <c r="M38" s="689"/>
      <c r="N38" s="448" t="s">
        <v>982</v>
      </c>
      <c r="O38" s="391">
        <f>+O20</f>
        <v>197.49999999999997</v>
      </c>
      <c r="P38" s="391">
        <f>+SUM(L8:L10)</f>
        <v>300</v>
      </c>
      <c r="Q38" s="448">
        <v>0</v>
      </c>
      <c r="R38" s="391">
        <f t="shared" ref="R38:R46" si="48">+P38-Q38+R37</f>
        <v>2000</v>
      </c>
      <c r="S38" s="391">
        <f>+M24</f>
        <v>60</v>
      </c>
      <c r="T38" s="391">
        <f t="shared" si="46"/>
        <v>1940</v>
      </c>
      <c r="U38" s="391">
        <f>+Q38+O38</f>
        <v>197.49999999999997</v>
      </c>
    </row>
    <row r="39" spans="4:21" x14ac:dyDescent="0.25">
      <c r="L39" s="448">
        <v>12</v>
      </c>
      <c r="M39" s="689">
        <v>6</v>
      </c>
      <c r="N39" s="448" t="s">
        <v>983</v>
      </c>
      <c r="O39" s="391">
        <f>+S20</f>
        <v>198.75000000000003</v>
      </c>
      <c r="P39" s="448">
        <v>0</v>
      </c>
      <c r="Q39" s="391">
        <f>+SUM(Q14:Q19)</f>
        <v>60</v>
      </c>
      <c r="R39" s="391">
        <f t="shared" si="48"/>
        <v>1940</v>
      </c>
      <c r="S39" s="391">
        <f>+P24</f>
        <v>150</v>
      </c>
      <c r="T39" s="391">
        <f t="shared" si="46"/>
        <v>1790</v>
      </c>
      <c r="U39" s="391">
        <f t="shared" si="47"/>
        <v>258.75</v>
      </c>
    </row>
    <row r="40" spans="4:21" x14ac:dyDescent="0.25">
      <c r="L40" s="448">
        <v>12</v>
      </c>
      <c r="M40" s="689">
        <v>12</v>
      </c>
      <c r="N40" s="448" t="s">
        <v>984</v>
      </c>
      <c r="O40" s="391">
        <f>+W20</f>
        <v>187.87499999999997</v>
      </c>
      <c r="P40" s="448">
        <v>0</v>
      </c>
      <c r="Q40" s="391">
        <f>+U20</f>
        <v>150</v>
      </c>
      <c r="R40" s="391">
        <f t="shared" si="48"/>
        <v>1790</v>
      </c>
      <c r="S40" s="391">
        <f>+T24</f>
        <v>180</v>
      </c>
      <c r="T40" s="391">
        <f t="shared" si="46"/>
        <v>1610</v>
      </c>
      <c r="U40" s="391">
        <f t="shared" si="47"/>
        <v>337.875</v>
      </c>
    </row>
    <row r="41" spans="4:21" x14ac:dyDescent="0.25">
      <c r="L41" s="448">
        <v>12</v>
      </c>
      <c r="M41" s="689">
        <v>12</v>
      </c>
      <c r="N41" s="448" t="s">
        <v>985</v>
      </c>
      <c r="O41" s="391">
        <f>+AA20</f>
        <v>170.74999999999997</v>
      </c>
      <c r="P41" s="448">
        <v>0</v>
      </c>
      <c r="Q41" s="391">
        <f>+Y20</f>
        <v>180</v>
      </c>
      <c r="R41" s="391">
        <f t="shared" si="48"/>
        <v>1610</v>
      </c>
      <c r="S41" s="391">
        <f>+X24</f>
        <v>253.97999999999996</v>
      </c>
      <c r="T41" s="391">
        <f t="shared" si="46"/>
        <v>1356.02</v>
      </c>
      <c r="U41" s="391">
        <f t="shared" si="47"/>
        <v>350.75</v>
      </c>
    </row>
    <row r="42" spans="4:21" x14ac:dyDescent="0.25">
      <c r="L42" s="448">
        <v>12</v>
      </c>
      <c r="M42" s="689">
        <v>12</v>
      </c>
      <c r="N42" s="448" t="s">
        <v>986</v>
      </c>
      <c r="O42" s="391">
        <f>+AE20</f>
        <v>151.20875000000001</v>
      </c>
      <c r="P42" s="448">
        <v>0</v>
      </c>
      <c r="Q42" s="391">
        <f>+AC20</f>
        <v>253.97999999999996</v>
      </c>
      <c r="R42" s="391">
        <f t="shared" si="48"/>
        <v>1356.02</v>
      </c>
      <c r="S42" s="391">
        <f>+AB24</f>
        <v>360</v>
      </c>
      <c r="T42" s="391">
        <f t="shared" si="46"/>
        <v>996.02</v>
      </c>
      <c r="U42" s="391">
        <f t="shared" si="47"/>
        <v>405.18874999999997</v>
      </c>
    </row>
    <row r="43" spans="4:21" x14ac:dyDescent="0.25">
      <c r="L43" s="448">
        <v>12</v>
      </c>
      <c r="M43" s="689">
        <v>12</v>
      </c>
      <c r="N43" s="448" t="s">
        <v>987</v>
      </c>
      <c r="O43" s="391">
        <f>+AI20</f>
        <v>119.10200000000003</v>
      </c>
      <c r="P43" s="448">
        <v>0</v>
      </c>
      <c r="Q43" s="391">
        <f>+AG20</f>
        <v>360</v>
      </c>
      <c r="R43" s="391">
        <f t="shared" si="48"/>
        <v>996.02</v>
      </c>
      <c r="S43" s="391">
        <f>+AF24</f>
        <v>360</v>
      </c>
      <c r="T43" s="391">
        <f t="shared" si="46"/>
        <v>636.02</v>
      </c>
      <c r="U43" s="391">
        <f t="shared" si="47"/>
        <v>479.10200000000003</v>
      </c>
    </row>
    <row r="44" spans="4:21" x14ac:dyDescent="0.25">
      <c r="L44" s="448">
        <v>12</v>
      </c>
      <c r="M44" s="689">
        <v>12</v>
      </c>
      <c r="N44" s="448" t="s">
        <v>988</v>
      </c>
      <c r="O44" s="391">
        <f>+AM20</f>
        <v>83.102000000000032</v>
      </c>
      <c r="P44" s="448">
        <v>0</v>
      </c>
      <c r="Q44" s="391">
        <f>+AK20</f>
        <v>360</v>
      </c>
      <c r="R44" s="391">
        <f t="shared" si="48"/>
        <v>636.02</v>
      </c>
      <c r="S44" s="391">
        <f>+AJ24</f>
        <v>420</v>
      </c>
      <c r="T44" s="391">
        <f t="shared" si="46"/>
        <v>216.01999999999998</v>
      </c>
      <c r="U44" s="391">
        <f t="shared" si="47"/>
        <v>443.10200000000003</v>
      </c>
    </row>
    <row r="45" spans="4:21" x14ac:dyDescent="0.25">
      <c r="L45" s="448">
        <v>12</v>
      </c>
      <c r="M45" s="689">
        <v>12</v>
      </c>
      <c r="N45" s="448" t="s">
        <v>990</v>
      </c>
      <c r="O45" s="391">
        <f>+AQ20</f>
        <v>44.352000000000032</v>
      </c>
      <c r="P45" s="448">
        <v>0</v>
      </c>
      <c r="Q45" s="391">
        <f>+AO20</f>
        <v>420</v>
      </c>
      <c r="R45" s="391">
        <f t="shared" si="48"/>
        <v>216.01999999999998</v>
      </c>
      <c r="S45" s="391">
        <f>+AN24</f>
        <v>216.02000000000044</v>
      </c>
      <c r="T45" s="391">
        <f t="shared" si="46"/>
        <v>-4.5474735088646412E-13</v>
      </c>
      <c r="U45" s="391">
        <f t="shared" si="47"/>
        <v>464.35200000000003</v>
      </c>
    </row>
    <row r="46" spans="4:21" x14ac:dyDescent="0.25">
      <c r="L46" s="448">
        <v>6</v>
      </c>
      <c r="M46" s="689">
        <v>6</v>
      </c>
      <c r="N46" s="448" t="s">
        <v>989</v>
      </c>
      <c r="O46" s="391">
        <f>+AU20</f>
        <v>6.4260000000000215</v>
      </c>
      <c r="P46" s="448">
        <v>0</v>
      </c>
      <c r="Q46" s="391">
        <f>+AS20</f>
        <v>216.02000000000044</v>
      </c>
      <c r="R46" s="391">
        <f t="shared" si="48"/>
        <v>-4.5474735088646412E-13</v>
      </c>
      <c r="S46" s="391">
        <f t="shared" ref="S40:S46" si="49">+P31</f>
        <v>0</v>
      </c>
      <c r="T46" s="391">
        <f t="shared" si="46"/>
        <v>-4.5474735088646412E-13</v>
      </c>
      <c r="U46" s="391">
        <f t="shared" si="47"/>
        <v>222.44600000000045</v>
      </c>
    </row>
    <row r="47" spans="4:21" x14ac:dyDescent="0.25">
      <c r="L47" s="448">
        <f>SUM(L36:L46)</f>
        <v>118</v>
      </c>
      <c r="M47" s="782">
        <f>SUM(M39:M46)</f>
        <v>84</v>
      </c>
    </row>
  </sheetData>
  <mergeCells count="11">
    <mergeCell ref="D6:G6"/>
    <mergeCell ref="H6:K6"/>
    <mergeCell ref="L6:O6"/>
    <mergeCell ref="T6:W6"/>
    <mergeCell ref="X6:AA6"/>
    <mergeCell ref="P6:S6"/>
    <mergeCell ref="AB6:AE6"/>
    <mergeCell ref="AF6:AI6"/>
    <mergeCell ref="AJ6:AM6"/>
    <mergeCell ref="AN6:AQ6"/>
    <mergeCell ref="AR6:AU6"/>
  </mergeCells>
  <phoneticPr fontId="9" type="noConversion"/>
  <dataValidations count="1">
    <dataValidation type="list" allowBlank="1" showInputMessage="1" showErrorMessage="1" sqref="F26" xr:uid="{00000000-0002-0000-0B00-000000000000}">
      <formula1>"0%,1%"</formula1>
    </dataValidation>
  </dataValidations>
  <pageMargins left="0.70866141732283472" right="0.70866141732283472" top="0.74803149606299213" bottom="0.74803149606299213" header="0.31496062992125984" footer="0.31496062992125984"/>
  <pageSetup paperSize="9" orientation="landscape"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13">
    <tabColor theme="5" tint="-0.499984740745262"/>
  </sheetPr>
  <dimension ref="B1:V52"/>
  <sheetViews>
    <sheetView showGridLines="0" workbookViewId="0">
      <pane xSplit="2" topLeftCell="C1" activePane="topRight" state="frozen"/>
      <selection activeCell="A32" sqref="A32"/>
      <selection pane="topRight" activeCell="F52" sqref="F52"/>
    </sheetView>
  </sheetViews>
  <sheetFormatPr defaultColWidth="32.28515625" defaultRowHeight="15" x14ac:dyDescent="0.25"/>
  <cols>
    <col min="1" max="1" width="5" style="151" customWidth="1"/>
    <col min="2" max="2" width="31.7109375" style="155" customWidth="1"/>
    <col min="3" max="9" width="12.140625" style="150" customWidth="1"/>
    <col min="10" max="10" width="10.42578125" style="150" customWidth="1"/>
    <col min="11" max="11" width="17.42578125" style="150" customWidth="1"/>
    <col min="12" max="13" width="12.140625" style="150" customWidth="1"/>
    <col min="14" max="16" width="14" style="151" customWidth="1"/>
    <col min="17" max="19" width="14" style="151" hidden="1" customWidth="1"/>
    <col min="20" max="116" width="14" style="151" customWidth="1"/>
    <col min="117" max="16384" width="32.28515625" style="151"/>
  </cols>
  <sheetData>
    <row r="1" spans="2:22" x14ac:dyDescent="0.25">
      <c r="B1" s="602"/>
    </row>
    <row r="2" spans="2:22" ht="18" customHeight="1" x14ac:dyDescent="0.25">
      <c r="B2" s="147" t="s">
        <v>250</v>
      </c>
      <c r="C2" s="148" t="s">
        <v>251</v>
      </c>
      <c r="D2" s="148" t="s">
        <v>252</v>
      </c>
      <c r="E2" s="148"/>
      <c r="F2" s="148" t="s">
        <v>253</v>
      </c>
      <c r="G2" s="149"/>
      <c r="H2" s="148"/>
      <c r="I2" s="148" t="s">
        <v>254</v>
      </c>
      <c r="J2" s="145"/>
      <c r="K2" s="150" t="s">
        <v>800</v>
      </c>
    </row>
    <row r="3" spans="2:22" ht="18" customHeight="1" x14ac:dyDescent="0.25">
      <c r="B3" s="172" t="s">
        <v>277</v>
      </c>
      <c r="C3" s="152">
        <f>Cost!D12</f>
        <v>2250</v>
      </c>
      <c r="D3" s="152">
        <f>D6*C3/C6</f>
        <v>192.10227272727272</v>
      </c>
      <c r="E3" s="152"/>
      <c r="F3" s="152">
        <f>C3+D3+E3</f>
        <v>2442.1022727272725</v>
      </c>
      <c r="G3" s="153"/>
      <c r="H3" s="154"/>
      <c r="I3" s="154">
        <v>0.1</v>
      </c>
      <c r="K3" s="601">
        <v>4.87E-2</v>
      </c>
    </row>
    <row r="4" spans="2:22" ht="18" customHeight="1" x14ac:dyDescent="0.25">
      <c r="B4" s="172" t="s">
        <v>278</v>
      </c>
      <c r="C4" s="152">
        <f>Cost!D16+Cost!D20</f>
        <v>150</v>
      </c>
      <c r="D4" s="152">
        <f>D6*C4/C6</f>
        <v>12.806818181818182</v>
      </c>
      <c r="E4" s="152"/>
      <c r="F4" s="152">
        <f>C4+D4+E4</f>
        <v>162.80681818181819</v>
      </c>
      <c r="G4" s="153"/>
      <c r="H4" s="154"/>
      <c r="I4" s="154">
        <v>0.1</v>
      </c>
      <c r="K4" s="154">
        <v>0.31230000000000002</v>
      </c>
      <c r="L4" s="153"/>
      <c r="M4" s="150">
        <f>392.17*95/100</f>
        <v>372.56150000000002</v>
      </c>
    </row>
    <row r="5" spans="2:22" ht="18" customHeight="1" x14ac:dyDescent="0.25">
      <c r="B5" s="174" t="s">
        <v>279</v>
      </c>
      <c r="C5" s="152">
        <f>Cost!D14</f>
        <v>350</v>
      </c>
      <c r="D5" s="152">
        <f>D6*C5/C6</f>
        <v>29.882575757575761</v>
      </c>
      <c r="E5" s="152"/>
      <c r="F5" s="152">
        <f>C5+D5+E5</f>
        <v>379.88257575757575</v>
      </c>
      <c r="G5" s="153"/>
      <c r="H5" s="154"/>
      <c r="I5" s="154">
        <v>0.15</v>
      </c>
      <c r="K5" s="154">
        <v>0.18099999999999999</v>
      </c>
      <c r="L5" s="153"/>
      <c r="M5" s="150">
        <f>+M4/15</f>
        <v>24.837433333333333</v>
      </c>
    </row>
    <row r="6" spans="2:22" ht="18" customHeight="1" x14ac:dyDescent="0.25">
      <c r="B6" s="156" t="s">
        <v>253</v>
      </c>
      <c r="C6" s="157">
        <f>SUM(C3:C5)</f>
        <v>2750</v>
      </c>
      <c r="D6" s="157">
        <f>Cost!D18</f>
        <v>234.79166666666669</v>
      </c>
      <c r="E6" s="157"/>
      <c r="F6" s="157">
        <f>SUM(F3:F5)</f>
        <v>2984.7916666666661</v>
      </c>
      <c r="G6" s="158"/>
      <c r="H6" s="159"/>
      <c r="I6" s="159"/>
    </row>
    <row r="10" spans="2:22" ht="18.75" customHeight="1" x14ac:dyDescent="0.25">
      <c r="B10" s="147" t="s">
        <v>287</v>
      </c>
      <c r="C10" s="147"/>
      <c r="D10" s="147"/>
      <c r="E10" s="147"/>
      <c r="F10" s="147"/>
      <c r="G10" s="147"/>
      <c r="H10" s="147"/>
      <c r="I10" s="147"/>
      <c r="J10" s="147"/>
      <c r="K10" s="147"/>
      <c r="L10"/>
      <c r="M10"/>
      <c r="N10"/>
      <c r="O10"/>
      <c r="P10"/>
      <c r="Q10" s="147"/>
      <c r="R10" s="147"/>
      <c r="S10" s="147"/>
    </row>
    <row r="11" spans="2:22" s="162" customFormat="1" ht="17.25" customHeight="1" x14ac:dyDescent="0.25">
      <c r="B11" s="160" t="s">
        <v>255</v>
      </c>
      <c r="C11" s="161">
        <v>2027</v>
      </c>
      <c r="D11" s="161">
        <f t="shared" ref="D11:K11" si="0">C11+1</f>
        <v>2028</v>
      </c>
      <c r="E11" s="161">
        <f t="shared" si="0"/>
        <v>2029</v>
      </c>
      <c r="F11" s="161">
        <f t="shared" si="0"/>
        <v>2030</v>
      </c>
      <c r="G11" s="161">
        <f t="shared" si="0"/>
        <v>2031</v>
      </c>
      <c r="H11" s="161">
        <f t="shared" si="0"/>
        <v>2032</v>
      </c>
      <c r="I11" s="161">
        <f t="shared" si="0"/>
        <v>2033</v>
      </c>
      <c r="J11" s="161">
        <f t="shared" si="0"/>
        <v>2034</v>
      </c>
      <c r="K11" s="161">
        <f t="shared" si="0"/>
        <v>2035</v>
      </c>
      <c r="L11"/>
      <c r="M11"/>
      <c r="N11"/>
      <c r="O11"/>
      <c r="P11"/>
      <c r="Q11" s="161">
        <f t="shared" ref="Q11" si="1">P11+1</f>
        <v>1</v>
      </c>
      <c r="R11" s="161">
        <f t="shared" ref="R11:S11" si="2">Q11+1</f>
        <v>2</v>
      </c>
      <c r="S11" s="161">
        <f t="shared" si="2"/>
        <v>3</v>
      </c>
    </row>
    <row r="12" spans="2:22" ht="17.25" customHeight="1" x14ac:dyDescent="0.25">
      <c r="B12" s="155" t="s">
        <v>256</v>
      </c>
      <c r="C12" s="163">
        <f>F3</f>
        <v>2442.1022727272725</v>
      </c>
      <c r="D12" s="163">
        <f t="shared" ref="D12:K12" si="3">C12</f>
        <v>2442.1022727272725</v>
      </c>
      <c r="E12" s="163">
        <f t="shared" si="3"/>
        <v>2442.1022727272725</v>
      </c>
      <c r="F12" s="163">
        <f t="shared" si="3"/>
        <v>2442.1022727272725</v>
      </c>
      <c r="G12" s="163">
        <f t="shared" si="3"/>
        <v>2442.1022727272725</v>
      </c>
      <c r="H12" s="163">
        <f t="shared" si="3"/>
        <v>2442.1022727272725</v>
      </c>
      <c r="I12" s="163">
        <f t="shared" si="3"/>
        <v>2442.1022727272725</v>
      </c>
      <c r="J12" s="163">
        <f t="shared" si="3"/>
        <v>2442.1022727272725</v>
      </c>
      <c r="K12" s="163">
        <f t="shared" si="3"/>
        <v>2442.1022727272725</v>
      </c>
      <c r="L12"/>
      <c r="M12"/>
      <c r="N12"/>
      <c r="O12"/>
      <c r="P12"/>
      <c r="Q12" s="163">
        <f t="shared" ref="Q12" si="4">P12</f>
        <v>0</v>
      </c>
      <c r="R12" s="163">
        <f t="shared" ref="R12" si="5">Q12</f>
        <v>0</v>
      </c>
      <c r="S12" s="163">
        <f t="shared" ref="S12" si="6">R12</f>
        <v>0</v>
      </c>
    </row>
    <row r="13" spans="2:22" ht="17.25" customHeight="1" x14ac:dyDescent="0.25">
      <c r="B13" s="155" t="s">
        <v>795</v>
      </c>
      <c r="C13" s="163">
        <f>(C12*1.58%)</f>
        <v>38.585215909090913</v>
      </c>
      <c r="D13" s="163">
        <f t="shared" ref="D13:K13" si="7">(D12*1.58%)</f>
        <v>38.585215909090913</v>
      </c>
      <c r="E13" s="163">
        <f t="shared" si="7"/>
        <v>38.585215909090913</v>
      </c>
      <c r="F13" s="163">
        <f t="shared" si="7"/>
        <v>38.585215909090913</v>
      </c>
      <c r="G13" s="163">
        <f t="shared" si="7"/>
        <v>38.585215909090913</v>
      </c>
      <c r="H13" s="163">
        <f t="shared" si="7"/>
        <v>38.585215909090913</v>
      </c>
      <c r="I13" s="163">
        <f t="shared" si="7"/>
        <v>38.585215909090913</v>
      </c>
      <c r="J13" s="163">
        <f t="shared" si="7"/>
        <v>38.585215909090913</v>
      </c>
      <c r="K13" s="163">
        <f t="shared" si="7"/>
        <v>38.585215909090913</v>
      </c>
      <c r="L13"/>
      <c r="M13"/>
      <c r="N13"/>
      <c r="O13"/>
      <c r="P13"/>
      <c r="Q13" s="163">
        <f t="shared" ref="Q13:R13" si="8">(Q12*1.58%)</f>
        <v>0</v>
      </c>
      <c r="R13" s="163">
        <f t="shared" si="8"/>
        <v>0</v>
      </c>
      <c r="S13" s="163">
        <f t="shared" ref="S13" si="9">(S12*3.17%)</f>
        <v>0</v>
      </c>
      <c r="T13" s="603">
        <f>SUM(C13:S13)</f>
        <v>347.26694318181819</v>
      </c>
      <c r="U13" s="604">
        <v>1584.0833356246792</v>
      </c>
      <c r="V13" s="604">
        <v>1584.0833356246792</v>
      </c>
    </row>
    <row r="14" spans="2:22" ht="17.25" customHeight="1" x14ac:dyDescent="0.25">
      <c r="B14" s="172" t="s">
        <v>278</v>
      </c>
      <c r="C14" s="163">
        <f>F4</f>
        <v>162.80681818181819</v>
      </c>
      <c r="D14" s="163">
        <f>C14</f>
        <v>162.80681818181819</v>
      </c>
      <c r="E14" s="163">
        <f t="shared" ref="E14:K14" si="10">D14</f>
        <v>162.80681818181819</v>
      </c>
      <c r="F14" s="163">
        <f t="shared" si="10"/>
        <v>162.80681818181819</v>
      </c>
      <c r="G14" s="163">
        <f t="shared" si="10"/>
        <v>162.80681818181819</v>
      </c>
      <c r="H14" s="163">
        <f t="shared" si="10"/>
        <v>162.80681818181819</v>
      </c>
      <c r="I14" s="163">
        <f t="shared" si="10"/>
        <v>162.80681818181819</v>
      </c>
      <c r="J14" s="163">
        <f t="shared" si="10"/>
        <v>162.80681818181819</v>
      </c>
      <c r="K14" s="163">
        <f t="shared" si="10"/>
        <v>162.80681818181819</v>
      </c>
      <c r="L14"/>
      <c r="M14"/>
      <c r="N14"/>
      <c r="O14"/>
      <c r="P14"/>
      <c r="Q14" s="163">
        <f t="shared" ref="Q14:S14" si="11">P14</f>
        <v>0</v>
      </c>
      <c r="R14" s="163">
        <f t="shared" si="11"/>
        <v>0</v>
      </c>
      <c r="S14" s="163">
        <f t="shared" si="11"/>
        <v>0</v>
      </c>
      <c r="T14" s="155"/>
      <c r="U14" s="604"/>
      <c r="V14" s="604"/>
    </row>
    <row r="15" spans="2:22" ht="17.25" customHeight="1" x14ac:dyDescent="0.25">
      <c r="B15" s="155" t="s">
        <v>798</v>
      </c>
      <c r="C15" s="163">
        <f>C14*11.88%</f>
        <v>19.341450000000002</v>
      </c>
      <c r="D15" s="163">
        <f t="shared" ref="D15:J15" si="12">D14*11.88%</f>
        <v>19.341450000000002</v>
      </c>
      <c r="E15" s="163">
        <f t="shared" si="12"/>
        <v>19.341450000000002</v>
      </c>
      <c r="F15" s="163">
        <f t="shared" si="12"/>
        <v>19.341450000000002</v>
      </c>
      <c r="G15" s="163">
        <f t="shared" si="12"/>
        <v>19.341450000000002</v>
      </c>
      <c r="H15" s="163">
        <f t="shared" si="12"/>
        <v>19.341450000000002</v>
      </c>
      <c r="I15" s="163">
        <f t="shared" si="12"/>
        <v>19.341450000000002</v>
      </c>
      <c r="J15" s="163">
        <f t="shared" si="12"/>
        <v>19.341450000000002</v>
      </c>
      <c r="K15" s="163">
        <f>+N15</f>
        <v>8.0752181818181441</v>
      </c>
      <c r="L15" s="607">
        <f>+SUM(C15:J15)</f>
        <v>154.73160000000004</v>
      </c>
      <c r="M15" s="607">
        <f>+J14</f>
        <v>162.80681818181819</v>
      </c>
      <c r="N15" s="607">
        <f>+M15-L15</f>
        <v>8.0752181818181441</v>
      </c>
      <c r="O15"/>
      <c r="P15"/>
      <c r="Q15" s="163">
        <f t="shared" ref="Q15:R15" si="13">Q14*11.88%</f>
        <v>0</v>
      </c>
      <c r="R15" s="163">
        <f t="shared" si="13"/>
        <v>0</v>
      </c>
      <c r="S15" s="163">
        <f t="shared" ref="S15" si="14">S14*9.5%</f>
        <v>0</v>
      </c>
      <c r="T15" s="603">
        <f>SUM(C15:S15)</f>
        <v>488.4204545454545</v>
      </c>
      <c r="U15" s="604"/>
      <c r="V15" s="604">
        <v>621.67183624307256</v>
      </c>
    </row>
    <row r="16" spans="2:22" ht="17.25" customHeight="1" x14ac:dyDescent="0.25">
      <c r="B16" s="155" t="s">
        <v>257</v>
      </c>
      <c r="C16" s="163">
        <f>F5</f>
        <v>379.88257575757575</v>
      </c>
      <c r="D16" s="163">
        <f t="shared" ref="D16:K16" si="15">C16</f>
        <v>379.88257575757575</v>
      </c>
      <c r="E16" s="163">
        <f t="shared" si="15"/>
        <v>379.88257575757575</v>
      </c>
      <c r="F16" s="163">
        <f t="shared" si="15"/>
        <v>379.88257575757575</v>
      </c>
      <c r="G16" s="163">
        <f t="shared" si="15"/>
        <v>379.88257575757575</v>
      </c>
      <c r="H16" s="163">
        <f t="shared" si="15"/>
        <v>379.88257575757575</v>
      </c>
      <c r="I16" s="163">
        <f t="shared" si="15"/>
        <v>379.88257575757575</v>
      </c>
      <c r="J16" s="163">
        <f t="shared" si="15"/>
        <v>379.88257575757575</v>
      </c>
      <c r="K16" s="163">
        <f t="shared" si="15"/>
        <v>379.88257575757575</v>
      </c>
      <c r="L16"/>
      <c r="M16"/>
      <c r="N16">
        <v>39.83</v>
      </c>
      <c r="O16"/>
      <c r="P16"/>
      <c r="Q16" s="163">
        <f t="shared" ref="Q16" si="16">P16</f>
        <v>0</v>
      </c>
      <c r="R16" s="163">
        <f t="shared" ref="R16" si="17">Q16</f>
        <v>0</v>
      </c>
      <c r="S16" s="163">
        <f t="shared" ref="S16" si="18">R16</f>
        <v>0</v>
      </c>
      <c r="T16" s="155"/>
      <c r="U16" s="604">
        <v>167.275892495584</v>
      </c>
      <c r="V16" s="604"/>
    </row>
    <row r="17" spans="2:22" ht="17.25" customHeight="1" x14ac:dyDescent="0.25">
      <c r="B17" s="155" t="s">
        <v>796</v>
      </c>
      <c r="C17" s="163">
        <f>(C16*6.33%)</f>
        <v>24.046567045454545</v>
      </c>
      <c r="D17" s="163">
        <f t="shared" ref="D17:K17" si="19">(D16*6.33%)</f>
        <v>24.046567045454545</v>
      </c>
      <c r="E17" s="163">
        <f t="shared" si="19"/>
        <v>24.046567045454545</v>
      </c>
      <c r="F17" s="163">
        <f t="shared" si="19"/>
        <v>24.046567045454545</v>
      </c>
      <c r="G17" s="163">
        <f t="shared" si="19"/>
        <v>24.046567045454545</v>
      </c>
      <c r="H17" s="163">
        <f t="shared" si="19"/>
        <v>24.046567045454545</v>
      </c>
      <c r="I17" s="163">
        <f t="shared" si="19"/>
        <v>24.046567045454545</v>
      </c>
      <c r="J17" s="163">
        <f t="shared" si="19"/>
        <v>24.046567045454545</v>
      </c>
      <c r="K17" s="163">
        <f t="shared" si="19"/>
        <v>24.046567045454545</v>
      </c>
      <c r="L17"/>
      <c r="M17">
        <v>2521.0700000000002</v>
      </c>
      <c r="N17">
        <f>+N16</f>
        <v>39.83</v>
      </c>
      <c r="O17">
        <f>+M17-N17</f>
        <v>2481.2400000000002</v>
      </c>
      <c r="P17"/>
      <c r="Q17" s="163">
        <f t="shared" ref="Q17:S17" si="20">(Q16*6.33%)</f>
        <v>0</v>
      </c>
      <c r="R17" s="163">
        <f t="shared" si="20"/>
        <v>0</v>
      </c>
      <c r="S17" s="163">
        <f t="shared" si="20"/>
        <v>0</v>
      </c>
      <c r="T17" s="603">
        <f>SUM(C17:S17)</f>
        <v>5258.5591034090912</v>
      </c>
      <c r="U17" s="604"/>
      <c r="V17" s="604">
        <v>454.3959437474885</v>
      </c>
    </row>
    <row r="18" spans="2:22" s="166" customFormat="1" ht="17.25" customHeight="1" x14ac:dyDescent="0.25">
      <c r="B18" s="164" t="s">
        <v>797</v>
      </c>
      <c r="C18" s="165">
        <f t="shared" ref="C18:K18" si="21">C13+C17+C15</f>
        <v>81.973232954545466</v>
      </c>
      <c r="D18" s="165">
        <f t="shared" si="21"/>
        <v>81.973232954545466</v>
      </c>
      <c r="E18" s="165">
        <f t="shared" si="21"/>
        <v>81.973232954545466</v>
      </c>
      <c r="F18" s="165">
        <f t="shared" si="21"/>
        <v>81.973232954545466</v>
      </c>
      <c r="G18" s="165">
        <f t="shared" si="21"/>
        <v>81.973232954545466</v>
      </c>
      <c r="H18" s="165">
        <f t="shared" si="21"/>
        <v>81.973232954545466</v>
      </c>
      <c r="I18" s="165">
        <f t="shared" si="21"/>
        <v>81.973232954545466</v>
      </c>
      <c r="J18" s="165">
        <f t="shared" si="21"/>
        <v>81.973232954545466</v>
      </c>
      <c r="K18" s="165">
        <f t="shared" si="21"/>
        <v>70.707001136363601</v>
      </c>
      <c r="L18"/>
      <c r="M18">
        <v>2521.0700000000002</v>
      </c>
      <c r="N18">
        <f>+N17+$N$16</f>
        <v>79.66</v>
      </c>
      <c r="O18">
        <f t="shared" ref="O18:O25" si="22">+M18-N18</f>
        <v>2441.4100000000003</v>
      </c>
      <c r="P18"/>
      <c r="Q18" s="165">
        <f>Q13+Q17+Q15</f>
        <v>0</v>
      </c>
      <c r="R18" s="165">
        <f>R13+R17+R15</f>
        <v>0</v>
      </c>
      <c r="S18" s="165">
        <f>S13+S17+S15</f>
        <v>0</v>
      </c>
      <c r="U18" s="606"/>
    </row>
    <row r="19" spans="2:22" s="166" customFormat="1" ht="17.25" customHeight="1" x14ac:dyDescent="0.25">
      <c r="B19" s="193" t="s">
        <v>300</v>
      </c>
      <c r="C19" s="194">
        <f>C18</f>
        <v>81.973232954545466</v>
      </c>
      <c r="D19" s="194">
        <f>C18+D18</f>
        <v>163.94646590909093</v>
      </c>
      <c r="E19" s="194">
        <f>D19+E18</f>
        <v>245.9196988636364</v>
      </c>
      <c r="F19" s="194">
        <f>E19+F18</f>
        <v>327.89293181818186</v>
      </c>
      <c r="G19" s="194">
        <f>F19+G18</f>
        <v>409.8661647727273</v>
      </c>
      <c r="H19" s="194">
        <f t="shared" ref="H19:S19" si="23">G19+H18</f>
        <v>491.83939772727274</v>
      </c>
      <c r="I19" s="194">
        <f t="shared" si="23"/>
        <v>573.81263068181818</v>
      </c>
      <c r="J19" s="194">
        <f t="shared" si="23"/>
        <v>655.78586363636362</v>
      </c>
      <c r="K19" s="194">
        <f t="shared" si="23"/>
        <v>726.49286477272722</v>
      </c>
      <c r="L19"/>
      <c r="M19">
        <v>2521.0700000000002</v>
      </c>
      <c r="N19">
        <f t="shared" ref="N19:N25" si="24">+N18+$N$16</f>
        <v>119.49</v>
      </c>
      <c r="O19">
        <f t="shared" si="22"/>
        <v>2401.5800000000004</v>
      </c>
      <c r="P19"/>
      <c r="Q19" s="194">
        <f t="shared" si="23"/>
        <v>0</v>
      </c>
      <c r="R19" s="194">
        <f t="shared" si="23"/>
        <v>0</v>
      </c>
      <c r="S19" s="194">
        <f t="shared" si="23"/>
        <v>0</v>
      </c>
      <c r="U19" s="606">
        <v>390.16599815795541</v>
      </c>
    </row>
    <row r="20" spans="2:22" s="166" customFormat="1" ht="17.25" customHeight="1" x14ac:dyDescent="0.25">
      <c r="B20" s="193" t="s">
        <v>301</v>
      </c>
      <c r="C20" s="194">
        <f t="shared" ref="C20:K20" si="25">C12+C14+C16</f>
        <v>2984.7916666666661</v>
      </c>
      <c r="D20" s="194">
        <f t="shared" si="25"/>
        <v>2984.7916666666661</v>
      </c>
      <c r="E20" s="194">
        <f t="shared" si="25"/>
        <v>2984.7916666666661</v>
      </c>
      <c r="F20" s="194">
        <f t="shared" si="25"/>
        <v>2984.7916666666661</v>
      </c>
      <c r="G20" s="194">
        <f t="shared" si="25"/>
        <v>2984.7916666666661</v>
      </c>
      <c r="H20" s="194">
        <f t="shared" si="25"/>
        <v>2984.7916666666661</v>
      </c>
      <c r="I20" s="194">
        <f t="shared" si="25"/>
        <v>2984.7916666666661</v>
      </c>
      <c r="J20" s="194">
        <f t="shared" si="25"/>
        <v>2984.7916666666661</v>
      </c>
      <c r="K20" s="194">
        <f t="shared" si="25"/>
        <v>2984.7916666666661</v>
      </c>
      <c r="L20"/>
      <c r="M20">
        <v>2521.0700000000002</v>
      </c>
      <c r="N20">
        <f t="shared" si="24"/>
        <v>159.32</v>
      </c>
      <c r="O20">
        <f t="shared" si="22"/>
        <v>2361.75</v>
      </c>
      <c r="P20"/>
      <c r="Q20" s="194">
        <f>Q12+Q14+Q16</f>
        <v>0</v>
      </c>
      <c r="R20" s="194">
        <f>R12+R14+R16</f>
        <v>0</v>
      </c>
      <c r="S20" s="194">
        <f>S12+S14+S16</f>
        <v>0</v>
      </c>
    </row>
    <row r="21" spans="2:22" s="166" customFormat="1" ht="17.25" customHeight="1" x14ac:dyDescent="0.25">
      <c r="B21" s="166" t="s">
        <v>302</v>
      </c>
      <c r="C21" s="194">
        <f>C20-C19</f>
        <v>2902.8184337121206</v>
      </c>
      <c r="D21" s="194">
        <f t="shared" ref="D21:S21" si="26">D20-D19</f>
        <v>2820.8452007575752</v>
      </c>
      <c r="E21" s="194">
        <f t="shared" si="26"/>
        <v>2738.8719678030297</v>
      </c>
      <c r="F21" s="194">
        <f t="shared" si="26"/>
        <v>2656.8987348484843</v>
      </c>
      <c r="G21" s="194">
        <f t="shared" si="26"/>
        <v>2574.9255018939389</v>
      </c>
      <c r="H21" s="194">
        <f>H20-H19</f>
        <v>2492.9522689393934</v>
      </c>
      <c r="I21" s="194">
        <f>I20-I19</f>
        <v>2410.979035984848</v>
      </c>
      <c r="J21" s="194">
        <f>J20-J19</f>
        <v>2329.0058030303026</v>
      </c>
      <c r="K21" s="194">
        <f>K20-K19</f>
        <v>2258.2988018939386</v>
      </c>
      <c r="L21"/>
      <c r="M21">
        <v>2521.0700000000002</v>
      </c>
      <c r="N21">
        <f t="shared" si="24"/>
        <v>199.14999999999998</v>
      </c>
      <c r="O21">
        <f t="shared" si="22"/>
        <v>2321.92</v>
      </c>
      <c r="P21"/>
      <c r="Q21" s="195">
        <f t="shared" si="26"/>
        <v>0</v>
      </c>
      <c r="R21" s="195">
        <f t="shared" si="26"/>
        <v>0</v>
      </c>
      <c r="S21" s="195">
        <f t="shared" si="26"/>
        <v>0</v>
      </c>
    </row>
    <row r="22" spans="2:22" x14ac:dyDescent="0.25">
      <c r="B22" s="151"/>
      <c r="C22" s="151"/>
      <c r="D22" s="151"/>
      <c r="E22" s="151"/>
      <c r="F22" s="151"/>
      <c r="G22" s="151"/>
      <c r="H22" s="151"/>
      <c r="I22" s="151"/>
      <c r="J22" s="151"/>
      <c r="K22" s="151"/>
      <c r="L22"/>
      <c r="M22">
        <v>2521.0700000000002</v>
      </c>
      <c r="N22">
        <f t="shared" si="24"/>
        <v>238.97999999999996</v>
      </c>
      <c r="O22">
        <f t="shared" si="22"/>
        <v>2282.09</v>
      </c>
      <c r="P22"/>
    </row>
    <row r="23" spans="2:22" ht="15.75" customHeight="1" x14ac:dyDescent="0.25">
      <c r="B23" s="147" t="s">
        <v>258</v>
      </c>
      <c r="C23" s="147"/>
      <c r="D23" s="147"/>
      <c r="E23" s="147"/>
      <c r="F23" s="147"/>
      <c r="G23" s="147"/>
      <c r="H23" s="147"/>
      <c r="I23" s="147"/>
      <c r="J23" s="147"/>
      <c r="K23" s="147"/>
      <c r="L23"/>
      <c r="M23">
        <v>2521.0700000000002</v>
      </c>
      <c r="N23">
        <f t="shared" si="24"/>
        <v>278.80999999999995</v>
      </c>
      <c r="O23">
        <f t="shared" si="22"/>
        <v>2242.2600000000002</v>
      </c>
      <c r="P23"/>
      <c r="Q23" s="147"/>
      <c r="R23" s="147"/>
      <c r="S23" s="147"/>
    </row>
    <row r="24" spans="2:22" ht="15" customHeight="1" x14ac:dyDescent="0.25">
      <c r="B24" s="167" t="s">
        <v>259</v>
      </c>
      <c r="C24" s="168">
        <f>12*0.5</f>
        <v>6</v>
      </c>
      <c r="D24" s="168">
        <v>12</v>
      </c>
      <c r="E24" s="168">
        <v>12</v>
      </c>
      <c r="F24" s="168">
        <v>12</v>
      </c>
      <c r="G24" s="168">
        <v>12</v>
      </c>
      <c r="H24" s="168">
        <v>12</v>
      </c>
      <c r="I24" s="168">
        <v>12</v>
      </c>
      <c r="J24" s="168">
        <v>12</v>
      </c>
      <c r="K24" s="168">
        <v>12</v>
      </c>
      <c r="L24"/>
      <c r="M24">
        <v>2521.0700000000002</v>
      </c>
      <c r="N24">
        <f t="shared" si="24"/>
        <v>318.63999999999993</v>
      </c>
      <c r="O24">
        <f t="shared" si="22"/>
        <v>2202.4300000000003</v>
      </c>
      <c r="P24"/>
      <c r="Q24" s="168">
        <v>12</v>
      </c>
      <c r="R24" s="168">
        <v>12</v>
      </c>
      <c r="S24" s="168">
        <v>12</v>
      </c>
    </row>
    <row r="25" spans="2:22" s="162" customFormat="1" ht="21" customHeight="1" x14ac:dyDescent="0.25">
      <c r="B25" s="160" t="s">
        <v>260</v>
      </c>
      <c r="C25" s="161">
        <v>2027</v>
      </c>
      <c r="D25" s="161">
        <f t="shared" ref="D25:K25" si="27">C25+1</f>
        <v>2028</v>
      </c>
      <c r="E25" s="161">
        <f t="shared" si="27"/>
        <v>2029</v>
      </c>
      <c r="F25" s="161">
        <f t="shared" si="27"/>
        <v>2030</v>
      </c>
      <c r="G25" s="161">
        <f t="shared" si="27"/>
        <v>2031</v>
      </c>
      <c r="H25" s="161">
        <f t="shared" si="27"/>
        <v>2032</v>
      </c>
      <c r="I25" s="161">
        <f t="shared" si="27"/>
        <v>2033</v>
      </c>
      <c r="J25" s="161">
        <f t="shared" si="27"/>
        <v>2034</v>
      </c>
      <c r="K25" s="161">
        <f t="shared" si="27"/>
        <v>2035</v>
      </c>
      <c r="L25"/>
      <c r="M25">
        <v>2521.0700000000002</v>
      </c>
      <c r="N25">
        <f t="shared" si="24"/>
        <v>358.46999999999991</v>
      </c>
      <c r="O25">
        <f t="shared" si="22"/>
        <v>2162.6000000000004</v>
      </c>
      <c r="P25"/>
      <c r="Q25" s="161">
        <f t="shared" ref="Q25" si="28">P25+1</f>
        <v>1</v>
      </c>
      <c r="R25" s="161">
        <f t="shared" ref="R25" si="29">Q25+1</f>
        <v>2</v>
      </c>
      <c r="S25" s="161">
        <f t="shared" ref="S25" si="30">R25+1</f>
        <v>3</v>
      </c>
    </row>
    <row r="26" spans="2:22" s="155" customFormat="1" ht="21" customHeight="1" x14ac:dyDescent="0.25">
      <c r="B26" s="600" t="s">
        <v>256</v>
      </c>
      <c r="C26" s="163">
        <f>F3</f>
        <v>2442.1022727272725</v>
      </c>
      <c r="D26" s="163">
        <f t="shared" ref="D26:K26" si="31">(C28)</f>
        <v>2319.997159090909</v>
      </c>
      <c r="E26" s="163">
        <f t="shared" si="31"/>
        <v>2087.9974431818182</v>
      </c>
      <c r="F26" s="163">
        <f t="shared" si="31"/>
        <v>1879.1976988636363</v>
      </c>
      <c r="G26" s="163">
        <f t="shared" si="31"/>
        <v>1691.2779289772727</v>
      </c>
      <c r="H26" s="163">
        <f t="shared" si="31"/>
        <v>1522.1501360795455</v>
      </c>
      <c r="I26" s="163">
        <f t="shared" si="31"/>
        <v>1369.9351224715911</v>
      </c>
      <c r="J26" s="163">
        <f t="shared" si="31"/>
        <v>1232.941610224432</v>
      </c>
      <c r="K26" s="163">
        <f t="shared" si="31"/>
        <v>1109.6474492019888</v>
      </c>
      <c r="L26"/>
      <c r="M26"/>
      <c r="N26"/>
      <c r="O26"/>
      <c r="P26"/>
      <c r="Q26" s="163">
        <f t="shared" ref="Q26" si="32">(P28)</f>
        <v>0</v>
      </c>
      <c r="R26" s="163">
        <f t="shared" ref="R26" si="33">(Q28)</f>
        <v>0</v>
      </c>
      <c r="S26" s="163">
        <f t="shared" ref="S26" si="34">(R28)</f>
        <v>0</v>
      </c>
    </row>
    <row r="27" spans="2:22" s="155" customFormat="1" ht="21" customHeight="1" x14ac:dyDescent="0.25">
      <c r="B27" s="155" t="s">
        <v>261</v>
      </c>
      <c r="C27" s="163">
        <f>(C26*$I$3)*C24/12</f>
        <v>122.10511363636363</v>
      </c>
      <c r="D27" s="163">
        <f t="shared" ref="D27:K27" si="35">(D26*$I$3)</f>
        <v>231.99971590909092</v>
      </c>
      <c r="E27" s="163">
        <f t="shared" si="35"/>
        <v>208.79974431818184</v>
      </c>
      <c r="F27" s="163">
        <f t="shared" si="35"/>
        <v>187.91976988636364</v>
      </c>
      <c r="G27" s="163">
        <f t="shared" si="35"/>
        <v>169.12779289772729</v>
      </c>
      <c r="H27" s="163">
        <f t="shared" si="35"/>
        <v>152.21501360795455</v>
      </c>
      <c r="I27" s="163">
        <f t="shared" si="35"/>
        <v>136.99351224715912</v>
      </c>
      <c r="J27" s="163">
        <f t="shared" si="35"/>
        <v>123.29416102244321</v>
      </c>
      <c r="K27" s="163">
        <f t="shared" si="35"/>
        <v>110.96474492019888</v>
      </c>
      <c r="L27"/>
      <c r="M27"/>
      <c r="N27"/>
      <c r="O27"/>
      <c r="P27"/>
      <c r="Q27" s="163">
        <f t="shared" ref="Q27:S27" si="36">(Q26*$I$3)</f>
        <v>0</v>
      </c>
      <c r="R27" s="163">
        <f t="shared" si="36"/>
        <v>0</v>
      </c>
      <c r="S27" s="163">
        <f t="shared" si="36"/>
        <v>0</v>
      </c>
      <c r="T27" s="603">
        <f>SUM(C27:S27)</f>
        <v>1443.419568445483</v>
      </c>
    </row>
    <row r="28" spans="2:22" s="155" customFormat="1" ht="21" customHeight="1" x14ac:dyDescent="0.25">
      <c r="B28" s="155" t="s">
        <v>262</v>
      </c>
      <c r="C28" s="163">
        <f t="shared" ref="C28:K28" si="37">(C26-C27)</f>
        <v>2319.997159090909</v>
      </c>
      <c r="D28" s="163">
        <f t="shared" si="37"/>
        <v>2087.9974431818182</v>
      </c>
      <c r="E28" s="163">
        <f t="shared" si="37"/>
        <v>1879.1976988636363</v>
      </c>
      <c r="F28" s="163">
        <f t="shared" si="37"/>
        <v>1691.2779289772727</v>
      </c>
      <c r="G28" s="163">
        <f t="shared" si="37"/>
        <v>1522.1501360795455</v>
      </c>
      <c r="H28" s="163">
        <f t="shared" si="37"/>
        <v>1369.9351224715911</v>
      </c>
      <c r="I28" s="163">
        <f t="shared" si="37"/>
        <v>1232.941610224432</v>
      </c>
      <c r="J28" s="163">
        <f t="shared" si="37"/>
        <v>1109.6474492019888</v>
      </c>
      <c r="K28" s="163">
        <f t="shared" si="37"/>
        <v>998.68270428178994</v>
      </c>
      <c r="L28"/>
      <c r="M28"/>
      <c r="N28"/>
      <c r="O28"/>
      <c r="P28"/>
      <c r="Q28" s="163">
        <f t="shared" ref="Q28:S28" si="38">(Q26-Q27)</f>
        <v>0</v>
      </c>
      <c r="R28" s="163">
        <f t="shared" si="38"/>
        <v>0</v>
      </c>
      <c r="S28" s="163">
        <f t="shared" si="38"/>
        <v>0</v>
      </c>
    </row>
    <row r="29" spans="2:22" s="155" customFormat="1" ht="21" customHeight="1" x14ac:dyDescent="0.25">
      <c r="B29" s="172" t="s">
        <v>278</v>
      </c>
      <c r="C29" s="163">
        <f>F4</f>
        <v>162.80681818181819</v>
      </c>
      <c r="D29" s="163">
        <f>C31</f>
        <v>154.66647727272726</v>
      </c>
      <c r="E29" s="163">
        <f t="shared" ref="E29:K29" si="39">D31</f>
        <v>139.19982954545455</v>
      </c>
      <c r="F29" s="163">
        <f t="shared" si="39"/>
        <v>125.27984659090909</v>
      </c>
      <c r="G29" s="163">
        <f t="shared" si="39"/>
        <v>112.75186193181818</v>
      </c>
      <c r="H29" s="163">
        <f t="shared" si="39"/>
        <v>101.47667573863636</v>
      </c>
      <c r="I29" s="163">
        <f t="shared" si="39"/>
        <v>91.329008164772716</v>
      </c>
      <c r="J29" s="163">
        <f t="shared" si="39"/>
        <v>82.196107348295442</v>
      </c>
      <c r="K29" s="163">
        <f t="shared" si="39"/>
        <v>73.976496613465898</v>
      </c>
      <c r="L29"/>
      <c r="M29"/>
      <c r="N29"/>
      <c r="O29"/>
      <c r="P29"/>
      <c r="Q29" s="163">
        <f t="shared" ref="Q29:S29" si="40">P31</f>
        <v>0</v>
      </c>
      <c r="R29" s="163">
        <f t="shared" si="40"/>
        <v>0</v>
      </c>
      <c r="S29" s="163">
        <f t="shared" si="40"/>
        <v>0</v>
      </c>
      <c r="T29" s="603">
        <f>SUM(C29:S29)</f>
        <v>1043.6831213878977</v>
      </c>
    </row>
    <row r="30" spans="2:22" s="155" customFormat="1" ht="21" customHeight="1" x14ac:dyDescent="0.25">
      <c r="B30" s="155" t="s">
        <v>261</v>
      </c>
      <c r="C30" s="163">
        <f>(C29*$I$4)*C24/12</f>
        <v>8.1403409090909093</v>
      </c>
      <c r="D30" s="163">
        <f t="shared" ref="D30" si="41">(D29*$I$4)</f>
        <v>15.466647727272727</v>
      </c>
      <c r="E30" s="163">
        <f t="shared" ref="E30" si="42">(E29*$I$4)</f>
        <v>13.919982954545455</v>
      </c>
      <c r="F30" s="163">
        <f t="shared" ref="F30" si="43">(F29*$I$4)</f>
        <v>12.52798465909091</v>
      </c>
      <c r="G30" s="163">
        <f t="shared" ref="G30" si="44">(G29*$I$4)</f>
        <v>11.275186193181819</v>
      </c>
      <c r="H30" s="163">
        <f t="shared" ref="H30" si="45">(H29*$I$4)</f>
        <v>10.147667573863636</v>
      </c>
      <c r="I30" s="163">
        <f t="shared" ref="I30" si="46">(I29*$I$4)</f>
        <v>9.1329008164772727</v>
      </c>
      <c r="J30" s="163">
        <f t="shared" ref="J30" si="47">(J29*$I$4)</f>
        <v>8.2196107348295442</v>
      </c>
      <c r="K30" s="163">
        <f t="shared" ref="K30" si="48">(K29*$I$4)</f>
        <v>7.3976496613465903</v>
      </c>
      <c r="L30"/>
      <c r="M30"/>
      <c r="N30"/>
      <c r="O30"/>
      <c r="P30"/>
      <c r="Q30" s="163">
        <f t="shared" ref="Q30" si="49">(Q29*$I$4)</f>
        <v>0</v>
      </c>
      <c r="R30" s="163">
        <f t="shared" ref="R30" si="50">(R29*$I$4)</f>
        <v>0</v>
      </c>
      <c r="S30" s="163">
        <f t="shared" ref="S30" si="51">(S29*$I$4)</f>
        <v>0</v>
      </c>
    </row>
    <row r="31" spans="2:22" s="155" customFormat="1" ht="21" customHeight="1" x14ac:dyDescent="0.25">
      <c r="B31" s="172" t="s">
        <v>288</v>
      </c>
      <c r="C31" s="163">
        <f t="shared" ref="C31:D31" si="52">(C29-C30)</f>
        <v>154.66647727272726</v>
      </c>
      <c r="D31" s="163">
        <f t="shared" si="52"/>
        <v>139.19982954545455</v>
      </c>
      <c r="E31" s="163">
        <f t="shared" ref="E31:K31" si="53">(E29-E30)</f>
        <v>125.27984659090909</v>
      </c>
      <c r="F31" s="163">
        <f t="shared" si="53"/>
        <v>112.75186193181818</v>
      </c>
      <c r="G31" s="163">
        <f t="shared" si="53"/>
        <v>101.47667573863636</v>
      </c>
      <c r="H31" s="163">
        <f t="shared" si="53"/>
        <v>91.329008164772716</v>
      </c>
      <c r="I31" s="163">
        <f t="shared" si="53"/>
        <v>82.196107348295442</v>
      </c>
      <c r="J31" s="163">
        <f t="shared" si="53"/>
        <v>73.976496613465898</v>
      </c>
      <c r="K31" s="163">
        <f t="shared" si="53"/>
        <v>66.578846952119306</v>
      </c>
      <c r="L31"/>
      <c r="M31"/>
      <c r="N31"/>
      <c r="O31"/>
      <c r="P31"/>
      <c r="Q31" s="163">
        <f t="shared" ref="Q31:S31" si="54">(Q29-Q30)</f>
        <v>0</v>
      </c>
      <c r="R31" s="163">
        <f t="shared" si="54"/>
        <v>0</v>
      </c>
      <c r="S31" s="163">
        <f t="shared" si="54"/>
        <v>0</v>
      </c>
      <c r="T31" s="603">
        <f>SUM(C31:S31)</f>
        <v>947.45515015819876</v>
      </c>
    </row>
    <row r="32" spans="2:22" s="155" customFormat="1" ht="21" customHeight="1" x14ac:dyDescent="0.25">
      <c r="B32" s="155" t="s">
        <v>257</v>
      </c>
      <c r="C32" s="163">
        <f>F5</f>
        <v>379.88257575757575</v>
      </c>
      <c r="D32" s="163">
        <f>C34</f>
        <v>351.39138257575758</v>
      </c>
      <c r="E32" s="163">
        <f t="shared" ref="E32:K32" si="55">(D34)</f>
        <v>316.25224431818179</v>
      </c>
      <c r="F32" s="163">
        <f t="shared" si="55"/>
        <v>284.6270198863636</v>
      </c>
      <c r="G32" s="163">
        <f t="shared" si="55"/>
        <v>256.16431789772724</v>
      </c>
      <c r="H32" s="163">
        <f t="shared" si="55"/>
        <v>230.54788610795453</v>
      </c>
      <c r="I32" s="163">
        <f t="shared" si="55"/>
        <v>207.49309749715906</v>
      </c>
      <c r="J32" s="163">
        <f t="shared" si="55"/>
        <v>186.74378774744315</v>
      </c>
      <c r="K32" s="163">
        <f t="shared" si="55"/>
        <v>168.06940897269882</v>
      </c>
      <c r="L32"/>
      <c r="M32"/>
      <c r="N32"/>
      <c r="O32"/>
      <c r="P32"/>
      <c r="Q32" s="163">
        <f t="shared" ref="Q32" si="56">(P34)</f>
        <v>0</v>
      </c>
      <c r="R32" s="163">
        <f t="shared" ref="R32" si="57">(Q34)</f>
        <v>0</v>
      </c>
      <c r="S32" s="163">
        <f t="shared" ref="S32" si="58">(R34)</f>
        <v>0</v>
      </c>
    </row>
    <row r="33" spans="2:20" s="155" customFormat="1" ht="21" customHeight="1" x14ac:dyDescent="0.25">
      <c r="B33" s="155" t="s">
        <v>261</v>
      </c>
      <c r="C33" s="163">
        <f>(C32*$I$5)*C24/12</f>
        <v>28.491193181818179</v>
      </c>
      <c r="D33" s="163">
        <f t="shared" ref="D33:K33" si="59">(D32*$I$4)</f>
        <v>35.139138257575759</v>
      </c>
      <c r="E33" s="163">
        <f t="shared" si="59"/>
        <v>31.625224431818182</v>
      </c>
      <c r="F33" s="163">
        <f t="shared" si="59"/>
        <v>28.462701988636361</v>
      </c>
      <c r="G33" s="163">
        <f t="shared" si="59"/>
        <v>25.616431789772726</v>
      </c>
      <c r="H33" s="163">
        <f t="shared" si="59"/>
        <v>23.054788610795455</v>
      </c>
      <c r="I33" s="163">
        <f t="shared" si="59"/>
        <v>20.749309749715906</v>
      </c>
      <c r="J33" s="163">
        <f t="shared" si="59"/>
        <v>18.674378774744316</v>
      </c>
      <c r="K33" s="163">
        <f t="shared" si="59"/>
        <v>16.806940897269882</v>
      </c>
      <c r="L33"/>
      <c r="M33"/>
      <c r="N33"/>
      <c r="O33"/>
      <c r="P33"/>
      <c r="Q33" s="163">
        <f t="shared" ref="Q33:S33" si="60">(Q32*$I$4)</f>
        <v>0</v>
      </c>
      <c r="R33" s="163">
        <f t="shared" si="60"/>
        <v>0</v>
      </c>
      <c r="S33" s="163">
        <f t="shared" si="60"/>
        <v>0</v>
      </c>
    </row>
    <row r="34" spans="2:20" s="155" customFormat="1" ht="21" customHeight="1" x14ac:dyDescent="0.25">
      <c r="B34" s="155" t="s">
        <v>263</v>
      </c>
      <c r="C34" s="163">
        <f t="shared" ref="C34:K34" si="61">(C32-C33)</f>
        <v>351.39138257575758</v>
      </c>
      <c r="D34" s="163">
        <f t="shared" si="61"/>
        <v>316.25224431818179</v>
      </c>
      <c r="E34" s="163">
        <f t="shared" si="61"/>
        <v>284.6270198863636</v>
      </c>
      <c r="F34" s="163">
        <f t="shared" si="61"/>
        <v>256.16431789772724</v>
      </c>
      <c r="G34" s="163">
        <f t="shared" si="61"/>
        <v>230.54788610795453</v>
      </c>
      <c r="H34" s="163">
        <f t="shared" si="61"/>
        <v>207.49309749715906</v>
      </c>
      <c r="I34" s="163">
        <f t="shared" si="61"/>
        <v>186.74378774744315</v>
      </c>
      <c r="J34" s="163">
        <f t="shared" si="61"/>
        <v>168.06940897269882</v>
      </c>
      <c r="K34" s="163">
        <f t="shared" si="61"/>
        <v>151.26246807542896</v>
      </c>
      <c r="L34"/>
      <c r="M34"/>
      <c r="N34"/>
      <c r="O34"/>
      <c r="P34"/>
      <c r="Q34" s="163">
        <f t="shared" ref="Q34:S34" si="62">(Q32-Q33)</f>
        <v>0</v>
      </c>
      <c r="R34" s="163">
        <f t="shared" si="62"/>
        <v>0</v>
      </c>
      <c r="S34" s="163">
        <f t="shared" si="62"/>
        <v>0</v>
      </c>
    </row>
    <row r="35" spans="2:20" s="155" customFormat="1" ht="21" customHeight="1" x14ac:dyDescent="0.25">
      <c r="B35" s="147" t="s">
        <v>264</v>
      </c>
      <c r="C35" s="298">
        <f>C27+C33+C30</f>
        <v>158.73664772727273</v>
      </c>
      <c r="D35" s="298">
        <f t="shared" ref="D35:S35" si="63">D27+D33+D30</f>
        <v>282.60550189393945</v>
      </c>
      <c r="E35" s="298">
        <f t="shared" si="63"/>
        <v>254.34495170454545</v>
      </c>
      <c r="F35" s="298">
        <f t="shared" si="63"/>
        <v>228.91045653409091</v>
      </c>
      <c r="G35" s="298">
        <f t="shared" si="63"/>
        <v>206.01941088068182</v>
      </c>
      <c r="H35" s="298">
        <f t="shared" si="63"/>
        <v>185.41746979261362</v>
      </c>
      <c r="I35" s="298">
        <f t="shared" si="63"/>
        <v>166.8757228133523</v>
      </c>
      <c r="J35" s="298">
        <f t="shared" si="63"/>
        <v>150.18815053201706</v>
      </c>
      <c r="K35" s="298">
        <f t="shared" si="63"/>
        <v>135.16933547881536</v>
      </c>
      <c r="L35"/>
      <c r="M35"/>
      <c r="N35"/>
      <c r="O35"/>
      <c r="P35"/>
      <c r="Q35" s="298">
        <f t="shared" si="63"/>
        <v>0</v>
      </c>
      <c r="R35" s="298">
        <f t="shared" si="63"/>
        <v>0</v>
      </c>
      <c r="S35" s="298">
        <f t="shared" si="63"/>
        <v>0</v>
      </c>
    </row>
    <row r="36" spans="2:20" x14ac:dyDescent="0.25">
      <c r="B36" s="147" t="s">
        <v>265</v>
      </c>
      <c r="C36" s="298">
        <f>C28+C34+C31</f>
        <v>2826.0550189393939</v>
      </c>
      <c r="D36" s="298">
        <f t="shared" ref="D36:S36" si="64">D28+D34+D31</f>
        <v>2543.4495170454547</v>
      </c>
      <c r="E36" s="298">
        <f t="shared" si="64"/>
        <v>2289.1045653409092</v>
      </c>
      <c r="F36" s="298">
        <f t="shared" si="64"/>
        <v>2060.1941088068179</v>
      </c>
      <c r="G36" s="298">
        <f t="shared" si="64"/>
        <v>1854.1746979261366</v>
      </c>
      <c r="H36" s="298">
        <f t="shared" si="64"/>
        <v>1668.7572281335226</v>
      </c>
      <c r="I36" s="298">
        <f t="shared" si="64"/>
        <v>1501.8815053201706</v>
      </c>
      <c r="J36" s="298">
        <f t="shared" si="64"/>
        <v>1351.6933547881536</v>
      </c>
      <c r="K36" s="298">
        <f t="shared" si="64"/>
        <v>1216.5240193093382</v>
      </c>
      <c r="L36"/>
      <c r="M36"/>
      <c r="N36"/>
      <c r="O36"/>
      <c r="P36"/>
      <c r="Q36" s="298">
        <f t="shared" si="64"/>
        <v>0</v>
      </c>
      <c r="R36" s="298">
        <f t="shared" si="64"/>
        <v>0</v>
      </c>
      <c r="S36" s="298">
        <f t="shared" si="64"/>
        <v>0</v>
      </c>
    </row>
    <row r="37" spans="2:20" ht="34.5" customHeight="1" x14ac:dyDescent="0.25">
      <c r="L37"/>
      <c r="M37"/>
      <c r="N37"/>
      <c r="O37"/>
      <c r="P37"/>
    </row>
    <row r="38" spans="2:20" hidden="1" x14ac:dyDescent="0.25">
      <c r="B38" s="147" t="s">
        <v>799</v>
      </c>
      <c r="C38" s="147"/>
      <c r="D38" s="147"/>
      <c r="E38" s="147"/>
      <c r="F38" s="147"/>
      <c r="G38" s="147"/>
      <c r="H38" s="147"/>
      <c r="I38" s="147"/>
      <c r="J38" s="147"/>
      <c r="K38" s="147"/>
      <c r="L38"/>
      <c r="M38"/>
      <c r="N38"/>
      <c r="O38"/>
      <c r="P38"/>
      <c r="Q38" s="147"/>
      <c r="R38" s="147"/>
      <c r="S38" s="147"/>
    </row>
    <row r="39" spans="2:20" hidden="1" x14ac:dyDescent="0.25">
      <c r="B39" s="167" t="s">
        <v>259</v>
      </c>
      <c r="C39" s="168">
        <f>12*0.5</f>
        <v>6</v>
      </c>
      <c r="D39" s="168">
        <v>12</v>
      </c>
      <c r="E39" s="168">
        <v>12</v>
      </c>
      <c r="F39" s="168">
        <v>12</v>
      </c>
      <c r="G39" s="168">
        <v>12</v>
      </c>
      <c r="H39" s="168">
        <v>12</v>
      </c>
      <c r="I39" s="168">
        <v>12</v>
      </c>
      <c r="J39" s="168">
        <v>12</v>
      </c>
      <c r="K39" s="168">
        <v>12</v>
      </c>
      <c r="L39"/>
      <c r="M39"/>
      <c r="N39"/>
      <c r="O39"/>
      <c r="P39"/>
      <c r="Q39" s="168">
        <v>12</v>
      </c>
      <c r="R39" s="168">
        <v>12</v>
      </c>
      <c r="S39" s="168">
        <v>12</v>
      </c>
    </row>
    <row r="40" spans="2:20" hidden="1" x14ac:dyDescent="0.25">
      <c r="B40" s="160" t="s">
        <v>260</v>
      </c>
      <c r="C40" s="161">
        <v>2027</v>
      </c>
      <c r="D40" s="161">
        <f t="shared" ref="D40" si="65">C40+1</f>
        <v>2028</v>
      </c>
      <c r="E40" s="161">
        <f t="shared" ref="E40" si="66">D40+1</f>
        <v>2029</v>
      </c>
      <c r="F40" s="161">
        <f t="shared" ref="F40" si="67">E40+1</f>
        <v>2030</v>
      </c>
      <c r="G40" s="161">
        <f t="shared" ref="G40" si="68">F40+1</f>
        <v>2031</v>
      </c>
      <c r="H40" s="161">
        <f t="shared" ref="H40" si="69">G40+1</f>
        <v>2032</v>
      </c>
      <c r="I40" s="161">
        <f t="shared" ref="I40" si="70">H40+1</f>
        <v>2033</v>
      </c>
      <c r="J40" s="161">
        <f t="shared" ref="J40" si="71">I40+1</f>
        <v>2034</v>
      </c>
      <c r="K40" s="161">
        <f t="shared" ref="K40" si="72">J40+1</f>
        <v>2035</v>
      </c>
      <c r="L40"/>
      <c r="M40"/>
      <c r="N40"/>
      <c r="O40"/>
      <c r="P40"/>
      <c r="Q40" s="161">
        <f t="shared" ref="Q40" si="73">P40+1</f>
        <v>1</v>
      </c>
      <c r="R40" s="161">
        <f t="shared" ref="R40" si="74">Q40+1</f>
        <v>2</v>
      </c>
      <c r="S40" s="161">
        <f t="shared" ref="S40" si="75">R40+1</f>
        <v>3</v>
      </c>
    </row>
    <row r="41" spans="2:20" hidden="1" x14ac:dyDescent="0.25">
      <c r="B41" s="600" t="s">
        <v>256</v>
      </c>
      <c r="C41" s="163">
        <f>+F3</f>
        <v>2442.1022727272725</v>
      </c>
      <c r="D41" s="163">
        <f t="shared" ref="D41" si="76">(C43)</f>
        <v>2382.6370823863635</v>
      </c>
      <c r="E41" s="163">
        <f t="shared" ref="E41" si="77">(D43)</f>
        <v>2266.6026564741478</v>
      </c>
      <c r="F41" s="163">
        <f t="shared" ref="F41" si="78">(E43)</f>
        <v>2156.2191071038569</v>
      </c>
      <c r="G41" s="163">
        <f t="shared" ref="G41" si="79">(F43)</f>
        <v>2051.2112365878993</v>
      </c>
      <c r="H41" s="163">
        <f t="shared" ref="H41" si="80">(G43)</f>
        <v>1951.3172493660686</v>
      </c>
      <c r="I41" s="163">
        <f t="shared" ref="I41" si="81">(H43)</f>
        <v>1856.288099321941</v>
      </c>
      <c r="J41" s="163">
        <f t="shared" ref="J41" si="82">(I43)</f>
        <v>1765.8868688849625</v>
      </c>
      <c r="K41" s="163">
        <f t="shared" ref="K41" si="83">(J43)</f>
        <v>1679.8881783702648</v>
      </c>
      <c r="L41"/>
      <c r="M41"/>
      <c r="N41"/>
      <c r="O41"/>
      <c r="P41"/>
      <c r="Q41" s="163">
        <f t="shared" ref="Q41" si="84">(P43)</f>
        <v>0</v>
      </c>
      <c r="R41" s="163">
        <f t="shared" ref="R41" si="85">(Q43)</f>
        <v>0</v>
      </c>
      <c r="S41" s="163">
        <f t="shared" ref="S41" si="86">(R43)</f>
        <v>0</v>
      </c>
    </row>
    <row r="42" spans="2:20" hidden="1" x14ac:dyDescent="0.25">
      <c r="B42" s="155" t="s">
        <v>261</v>
      </c>
      <c r="C42" s="163">
        <f>(C41*$K$3)*C39/12</f>
        <v>59.465190340909089</v>
      </c>
      <c r="D42" s="163">
        <f>(D41*$K$3)</f>
        <v>116.03442591221591</v>
      </c>
      <c r="E42" s="163">
        <f>(E41*$K$3)</f>
        <v>110.38354937029099</v>
      </c>
      <c r="F42" s="163">
        <f>(F41*$K$3)</f>
        <v>105.00787051595783</v>
      </c>
      <c r="G42" s="163">
        <f t="shared" ref="G42:K42" si="87">(G41*$K$3)</f>
        <v>99.893987221830699</v>
      </c>
      <c r="H42" s="163">
        <f t="shared" si="87"/>
        <v>95.029150044127547</v>
      </c>
      <c r="I42" s="163">
        <f t="shared" si="87"/>
        <v>90.401230436978523</v>
      </c>
      <c r="J42" s="163">
        <f t="shared" si="87"/>
        <v>85.998690514697671</v>
      </c>
      <c r="K42" s="163">
        <f t="shared" si="87"/>
        <v>81.810554286631898</v>
      </c>
      <c r="L42"/>
      <c r="M42"/>
      <c r="N42"/>
      <c r="O42"/>
      <c r="P42"/>
      <c r="Q42" s="163">
        <f t="shared" ref="Q42:S42" si="88">(Q41*$I$3)</f>
        <v>0</v>
      </c>
      <c r="R42" s="163">
        <f t="shared" si="88"/>
        <v>0</v>
      </c>
      <c r="S42" s="163">
        <f t="shared" si="88"/>
        <v>0</v>
      </c>
      <c r="T42" s="603">
        <f>SUM(C42:S42)</f>
        <v>844.02464864364015</v>
      </c>
    </row>
    <row r="43" spans="2:20" hidden="1" x14ac:dyDescent="0.25">
      <c r="B43" s="155" t="s">
        <v>262</v>
      </c>
      <c r="C43" s="163">
        <f>(C41-C42)</f>
        <v>2382.6370823863635</v>
      </c>
      <c r="D43" s="163">
        <f>(D41-D42)</f>
        <v>2266.6026564741478</v>
      </c>
      <c r="E43" s="163">
        <f t="shared" ref="E43:S43" si="89">(E41-E42)</f>
        <v>2156.2191071038569</v>
      </c>
      <c r="F43" s="163">
        <f t="shared" si="89"/>
        <v>2051.2112365878993</v>
      </c>
      <c r="G43" s="163">
        <f t="shared" si="89"/>
        <v>1951.3172493660686</v>
      </c>
      <c r="H43" s="163">
        <f t="shared" si="89"/>
        <v>1856.288099321941</v>
      </c>
      <c r="I43" s="163">
        <f t="shared" si="89"/>
        <v>1765.8868688849625</v>
      </c>
      <c r="J43" s="163">
        <f t="shared" si="89"/>
        <v>1679.8881783702648</v>
      </c>
      <c r="K43" s="163">
        <f t="shared" si="89"/>
        <v>1598.0776240836328</v>
      </c>
      <c r="L43"/>
      <c r="M43"/>
      <c r="N43"/>
      <c r="O43"/>
      <c r="P43"/>
      <c r="Q43" s="163">
        <f t="shared" si="89"/>
        <v>0</v>
      </c>
      <c r="R43" s="163">
        <f t="shared" si="89"/>
        <v>0</v>
      </c>
      <c r="S43" s="163">
        <f t="shared" si="89"/>
        <v>0</v>
      </c>
      <c r="T43" s="155"/>
    </row>
    <row r="44" spans="2:20" hidden="1" x14ac:dyDescent="0.25">
      <c r="B44" s="172" t="s">
        <v>278</v>
      </c>
      <c r="C44" s="163">
        <f>+F4</f>
        <v>162.80681818181819</v>
      </c>
      <c r="D44" s="163">
        <f>C46</f>
        <v>137.38453352272728</v>
      </c>
      <c r="E44" s="163">
        <f t="shared" ref="E44" si="90">D46</f>
        <v>94.479343703579545</v>
      </c>
      <c r="F44" s="163">
        <f t="shared" ref="F44" si="91">E46</f>
        <v>64.973444664951643</v>
      </c>
      <c r="G44" s="163">
        <f t="shared" ref="G44" si="92">F46</f>
        <v>44.682237896087244</v>
      </c>
      <c r="H44" s="163">
        <f t="shared" ref="H44" si="93">G46</f>
        <v>30.727975001139196</v>
      </c>
      <c r="I44" s="163">
        <f t="shared" ref="I44" si="94">H46</f>
        <v>21.131628408283426</v>
      </c>
      <c r="J44" s="163">
        <f t="shared" ref="J44" si="95">I46</f>
        <v>14.532220856376512</v>
      </c>
      <c r="K44" s="163">
        <f t="shared" ref="K44" si="96">J46</f>
        <v>9.9938082829301269</v>
      </c>
      <c r="L44"/>
      <c r="M44"/>
      <c r="N44"/>
      <c r="O44"/>
      <c r="P44"/>
      <c r="Q44" s="163">
        <f t="shared" ref="Q44" si="97">P46</f>
        <v>0</v>
      </c>
      <c r="R44" s="163">
        <f t="shared" ref="R44" si="98">Q46</f>
        <v>0</v>
      </c>
      <c r="S44" s="163">
        <f t="shared" ref="S44" si="99">R46</f>
        <v>0</v>
      </c>
      <c r="T44" s="603"/>
    </row>
    <row r="45" spans="2:20" hidden="1" x14ac:dyDescent="0.25">
      <c r="B45" s="155" t="s">
        <v>261</v>
      </c>
      <c r="C45" s="163">
        <f>(C44*$K$4)*C39/12</f>
        <v>25.422284659090916</v>
      </c>
      <c r="D45" s="163">
        <f>(D44*$K$4)</f>
        <v>42.905189819147736</v>
      </c>
      <c r="E45" s="163">
        <f t="shared" ref="E45:K45" si="100">(E44*$K$4)</f>
        <v>29.505899038627895</v>
      </c>
      <c r="F45" s="163">
        <f t="shared" si="100"/>
        <v>20.291206768864399</v>
      </c>
      <c r="G45" s="163">
        <f t="shared" si="100"/>
        <v>13.954262894948048</v>
      </c>
      <c r="H45" s="163">
        <f t="shared" si="100"/>
        <v>9.5963465928557721</v>
      </c>
      <c r="I45" s="163">
        <f t="shared" si="100"/>
        <v>6.5994075519069142</v>
      </c>
      <c r="J45" s="163">
        <f t="shared" si="100"/>
        <v>4.5384125734463847</v>
      </c>
      <c r="K45" s="163">
        <f t="shared" si="100"/>
        <v>3.1210663267590788</v>
      </c>
      <c r="L45"/>
      <c r="M45"/>
      <c r="N45"/>
      <c r="O45"/>
      <c r="P45"/>
      <c r="Q45" s="163">
        <f t="shared" ref="Q45:S45" si="101">(Q44*$I$4)</f>
        <v>0</v>
      </c>
      <c r="R45" s="163">
        <f t="shared" si="101"/>
        <v>0</v>
      </c>
      <c r="S45" s="163">
        <f t="shared" si="101"/>
        <v>0</v>
      </c>
      <c r="T45" s="603">
        <f>SUM(C45:S45)</f>
        <v>155.93407622564717</v>
      </c>
    </row>
    <row r="46" spans="2:20" hidden="1" x14ac:dyDescent="0.25">
      <c r="B46" s="172" t="s">
        <v>288</v>
      </c>
      <c r="C46" s="163">
        <f t="shared" ref="C46:S46" si="102">(C44-C45)</f>
        <v>137.38453352272728</v>
      </c>
      <c r="D46" s="163">
        <f t="shared" si="102"/>
        <v>94.479343703579545</v>
      </c>
      <c r="E46" s="163">
        <f t="shared" si="102"/>
        <v>64.973444664951643</v>
      </c>
      <c r="F46" s="163">
        <f t="shared" si="102"/>
        <v>44.682237896087244</v>
      </c>
      <c r="G46" s="163">
        <f t="shared" si="102"/>
        <v>30.727975001139196</v>
      </c>
      <c r="H46" s="163">
        <f t="shared" si="102"/>
        <v>21.131628408283426</v>
      </c>
      <c r="I46" s="163">
        <f t="shared" si="102"/>
        <v>14.532220856376512</v>
      </c>
      <c r="J46" s="163">
        <f t="shared" si="102"/>
        <v>9.9938082829301269</v>
      </c>
      <c r="K46" s="163">
        <f t="shared" si="102"/>
        <v>6.8727419561710477</v>
      </c>
      <c r="L46"/>
      <c r="M46"/>
      <c r="N46"/>
      <c r="O46"/>
      <c r="P46"/>
      <c r="Q46" s="163">
        <f t="shared" si="102"/>
        <v>0</v>
      </c>
      <c r="R46" s="163">
        <f t="shared" si="102"/>
        <v>0</v>
      </c>
      <c r="S46" s="163">
        <f t="shared" si="102"/>
        <v>0</v>
      </c>
      <c r="T46" s="603"/>
    </row>
    <row r="47" spans="2:20" hidden="1" x14ac:dyDescent="0.25">
      <c r="B47" s="155" t="s">
        <v>257</v>
      </c>
      <c r="C47" s="163">
        <f>+F5</f>
        <v>379.88257575757575</v>
      </c>
      <c r="D47" s="163">
        <f>C49</f>
        <v>345.50320265151515</v>
      </c>
      <c r="E47" s="163">
        <f t="shared" ref="E47" si="103">(D49)</f>
        <v>237.60255246344695</v>
      </c>
      <c r="F47" s="163">
        <f t="shared" ref="F47" si="104">(E49)</f>
        <v>163.39927532911247</v>
      </c>
      <c r="G47" s="163">
        <f t="shared" ref="G47" si="105">(F49)</f>
        <v>112.36968164383063</v>
      </c>
      <c r="H47" s="163">
        <f t="shared" ref="H47" si="106">(G49)</f>
        <v>77.276630066462332</v>
      </c>
      <c r="I47" s="163">
        <f t="shared" ref="I47" si="107">(H49)</f>
        <v>53.143138496706143</v>
      </c>
      <c r="J47" s="163">
        <f t="shared" ref="J47" si="108">(I49)</f>
        <v>36.546536344184815</v>
      </c>
      <c r="K47" s="163">
        <f t="shared" ref="K47" si="109">(J49)</f>
        <v>25.133053043895899</v>
      </c>
      <c r="L47"/>
      <c r="M47"/>
      <c r="N47"/>
      <c r="O47"/>
      <c r="P47"/>
      <c r="Q47" s="163">
        <f t="shared" ref="Q47" si="110">(P49)</f>
        <v>0</v>
      </c>
      <c r="R47" s="163">
        <f t="shared" ref="R47" si="111">(Q49)</f>
        <v>0</v>
      </c>
      <c r="S47" s="163">
        <f t="shared" ref="S47" si="112">(R49)</f>
        <v>0</v>
      </c>
      <c r="T47" s="605"/>
    </row>
    <row r="48" spans="2:20" hidden="1" x14ac:dyDescent="0.25">
      <c r="B48" s="155" t="s">
        <v>261</v>
      </c>
      <c r="C48" s="163">
        <f>(C47*$K$5)*C39/12</f>
        <v>34.379373106060605</v>
      </c>
      <c r="D48" s="163">
        <f>(D47*$K$4)</f>
        <v>107.90065018806818</v>
      </c>
      <c r="E48" s="163">
        <f t="shared" ref="E48:K48" si="113">(E47*$K$4)</f>
        <v>74.203277134334485</v>
      </c>
      <c r="F48" s="163">
        <f t="shared" si="113"/>
        <v>51.029593685281831</v>
      </c>
      <c r="G48" s="163">
        <f t="shared" si="113"/>
        <v>35.093051577368307</v>
      </c>
      <c r="H48" s="163">
        <f t="shared" si="113"/>
        <v>24.133491569756188</v>
      </c>
      <c r="I48" s="163">
        <f t="shared" si="113"/>
        <v>16.596602152521331</v>
      </c>
      <c r="J48" s="163">
        <f t="shared" si="113"/>
        <v>11.413483300288918</v>
      </c>
      <c r="K48" s="163">
        <f t="shared" si="113"/>
        <v>7.8490524656086897</v>
      </c>
      <c r="L48"/>
      <c r="M48"/>
      <c r="N48"/>
      <c r="O48"/>
      <c r="P48"/>
      <c r="Q48" s="163">
        <f t="shared" ref="Q48:S48" si="114">(Q47*$I$4)</f>
        <v>0</v>
      </c>
      <c r="R48" s="163">
        <f t="shared" si="114"/>
        <v>0</v>
      </c>
      <c r="S48" s="163">
        <f t="shared" si="114"/>
        <v>0</v>
      </c>
      <c r="T48" s="605">
        <f>SUM(C48:S48)</f>
        <v>362.59857517928856</v>
      </c>
    </row>
    <row r="49" spans="2:19" hidden="1" x14ac:dyDescent="0.25">
      <c r="B49" s="155" t="s">
        <v>263</v>
      </c>
      <c r="C49" s="163">
        <f t="shared" ref="C49:S49" si="115">(C47-C48)</f>
        <v>345.50320265151515</v>
      </c>
      <c r="D49" s="163">
        <f t="shared" si="115"/>
        <v>237.60255246344695</v>
      </c>
      <c r="E49" s="163">
        <f t="shared" si="115"/>
        <v>163.39927532911247</v>
      </c>
      <c r="F49" s="163">
        <f t="shared" si="115"/>
        <v>112.36968164383063</v>
      </c>
      <c r="G49" s="163">
        <f t="shared" si="115"/>
        <v>77.276630066462332</v>
      </c>
      <c r="H49" s="163">
        <f t="shared" si="115"/>
        <v>53.143138496706143</v>
      </c>
      <c r="I49" s="163">
        <f t="shared" si="115"/>
        <v>36.546536344184815</v>
      </c>
      <c r="J49" s="163">
        <f t="shared" si="115"/>
        <v>25.133053043895899</v>
      </c>
      <c r="K49" s="163">
        <f t="shared" si="115"/>
        <v>17.284000578287209</v>
      </c>
      <c r="L49"/>
      <c r="M49"/>
      <c r="N49"/>
      <c r="O49"/>
      <c r="P49"/>
      <c r="Q49" s="163">
        <f t="shared" si="115"/>
        <v>0</v>
      </c>
      <c r="R49" s="163">
        <f t="shared" si="115"/>
        <v>0</v>
      </c>
      <c r="S49" s="163">
        <f t="shared" si="115"/>
        <v>0</v>
      </c>
    </row>
    <row r="50" spans="2:19" hidden="1" x14ac:dyDescent="0.25">
      <c r="B50" s="147" t="s">
        <v>264</v>
      </c>
      <c r="C50" s="298">
        <f>C42+C48+C45</f>
        <v>119.26684810606061</v>
      </c>
      <c r="D50" s="298">
        <f t="shared" ref="D50:S50" si="116">D42+D48+D45</f>
        <v>266.84026591943183</v>
      </c>
      <c r="E50" s="298">
        <f t="shared" si="116"/>
        <v>214.09272554325338</v>
      </c>
      <c r="F50" s="298">
        <f t="shared" si="116"/>
        <v>176.32867097010404</v>
      </c>
      <c r="G50" s="298">
        <f t="shared" si="116"/>
        <v>148.94130169414706</v>
      </c>
      <c r="H50" s="298">
        <f t="shared" si="116"/>
        <v>128.7589882067395</v>
      </c>
      <c r="I50" s="298">
        <f t="shared" si="116"/>
        <v>113.59724014140676</v>
      </c>
      <c r="J50" s="298">
        <f t="shared" si="116"/>
        <v>101.95058638843297</v>
      </c>
      <c r="K50" s="298">
        <f t="shared" si="116"/>
        <v>92.780673078999669</v>
      </c>
      <c r="L50"/>
      <c r="M50"/>
      <c r="N50"/>
      <c r="O50"/>
      <c r="P50"/>
      <c r="Q50" s="298">
        <f t="shared" si="116"/>
        <v>0</v>
      </c>
      <c r="R50" s="298">
        <f t="shared" si="116"/>
        <v>0</v>
      </c>
      <c r="S50" s="298">
        <f t="shared" si="116"/>
        <v>0</v>
      </c>
    </row>
    <row r="51" spans="2:19" ht="20.25" hidden="1" customHeight="1" x14ac:dyDescent="0.25">
      <c r="B51" s="147" t="s">
        <v>265</v>
      </c>
      <c r="C51" s="298">
        <f>C43+C49+C46</f>
        <v>2865.524818560606</v>
      </c>
      <c r="D51" s="298">
        <f t="shared" ref="D51:S51" si="117">D43+D49+D46</f>
        <v>2598.6845526411744</v>
      </c>
      <c r="E51" s="298">
        <f t="shared" si="117"/>
        <v>2384.5918270979209</v>
      </c>
      <c r="F51" s="298">
        <f t="shared" si="117"/>
        <v>2208.2631561278172</v>
      </c>
      <c r="G51" s="298">
        <f t="shared" si="117"/>
        <v>2059.3218544336701</v>
      </c>
      <c r="H51" s="298">
        <f t="shared" si="117"/>
        <v>1930.5628662269305</v>
      </c>
      <c r="I51" s="298">
        <f t="shared" si="117"/>
        <v>1816.965626085524</v>
      </c>
      <c r="J51" s="298">
        <f t="shared" si="117"/>
        <v>1715.0150396970907</v>
      </c>
      <c r="K51" s="298">
        <f t="shared" si="117"/>
        <v>1622.2343666180911</v>
      </c>
      <c r="L51"/>
      <c r="M51"/>
      <c r="N51"/>
      <c r="O51"/>
      <c r="P51"/>
      <c r="Q51" s="298">
        <f t="shared" si="117"/>
        <v>0</v>
      </c>
      <c r="R51" s="298">
        <f t="shared" si="117"/>
        <v>0</v>
      </c>
      <c r="S51" s="298">
        <f t="shared" si="117"/>
        <v>0</v>
      </c>
    </row>
    <row r="52" spans="2:19" ht="21" customHeight="1" x14ac:dyDescent="0.25"/>
  </sheetData>
  <pageMargins left="0.7" right="0.7" top="0.75" bottom="0.75" header="0.3" footer="0.3"/>
  <pageSetup paperSize="9" orientation="landscape" verticalDpi="300"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14"/>
  <dimension ref="A2:O50"/>
  <sheetViews>
    <sheetView showGridLines="0" topLeftCell="A31" workbookViewId="0">
      <pane xSplit="2" topLeftCell="C1" activePane="topRight" state="frozen"/>
      <selection pane="topRight" activeCell="D58" sqref="D58"/>
    </sheetView>
  </sheetViews>
  <sheetFormatPr defaultRowHeight="15" x14ac:dyDescent="0.25"/>
  <cols>
    <col min="1" max="1" width="5.140625" customWidth="1"/>
    <col min="2" max="2" width="27.28515625" customWidth="1"/>
    <col min="3" max="11" width="11.42578125" customWidth="1"/>
  </cols>
  <sheetData>
    <row r="2" spans="2:12" x14ac:dyDescent="0.25">
      <c r="B2" s="540" t="s">
        <v>241</v>
      </c>
      <c r="C2" s="540"/>
      <c r="D2" s="540"/>
      <c r="E2" s="540"/>
      <c r="F2" s="540"/>
      <c r="G2" s="540"/>
      <c r="H2" s="540"/>
      <c r="I2" s="540"/>
      <c r="J2" s="540"/>
      <c r="K2" s="540"/>
      <c r="L2" s="540"/>
    </row>
    <row r="4" spans="2:12" x14ac:dyDescent="0.25">
      <c r="B4" s="278"/>
      <c r="C4" s="242" t="str">
        <f>BS!F5</f>
        <v>FY 2027</v>
      </c>
      <c r="D4" s="242" t="str">
        <f>BS!G5</f>
        <v>FY 2028</v>
      </c>
      <c r="E4" s="242" t="str">
        <f>BS!H5</f>
        <v>FY 2029</v>
      </c>
      <c r="F4" s="242" t="str">
        <f>BS!I5</f>
        <v>FY 2030</v>
      </c>
      <c r="G4" s="242" t="str">
        <f>BS!J5</f>
        <v>FY 2031</v>
      </c>
      <c r="H4" s="242" t="str">
        <f>BS!K5</f>
        <v>FY 2032</v>
      </c>
      <c r="I4" s="242" t="str">
        <f>BS!L5</f>
        <v>FY 2033</v>
      </c>
      <c r="J4" s="242" t="str">
        <f>BS!M5</f>
        <v>FY 2034</v>
      </c>
      <c r="K4" s="242" t="str">
        <f>BS!N5</f>
        <v>FY 2035</v>
      </c>
      <c r="L4" s="145" t="s">
        <v>878</v>
      </c>
    </row>
    <row r="5" spans="2:12" x14ac:dyDescent="0.25">
      <c r="B5" s="278"/>
      <c r="C5" s="146" t="s">
        <v>208</v>
      </c>
      <c r="D5" s="146" t="s">
        <v>208</v>
      </c>
      <c r="E5" s="146" t="s">
        <v>208</v>
      </c>
      <c r="F5" s="146" t="s">
        <v>208</v>
      </c>
      <c r="G5" s="146" t="s">
        <v>208</v>
      </c>
      <c r="H5" s="146" t="s">
        <v>208</v>
      </c>
      <c r="I5" s="146" t="s">
        <v>208</v>
      </c>
      <c r="J5" s="146" t="s">
        <v>208</v>
      </c>
      <c r="K5" s="146" t="s">
        <v>208</v>
      </c>
      <c r="L5" s="3"/>
    </row>
    <row r="6" spans="2:12" x14ac:dyDescent="0.25">
      <c r="B6" s="3" t="s">
        <v>242</v>
      </c>
      <c r="C6" s="243">
        <f>'P&amp;L &amp; Ratio Analysis'!F20</f>
        <v>11.256895520833254</v>
      </c>
      <c r="D6" s="243">
        <f>'P&amp;L &amp; Ratio Analysis'!G20</f>
        <v>107.75416762310599</v>
      </c>
      <c r="E6" s="243">
        <f>'P&amp;L &amp; Ratio Analysis'!H20</f>
        <v>165.46320120107322</v>
      </c>
      <c r="F6" s="243">
        <f>'P&amp;L &amp; Ratio Analysis'!I20</f>
        <v>208.02693105689633</v>
      </c>
      <c r="G6" s="243">
        <f>'P&amp;L &amp; Ratio Analysis'!J20</f>
        <v>268.14228766441846</v>
      </c>
      <c r="H6" s="243">
        <f>'P&amp;L &amp; Ratio Analysis'!K20</f>
        <v>365.91795462374313</v>
      </c>
      <c r="I6" s="243">
        <f>'P&amp;L &amp; Ratio Analysis'!L20</f>
        <v>457.13692351616521</v>
      </c>
      <c r="J6" s="243">
        <f>'P&amp;L &amp; Ratio Analysis'!M20</f>
        <v>540.75151686343031</v>
      </c>
      <c r="K6" s="243">
        <f>'P&amp;L &amp; Ratio Analysis'!N20</f>
        <v>598.81110969256054</v>
      </c>
      <c r="L6" s="4"/>
    </row>
    <row r="7" spans="2:12" x14ac:dyDescent="0.25">
      <c r="B7" s="3" t="s">
        <v>243</v>
      </c>
      <c r="C7" s="243">
        <f>CF!E14</f>
        <v>40.986616477272733</v>
      </c>
      <c r="D7" s="243">
        <f>CF!F14</f>
        <v>81.973232954545466</v>
      </c>
      <c r="E7" s="243">
        <f>CF!G14</f>
        <v>81.973232954545466</v>
      </c>
      <c r="F7" s="243">
        <f>CF!H14</f>
        <v>81.973232954545466</v>
      </c>
      <c r="G7" s="243">
        <f>CF!I14</f>
        <v>81.973232954545466</v>
      </c>
      <c r="H7" s="243">
        <f>CF!J14</f>
        <v>81.973232954545466</v>
      </c>
      <c r="I7" s="243">
        <f>CF!K14</f>
        <v>81.973232954545466</v>
      </c>
      <c r="J7" s="243">
        <f>CF!L14</f>
        <v>81.973232954545466</v>
      </c>
      <c r="K7" s="243">
        <f>CF!M14</f>
        <v>70.707001136363601</v>
      </c>
      <c r="L7" s="4"/>
    </row>
    <row r="8" spans="2:12" x14ac:dyDescent="0.25">
      <c r="B8" s="3" t="s">
        <v>244</v>
      </c>
      <c r="C8" s="243">
        <f>CF!E15*A19</f>
        <v>15</v>
      </c>
      <c r="D8" s="243">
        <f>CF!F15</f>
        <v>15</v>
      </c>
      <c r="E8" s="243">
        <f>CF!G15</f>
        <v>15</v>
      </c>
      <c r="F8" s="243">
        <f>CF!H15</f>
        <v>15</v>
      </c>
      <c r="G8" s="243">
        <f>CF!I15</f>
        <v>15</v>
      </c>
      <c r="H8" s="243">
        <f>CF!J15</f>
        <v>0</v>
      </c>
      <c r="I8" s="243">
        <f>CF!K15</f>
        <v>0</v>
      </c>
      <c r="J8" s="243">
        <f>CF!L15</f>
        <v>0</v>
      </c>
      <c r="K8" s="243">
        <f>CF!M15</f>
        <v>0</v>
      </c>
      <c r="L8" s="4"/>
    </row>
    <row r="9" spans="2:12" x14ac:dyDescent="0.25">
      <c r="B9" s="3" t="s">
        <v>245</v>
      </c>
      <c r="C9" s="243">
        <f>+'P&amp;L &amp; Ratio Analysis'!F13+'P&amp;L &amp; Ratio Analysis'!F14</f>
        <v>104.50000000000001</v>
      </c>
      <c r="D9" s="243">
        <f>+'P&amp;L &amp; Ratio Analysis'!G13+'P&amp;L &amp; Ratio Analysis'!G14</f>
        <v>207.75000000000003</v>
      </c>
      <c r="E9" s="243">
        <f>+'P&amp;L &amp; Ratio Analysis'!H13+'P&amp;L &amp; Ratio Analysis'!H14</f>
        <v>196.87499999999997</v>
      </c>
      <c r="F9" s="243">
        <f>+'P&amp;L &amp; Ratio Analysis'!I13+'P&amp;L &amp; Ratio Analysis'!I14</f>
        <v>179.74999999999997</v>
      </c>
      <c r="G9" s="243">
        <f>+'P&amp;L &amp; Ratio Analysis'!J13+'P&amp;L &amp; Ratio Analysis'!J14</f>
        <v>160.20875000000001</v>
      </c>
      <c r="H9" s="243">
        <f>+'P&amp;L &amp; Ratio Analysis'!K13+'P&amp;L &amp; Ratio Analysis'!K14</f>
        <v>128.10200000000003</v>
      </c>
      <c r="I9" s="243">
        <f>+'P&amp;L &amp; Ratio Analysis'!L13+'P&amp;L &amp; Ratio Analysis'!L14</f>
        <v>92.102000000000032</v>
      </c>
      <c r="J9" s="243">
        <f>+'P&amp;L &amp; Ratio Analysis'!M13+'P&amp;L &amp; Ratio Analysis'!M14</f>
        <v>53.352000000000032</v>
      </c>
      <c r="K9" s="243">
        <f>+'P&amp;L &amp; Ratio Analysis'!N13+'P&amp;L &amp; Ratio Analysis'!N14</f>
        <v>15.426000000000021</v>
      </c>
      <c r="L9" s="4"/>
    </row>
    <row r="10" spans="2:12" x14ac:dyDescent="0.25">
      <c r="B10" s="246" t="s">
        <v>246</v>
      </c>
      <c r="C10" s="299">
        <f t="shared" ref="C10:K10" si="0">SUM(C6:C9)</f>
        <v>171.74351199810599</v>
      </c>
      <c r="D10" s="299">
        <f t="shared" si="0"/>
        <v>412.47740057765145</v>
      </c>
      <c r="E10" s="299">
        <f t="shared" si="0"/>
        <v>459.31143415561871</v>
      </c>
      <c r="F10" s="299">
        <f t="shared" si="0"/>
        <v>484.75016401144183</v>
      </c>
      <c r="G10" s="299">
        <f t="shared" si="0"/>
        <v>525.32427061896396</v>
      </c>
      <c r="H10" s="299">
        <f t="shared" si="0"/>
        <v>575.9931875782886</v>
      </c>
      <c r="I10" s="299">
        <f t="shared" si="0"/>
        <v>631.21215647071062</v>
      </c>
      <c r="J10" s="299">
        <f t="shared" si="0"/>
        <v>676.07674981797572</v>
      </c>
      <c r="K10" s="299">
        <f t="shared" si="0"/>
        <v>684.94411082892418</v>
      </c>
      <c r="L10" s="299">
        <f>SUM(C10:K10)</f>
        <v>4621.8329860576805</v>
      </c>
    </row>
    <row r="11" spans="2:12" x14ac:dyDescent="0.25">
      <c r="B11" s="3" t="s">
        <v>236</v>
      </c>
      <c r="C11" s="243">
        <f>CF!E22*A19</f>
        <v>0</v>
      </c>
      <c r="D11" s="243">
        <f>CF!F22</f>
        <v>60</v>
      </c>
      <c r="E11" s="243">
        <f>CF!G22</f>
        <v>150</v>
      </c>
      <c r="F11" s="243">
        <f>CF!H22</f>
        <v>180</v>
      </c>
      <c r="G11" s="243">
        <f>CF!I22</f>
        <v>253.97999999999996</v>
      </c>
      <c r="H11" s="243">
        <f>CF!J22</f>
        <v>360</v>
      </c>
      <c r="I11" s="243">
        <f>CF!K22</f>
        <v>360</v>
      </c>
      <c r="J11" s="243">
        <f>CF!L22</f>
        <v>420</v>
      </c>
      <c r="K11" s="243">
        <f>CF!M22</f>
        <v>216.02000000000044</v>
      </c>
      <c r="L11" s="243"/>
    </row>
    <row r="12" spans="2:12" x14ac:dyDescent="0.25">
      <c r="B12" s="3" t="s">
        <v>247</v>
      </c>
      <c r="C12" s="243">
        <f>+C9</f>
        <v>104.50000000000001</v>
      </c>
      <c r="D12" s="243">
        <f t="shared" ref="D12:K12" si="1">+D9</f>
        <v>207.75000000000003</v>
      </c>
      <c r="E12" s="243">
        <f t="shared" si="1"/>
        <v>196.87499999999997</v>
      </c>
      <c r="F12" s="243">
        <f t="shared" si="1"/>
        <v>179.74999999999997</v>
      </c>
      <c r="G12" s="243">
        <f t="shared" si="1"/>
        <v>160.20875000000001</v>
      </c>
      <c r="H12" s="243">
        <f t="shared" si="1"/>
        <v>128.10200000000003</v>
      </c>
      <c r="I12" s="243">
        <f t="shared" si="1"/>
        <v>92.102000000000032</v>
      </c>
      <c r="J12" s="243">
        <f t="shared" si="1"/>
        <v>53.352000000000032</v>
      </c>
      <c r="K12" s="243">
        <f t="shared" si="1"/>
        <v>15.426000000000021</v>
      </c>
      <c r="L12" s="37">
        <f>+SUM(C12:K12)</f>
        <v>1138.0657500000002</v>
      </c>
    </row>
    <row r="13" spans="2:12" x14ac:dyDescent="0.25">
      <c r="B13" s="246" t="s">
        <v>248</v>
      </c>
      <c r="C13" s="299">
        <f t="shared" ref="C13:K13" si="2">SUM(C11:C12)</f>
        <v>104.50000000000001</v>
      </c>
      <c r="D13" s="299">
        <f t="shared" si="2"/>
        <v>267.75</v>
      </c>
      <c r="E13" s="299">
        <f t="shared" si="2"/>
        <v>346.875</v>
      </c>
      <c r="F13" s="299">
        <f t="shared" si="2"/>
        <v>359.75</v>
      </c>
      <c r="G13" s="299">
        <f t="shared" si="2"/>
        <v>414.18874999999997</v>
      </c>
      <c r="H13" s="299">
        <f t="shared" si="2"/>
        <v>488.10200000000003</v>
      </c>
      <c r="I13" s="299">
        <f t="shared" si="2"/>
        <v>452.10200000000003</v>
      </c>
      <c r="J13" s="299">
        <f t="shared" si="2"/>
        <v>473.35200000000003</v>
      </c>
      <c r="K13" s="299">
        <f t="shared" si="2"/>
        <v>231.44600000000045</v>
      </c>
      <c r="L13" s="299">
        <f>SUM(C13:K13)</f>
        <v>3138.0657500000002</v>
      </c>
    </row>
    <row r="14" spans="2:12" x14ac:dyDescent="0.25">
      <c r="B14" s="3" t="s">
        <v>95</v>
      </c>
      <c r="C14" s="243">
        <f>C10/C13</f>
        <v>1.6434785837139327</v>
      </c>
      <c r="D14" s="243">
        <f t="shared" ref="D14:K14" si="3">D10/D13</f>
        <v>1.5405318415598561</v>
      </c>
      <c r="E14" s="243">
        <f t="shared" si="3"/>
        <v>1.3241410714396216</v>
      </c>
      <c r="F14" s="243">
        <f t="shared" si="3"/>
        <v>1.3474639722347237</v>
      </c>
      <c r="G14" s="243">
        <f t="shared" si="3"/>
        <v>1.2683209542001419</v>
      </c>
      <c r="H14" s="243">
        <f t="shared" si="3"/>
        <v>1.1800672555701237</v>
      </c>
      <c r="I14" s="243">
        <f t="shared" si="3"/>
        <v>1.3961720064735625</v>
      </c>
      <c r="J14" s="243">
        <f t="shared" si="3"/>
        <v>1.4282748352557413</v>
      </c>
      <c r="K14" s="243">
        <f t="shared" si="3"/>
        <v>2.9594121774795106</v>
      </c>
      <c r="L14" s="300">
        <f>+L10/L13</f>
        <v>1.472828600247678</v>
      </c>
    </row>
    <row r="15" spans="2:12" x14ac:dyDescent="0.25">
      <c r="B15" s="135" t="s">
        <v>937</v>
      </c>
      <c r="C15" s="679">
        <f>+C10/C12</f>
        <v>1.6434785837139327</v>
      </c>
      <c r="D15" s="679">
        <f t="shared" ref="D15:K15" si="4">+D10/D12</f>
        <v>1.9854507849706444</v>
      </c>
      <c r="E15" s="679">
        <f t="shared" si="4"/>
        <v>2.3330104592031429</v>
      </c>
      <c r="F15" s="679">
        <f t="shared" si="4"/>
        <v>2.696802025098425</v>
      </c>
      <c r="G15" s="679">
        <f t="shared" si="4"/>
        <v>3.2789986228527712</v>
      </c>
      <c r="H15" s="679">
        <f t="shared" si="4"/>
        <v>4.4963637381015786</v>
      </c>
      <c r="I15" s="679">
        <f t="shared" si="4"/>
        <v>6.8534033622582617</v>
      </c>
      <c r="J15" s="679">
        <f t="shared" si="4"/>
        <v>12.672003857736829</v>
      </c>
      <c r="K15" s="679">
        <f t="shared" si="4"/>
        <v>44.40192602287847</v>
      </c>
      <c r="L15" s="300">
        <f>+L10/L12</f>
        <v>4.061130023513738</v>
      </c>
    </row>
    <row r="16" spans="2:12" x14ac:dyDescent="0.25">
      <c r="B16" s="277" t="s">
        <v>249</v>
      </c>
      <c r="C16" s="639">
        <f>L10/L13</f>
        <v>1.472828600247678</v>
      </c>
      <c r="D16" s="640"/>
      <c r="E16" s="640"/>
      <c r="F16" s="640"/>
      <c r="G16" s="640"/>
      <c r="H16" s="640"/>
      <c r="I16" s="640"/>
      <c r="J16" s="640"/>
      <c r="K16" s="640"/>
      <c r="L16" s="3"/>
    </row>
    <row r="17" spans="1:11" x14ac:dyDescent="0.25">
      <c r="B17" s="277" t="s">
        <v>917</v>
      </c>
      <c r="C17" s="640">
        <f>+L10/L12</f>
        <v>4.061130023513738</v>
      </c>
      <c r="D17" s="640"/>
      <c r="E17" s="640"/>
      <c r="F17" s="640"/>
      <c r="G17" s="640"/>
      <c r="H17" s="640"/>
      <c r="I17" s="640"/>
      <c r="J17" s="640"/>
      <c r="K17" s="669"/>
    </row>
    <row r="19" spans="1:11" x14ac:dyDescent="0.25">
      <c r="A19">
        <v>1</v>
      </c>
    </row>
    <row r="38" spans="2:15" x14ac:dyDescent="0.25">
      <c r="B38" s="670" t="s">
        <v>909</v>
      </c>
      <c r="C38" s="670"/>
      <c r="D38" s="670"/>
      <c r="E38" s="670"/>
      <c r="F38" s="670"/>
      <c r="G38" s="670"/>
      <c r="H38" s="670"/>
      <c r="I38" s="670"/>
      <c r="J38" s="670"/>
      <c r="K38" s="670"/>
      <c r="L38" s="671"/>
    </row>
    <row r="40" spans="2:15" x14ac:dyDescent="0.25">
      <c r="B40" s="278"/>
      <c r="C40" s="242" t="s">
        <v>166</v>
      </c>
      <c r="D40" s="242" t="s">
        <v>167</v>
      </c>
      <c r="E40" s="242" t="s">
        <v>168</v>
      </c>
      <c r="F40" s="242" t="s">
        <v>169</v>
      </c>
      <c r="G40" s="242" t="s">
        <v>170</v>
      </c>
      <c r="H40" s="242" t="s">
        <v>171</v>
      </c>
      <c r="I40" s="242" t="s">
        <v>172</v>
      </c>
      <c r="J40" s="242" t="s">
        <v>173</v>
      </c>
      <c r="K40" s="242" t="s">
        <v>174</v>
      </c>
      <c r="L40" s="145" t="s">
        <v>878</v>
      </c>
    </row>
    <row r="41" spans="2:15" x14ac:dyDescent="0.25">
      <c r="B41" s="278"/>
      <c r="C41" s="146" t="s">
        <v>208</v>
      </c>
      <c r="D41" s="146" t="s">
        <v>208</v>
      </c>
      <c r="E41" s="146" t="s">
        <v>208</v>
      </c>
      <c r="F41" s="146" t="s">
        <v>208</v>
      </c>
      <c r="G41" s="146" t="s">
        <v>208</v>
      </c>
      <c r="H41" s="146" t="s">
        <v>208</v>
      </c>
      <c r="I41" s="146" t="s">
        <v>208</v>
      </c>
      <c r="J41" s="146" t="s">
        <v>208</v>
      </c>
      <c r="K41" s="146" t="s">
        <v>208</v>
      </c>
      <c r="L41" s="3"/>
    </row>
    <row r="42" spans="2:15" x14ac:dyDescent="0.25">
      <c r="B42" s="3" t="s">
        <v>913</v>
      </c>
      <c r="C42" s="243">
        <f ca="1">+BS!F35-BS!F31</f>
        <v>3162.2310117278544</v>
      </c>
      <c r="D42" s="243">
        <f ca="1">+BS!G35-BS!G31</f>
        <v>3257.8535624271553</v>
      </c>
      <c r="E42" s="243">
        <f ca="1">+BS!H35-BS!H31</f>
        <v>3292.0799917338036</v>
      </c>
      <c r="F42" s="243">
        <f ca="1">+BS!I35-BS!I31</f>
        <v>3339.1529017279368</v>
      </c>
      <c r="G42" s="243">
        <f ca="1">+BS!J35-BS!J31</f>
        <v>3372.6636264638723</v>
      </c>
      <c r="H42" s="243">
        <f ca="1">+BS!K35-BS!K31</f>
        <v>3383.2718735946773</v>
      </c>
      <c r="I42" s="243">
        <f ca="1">+BS!L35-BS!L31</f>
        <v>3485.4610311134552</v>
      </c>
      <c r="J42" s="243">
        <f ca="1">+BS!M35-BS!M31</f>
        <v>3611.6680213162786</v>
      </c>
      <c r="K42" s="243">
        <f ca="1">+BS!N35-BS!N31</f>
        <v>4000.3459653705372</v>
      </c>
      <c r="L42" s="4"/>
    </row>
    <row r="43" spans="2:15" x14ac:dyDescent="0.25">
      <c r="B43" s="3" t="s">
        <v>914</v>
      </c>
      <c r="C43" s="243">
        <f>+BS!F40+BS!F18+BS!F17</f>
        <v>181.17717261545747</v>
      </c>
      <c r="D43" s="243">
        <f>+BS!G40+BS!G18+BS!G17</f>
        <v>304.05159036239803</v>
      </c>
      <c r="E43" s="243">
        <f>+BS!H40+BS!H18+BS!H17</f>
        <v>337.8143435840982</v>
      </c>
      <c r="F43" s="243">
        <f>+BS!I40+BS!I18+BS!I17</f>
        <v>415.84218700461145</v>
      </c>
      <c r="G43" s="243">
        <f>+BS!J40+BS!J18+BS!J17</f>
        <v>526.21935815829602</v>
      </c>
      <c r="H43" s="243">
        <f>+BS!K40+BS!K18+BS!K17</f>
        <v>530.91232971623094</v>
      </c>
      <c r="I43" s="243">
        <f>+BS!L40+BS!L18+BS!L17</f>
        <v>595.97002612720189</v>
      </c>
      <c r="J43" s="243">
        <f>+BS!M40+BS!M18+BS!M17</f>
        <v>397.44406184136358</v>
      </c>
      <c r="K43" s="243">
        <f>+BS!N40+BS!N18+BS!N17</f>
        <v>187.31333646372917</v>
      </c>
      <c r="L43" s="4"/>
      <c r="M43" s="37"/>
      <c r="O43" s="37"/>
    </row>
    <row r="44" spans="2:15" x14ac:dyDescent="0.25">
      <c r="B44" s="3" t="s">
        <v>915</v>
      </c>
      <c r="C44" s="243">
        <f>+BS!F18+BS!F17</f>
        <v>150</v>
      </c>
      <c r="D44" s="243">
        <f>+BS!G18+BS!G17</f>
        <v>240</v>
      </c>
      <c r="E44" s="243">
        <f>+BS!H18+BS!H17</f>
        <v>270</v>
      </c>
      <c r="F44" s="243">
        <f>+BS!I18+BS!I17</f>
        <v>343.97999999999996</v>
      </c>
      <c r="G44" s="243">
        <f>+BS!J18+BS!J17</f>
        <v>450</v>
      </c>
      <c r="H44" s="243">
        <f>+BS!K18+BS!K17</f>
        <v>450</v>
      </c>
      <c r="I44" s="243">
        <f>+BS!L18+BS!L17</f>
        <v>510</v>
      </c>
      <c r="J44" s="243">
        <f>+BS!M18+BS!M17</f>
        <v>306.02000000000044</v>
      </c>
      <c r="K44" s="243">
        <f>+BS!N18+BS!N17</f>
        <v>90</v>
      </c>
      <c r="L44" s="4"/>
      <c r="M44" s="37"/>
      <c r="O44" s="37"/>
    </row>
    <row r="45" spans="2:15" x14ac:dyDescent="0.25">
      <c r="B45" s="3"/>
      <c r="C45" s="243"/>
      <c r="D45" s="243"/>
      <c r="E45" s="243"/>
      <c r="F45" s="243"/>
      <c r="G45" s="243"/>
      <c r="H45" s="243"/>
      <c r="I45" s="243"/>
      <c r="J45" s="243"/>
      <c r="K45" s="243"/>
      <c r="L45" s="4"/>
      <c r="M45" s="37"/>
      <c r="O45" s="37"/>
    </row>
    <row r="46" spans="2:15" x14ac:dyDescent="0.25">
      <c r="B46" s="246" t="s">
        <v>916</v>
      </c>
      <c r="C46" s="299">
        <f ca="1">+C42-(C43-(C44+C45))</f>
        <v>3131.0538391123969</v>
      </c>
      <c r="D46" s="299">
        <f t="shared" ref="D46:K46" ca="1" si="5">+D42-(D43-(D44+D45))</f>
        <v>3193.8019720647571</v>
      </c>
      <c r="E46" s="299">
        <f t="shared" ca="1" si="5"/>
        <v>3224.2656481497052</v>
      </c>
      <c r="F46" s="299">
        <f t="shared" ca="1" si="5"/>
        <v>3267.2907147233254</v>
      </c>
      <c r="G46" s="299">
        <f t="shared" ca="1" si="5"/>
        <v>3296.4442683055763</v>
      </c>
      <c r="H46" s="299">
        <f t="shared" ca="1" si="5"/>
        <v>3302.3595438784464</v>
      </c>
      <c r="I46" s="299">
        <f t="shared" ca="1" si="5"/>
        <v>3399.4910049862533</v>
      </c>
      <c r="J46" s="299">
        <f t="shared" ca="1" si="5"/>
        <v>3520.2439594749153</v>
      </c>
      <c r="K46" s="299">
        <f t="shared" ca="1" si="5"/>
        <v>3903.032628906808</v>
      </c>
      <c r="L46" s="299">
        <v>4200.3331246187909</v>
      </c>
    </row>
    <row r="47" spans="2:15" x14ac:dyDescent="0.25">
      <c r="B47" s="3" t="s">
        <v>911</v>
      </c>
      <c r="C47" s="243">
        <f>+BS!F14+BS!F18</f>
        <v>2000</v>
      </c>
      <c r="D47" s="243">
        <f>+BS!G14+BS!G18</f>
        <v>1940</v>
      </c>
      <c r="E47" s="243">
        <f>+BS!H14+BS!H18</f>
        <v>1790</v>
      </c>
      <c r="F47" s="243">
        <f>+BS!I14+BS!I18</f>
        <v>1610</v>
      </c>
      <c r="G47" s="243">
        <f>+BS!J14+BS!J18</f>
        <v>1356.0200000000004</v>
      </c>
      <c r="H47" s="243">
        <f>+BS!K14+BS!K18</f>
        <v>996.02000000000044</v>
      </c>
      <c r="I47" s="243">
        <f>+BS!L14+BS!L18</f>
        <v>636.02000000000044</v>
      </c>
      <c r="J47" s="243">
        <f>+BS!M14+BS!M18</f>
        <v>216.02000000000044</v>
      </c>
      <c r="K47" s="243">
        <f>+BS!N14+BS!N18</f>
        <v>0</v>
      </c>
      <c r="L47" s="243"/>
    </row>
    <row r="48" spans="2:15" x14ac:dyDescent="0.25">
      <c r="B48" s="3" t="s">
        <v>910</v>
      </c>
      <c r="C48" s="243">
        <f>+BS!F17</f>
        <v>90</v>
      </c>
      <c r="D48" s="243">
        <f>+BS!G17</f>
        <v>90</v>
      </c>
      <c r="E48" s="243">
        <f>+BS!H17</f>
        <v>90</v>
      </c>
      <c r="F48" s="243">
        <f>+BS!I17</f>
        <v>90</v>
      </c>
      <c r="G48" s="243">
        <f>+BS!J17</f>
        <v>90</v>
      </c>
      <c r="H48" s="243">
        <f>+BS!K17</f>
        <v>90</v>
      </c>
      <c r="I48" s="243">
        <f>+BS!L17</f>
        <v>90</v>
      </c>
      <c r="J48" s="243">
        <f>+BS!M17</f>
        <v>90</v>
      </c>
      <c r="K48" s="243">
        <f>+BS!N17</f>
        <v>90</v>
      </c>
      <c r="L48" s="243"/>
    </row>
    <row r="49" spans="2:12" x14ac:dyDescent="0.25">
      <c r="B49" s="246" t="s">
        <v>424</v>
      </c>
      <c r="C49" s="299">
        <f>+C47+C48</f>
        <v>2090</v>
      </c>
      <c r="D49" s="299">
        <f t="shared" ref="D49:K49" si="6">+D47+D48</f>
        <v>2030</v>
      </c>
      <c r="E49" s="299">
        <f t="shared" si="6"/>
        <v>1880</v>
      </c>
      <c r="F49" s="299">
        <f t="shared" si="6"/>
        <v>1700</v>
      </c>
      <c r="G49" s="299">
        <f t="shared" si="6"/>
        <v>1446.0200000000004</v>
      </c>
      <c r="H49" s="299">
        <f t="shared" si="6"/>
        <v>1086.0200000000004</v>
      </c>
      <c r="I49" s="299">
        <f t="shared" si="6"/>
        <v>726.02000000000044</v>
      </c>
      <c r="J49" s="299">
        <f t="shared" si="6"/>
        <v>306.02000000000044</v>
      </c>
      <c r="K49" s="299">
        <f t="shared" si="6"/>
        <v>90</v>
      </c>
      <c r="L49" s="299">
        <v>3089.8650000000011</v>
      </c>
    </row>
    <row r="50" spans="2:12" x14ac:dyDescent="0.25">
      <c r="B50" s="3" t="s">
        <v>912</v>
      </c>
      <c r="C50" s="243">
        <f ca="1">+C46/C49</f>
        <v>1.4981118847427737</v>
      </c>
      <c r="D50" s="243">
        <f t="shared" ref="D50:K50" ca="1" si="7">+D46/D49</f>
        <v>1.573301464071309</v>
      </c>
      <c r="E50" s="243">
        <f t="shared" ca="1" si="7"/>
        <v>1.7150349192285665</v>
      </c>
      <c r="F50" s="243">
        <f t="shared" ca="1" si="7"/>
        <v>1.9219357145431326</v>
      </c>
      <c r="G50" s="243">
        <f t="shared" ca="1" si="7"/>
        <v>2.2796671334459933</v>
      </c>
      <c r="H50" s="243">
        <f t="shared" ca="1" si="7"/>
        <v>3.0407907256573958</v>
      </c>
      <c r="I50" s="243">
        <f t="shared" ca="1" si="7"/>
        <v>4.6823655064409397</v>
      </c>
      <c r="J50" s="243">
        <f t="shared" ca="1" si="7"/>
        <v>11.503313376494708</v>
      </c>
      <c r="K50" s="243">
        <f t="shared" ca="1" si="7"/>
        <v>43.367029210075643</v>
      </c>
      <c r="L50" s="4"/>
    </row>
  </sheetData>
  <pageMargins left="0.7" right="0.7" top="0.75" bottom="0.75" header="0.3" footer="0.3"/>
  <pageSetup orientation="portrait" r:id="rId1"/>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15"/>
  <dimension ref="B2:O27"/>
  <sheetViews>
    <sheetView showGridLines="0" topLeftCell="E1" workbookViewId="0">
      <selection activeCell="G10" sqref="G10"/>
    </sheetView>
  </sheetViews>
  <sheetFormatPr defaultRowHeight="15" x14ac:dyDescent="0.25"/>
  <cols>
    <col min="1" max="2" width="0" hidden="1" customWidth="1"/>
    <col min="3" max="3" width="12" hidden="1" customWidth="1"/>
    <col min="4" max="4" width="18.140625" hidden="1" customWidth="1"/>
    <col min="5" max="5" width="4.140625" customWidth="1"/>
    <col min="6" max="6" width="18.7109375" customWidth="1"/>
    <col min="7" max="7" width="10.5703125" style="448" customWidth="1"/>
    <col min="8" max="8" width="9.5703125" style="448" bestFit="1" customWidth="1"/>
    <col min="9" max="12" width="9.140625" style="448"/>
    <col min="13" max="13" width="9.5703125" style="448" bestFit="1" customWidth="1"/>
    <col min="14" max="15" width="9.140625" style="448"/>
  </cols>
  <sheetData>
    <row r="2" spans="2:15" x14ac:dyDescent="0.25">
      <c r="C2" s="541"/>
      <c r="D2" s="541"/>
      <c r="F2" s="541" t="s">
        <v>924</v>
      </c>
      <c r="G2" s="544"/>
      <c r="H2" s="544"/>
      <c r="I2" s="544"/>
    </row>
    <row r="5" spans="2:15" x14ac:dyDescent="0.25">
      <c r="B5" s="16">
        <v>1</v>
      </c>
      <c r="C5" s="2">
        <f>'P&amp;L &amp; Ratio Analysis'!F21</f>
        <v>67.243511998105987</v>
      </c>
      <c r="F5" s="542" t="s">
        <v>550</v>
      </c>
      <c r="G5" s="545" t="str">
        <f>'P&amp;L &amp; Ratio Analysis'!F3</f>
        <v>FY 2027</v>
      </c>
      <c r="H5" s="545" t="str">
        <f>'P&amp;L &amp; Ratio Analysis'!G3</f>
        <v>FY 2028</v>
      </c>
      <c r="I5" s="545" t="str">
        <f>'P&amp;L &amp; Ratio Analysis'!H3</f>
        <v>FY 2029</v>
      </c>
      <c r="J5" s="545" t="str">
        <f>'P&amp;L &amp; Ratio Analysis'!I3</f>
        <v>FY 2030</v>
      </c>
      <c r="K5" s="545" t="str">
        <f>'P&amp;L &amp; Ratio Analysis'!J3</f>
        <v>FY 2031</v>
      </c>
      <c r="L5" s="545" t="str">
        <f>'P&amp;L &amp; Ratio Analysis'!K3</f>
        <v>FY 2032</v>
      </c>
      <c r="M5" s="545" t="str">
        <f>'P&amp;L &amp; Ratio Analysis'!L3</f>
        <v>FY 2033</v>
      </c>
      <c r="N5" s="545" t="str">
        <f>'P&amp;L &amp; Ratio Analysis'!M3</f>
        <v>FY 2034</v>
      </c>
      <c r="O5" s="545" t="str">
        <f>'P&amp;L &amp; Ratio Analysis'!N3</f>
        <v>FY 2035</v>
      </c>
    </row>
    <row r="6" spans="2:15" x14ac:dyDescent="0.25">
      <c r="B6" s="16">
        <v>2</v>
      </c>
      <c r="F6" s="542" t="s">
        <v>223</v>
      </c>
      <c r="G6" s="528">
        <f>'P&amp;L &amp; Ratio Analysis'!F21</f>
        <v>67.243511998105987</v>
      </c>
      <c r="H6" s="528">
        <f>'P&amp;L &amp; Ratio Analysis'!G21</f>
        <v>204.72740057765145</v>
      </c>
      <c r="I6" s="528">
        <f>'P&amp;L &amp; Ratio Analysis'!H21</f>
        <v>262.43643415561871</v>
      </c>
      <c r="J6" s="528">
        <f>'P&amp;L &amp; Ratio Analysis'!I21</f>
        <v>305.00016401144183</v>
      </c>
      <c r="K6" s="528">
        <f>'P&amp;L &amp; Ratio Analysis'!J21</f>
        <v>365.11552061896396</v>
      </c>
      <c r="L6" s="528">
        <f>'P&amp;L &amp; Ratio Analysis'!K21</f>
        <v>447.89118757828862</v>
      </c>
      <c r="M6" s="528">
        <f>'P&amp;L &amp; Ratio Analysis'!L21</f>
        <v>539.11015647071065</v>
      </c>
      <c r="N6" s="528">
        <f>'P&amp;L &amp; Ratio Analysis'!M21</f>
        <v>622.72474981797575</v>
      </c>
      <c r="O6" s="528">
        <f>'P&amp;L &amp; Ratio Analysis'!N21</f>
        <v>669.51811082892414</v>
      </c>
    </row>
    <row r="7" spans="2:15" ht="30" x14ac:dyDescent="0.25">
      <c r="B7" s="16">
        <v>3</v>
      </c>
      <c r="F7" s="542" t="s">
        <v>551</v>
      </c>
      <c r="G7" s="528">
        <f>G6</f>
        <v>67.243511998105987</v>
      </c>
      <c r="H7" s="528">
        <f>G7+H6</f>
        <v>271.97091257575744</v>
      </c>
      <c r="I7" s="528">
        <f t="shared" ref="I7:O7" si="0">H7+I6</f>
        <v>534.40734673137615</v>
      </c>
      <c r="J7" s="528">
        <f t="shared" si="0"/>
        <v>839.40751074281798</v>
      </c>
      <c r="K7" s="528">
        <f t="shared" si="0"/>
        <v>1204.5230313617819</v>
      </c>
      <c r="L7" s="528">
        <f t="shared" si="0"/>
        <v>1652.4142189400704</v>
      </c>
      <c r="M7" s="528">
        <f t="shared" si="0"/>
        <v>2191.524375410781</v>
      </c>
      <c r="N7" s="528">
        <f t="shared" si="0"/>
        <v>2814.2491252287568</v>
      </c>
      <c r="O7" s="528">
        <f t="shared" si="0"/>
        <v>3483.7672360576807</v>
      </c>
    </row>
    <row r="8" spans="2:15" x14ac:dyDescent="0.25">
      <c r="B8" s="16">
        <v>4</v>
      </c>
      <c r="G8"/>
      <c r="H8"/>
      <c r="I8"/>
      <c r="J8"/>
      <c r="K8"/>
      <c r="L8"/>
      <c r="M8"/>
      <c r="N8"/>
      <c r="O8"/>
    </row>
    <row r="9" spans="2:15" x14ac:dyDescent="0.25">
      <c r="B9" s="16">
        <v>5</v>
      </c>
      <c r="F9" s="543" t="s">
        <v>552</v>
      </c>
      <c r="G9" s="391">
        <f>Cost!D36</f>
        <v>3179.7916666666665</v>
      </c>
    </row>
    <row r="10" spans="2:15" x14ac:dyDescent="0.25">
      <c r="B10" s="16">
        <v>6</v>
      </c>
      <c r="F10" s="543" t="s">
        <v>553</v>
      </c>
      <c r="G10" s="397">
        <f>8+(G9-N7)/O6</f>
        <v>8.5459785710431859</v>
      </c>
    </row>
    <row r="11" spans="2:15" ht="53.25" hidden="1" customHeight="1" x14ac:dyDescent="0.25">
      <c r="B11" s="16">
        <v>7</v>
      </c>
      <c r="G11" s="672">
        <f>+COUNTIF(G7:O7,(G7:O7&lt;="$G$9"))</f>
        <v>0</v>
      </c>
    </row>
    <row r="12" spans="2:15" ht="62.25" hidden="1" customHeight="1" x14ac:dyDescent="0.25">
      <c r="B12" s="16">
        <v>8</v>
      </c>
      <c r="G12" s="448">
        <f>+MATCH(G9,G7:O7,1)</f>
        <v>8</v>
      </c>
      <c r="L12" s="391"/>
      <c r="M12" s="391"/>
    </row>
    <row r="13" spans="2:15" ht="54" hidden="1" customHeight="1" x14ac:dyDescent="0.25">
      <c r="B13" s="16">
        <v>9</v>
      </c>
      <c r="G13" s="391">
        <f>MATCH(G9,G7:O7,1)</f>
        <v>8</v>
      </c>
      <c r="H13" s="391"/>
      <c r="L13" s="391"/>
      <c r="M13" s="391"/>
    </row>
    <row r="14" spans="2:15" hidden="1" x14ac:dyDescent="0.25">
      <c r="B14" s="16">
        <v>10</v>
      </c>
      <c r="G14" s="391"/>
      <c r="H14" s="391"/>
      <c r="L14" s="391"/>
      <c r="M14" s="391"/>
      <c r="N14" s="391">
        <f>+O7-G9</f>
        <v>303.97556939101423</v>
      </c>
    </row>
    <row r="15" spans="2:15" x14ac:dyDescent="0.25">
      <c r="G15" s="391"/>
      <c r="H15" s="391"/>
      <c r="L15" s="391"/>
      <c r="M15" s="391"/>
    </row>
    <row r="16" spans="2:15" x14ac:dyDescent="0.25">
      <c r="G16" s="391"/>
      <c r="H16" s="391"/>
      <c r="L16" s="391"/>
      <c r="M16" s="391"/>
    </row>
    <row r="17" spans="7:13" x14ac:dyDescent="0.25">
      <c r="G17" s="391"/>
      <c r="H17" s="391"/>
      <c r="L17" s="391"/>
      <c r="M17" s="391"/>
    </row>
    <row r="18" spans="7:13" x14ac:dyDescent="0.25">
      <c r="G18" s="391"/>
      <c r="H18" s="391"/>
      <c r="L18" s="391"/>
      <c r="M18" s="391"/>
    </row>
    <row r="19" spans="7:13" x14ac:dyDescent="0.25">
      <c r="G19" s="391"/>
      <c r="H19" s="391"/>
      <c r="L19" s="391"/>
      <c r="M19" s="391"/>
    </row>
    <row r="20" spans="7:13" x14ac:dyDescent="0.25">
      <c r="G20" s="391"/>
      <c r="H20" s="391"/>
      <c r="L20" s="391"/>
      <c r="M20" s="391"/>
    </row>
    <row r="21" spans="7:13" x14ac:dyDescent="0.25">
      <c r="G21" s="391"/>
      <c r="H21" s="391"/>
      <c r="L21" s="391"/>
      <c r="M21" s="391"/>
    </row>
    <row r="22" spans="7:13" x14ac:dyDescent="0.25">
      <c r="G22" s="391"/>
      <c r="H22" s="391"/>
      <c r="L22" s="391"/>
      <c r="M22" s="391"/>
    </row>
    <row r="23" spans="7:13" x14ac:dyDescent="0.25">
      <c r="G23" s="391"/>
      <c r="H23" s="391"/>
      <c r="L23" s="391"/>
      <c r="M23" s="391"/>
    </row>
    <row r="24" spans="7:13" x14ac:dyDescent="0.25">
      <c r="G24" s="391"/>
      <c r="H24" s="391"/>
      <c r="L24" s="391"/>
      <c r="M24" s="391"/>
    </row>
    <row r="25" spans="7:13" x14ac:dyDescent="0.25">
      <c r="G25" s="391"/>
      <c r="H25" s="391"/>
      <c r="L25" s="391"/>
      <c r="M25" s="391"/>
    </row>
    <row r="26" spans="7:13" x14ac:dyDescent="0.25">
      <c r="G26" s="391"/>
      <c r="H26" s="391"/>
    </row>
    <row r="27" spans="7:13" x14ac:dyDescent="0.25">
      <c r="G27" s="391"/>
      <c r="H27" s="391"/>
    </row>
  </sheetData>
  <pageMargins left="0.7" right="0.7" top="0.75" bottom="0.75" header="0.3" footer="0.3"/>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16"/>
  <dimension ref="B2:Q30"/>
  <sheetViews>
    <sheetView showGridLines="0" zoomScale="85" zoomScaleNormal="85" workbookViewId="0">
      <pane xSplit="3" ySplit="2" topLeftCell="D13" activePane="bottomRight" state="frozen"/>
      <selection pane="topRight" activeCell="C1" sqref="C1"/>
      <selection pane="bottomLeft" activeCell="A2" sqref="A2"/>
      <selection pane="bottomRight" activeCell="D29" sqref="D29"/>
    </sheetView>
  </sheetViews>
  <sheetFormatPr defaultRowHeight="15" x14ac:dyDescent="0.25"/>
  <cols>
    <col min="1" max="1" width="5.42578125" customWidth="1"/>
    <col min="3" max="3" width="12.7109375" customWidth="1"/>
    <col min="4" max="4" width="12.28515625" customWidth="1"/>
    <col min="5" max="5" width="8.85546875" customWidth="1"/>
    <col min="6" max="7" width="10.42578125" style="448" bestFit="1" customWidth="1"/>
    <col min="8" max="8" width="11.28515625" style="448" customWidth="1"/>
    <col min="9" max="14" width="10.42578125" style="448" customWidth="1"/>
    <col min="15" max="15" width="11.5703125" style="448" customWidth="1"/>
    <col min="16" max="16" width="10.42578125" style="448" bestFit="1" customWidth="1"/>
  </cols>
  <sheetData>
    <row r="2" spans="2:17" x14ac:dyDescent="0.25">
      <c r="B2" s="218" t="s">
        <v>788</v>
      </c>
      <c r="C2" s="218"/>
      <c r="D2" s="218"/>
      <c r="E2" s="218"/>
      <c r="F2" s="218"/>
      <c r="G2" s="218"/>
      <c r="H2" s="218"/>
      <c r="I2" s="218"/>
      <c r="J2" s="218"/>
      <c r="K2" s="218"/>
      <c r="L2" s="218"/>
      <c r="M2" s="218"/>
      <c r="N2" s="218"/>
      <c r="O2" s="218"/>
      <c r="P2" s="218"/>
      <c r="Q2" s="145" t="s">
        <v>897</v>
      </c>
    </row>
    <row r="3" spans="2:17" ht="15.75" thickBot="1" x14ac:dyDescent="0.3">
      <c r="B3" s="302"/>
      <c r="C3" s="302"/>
      <c r="D3" s="302"/>
      <c r="E3" s="302"/>
      <c r="F3" s="546">
        <v>45747</v>
      </c>
      <c r="G3" s="546">
        <f t="shared" ref="G3:P3" si="0">DATE(YEAR(F3)+1,MONTH(F3),DAY(F3))</f>
        <v>46112</v>
      </c>
      <c r="H3" s="546">
        <v>46477</v>
      </c>
      <c r="I3" s="546">
        <f t="shared" si="0"/>
        <v>46843</v>
      </c>
      <c r="J3" s="546">
        <f t="shared" si="0"/>
        <v>47208</v>
      </c>
      <c r="K3" s="546">
        <f t="shared" si="0"/>
        <v>47573</v>
      </c>
      <c r="L3" s="546">
        <f t="shared" si="0"/>
        <v>47938</v>
      </c>
      <c r="M3" s="546">
        <f t="shared" si="0"/>
        <v>48304</v>
      </c>
      <c r="N3" s="546">
        <f t="shared" si="0"/>
        <v>48669</v>
      </c>
      <c r="O3" s="546">
        <f t="shared" si="0"/>
        <v>49034</v>
      </c>
      <c r="P3" s="546">
        <f t="shared" si="0"/>
        <v>49399</v>
      </c>
      <c r="Q3" s="145"/>
    </row>
    <row r="4" spans="2:17" ht="15.75" thickBot="1" x14ac:dyDescent="0.3">
      <c r="B4" s="455" t="s">
        <v>165</v>
      </c>
      <c r="C4" s="456"/>
      <c r="D4" s="456"/>
      <c r="E4" s="456"/>
      <c r="F4" s="457" t="s">
        <v>297</v>
      </c>
      <c r="G4" s="457" t="s">
        <v>298</v>
      </c>
      <c r="H4" s="457" t="s">
        <v>166</v>
      </c>
      <c r="I4" s="457" t="s">
        <v>167</v>
      </c>
      <c r="J4" s="457" t="s">
        <v>168</v>
      </c>
      <c r="K4" s="457" t="s">
        <v>169</v>
      </c>
      <c r="L4" s="457" t="s">
        <v>170</v>
      </c>
      <c r="M4" s="457" t="s">
        <v>171</v>
      </c>
      <c r="N4" s="457" t="s">
        <v>172</v>
      </c>
      <c r="O4" s="457" t="s">
        <v>173</v>
      </c>
      <c r="P4" s="457" t="s">
        <v>174</v>
      </c>
    </row>
    <row r="5" spans="2:17" x14ac:dyDescent="0.25">
      <c r="B5" s="250" t="s">
        <v>554</v>
      </c>
      <c r="C5" s="219"/>
      <c r="D5" s="219"/>
      <c r="E5" s="220"/>
      <c r="F5" s="547"/>
      <c r="G5" s="547"/>
      <c r="H5" s="458">
        <f>'P&amp;L &amp; Ratio Analysis'!F12</f>
        <v>130.75689552083327</v>
      </c>
      <c r="I5" s="458">
        <f>'P&amp;L &amp; Ratio Analysis'!G12</f>
        <v>330.50416762310601</v>
      </c>
      <c r="J5" s="458">
        <f>'P&amp;L &amp; Ratio Analysis'!H12</f>
        <v>382.1450057339016</v>
      </c>
      <c r="K5" s="458">
        <f>'P&amp;L &amp; Ratio Analysis'!I12</f>
        <v>438.51922191774372</v>
      </c>
      <c r="L5" s="458">
        <f>'P&amp;L &amp; Ratio Analysis'!J12</f>
        <v>500.08281691364391</v>
      </c>
      <c r="M5" s="458">
        <f>'P&amp;L &amp; Ratio Analysis'!K12</f>
        <v>567.33707301068705</v>
      </c>
      <c r="N5" s="458">
        <f>'P&amp;L &amp; Ratio Analysis'!L12</f>
        <v>640.83312248063248</v>
      </c>
      <c r="O5" s="458">
        <f>'P&amp;L &amp; Ratio Analysis'!M12</f>
        <v>721.1769806285397</v>
      </c>
      <c r="P5" s="458">
        <f>'P&amp;L &amp; Ratio Analysis'!N12</f>
        <v>820.18866040245291</v>
      </c>
    </row>
    <row r="6" spans="2:17" x14ac:dyDescent="0.25">
      <c r="B6" s="250" t="s">
        <v>567</v>
      </c>
      <c r="H6" s="391">
        <f>IF(H5&lt;100,H5*'Tax Calculations'!$D$51,'NPV &amp; IRR'!H5*'Tax Calculations'!$D$52)</f>
        <v>36.376568333895818</v>
      </c>
      <c r="I6" s="391">
        <f>IF(I5&lt;100,I5*'Tax Calculations'!$D$51,'NPV &amp; IRR'!I5*'Tax Calculations'!$D$52)</f>
        <v>91.946259432748093</v>
      </c>
      <c r="J6" s="391">
        <f>IF(J5&lt;100,J5*'Tax Calculations'!$D$51,'NPV &amp; IRR'!J5*'Tax Calculations'!$D$52)</f>
        <v>106.31274059517142</v>
      </c>
      <c r="K6" s="391">
        <f>IF(K5&lt;100,K5*'Tax Calculations'!$D$51,'NPV &amp; IRR'!K5*'Tax Calculations'!$D$52)</f>
        <v>121.9960475375163</v>
      </c>
      <c r="L6" s="391">
        <f>IF(L5&lt;100,L5*'Tax Calculations'!$D$51,'NPV &amp; IRR'!L5*'Tax Calculations'!$D$52)</f>
        <v>139.12303966537573</v>
      </c>
      <c r="M6" s="391">
        <f>IF(M5&lt;100,M5*'Tax Calculations'!$D$51,'NPV &amp; IRR'!M5*'Tax Calculations'!$D$52)</f>
        <v>157.83317371157315</v>
      </c>
      <c r="N6" s="391">
        <f>IF(N5&lt;100,N5*'Tax Calculations'!$D$51,'NPV &amp; IRR'!N5*'Tax Calculations'!$D$52)</f>
        <v>178.27977467411196</v>
      </c>
      <c r="O6" s="391">
        <f>IF(O5&lt;100,O5*'Tax Calculations'!$D$51,'NPV &amp; IRR'!O5*'Tax Calculations'!$D$52)</f>
        <v>200.63143601085974</v>
      </c>
      <c r="P6" s="391">
        <f>IF(P5&lt;100,P5*'Tax Calculations'!$D$51,'NPV &amp; IRR'!P5*'Tax Calculations'!$D$52)</f>
        <v>228.1764853239624</v>
      </c>
    </row>
    <row r="7" spans="2:17" x14ac:dyDescent="0.25">
      <c r="B7" s="251" t="s">
        <v>555</v>
      </c>
      <c r="H7" s="391">
        <f>H5-H6</f>
        <v>94.38032718693745</v>
      </c>
      <c r="I7" s="391">
        <f t="shared" ref="I7:P7" si="1">I5-I6</f>
        <v>238.55790819035792</v>
      </c>
      <c r="J7" s="391">
        <f t="shared" si="1"/>
        <v>275.83226513873018</v>
      </c>
      <c r="K7" s="391">
        <f t="shared" si="1"/>
        <v>316.52317438022743</v>
      </c>
      <c r="L7" s="391">
        <f t="shared" si="1"/>
        <v>360.95977724826821</v>
      </c>
      <c r="M7" s="391">
        <f t="shared" si="1"/>
        <v>409.50389929911387</v>
      </c>
      <c r="N7" s="391">
        <f t="shared" si="1"/>
        <v>462.55334780652049</v>
      </c>
      <c r="O7" s="391">
        <f t="shared" si="1"/>
        <v>520.54554461767998</v>
      </c>
      <c r="P7" s="391">
        <f t="shared" si="1"/>
        <v>592.01217507849049</v>
      </c>
    </row>
    <row r="8" spans="2:17" x14ac:dyDescent="0.25">
      <c r="B8" s="250" t="s">
        <v>556</v>
      </c>
      <c r="H8" s="391">
        <f>'P&amp;L &amp; Ratio Analysis'!F11</f>
        <v>40.986616477272733</v>
      </c>
      <c r="I8" s="391">
        <f>'P&amp;L &amp; Ratio Analysis'!G11</f>
        <v>81.973232954545466</v>
      </c>
      <c r="J8" s="391">
        <f>'P&amp;L &amp; Ratio Analysis'!H11</f>
        <v>81.973232954545466</v>
      </c>
      <c r="K8" s="391">
        <f>'P&amp;L &amp; Ratio Analysis'!I11</f>
        <v>81.973232954545466</v>
      </c>
      <c r="L8" s="391">
        <f>'P&amp;L &amp; Ratio Analysis'!J11</f>
        <v>81.973232954545466</v>
      </c>
      <c r="M8" s="391">
        <f>'P&amp;L &amp; Ratio Analysis'!K11</f>
        <v>81.973232954545466</v>
      </c>
      <c r="N8" s="391">
        <f>'P&amp;L &amp; Ratio Analysis'!L11</f>
        <v>81.973232954545466</v>
      </c>
      <c r="O8" s="391">
        <f>'P&amp;L &amp; Ratio Analysis'!M11</f>
        <v>81.973232954545466</v>
      </c>
      <c r="P8" s="391">
        <f>'P&amp;L &amp; Ratio Analysis'!N11</f>
        <v>70.707001136363601</v>
      </c>
    </row>
    <row r="9" spans="2:17" x14ac:dyDescent="0.25">
      <c r="B9" s="250" t="s">
        <v>925</v>
      </c>
      <c r="H9" s="391">
        <f>+BS!F42-BS!E42</f>
        <v>60.528788923004079</v>
      </c>
      <c r="I9" s="391">
        <f>+BS!G42-BS!F42</f>
        <v>69.151365906905596</v>
      </c>
      <c r="J9" s="391">
        <f>+BS!H42-BS!G42</f>
        <v>10.110104506665209</v>
      </c>
      <c r="K9" s="391">
        <f>+BS!I42-BS!H42</f>
        <v>10.936008667317253</v>
      </c>
      <c r="L9" s="391">
        <f>+BS!J42-BS!I42</f>
        <v>11.855007287571652</v>
      </c>
      <c r="M9" s="391">
        <f>+BS!K42-BS!J42</f>
        <v>12.8484007636944</v>
      </c>
      <c r="N9" s="391">
        <f>+BS!L42-BS!K42</f>
        <v>13.937620693276671</v>
      </c>
      <c r="O9" s="391">
        <f>+BS!M42-BS!L42</f>
        <v>15.114243218905841</v>
      </c>
      <c r="P9" s="391">
        <f>+BS!N42-BS!M42</f>
        <v>16.415670568256104</v>
      </c>
    </row>
    <row r="10" spans="2:17" x14ac:dyDescent="0.25">
      <c r="B10" s="250" t="s">
        <v>557</v>
      </c>
      <c r="F10" s="391">
        <f>-(CF!C19+CF!C23)</f>
        <v>-950</v>
      </c>
      <c r="G10" s="391">
        <f>-(CF!D19+CF!D23)</f>
        <v>-1494.895833333333</v>
      </c>
      <c r="H10" s="391">
        <f>-(CF!E19+CF!E23)</f>
        <v>-614.89583333333303</v>
      </c>
      <c r="I10" s="391">
        <f>CF!F19</f>
        <v>0</v>
      </c>
      <c r="J10" s="391">
        <f>CF!G19</f>
        <v>0</v>
      </c>
      <c r="K10" s="391">
        <f>CF!H19</f>
        <v>0</v>
      </c>
      <c r="L10" s="391">
        <f>CF!I19</f>
        <v>0</v>
      </c>
      <c r="M10" s="391">
        <f>CF!J19</f>
        <v>0</v>
      </c>
      <c r="N10" s="391">
        <f>CF!K19</f>
        <v>0</v>
      </c>
      <c r="O10" s="391">
        <f>CF!L19</f>
        <v>0</v>
      </c>
      <c r="P10" s="391">
        <f>CF!M19</f>
        <v>0</v>
      </c>
    </row>
    <row r="11" spans="2:17" x14ac:dyDescent="0.25">
      <c r="B11" s="252" t="s">
        <v>558</v>
      </c>
      <c r="F11" s="397">
        <f t="shared" ref="F11:G11" si="2">F7+F8-F9+F10</f>
        <v>-950</v>
      </c>
      <c r="G11" s="397">
        <f t="shared" si="2"/>
        <v>-1494.895833333333</v>
      </c>
      <c r="H11" s="397">
        <f>H7+H8-H9+H10</f>
        <v>-540.05767859212688</v>
      </c>
      <c r="I11" s="397">
        <f t="shared" ref="I11:P11" si="3">I7+I8-I9+I10</f>
        <v>251.37977523799776</v>
      </c>
      <c r="J11" s="397">
        <f t="shared" si="3"/>
        <v>347.69539358661046</v>
      </c>
      <c r="K11" s="397">
        <f t="shared" si="3"/>
        <v>387.56039866745567</v>
      </c>
      <c r="L11" s="397">
        <f t="shared" si="3"/>
        <v>431.078002915242</v>
      </c>
      <c r="M11" s="397">
        <f t="shared" si="3"/>
        <v>478.62873148996493</v>
      </c>
      <c r="N11" s="397">
        <f t="shared" si="3"/>
        <v>530.58896006778923</v>
      </c>
      <c r="O11" s="397">
        <f t="shared" si="3"/>
        <v>587.4045343533196</v>
      </c>
      <c r="P11" s="397">
        <f t="shared" si="3"/>
        <v>646.30350564659796</v>
      </c>
    </row>
    <row r="12" spans="2:17" x14ac:dyDescent="0.25">
      <c r="B12" s="250" t="s">
        <v>559</v>
      </c>
      <c r="E12" s="198">
        <f>+O29</f>
        <v>0.11305303755646956</v>
      </c>
      <c r="F12" s="449"/>
      <c r="G12" s="449"/>
      <c r="H12" s="548"/>
    </row>
    <row r="13" spans="2:17" x14ac:dyDescent="0.25">
      <c r="B13" s="253" t="s">
        <v>560</v>
      </c>
      <c r="E13" s="198">
        <v>1.2500000000000001E-2</v>
      </c>
      <c r="F13" s="452"/>
      <c r="G13" s="452"/>
      <c r="H13" s="548"/>
    </row>
    <row r="14" spans="2:17" x14ac:dyDescent="0.25">
      <c r="B14" s="250"/>
    </row>
    <row r="15" spans="2:17" x14ac:dyDescent="0.25">
      <c r="B15" s="155" t="s">
        <v>561</v>
      </c>
      <c r="F15" s="448">
        <v>0.5</v>
      </c>
      <c r="G15" s="448">
        <f>F15+1</f>
        <v>1.5</v>
      </c>
      <c r="H15" s="448">
        <f t="shared" ref="H15:P15" si="4">G15+1</f>
        <v>2.5</v>
      </c>
      <c r="I15" s="448">
        <f t="shared" si="4"/>
        <v>3.5</v>
      </c>
      <c r="J15" s="448">
        <f t="shared" si="4"/>
        <v>4.5</v>
      </c>
      <c r="K15" s="448">
        <f t="shared" si="4"/>
        <v>5.5</v>
      </c>
      <c r="L15" s="448">
        <f t="shared" si="4"/>
        <v>6.5</v>
      </c>
      <c r="M15" s="448">
        <f t="shared" si="4"/>
        <v>7.5</v>
      </c>
      <c r="N15" s="448">
        <f t="shared" si="4"/>
        <v>8.5</v>
      </c>
      <c r="O15" s="448">
        <f t="shared" si="4"/>
        <v>9.5</v>
      </c>
      <c r="P15" s="448">
        <f t="shared" si="4"/>
        <v>10.5</v>
      </c>
    </row>
    <row r="16" spans="2:17" x14ac:dyDescent="0.25">
      <c r="B16" s="155" t="s">
        <v>562</v>
      </c>
      <c r="F16" s="260">
        <f t="shared" ref="F16:P16" si="5">1/(1+$E$12)^F15</f>
        <v>0.94785536022064787</v>
      </c>
      <c r="G16" s="260">
        <f t="shared" si="5"/>
        <v>0.85158148645055853</v>
      </c>
      <c r="H16" s="260">
        <f t="shared" si="5"/>
        <v>0.76508617084417641</v>
      </c>
      <c r="I16" s="260">
        <f t="shared" si="5"/>
        <v>0.68737620313565739</v>
      </c>
      <c r="J16" s="260">
        <f t="shared" si="5"/>
        <v>0.61755925364049347</v>
      </c>
      <c r="K16" s="260">
        <f t="shared" si="5"/>
        <v>0.55483362679306492</v>
      </c>
      <c r="L16" s="260">
        <f t="shared" si="5"/>
        <v>0.49847905541959936</v>
      </c>
      <c r="M16" s="260">
        <f t="shared" si="5"/>
        <v>0.44784843003881536</v>
      </c>
      <c r="N16" s="260">
        <f t="shared" si="5"/>
        <v>0.40236036821928545</v>
      </c>
      <c r="O16" s="260">
        <f t="shared" si="5"/>
        <v>0.36149253866878034</v>
      </c>
      <c r="P16" s="260">
        <f t="shared" si="5"/>
        <v>0.32477566339729824</v>
      </c>
    </row>
    <row r="17" spans="2:16" x14ac:dyDescent="0.25">
      <c r="B17" s="155" t="s">
        <v>563</v>
      </c>
      <c r="H17" s="391"/>
      <c r="I17" s="391"/>
      <c r="J17" s="391"/>
      <c r="K17" s="391"/>
      <c r="L17" s="391"/>
      <c r="M17" s="391"/>
      <c r="N17" s="391"/>
      <c r="O17" s="391"/>
      <c r="P17" s="391">
        <f>+P11*(1+E13)/(E12-E13)</f>
        <v>6507.8322382820697</v>
      </c>
    </row>
    <row r="18" spans="2:16" x14ac:dyDescent="0.25">
      <c r="B18" s="155" t="s">
        <v>564</v>
      </c>
      <c r="F18" s="397">
        <f>F11+F17</f>
        <v>-950</v>
      </c>
      <c r="G18" s="397">
        <f t="shared" ref="G18:P18" si="6">G11+G17</f>
        <v>-1494.895833333333</v>
      </c>
      <c r="H18" s="397">
        <f t="shared" si="6"/>
        <v>-540.05767859212688</v>
      </c>
      <c r="I18" s="397">
        <f t="shared" si="6"/>
        <v>251.37977523799776</v>
      </c>
      <c r="J18" s="397">
        <f t="shared" si="6"/>
        <v>347.69539358661046</v>
      </c>
      <c r="K18" s="397">
        <f t="shared" si="6"/>
        <v>387.56039866745567</v>
      </c>
      <c r="L18" s="397">
        <f t="shared" si="6"/>
        <v>431.078002915242</v>
      </c>
      <c r="M18" s="397">
        <f t="shared" si="6"/>
        <v>478.62873148996493</v>
      </c>
      <c r="N18" s="397">
        <f t="shared" si="6"/>
        <v>530.58896006778923</v>
      </c>
      <c r="O18" s="397">
        <f t="shared" si="6"/>
        <v>587.4045343533196</v>
      </c>
      <c r="P18" s="397">
        <f t="shared" si="6"/>
        <v>7154.1357439286676</v>
      </c>
    </row>
    <row r="19" spans="2:16" x14ac:dyDescent="0.25">
      <c r="B19" s="681" t="s">
        <v>566</v>
      </c>
      <c r="C19" s="682"/>
      <c r="D19" s="682"/>
      <c r="E19" s="682"/>
      <c r="F19" s="683"/>
      <c r="G19" s="683"/>
      <c r="H19" s="684">
        <f>+XNPV(E12,F18:P18,F3:P3)</f>
        <v>1258.0453020403775</v>
      </c>
    </row>
    <row r="20" spans="2:16" x14ac:dyDescent="0.25">
      <c r="B20" s="681" t="s">
        <v>565</v>
      </c>
      <c r="C20" s="682"/>
      <c r="D20" s="682"/>
      <c r="E20" s="682"/>
      <c r="F20" s="683"/>
      <c r="G20" s="683"/>
      <c r="H20" s="685">
        <f>+XIRR(F18:P18,F3:P3)</f>
        <v>0.17030194401741028</v>
      </c>
    </row>
    <row r="22" spans="2:16" ht="15.75" hidden="1" thickBot="1" x14ac:dyDescent="0.3">
      <c r="J22" s="448" t="s">
        <v>898</v>
      </c>
    </row>
    <row r="23" spans="2:16" ht="15.75" hidden="1" thickBot="1" x14ac:dyDescent="0.3">
      <c r="B23" s="749" t="s">
        <v>569</v>
      </c>
      <c r="C23" s="750"/>
      <c r="D23" s="751"/>
      <c r="E23" s="250"/>
      <c r="F23" s="549"/>
      <c r="G23" s="549"/>
    </row>
    <row r="24" spans="2:16" ht="64.5" customHeight="1" thickBot="1" x14ac:dyDescent="0.3">
      <c r="B24" s="254" t="s">
        <v>487</v>
      </c>
      <c r="C24" s="255" t="s">
        <v>570</v>
      </c>
      <c r="D24" s="255" t="s">
        <v>488</v>
      </c>
      <c r="E24" s="250"/>
      <c r="F24" s="549"/>
      <c r="G24" s="549"/>
      <c r="M24" s="448" t="s">
        <v>504</v>
      </c>
      <c r="N24" s="448" t="s">
        <v>901</v>
      </c>
      <c r="O24" s="448" t="s">
        <v>902</v>
      </c>
    </row>
    <row r="25" spans="2:16" ht="36" customHeight="1" thickBot="1" x14ac:dyDescent="0.3">
      <c r="B25" s="256" t="s">
        <v>571</v>
      </c>
      <c r="C25" s="257" t="s">
        <v>576</v>
      </c>
      <c r="D25" s="262">
        <v>0.1416</v>
      </c>
      <c r="E25" s="259" t="s">
        <v>575</v>
      </c>
      <c r="F25" s="550"/>
      <c r="G25" s="550"/>
      <c r="L25" s="448" t="s">
        <v>899</v>
      </c>
      <c r="M25" s="448">
        <f>+Cost!D31</f>
        <v>2000</v>
      </c>
      <c r="N25" s="452">
        <v>0.09</v>
      </c>
      <c r="O25" s="453">
        <f>+(M25/M27)*N25*(1-'Tax Calculations'!D51)</f>
        <v>4.3109702649855038E-2</v>
      </c>
    </row>
    <row r="26" spans="2:16" ht="38.25" customHeight="1" thickBot="1" x14ac:dyDescent="0.3">
      <c r="B26" s="256" t="s">
        <v>572</v>
      </c>
      <c r="C26" s="257" t="s">
        <v>573</v>
      </c>
      <c r="D26" s="261">
        <v>5.0000000000000001E-3</v>
      </c>
      <c r="E26" s="250"/>
      <c r="F26" s="549"/>
      <c r="G26" s="549"/>
      <c r="L26" s="448" t="s">
        <v>900</v>
      </c>
      <c r="M26" s="391">
        <f>+Cost!D35</f>
        <v>1089.7916666666665</v>
      </c>
      <c r="N26" s="449">
        <f>+D25</f>
        <v>0.1416</v>
      </c>
      <c r="O26" s="453">
        <f>+(M26/M27)*N26</f>
        <v>4.9943334906614519E-2</v>
      </c>
    </row>
    <row r="27" spans="2:16" ht="32.25" customHeight="1" thickBot="1" x14ac:dyDescent="0.3">
      <c r="B27" s="256" t="s">
        <v>574</v>
      </c>
      <c r="C27" s="257" t="s">
        <v>559</v>
      </c>
      <c r="D27" s="258">
        <f>D25+D26</f>
        <v>0.14660000000000001</v>
      </c>
      <c r="E27" s="250"/>
      <c r="F27" s="549"/>
      <c r="G27" s="549"/>
      <c r="M27" s="391">
        <f>+M25+M26</f>
        <v>3089.7916666666665</v>
      </c>
      <c r="O27" s="449">
        <f>+O26+O25</f>
        <v>9.3053037556469556E-2</v>
      </c>
    </row>
    <row r="28" spans="2:16" ht="18" customHeight="1" x14ac:dyDescent="0.25">
      <c r="L28" s="448" t="s">
        <v>573</v>
      </c>
      <c r="O28" s="449">
        <v>0.02</v>
      </c>
      <c r="P28" s="448" t="s">
        <v>519</v>
      </c>
    </row>
    <row r="29" spans="2:16" ht="32.25" customHeight="1" x14ac:dyDescent="0.25">
      <c r="O29" s="449">
        <f>+O27+O28</f>
        <v>0.11305303755646956</v>
      </c>
    </row>
    <row r="30" spans="2:16" ht="101.25" customHeight="1" x14ac:dyDescent="0.25"/>
  </sheetData>
  <mergeCells count="1">
    <mergeCell ref="B23:D23"/>
  </mergeCells>
  <hyperlinks>
    <hyperlink ref="E25" r:id="rId1" xr:uid="{00000000-0004-0000-0F00-000000000000}"/>
  </hyperlinks>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Sheet17"/>
  <dimension ref="A1:H11"/>
  <sheetViews>
    <sheetView workbookViewId="0">
      <selection activeCell="D3" sqref="D3"/>
    </sheetView>
  </sheetViews>
  <sheetFormatPr defaultRowHeight="15" x14ac:dyDescent="0.25"/>
  <cols>
    <col min="7" max="7" width="26.85546875" customWidth="1"/>
    <col min="8" max="8" width="15.140625" customWidth="1"/>
  </cols>
  <sheetData>
    <row r="1" spans="1:8" x14ac:dyDescent="0.25">
      <c r="A1" t="s">
        <v>760</v>
      </c>
    </row>
    <row r="3" spans="1:8" x14ac:dyDescent="0.25">
      <c r="D3" t="s">
        <v>768</v>
      </c>
    </row>
    <row r="6" spans="1:8" x14ac:dyDescent="0.25">
      <c r="G6" t="s">
        <v>766</v>
      </c>
      <c r="H6" t="s">
        <v>767</v>
      </c>
    </row>
    <row r="7" spans="1:8" x14ac:dyDescent="0.25">
      <c r="G7" t="s">
        <v>761</v>
      </c>
      <c r="H7" s="563">
        <v>44257</v>
      </c>
    </row>
    <row r="8" spans="1:8" x14ac:dyDescent="0.25">
      <c r="G8" t="s">
        <v>762</v>
      </c>
      <c r="H8" s="563">
        <v>45109</v>
      </c>
    </row>
    <row r="9" spans="1:8" x14ac:dyDescent="0.25">
      <c r="G9" t="s">
        <v>763</v>
      </c>
      <c r="H9" s="563">
        <v>44987</v>
      </c>
    </row>
    <row r="10" spans="1:8" x14ac:dyDescent="0.25">
      <c r="G10" t="s">
        <v>764</v>
      </c>
      <c r="H10" s="563">
        <v>45353</v>
      </c>
    </row>
    <row r="11" spans="1:8" x14ac:dyDescent="0.25">
      <c r="G11" t="s">
        <v>765</v>
      </c>
      <c r="H11" s="563">
        <v>45718</v>
      </c>
    </row>
  </sheetData>
  <pageMargins left="0.7" right="0.7" top="0.75" bottom="0.75" header="0.3" footer="0.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Sheet18"/>
  <dimension ref="B2:O85"/>
  <sheetViews>
    <sheetView showGridLines="0" topLeftCell="A21" workbookViewId="0">
      <pane xSplit="5" topLeftCell="F1" activePane="topRight" state="frozen"/>
      <selection activeCell="A37" sqref="A37"/>
      <selection pane="topRight" activeCell="F34" sqref="F34:N34"/>
    </sheetView>
  </sheetViews>
  <sheetFormatPr defaultRowHeight="15" x14ac:dyDescent="0.25"/>
  <cols>
    <col min="1" max="1" width="4.28515625" customWidth="1"/>
    <col min="2" max="2" width="19.140625" customWidth="1"/>
    <col min="3" max="5" width="8.85546875" customWidth="1"/>
    <col min="6" max="14" width="10.85546875" style="448" customWidth="1"/>
    <col min="15" max="19" width="10.85546875" customWidth="1"/>
  </cols>
  <sheetData>
    <row r="2" spans="2:15" ht="15.75" thickBot="1" x14ac:dyDescent="0.3">
      <c r="B2" s="218" t="s">
        <v>788</v>
      </c>
      <c r="C2" s="218"/>
      <c r="D2" s="218"/>
      <c r="E2" s="218"/>
      <c r="F2" s="218"/>
      <c r="G2" s="218"/>
      <c r="H2" s="218"/>
      <c r="I2" s="218"/>
      <c r="J2" s="218"/>
      <c r="K2" s="218"/>
      <c r="L2" s="218"/>
      <c r="M2" s="218"/>
      <c r="N2" s="218"/>
      <c r="O2" s="145" t="s">
        <v>878</v>
      </c>
    </row>
    <row r="3" spans="2:15" ht="15.75" thickBot="1" x14ac:dyDescent="0.3">
      <c r="B3" s="274" t="s">
        <v>165</v>
      </c>
      <c r="C3" s="275"/>
      <c r="D3" s="275"/>
      <c r="E3" s="275"/>
      <c r="F3" s="551" t="s">
        <v>166</v>
      </c>
      <c r="G3" s="551" t="s">
        <v>167</v>
      </c>
      <c r="H3" s="551" t="s">
        <v>168</v>
      </c>
      <c r="I3" s="551" t="s">
        <v>169</v>
      </c>
      <c r="J3" s="551" t="s">
        <v>170</v>
      </c>
      <c r="K3" s="551" t="s">
        <v>171</v>
      </c>
      <c r="L3" s="551" t="s">
        <v>172</v>
      </c>
      <c r="M3" s="551" t="s">
        <v>173</v>
      </c>
      <c r="N3" s="551" t="s">
        <v>174</v>
      </c>
    </row>
    <row r="4" spans="2:15" x14ac:dyDescent="0.25">
      <c r="B4" s="263" t="s">
        <v>577</v>
      </c>
    </row>
    <row r="5" spans="2:15" x14ac:dyDescent="0.25">
      <c r="B5" s="263" t="s">
        <v>250</v>
      </c>
      <c r="F5" s="448" t="s">
        <v>220</v>
      </c>
    </row>
    <row r="6" spans="2:15" x14ac:dyDescent="0.25">
      <c r="B6" s="264" t="s">
        <v>578</v>
      </c>
      <c r="F6" s="391">
        <f>'P&amp;L &amp; Ratio Analysis'!F4</f>
        <v>982.35</v>
      </c>
      <c r="G6" s="391">
        <f>'P&amp;L &amp; Ratio Analysis'!G4</f>
        <v>2077.8187499999999</v>
      </c>
      <c r="H6" s="391">
        <f>'P&amp;L &amp; Ratio Analysis'!H4</f>
        <v>2227.2911718750001</v>
      </c>
      <c r="I6" s="391">
        <f>'P&amp;L &amp; Ratio Analysis'!I4</f>
        <v>2388.9093169921875</v>
      </c>
      <c r="J6" s="391">
        <f>'P&amp;L &amp; Ratio Analysis'!J4</f>
        <v>2563.7593619838872</v>
      </c>
      <c r="K6" s="391">
        <f>'P&amp;L &amp; Ratio Analysis'!K4</f>
        <v>2753.0308785872357</v>
      </c>
      <c r="L6" s="391">
        <f>'P&amp;L &amp; Ratio Analysis'!L4</f>
        <v>2958.0270347424271</v>
      </c>
      <c r="M6" s="391">
        <f>'P&amp;L &amp; Ratio Analysis'!M4</f>
        <v>3180.1758214585261</v>
      </c>
      <c r="N6" s="391">
        <f>'P&amp;L &amp; Ratio Analysis'!N4</f>
        <v>3421.0424095957751</v>
      </c>
    </row>
    <row r="7" spans="2:15" x14ac:dyDescent="0.25">
      <c r="B7" s="264" t="s">
        <v>582</v>
      </c>
      <c r="F7" s="391">
        <f>'P&amp;L Assumptions'!F8</f>
        <v>0.42</v>
      </c>
      <c r="G7" s="391">
        <f>'P&amp;L Assumptions'!G8</f>
        <v>0.441</v>
      </c>
      <c r="H7" s="391">
        <f>'P&amp;L Assumptions'!H8</f>
        <v>0.46305000000000002</v>
      </c>
      <c r="I7" s="391">
        <f>'P&amp;L Assumptions'!I8</f>
        <v>0.48620250000000004</v>
      </c>
      <c r="J7" s="391">
        <f>'P&amp;L Assumptions'!J8</f>
        <v>0.51051262500000005</v>
      </c>
      <c r="K7" s="391">
        <f>'P&amp;L Assumptions'!K8</f>
        <v>0.53603825625000012</v>
      </c>
      <c r="L7" s="391">
        <f>'P&amp;L Assumptions'!L8</f>
        <v>0.56284016906250012</v>
      </c>
      <c r="M7" s="391">
        <f>'P&amp;L Assumptions'!M8</f>
        <v>0.5909821775156251</v>
      </c>
      <c r="N7" s="391">
        <f>'P&amp;L Assumptions'!N8</f>
        <v>0.62053128639140642</v>
      </c>
    </row>
    <row r="8" spans="2:15" x14ac:dyDescent="0.25">
      <c r="B8" s="267"/>
      <c r="F8" s="391"/>
      <c r="G8" s="391"/>
      <c r="H8" s="391"/>
      <c r="I8" s="391"/>
      <c r="J8" s="391"/>
      <c r="K8" s="391"/>
      <c r="L8" s="391"/>
      <c r="M8" s="391"/>
      <c r="N8" s="391"/>
    </row>
    <row r="9" spans="2:15" x14ac:dyDescent="0.25">
      <c r="B9" s="266" t="s">
        <v>583</v>
      </c>
      <c r="F9" s="391"/>
      <c r="G9" s="391"/>
      <c r="H9" s="391"/>
      <c r="I9" s="391"/>
      <c r="J9" s="391"/>
      <c r="K9" s="391"/>
      <c r="L9" s="391"/>
      <c r="M9" s="391"/>
      <c r="N9" s="391"/>
    </row>
    <row r="10" spans="2:15" x14ac:dyDescent="0.25">
      <c r="B10" t="s">
        <v>140</v>
      </c>
      <c r="F10" s="391">
        <f>'P&amp;L Assumptions'!F20</f>
        <v>35.4375</v>
      </c>
      <c r="G10" s="391">
        <f>'P&amp;L Assumptions'!G20</f>
        <v>78.139687499999994</v>
      </c>
      <c r="H10" s="391">
        <f>'P&amp;L Assumptions'!H20</f>
        <v>86.149005468750005</v>
      </c>
      <c r="I10" s="391">
        <f>'P&amp;L Assumptions'!I20</f>
        <v>94.979278529296892</v>
      </c>
      <c r="J10" s="391">
        <f>'P&amp;L Assumptions'!J20</f>
        <v>104.71465457854983</v>
      </c>
      <c r="K10" s="391">
        <f>'P&amp;L Assumptions'!K20</f>
        <v>115.4479066728512</v>
      </c>
      <c r="L10" s="391">
        <f>'P&amp;L Assumptions'!L20</f>
        <v>127.28131710681842</v>
      </c>
      <c r="M10" s="391">
        <f>'P&amp;L Assumptions'!M20</f>
        <v>140.32765211026731</v>
      </c>
      <c r="N10" s="391">
        <f>'P&amp;L Assumptions'!N20</f>
        <v>154.71123645156976</v>
      </c>
    </row>
    <row r="11" spans="2:15" x14ac:dyDescent="0.25">
      <c r="B11" t="s">
        <v>141</v>
      </c>
      <c r="F11" s="391">
        <f>'P&amp;L Assumptions'!F21</f>
        <v>145.53000000000003</v>
      </c>
      <c r="G11" s="391">
        <f>'P&amp;L Assumptions'!G21</f>
        <v>305.613</v>
      </c>
      <c r="H11" s="391">
        <f>'P&amp;L Assumptions'!H21</f>
        <v>336.9383325</v>
      </c>
      <c r="I11" s="391">
        <f>'P&amp;L Assumptions'!I21</f>
        <v>371.47451158125006</v>
      </c>
      <c r="J11" s="391">
        <f>'P&amp;L Assumptions'!J21</f>
        <v>409.55064901832816</v>
      </c>
      <c r="K11" s="391">
        <f>'P&amp;L Assumptions'!K21</f>
        <v>451.52959054270684</v>
      </c>
      <c r="L11" s="391">
        <f>'P&amp;L Assumptions'!L21</f>
        <v>497.81137357333432</v>
      </c>
      <c r="M11" s="391">
        <f>'P&amp;L Assumptions'!M21</f>
        <v>548.83703936460108</v>
      </c>
      <c r="N11" s="391">
        <f>'P&amp;L Assumptions'!N21</f>
        <v>605.09283589947268</v>
      </c>
    </row>
    <row r="12" spans="2:15" x14ac:dyDescent="0.25">
      <c r="B12" t="str">
        <f>+'P&amp;L Assumptions'!B22</f>
        <v>Bar Expenses</v>
      </c>
      <c r="F12" s="391">
        <f>+'P&amp;L Assumptions'!F22</f>
        <v>31.499999999999996</v>
      </c>
      <c r="G12" s="391">
        <f>+'P&amp;L Assumptions'!G22</f>
        <v>66.149999999999991</v>
      </c>
      <c r="H12" s="391">
        <f>+'P&amp;L Assumptions'!H22</f>
        <v>69.457499999999996</v>
      </c>
      <c r="I12" s="391">
        <f>+'P&amp;L Assumptions'!I22</f>
        <v>72.930375000000012</v>
      </c>
      <c r="J12" s="391">
        <f>+'P&amp;L Assumptions'!J22</f>
        <v>76.576893750000011</v>
      </c>
      <c r="K12" s="391">
        <f>+'P&amp;L Assumptions'!K22</f>
        <v>80.40573843750002</v>
      </c>
      <c r="L12" s="391">
        <f>+'P&amp;L Assumptions'!L22</f>
        <v>84.426025359375032</v>
      </c>
      <c r="M12" s="391">
        <f>+'P&amp;L Assumptions'!M22</f>
        <v>88.647326627343787</v>
      </c>
      <c r="N12" s="391">
        <f>+'P&amp;L Assumptions'!N22</f>
        <v>93.079692958710979</v>
      </c>
    </row>
    <row r="13" spans="2:15" x14ac:dyDescent="0.25">
      <c r="B13" t="str">
        <f>+'P&amp;L Assumptions'!B23</f>
        <v>Banquet Hall Expenses</v>
      </c>
      <c r="F13" s="391">
        <f>+'P&amp;L Assumptions'!F23</f>
        <v>202.5</v>
      </c>
      <c r="G13" s="391">
        <f>+'P&amp;L Assumptions'!G23</f>
        <v>425.25</v>
      </c>
      <c r="H13" s="391">
        <f>+'P&amp;L Assumptions'!H23</f>
        <v>446.51250000000005</v>
      </c>
      <c r="I13" s="391">
        <f>+'P&amp;L Assumptions'!I23</f>
        <v>468.83812500000005</v>
      </c>
      <c r="J13" s="391">
        <f>+'P&amp;L Assumptions'!J23</f>
        <v>492.28003125000009</v>
      </c>
      <c r="K13" s="391">
        <f>+'P&amp;L Assumptions'!K23</f>
        <v>516.89403281250009</v>
      </c>
      <c r="L13" s="391">
        <f>+'P&amp;L Assumptions'!L23</f>
        <v>542.73873445312506</v>
      </c>
      <c r="M13" s="391">
        <f>+'P&amp;L Assumptions'!M23</f>
        <v>569.87567117578135</v>
      </c>
      <c r="N13" s="391">
        <f>+'P&amp;L Assumptions'!N23</f>
        <v>598.36945473457047</v>
      </c>
    </row>
    <row r="14" spans="2:15" x14ac:dyDescent="0.25">
      <c r="B14" t="str">
        <f>+'P&amp;L Assumptions'!B24</f>
        <v xml:space="preserve">Kitty Hall </v>
      </c>
      <c r="F14" s="391">
        <f>+'P&amp;L Assumptions'!F24</f>
        <v>40.5</v>
      </c>
      <c r="G14" s="391">
        <f>+'P&amp;L Assumptions'!G24</f>
        <v>85.05</v>
      </c>
      <c r="H14" s="391">
        <f>+'P&amp;L Assumptions'!H24</f>
        <v>89.302499999999995</v>
      </c>
      <c r="I14" s="391">
        <f>+'P&amp;L Assumptions'!I24</f>
        <v>93.767624999999995</v>
      </c>
      <c r="J14" s="391">
        <f>+'P&amp;L Assumptions'!J24</f>
        <v>98.456006250000002</v>
      </c>
      <c r="K14" s="391">
        <f>+'P&amp;L Assumptions'!K24</f>
        <v>103.3788065625</v>
      </c>
      <c r="L14" s="391">
        <f>+'P&amp;L Assumptions'!L24</f>
        <v>108.54774689062501</v>
      </c>
      <c r="M14" s="391">
        <f>+'P&amp;L Assumptions'!M24</f>
        <v>113.97513423515626</v>
      </c>
      <c r="N14" s="391">
        <f>+'P&amp;L Assumptions'!N24</f>
        <v>119.67389094691409</v>
      </c>
    </row>
    <row r="15" spans="2:15" x14ac:dyDescent="0.25">
      <c r="B15" t="str">
        <f>+'P&amp;L Assumptions'!B28</f>
        <v>Other Admin &amp; General Expenses</v>
      </c>
      <c r="F15" s="391">
        <f>+'P&amp;L Assumptions'!F28</f>
        <v>73.676249999999996</v>
      </c>
      <c r="G15" s="391">
        <f>'P&amp;L Assumptions'!G22</f>
        <v>66.149999999999991</v>
      </c>
      <c r="H15" s="391">
        <f>'P&amp;L Assumptions'!H22</f>
        <v>69.457499999999996</v>
      </c>
      <c r="I15" s="391">
        <f>'P&amp;L Assumptions'!I22</f>
        <v>72.930375000000012</v>
      </c>
      <c r="J15" s="391">
        <f>'P&amp;L Assumptions'!J22</f>
        <v>76.576893750000011</v>
      </c>
      <c r="K15" s="391">
        <f>'P&amp;L Assumptions'!K22</f>
        <v>80.40573843750002</v>
      </c>
      <c r="L15" s="391">
        <f>'P&amp;L Assumptions'!L22</f>
        <v>84.426025359375032</v>
      </c>
      <c r="M15" s="391">
        <f>'P&amp;L Assumptions'!M22</f>
        <v>88.647326627343787</v>
      </c>
      <c r="N15" s="391">
        <f>'P&amp;L Assumptions'!N22</f>
        <v>93.079692958710979</v>
      </c>
    </row>
    <row r="16" spans="2:15" x14ac:dyDescent="0.25">
      <c r="B16" t="str">
        <f>+'P&amp;L Assumptions'!B29</f>
        <v>Sales &amp; Marketing</v>
      </c>
      <c r="F16" s="391">
        <f>+'P&amp;L Assumptions'!F29</f>
        <v>24.558750000000003</v>
      </c>
      <c r="G16" s="391">
        <f>'P&amp;L Assumptions'!G24</f>
        <v>85.05</v>
      </c>
      <c r="H16" s="391">
        <f>'P&amp;L Assumptions'!H24</f>
        <v>89.302499999999995</v>
      </c>
      <c r="I16" s="391">
        <f>'P&amp;L Assumptions'!I24</f>
        <v>93.767624999999995</v>
      </c>
      <c r="J16" s="391">
        <f>'P&amp;L Assumptions'!J24</f>
        <v>98.456006250000002</v>
      </c>
      <c r="K16" s="391">
        <f>'P&amp;L Assumptions'!K24</f>
        <v>103.3788065625</v>
      </c>
      <c r="L16" s="391">
        <f>'P&amp;L Assumptions'!L24</f>
        <v>108.54774689062501</v>
      </c>
      <c r="M16" s="391">
        <f>'P&amp;L Assumptions'!M24</f>
        <v>113.97513423515626</v>
      </c>
      <c r="N16" s="391">
        <f>'P&amp;L Assumptions'!N24</f>
        <v>119.67389094691409</v>
      </c>
    </row>
    <row r="17" spans="2:14" x14ac:dyDescent="0.25">
      <c r="B17" t="str">
        <f>+'P&amp;L Assumptions'!B30</f>
        <v>Property Operations &amp; Maintenance</v>
      </c>
      <c r="F17" s="391">
        <f>+'P&amp;L Assumptions'!F30</f>
        <v>22.385937499999994</v>
      </c>
      <c r="G17" s="391">
        <f>'P&amp;L Assumptions'!G28</f>
        <v>155.83640624999998</v>
      </c>
      <c r="H17" s="391">
        <f>'P&amp;L Assumptions'!H28</f>
        <v>167.046837890625</v>
      </c>
      <c r="I17" s="391">
        <f>'P&amp;L Assumptions'!I28</f>
        <v>179.16819877441407</v>
      </c>
      <c r="J17" s="391">
        <f>'P&amp;L Assumptions'!J28</f>
        <v>192.28195214879153</v>
      </c>
      <c r="K17" s="391">
        <f>'P&amp;L Assumptions'!K28</f>
        <v>206.47731589404268</v>
      </c>
      <c r="L17" s="391">
        <f>'P&amp;L Assumptions'!L28</f>
        <v>221.85202760568203</v>
      </c>
      <c r="M17" s="391">
        <f>'P&amp;L Assumptions'!M28</f>
        <v>238.51318660938944</v>
      </c>
      <c r="N17" s="391">
        <f>'P&amp;L Assumptions'!N28</f>
        <v>256.57818071968313</v>
      </c>
    </row>
    <row r="18" spans="2:14" x14ac:dyDescent="0.25">
      <c r="B18" t="s">
        <v>584</v>
      </c>
      <c r="F18" s="391">
        <f>'P&amp;L &amp; Ratio Analysis'!F18</f>
        <v>0</v>
      </c>
      <c r="G18" s="391">
        <f>'P&amp;L &amp; Ratio Analysis'!G18</f>
        <v>0</v>
      </c>
      <c r="H18" s="391">
        <f>'P&amp;L &amp; Ratio Analysis'!H18</f>
        <v>4.8068045328284175</v>
      </c>
      <c r="I18" s="391">
        <f>'P&amp;L &amp; Ratio Analysis'!I18</f>
        <v>35.74229086084739</v>
      </c>
      <c r="J18" s="391">
        <f>'P&amp;L &amp; Ratio Analysis'!J18</f>
        <v>56.731779249225447</v>
      </c>
      <c r="K18" s="391">
        <f>'P&amp;L &amp; Ratio Analysis'!K18</f>
        <v>73.317118386943889</v>
      </c>
      <c r="L18" s="391">
        <f>'P&amp;L &amp; Ratio Analysis'!L18</f>
        <v>91.594198964467168</v>
      </c>
      <c r="M18" s="391">
        <f>'P&amp;L &amp; Ratio Analysis'!M18</f>
        <v>127.07346376510927</v>
      </c>
      <c r="N18" s="391">
        <f>'P&amp;L &amp; Ratio Analysis'!N18</f>
        <v>205.9515507098923</v>
      </c>
    </row>
    <row r="19" spans="2:14" x14ac:dyDescent="0.25">
      <c r="B19" s="686" t="s">
        <v>585</v>
      </c>
      <c r="C19" s="273"/>
      <c r="D19" s="273"/>
      <c r="E19" s="273"/>
      <c r="F19" s="552">
        <f>SUM(F10:F18)</f>
        <v>576.08843750000005</v>
      </c>
      <c r="G19" s="552">
        <f t="shared" ref="G19:N19" si="0">SUM(G10:G18)</f>
        <v>1267.2390937499999</v>
      </c>
      <c r="H19" s="552">
        <f t="shared" si="0"/>
        <v>1358.9734803922036</v>
      </c>
      <c r="I19" s="552">
        <f t="shared" si="0"/>
        <v>1483.5984047458082</v>
      </c>
      <c r="J19" s="552">
        <f t="shared" si="0"/>
        <v>1605.624866244895</v>
      </c>
      <c r="K19" s="552">
        <f t="shared" si="0"/>
        <v>1731.2350543090447</v>
      </c>
      <c r="L19" s="552">
        <f t="shared" si="0"/>
        <v>1867.2251962034268</v>
      </c>
      <c r="M19" s="552">
        <f t="shared" si="0"/>
        <v>2029.8719347501485</v>
      </c>
      <c r="N19" s="552">
        <f t="shared" si="0"/>
        <v>2246.2104263264382</v>
      </c>
    </row>
    <row r="20" spans="2:14" x14ac:dyDescent="0.25">
      <c r="B20" s="687" t="s">
        <v>928</v>
      </c>
      <c r="F20" s="391"/>
      <c r="G20" s="391"/>
      <c r="H20" s="391"/>
      <c r="I20" s="391"/>
      <c r="J20" s="391"/>
      <c r="K20" s="391"/>
      <c r="L20" s="391"/>
      <c r="M20" s="391"/>
      <c r="N20" s="391"/>
    </row>
    <row r="21" spans="2:14" x14ac:dyDescent="0.25">
      <c r="B21" t="str">
        <f>+'P&amp;L Assumptions'!B41</f>
        <v>Insurance</v>
      </c>
      <c r="F21" s="391">
        <f>+'P&amp;L Assumptions'!F41</f>
        <v>29.438050501893933</v>
      </c>
      <c r="G21" s="391">
        <f>+'P&amp;L Assumptions'!G41</f>
        <v>28.618318172348477</v>
      </c>
      <c r="H21" s="391">
        <f>+'P&amp;L Assumptions'!H41</f>
        <v>27.798585842803021</v>
      </c>
      <c r="I21" s="391">
        <f>+'P&amp;L Assumptions'!I41</f>
        <v>26.978853513257569</v>
      </c>
      <c r="J21" s="391">
        <f>+'P&amp;L Assumptions'!J41</f>
        <v>26.159121183712113</v>
      </c>
      <c r="K21" s="391">
        <f>+'P&amp;L Assumptions'!K41</f>
        <v>25.339388854166661</v>
      </c>
      <c r="L21" s="391">
        <f>+'P&amp;L Assumptions'!L41</f>
        <v>24.519656524621205</v>
      </c>
      <c r="M21" s="391">
        <f>+'P&amp;L Assumptions'!M41</f>
        <v>23.699924195075752</v>
      </c>
      <c r="N21" s="391">
        <f>+'P&amp;L Assumptions'!N41</f>
        <v>22.992854183712115</v>
      </c>
    </row>
    <row r="22" spans="2:14" x14ac:dyDescent="0.25">
      <c r="B22" t="str">
        <f>+'P&amp;L Assumptions'!B40</f>
        <v>Lease rental</v>
      </c>
      <c r="F22" s="391">
        <f>+'P&amp;L Assumptions'!F40</f>
        <v>3</v>
      </c>
      <c r="G22" s="391">
        <f>+'P&amp;L Assumptions'!G40</f>
        <v>6</v>
      </c>
      <c r="H22" s="391">
        <f>+'P&amp;L Assumptions'!H40</f>
        <v>6</v>
      </c>
      <c r="I22" s="391">
        <f>+'P&amp;L Assumptions'!I40</f>
        <v>6</v>
      </c>
      <c r="J22" s="391">
        <f>+'P&amp;L Assumptions'!J40</f>
        <v>6</v>
      </c>
      <c r="K22" s="391">
        <f>+'P&amp;L Assumptions'!K40</f>
        <v>6</v>
      </c>
      <c r="L22" s="391">
        <f>+'P&amp;L Assumptions'!L40</f>
        <v>6</v>
      </c>
      <c r="M22" s="391">
        <f>+'P&amp;L Assumptions'!M40</f>
        <v>6</v>
      </c>
      <c r="N22" s="391">
        <f>+'P&amp;L Assumptions'!N40</f>
        <v>6</v>
      </c>
    </row>
    <row r="23" spans="2:14" x14ac:dyDescent="0.25">
      <c r="B23" t="str">
        <f>+'P&amp;L Assumptions'!B31</f>
        <v>Utilities &amp; Energy Costs</v>
      </c>
      <c r="F23" s="391">
        <f>+'P&amp;L Assumptions'!F31</f>
        <v>86.4</v>
      </c>
      <c r="G23" s="391">
        <f>'P&amp;L Assumptions'!G29</f>
        <v>51.945468750000003</v>
      </c>
      <c r="H23" s="391">
        <f>'P&amp;L Assumptions'!H29</f>
        <v>55.682279296875009</v>
      </c>
      <c r="I23" s="391">
        <f>'P&amp;L Assumptions'!I29</f>
        <v>59.722732924804689</v>
      </c>
      <c r="J23" s="391">
        <f>'P&amp;L Assumptions'!J29</f>
        <v>64.093984049597182</v>
      </c>
      <c r="K23" s="391">
        <f>'P&amp;L Assumptions'!K29</f>
        <v>68.825771964680897</v>
      </c>
      <c r="L23" s="391">
        <f>'P&amp;L Assumptions'!L29</f>
        <v>73.95067586856068</v>
      </c>
      <c r="M23" s="391">
        <f>'P&amp;L Assumptions'!M29</f>
        <v>79.504395536463164</v>
      </c>
      <c r="N23" s="391">
        <f>'P&amp;L Assumptions'!N29</f>
        <v>85.526060239894377</v>
      </c>
    </row>
    <row r="24" spans="2:14" x14ac:dyDescent="0.25">
      <c r="B24" t="str">
        <f>+'P&amp;L Assumptions'!B32</f>
        <v>Salary and Wages</v>
      </c>
      <c r="F24" s="391">
        <f>+'P&amp;L Assumptions'!F32</f>
        <v>115.68</v>
      </c>
      <c r="G24" s="391">
        <f>'P&amp;L Assumptions'!G30</f>
        <v>47.010468749999987</v>
      </c>
      <c r="H24" s="391">
        <f>'P&amp;L Assumptions'!H30</f>
        <v>49.360992187499988</v>
      </c>
      <c r="I24" s="391">
        <f>'P&amp;L Assumptions'!I30</f>
        <v>51.829041796874989</v>
      </c>
      <c r="J24" s="391">
        <f>'P&amp;L Assumptions'!J30</f>
        <v>54.420493886718738</v>
      </c>
      <c r="K24" s="391">
        <f>'P&amp;L Assumptions'!K30</f>
        <v>57.141518581054676</v>
      </c>
      <c r="L24" s="391">
        <f>'P&amp;L Assumptions'!L30</f>
        <v>59.998594510107409</v>
      </c>
      <c r="M24" s="391">
        <f>'P&amp;L Assumptions'!M30</f>
        <v>62.998524235612784</v>
      </c>
      <c r="N24" s="391">
        <f>'P&amp;L Assumptions'!N30</f>
        <v>66.148450447393429</v>
      </c>
    </row>
    <row r="25" spans="2:14" x14ac:dyDescent="0.25">
      <c r="B25" t="s">
        <v>926</v>
      </c>
      <c r="F25" s="391">
        <f>'P&amp;L &amp; Ratio Analysis'!F14</f>
        <v>4.5</v>
      </c>
      <c r="G25" s="391">
        <f>'P&amp;L &amp; Ratio Analysis'!G14</f>
        <v>9</v>
      </c>
      <c r="H25" s="391">
        <f>'P&amp;L &amp; Ratio Analysis'!H14</f>
        <v>9</v>
      </c>
      <c r="I25" s="391">
        <f>'P&amp;L &amp; Ratio Analysis'!I14</f>
        <v>9</v>
      </c>
      <c r="J25" s="391">
        <f>'P&amp;L &amp; Ratio Analysis'!J14</f>
        <v>9</v>
      </c>
      <c r="K25" s="391">
        <f>'P&amp;L &amp; Ratio Analysis'!K14</f>
        <v>9</v>
      </c>
      <c r="L25" s="391">
        <f>'P&amp;L &amp; Ratio Analysis'!L14</f>
        <v>9</v>
      </c>
      <c r="M25" s="391">
        <f>'P&amp;L &amp; Ratio Analysis'!M14</f>
        <v>9</v>
      </c>
      <c r="N25" s="391">
        <f>'P&amp;L &amp; Ratio Analysis'!N14</f>
        <v>9</v>
      </c>
    </row>
    <row r="26" spans="2:14" x14ac:dyDescent="0.25">
      <c r="B26" s="37" t="s">
        <v>927</v>
      </c>
      <c r="F26" s="391">
        <f>+'P&amp;L &amp; Ratio Analysis'!F13</f>
        <v>100.00000000000001</v>
      </c>
      <c r="G26" s="391">
        <f>+'P&amp;L &amp; Ratio Analysis'!G13</f>
        <v>198.75000000000003</v>
      </c>
      <c r="H26" s="391">
        <f>+'P&amp;L &amp; Ratio Analysis'!H13</f>
        <v>187.87499999999997</v>
      </c>
      <c r="I26" s="391">
        <f>+'P&amp;L &amp; Ratio Analysis'!I13</f>
        <v>170.74999999999997</v>
      </c>
      <c r="J26" s="391">
        <f>+'P&amp;L &amp; Ratio Analysis'!J13</f>
        <v>151.20875000000001</v>
      </c>
      <c r="K26" s="391">
        <f>+'P&amp;L &amp; Ratio Analysis'!K13</f>
        <v>119.10200000000003</v>
      </c>
      <c r="L26" s="391">
        <f>+'P&amp;L &amp; Ratio Analysis'!L13</f>
        <v>83.102000000000032</v>
      </c>
      <c r="M26" s="391">
        <f>+'P&amp;L &amp; Ratio Analysis'!M13</f>
        <v>44.352000000000032</v>
      </c>
      <c r="N26" s="391">
        <f>+'P&amp;L &amp; Ratio Analysis'!N13</f>
        <v>6.4260000000000215</v>
      </c>
    </row>
    <row r="27" spans="2:14" x14ac:dyDescent="0.25">
      <c r="B27" t="s">
        <v>231</v>
      </c>
      <c r="F27" s="391">
        <f>+'P&amp;L &amp; Ratio Analysis'!F11</f>
        <v>40.986616477272733</v>
      </c>
      <c r="G27" s="391">
        <f>+'P&amp;L &amp; Ratio Analysis'!G11</f>
        <v>81.973232954545466</v>
      </c>
      <c r="H27" s="391">
        <f>+'P&amp;L &amp; Ratio Analysis'!H11</f>
        <v>81.973232954545466</v>
      </c>
      <c r="I27" s="391">
        <f>+'P&amp;L &amp; Ratio Analysis'!I11</f>
        <v>81.973232954545466</v>
      </c>
      <c r="J27" s="391">
        <f>+'P&amp;L &amp; Ratio Analysis'!J11</f>
        <v>81.973232954545466</v>
      </c>
      <c r="K27" s="391">
        <f>+'P&amp;L &amp; Ratio Analysis'!K11</f>
        <v>81.973232954545466</v>
      </c>
      <c r="L27" s="391">
        <f>+'P&amp;L &amp; Ratio Analysis'!L11</f>
        <v>81.973232954545466</v>
      </c>
      <c r="M27" s="391">
        <f>+'P&amp;L &amp; Ratio Analysis'!M11</f>
        <v>81.973232954545466</v>
      </c>
      <c r="N27" s="391">
        <f>+'P&amp;L &amp; Ratio Analysis'!N11</f>
        <v>70.707001136363601</v>
      </c>
    </row>
    <row r="28" spans="2:14" x14ac:dyDescent="0.25">
      <c r="B28" s="686" t="s">
        <v>929</v>
      </c>
      <c r="C28" s="273"/>
      <c r="D28" s="273"/>
      <c r="E28" s="273"/>
      <c r="F28" s="552">
        <f t="shared" ref="F28:N28" si="1">SUM(F21:F27)</f>
        <v>380.0046669791667</v>
      </c>
      <c r="G28" s="552">
        <f t="shared" si="1"/>
        <v>423.29748862689394</v>
      </c>
      <c r="H28" s="552">
        <f t="shared" si="1"/>
        <v>417.69009028172343</v>
      </c>
      <c r="I28" s="552">
        <f t="shared" si="1"/>
        <v>406.25386118948268</v>
      </c>
      <c r="J28" s="552">
        <f t="shared" si="1"/>
        <v>392.85558207457348</v>
      </c>
      <c r="K28" s="552">
        <f t="shared" si="1"/>
        <v>367.38191235444776</v>
      </c>
      <c r="L28" s="552">
        <f t="shared" si="1"/>
        <v>338.54415985783476</v>
      </c>
      <c r="M28" s="552">
        <f t="shared" si="1"/>
        <v>307.52807692169722</v>
      </c>
      <c r="N28" s="552">
        <f t="shared" si="1"/>
        <v>266.80036600736355</v>
      </c>
    </row>
    <row r="29" spans="2:14" x14ac:dyDescent="0.25">
      <c r="B29" s="270"/>
      <c r="C29" s="271"/>
      <c r="D29" s="271"/>
      <c r="E29" s="271"/>
      <c r="F29" s="553">
        <f t="shared" ref="F29:N29" si="2">+F19+F28</f>
        <v>956.09310447916675</v>
      </c>
      <c r="G29" s="553">
        <f t="shared" si="2"/>
        <v>1690.5365823768939</v>
      </c>
      <c r="H29" s="553">
        <f t="shared" si="2"/>
        <v>1776.6635706739271</v>
      </c>
      <c r="I29" s="553">
        <f t="shared" si="2"/>
        <v>1889.8522659352909</v>
      </c>
      <c r="J29" s="553">
        <f t="shared" si="2"/>
        <v>1998.4804483194685</v>
      </c>
      <c r="K29" s="553">
        <f t="shared" si="2"/>
        <v>2098.6169666634923</v>
      </c>
      <c r="L29" s="553">
        <f t="shared" si="2"/>
        <v>2205.7693560612615</v>
      </c>
      <c r="M29" s="553">
        <f t="shared" si="2"/>
        <v>2337.4000116718457</v>
      </c>
      <c r="N29" s="553">
        <f t="shared" si="2"/>
        <v>2513.0107923338019</v>
      </c>
    </row>
    <row r="30" spans="2:14" x14ac:dyDescent="0.25">
      <c r="B30" s="267"/>
      <c r="F30" s="391"/>
      <c r="G30" s="391"/>
      <c r="H30" s="391"/>
      <c r="I30" s="391"/>
      <c r="J30" s="391"/>
      <c r="K30" s="391"/>
      <c r="L30" s="391"/>
      <c r="M30" s="391"/>
      <c r="N30" s="391"/>
    </row>
    <row r="31" spans="2:14" x14ac:dyDescent="0.25">
      <c r="B31" s="270" t="s">
        <v>588</v>
      </c>
      <c r="C31" s="271"/>
      <c r="D31" s="271"/>
      <c r="E31" s="271"/>
      <c r="F31" s="552">
        <f>+F6-F19</f>
        <v>406.26156249999997</v>
      </c>
      <c r="G31" s="552">
        <f t="shared" ref="F31:N31" si="3">+G6-G19</f>
        <v>810.57965624999997</v>
      </c>
      <c r="H31" s="552">
        <f t="shared" si="3"/>
        <v>868.31769148279659</v>
      </c>
      <c r="I31" s="552">
        <f t="shared" si="3"/>
        <v>905.3109122463793</v>
      </c>
      <c r="J31" s="552">
        <f t="shared" si="3"/>
        <v>958.1344957389922</v>
      </c>
      <c r="K31" s="552">
        <f t="shared" si="3"/>
        <v>1021.795824278191</v>
      </c>
      <c r="L31" s="552">
        <f t="shared" si="3"/>
        <v>1090.8018385390003</v>
      </c>
      <c r="M31" s="552">
        <f t="shared" si="3"/>
        <v>1150.3038867083776</v>
      </c>
      <c r="N31" s="552">
        <f t="shared" si="3"/>
        <v>1174.8319832693369</v>
      </c>
    </row>
    <row r="32" spans="2:14" x14ac:dyDescent="0.25">
      <c r="B32" s="3" t="s">
        <v>579</v>
      </c>
      <c r="C32" s="3"/>
      <c r="D32" s="269" t="s">
        <v>589</v>
      </c>
      <c r="F32" s="453">
        <f>F31/F6</f>
        <v>0.41356091260752276</v>
      </c>
      <c r="G32" s="453">
        <f t="shared" ref="F32:N32" si="4">G31/G6</f>
        <v>0.39011085844229676</v>
      </c>
      <c r="H32" s="453">
        <f t="shared" si="4"/>
        <v>0.38985369423065636</v>
      </c>
      <c r="I32" s="453">
        <f t="shared" si="4"/>
        <v>0.37896411797925939</v>
      </c>
      <c r="J32" s="453">
        <f t="shared" si="4"/>
        <v>0.37372247565292904</v>
      </c>
      <c r="K32" s="453">
        <f t="shared" si="4"/>
        <v>0.37115305615552807</v>
      </c>
      <c r="L32" s="453">
        <f t="shared" si="4"/>
        <v>0.36875992873877939</v>
      </c>
      <c r="M32" s="453">
        <f t="shared" si="4"/>
        <v>0.36171078307890947</v>
      </c>
      <c r="N32" s="453">
        <f t="shared" si="4"/>
        <v>0.34341345198586798</v>
      </c>
    </row>
    <row r="33" spans="2:14" x14ac:dyDescent="0.25">
      <c r="B33" s="265" t="s">
        <v>580</v>
      </c>
      <c r="C33" s="265"/>
      <c r="D33" s="265"/>
      <c r="F33" s="391">
        <f>F28/F32</f>
        <v>918.86020993429429</v>
      </c>
      <c r="G33" s="391">
        <f t="shared" ref="G33:N33" si="5">G28/G32</f>
        <v>1085.0697422704679</v>
      </c>
      <c r="H33" s="391">
        <f t="shared" si="5"/>
        <v>1071.4021605104958</v>
      </c>
      <c r="I33" s="391">
        <f t="shared" si="5"/>
        <v>1072.0114172173865</v>
      </c>
      <c r="J33" s="391">
        <f t="shared" si="5"/>
        <v>1051.1960282512232</v>
      </c>
      <c r="K33" s="391">
        <f t="shared" si="5"/>
        <v>989.83938367598932</v>
      </c>
      <c r="L33" s="391">
        <f t="shared" si="5"/>
        <v>918.06113808436942</v>
      </c>
      <c r="M33" s="391">
        <f t="shared" si="5"/>
        <v>850.20433812891895</v>
      </c>
      <c r="N33" s="391">
        <f t="shared" si="5"/>
        <v>776.90714928180159</v>
      </c>
    </row>
    <row r="34" spans="2:14" x14ac:dyDescent="0.25">
      <c r="B34" s="272" t="s">
        <v>581</v>
      </c>
      <c r="C34" s="272"/>
      <c r="D34" s="272"/>
      <c r="E34" s="273"/>
      <c r="F34" s="554">
        <f t="shared" ref="F34:N34" si="6">F33/F6</f>
        <v>0.93536948127886621</v>
      </c>
      <c r="G34" s="554">
        <f t="shared" si="6"/>
        <v>0.52221578146335812</v>
      </c>
      <c r="H34" s="554">
        <f t="shared" si="6"/>
        <v>0.48103372115849474</v>
      </c>
      <c r="I34" s="554">
        <f t="shared" si="6"/>
        <v>0.44874512799302385</v>
      </c>
      <c r="J34" s="554">
        <f t="shared" si="6"/>
        <v>0.41002133189200218</v>
      </c>
      <c r="K34" s="554">
        <f t="shared" si="6"/>
        <v>0.35954532561724922</v>
      </c>
      <c r="L34" s="554">
        <f t="shared" si="6"/>
        <v>0.31036265973962285</v>
      </c>
      <c r="M34" s="554">
        <f t="shared" si="6"/>
        <v>0.26734507331075463</v>
      </c>
      <c r="N34" s="554">
        <f t="shared" si="6"/>
        <v>0.22709661450049071</v>
      </c>
    </row>
    <row r="37" spans="2:14" x14ac:dyDescent="0.25">
      <c r="B37" s="752" t="s">
        <v>935</v>
      </c>
      <c r="C37" s="753"/>
      <c r="D37" s="753"/>
      <c r="E37" s="753"/>
      <c r="F37" s="753"/>
      <c r="G37" s="753"/>
      <c r="H37" s="753"/>
      <c r="I37" s="753"/>
      <c r="J37" s="754"/>
      <c r="K37" s="690" t="s">
        <v>95</v>
      </c>
    </row>
    <row r="38" spans="2:14" x14ac:dyDescent="0.25">
      <c r="B38" s="755" t="s">
        <v>938</v>
      </c>
      <c r="C38" s="755"/>
      <c r="D38" s="755"/>
      <c r="E38" s="755"/>
      <c r="F38" s="755"/>
      <c r="G38" s="755"/>
      <c r="H38" s="755"/>
      <c r="I38" s="755"/>
      <c r="J38" s="755"/>
      <c r="K38" s="691">
        <f>+DSCR!C16</f>
        <v>1.472828600247678</v>
      </c>
    </row>
    <row r="39" spans="2:14" x14ac:dyDescent="0.25">
      <c r="B39" s="756" t="s">
        <v>906</v>
      </c>
      <c r="C39" s="756"/>
      <c r="D39" s="756"/>
      <c r="E39" s="756"/>
      <c r="F39" s="756"/>
      <c r="G39" s="756"/>
      <c r="H39" s="756"/>
      <c r="I39" s="756"/>
      <c r="J39" s="756"/>
      <c r="K39" s="689">
        <v>1.4</v>
      </c>
    </row>
    <row r="40" spans="2:14" x14ac:dyDescent="0.25">
      <c r="B40" s="756" t="s">
        <v>936</v>
      </c>
      <c r="C40" s="756"/>
      <c r="D40" s="756"/>
      <c r="E40" s="756"/>
      <c r="F40" s="756"/>
      <c r="G40" s="756"/>
      <c r="H40" s="756"/>
      <c r="I40" s="756"/>
      <c r="J40" s="756"/>
      <c r="K40" s="689">
        <v>1.44</v>
      </c>
    </row>
    <row r="41" spans="2:14" x14ac:dyDescent="0.25">
      <c r="B41" s="756" t="s">
        <v>907</v>
      </c>
      <c r="C41" s="756"/>
      <c r="D41" s="756"/>
      <c r="E41" s="756"/>
      <c r="F41" s="756"/>
      <c r="G41" s="756"/>
      <c r="H41" s="756"/>
      <c r="I41" s="756"/>
      <c r="J41" s="756"/>
      <c r="K41" s="689">
        <v>1.43</v>
      </c>
    </row>
    <row r="43" spans="2:14" x14ac:dyDescent="0.25">
      <c r="B43" s="682" t="s">
        <v>956</v>
      </c>
    </row>
    <row r="44" spans="2:14" x14ac:dyDescent="0.25">
      <c r="B44" s="1" t="s">
        <v>964</v>
      </c>
    </row>
    <row r="45" spans="2:14" x14ac:dyDescent="0.25">
      <c r="B45" s="278"/>
      <c r="C45" s="242" t="s">
        <v>166</v>
      </c>
      <c r="D45" s="242" t="s">
        <v>167</v>
      </c>
      <c r="E45" s="242" t="s">
        <v>168</v>
      </c>
      <c r="F45" s="242" t="s">
        <v>169</v>
      </c>
      <c r="G45" s="242" t="s">
        <v>170</v>
      </c>
      <c r="H45" s="242" t="s">
        <v>171</v>
      </c>
      <c r="I45" s="242" t="s">
        <v>172</v>
      </c>
      <c r="J45" s="242" t="s">
        <v>173</v>
      </c>
      <c r="K45" s="242" t="s">
        <v>174</v>
      </c>
      <c r="L45" s="145" t="s">
        <v>878</v>
      </c>
      <c r="M45"/>
      <c r="N45"/>
    </row>
    <row r="46" spans="2:14" x14ac:dyDescent="0.25">
      <c r="B46" s="278"/>
      <c r="C46" s="146" t="s">
        <v>208</v>
      </c>
      <c r="D46" s="146" t="s">
        <v>208</v>
      </c>
      <c r="E46" s="146" t="s">
        <v>208</v>
      </c>
      <c r="F46" s="146" t="s">
        <v>208</v>
      </c>
      <c r="G46" s="146" t="s">
        <v>208</v>
      </c>
      <c r="H46" s="146" t="s">
        <v>208</v>
      </c>
      <c r="I46" s="146" t="s">
        <v>208</v>
      </c>
      <c r="J46" s="146" t="s">
        <v>208</v>
      </c>
      <c r="K46" s="146" t="s">
        <v>208</v>
      </c>
      <c r="L46" s="3"/>
      <c r="M46"/>
      <c r="N46"/>
    </row>
    <row r="47" spans="2:14" x14ac:dyDescent="0.25">
      <c r="B47" s="3" t="s">
        <v>242</v>
      </c>
      <c r="C47" s="243">
        <v>0.28814552083323974</v>
      </c>
      <c r="D47" s="243">
        <v>83.568073873105931</v>
      </c>
      <c r="E47" s="243">
        <v>143.6048373745264</v>
      </c>
      <c r="F47" s="243">
        <v>198.76192389709826</v>
      </c>
      <c r="G47" s="243">
        <v>241.14076629127823</v>
      </c>
      <c r="H47" s="243">
        <v>336.14877730985614</v>
      </c>
      <c r="I47" s="243">
        <v>424.3164055276053</v>
      </c>
      <c r="J47" s="243">
        <v>487.41053093675754</v>
      </c>
      <c r="K47" s="243">
        <v>564.24640930875933</v>
      </c>
      <c r="L47" s="4"/>
      <c r="M47"/>
      <c r="N47"/>
    </row>
    <row r="48" spans="2:14" x14ac:dyDescent="0.25">
      <c r="B48" s="3" t="s">
        <v>243</v>
      </c>
      <c r="C48" s="243">
        <v>40.986616477272733</v>
      </c>
      <c r="D48" s="243">
        <v>81.973232954545466</v>
      </c>
      <c r="E48" s="243">
        <v>81.973232954545466</v>
      </c>
      <c r="F48" s="243">
        <v>81.973232954545466</v>
      </c>
      <c r="G48" s="243">
        <v>81.973232954545466</v>
      </c>
      <c r="H48" s="243">
        <v>81.973232954545466</v>
      </c>
      <c r="I48" s="243">
        <v>81.973232954545466</v>
      </c>
      <c r="J48" s="243">
        <v>81.973232954545466</v>
      </c>
      <c r="K48" s="243">
        <v>70.707001136363601</v>
      </c>
      <c r="L48" s="4"/>
      <c r="M48"/>
      <c r="N48"/>
    </row>
    <row r="49" spans="2:14" x14ac:dyDescent="0.25">
      <c r="B49" s="3" t="s">
        <v>244</v>
      </c>
      <c r="C49" s="243">
        <v>15</v>
      </c>
      <c r="D49" s="243">
        <v>15</v>
      </c>
      <c r="E49" s="243">
        <v>15</v>
      </c>
      <c r="F49" s="243">
        <v>15</v>
      </c>
      <c r="G49" s="243">
        <v>15</v>
      </c>
      <c r="H49" s="243">
        <v>0</v>
      </c>
      <c r="I49" s="243">
        <v>0</v>
      </c>
      <c r="J49" s="243">
        <v>0</v>
      </c>
      <c r="K49" s="243">
        <v>0</v>
      </c>
      <c r="L49" s="4"/>
      <c r="M49"/>
      <c r="N49"/>
    </row>
    <row r="50" spans="2:14" x14ac:dyDescent="0.25">
      <c r="B50" s="3" t="s">
        <v>245</v>
      </c>
      <c r="C50" s="243">
        <v>104.50000000000001</v>
      </c>
      <c r="D50" s="243">
        <v>207.75000000000003</v>
      </c>
      <c r="E50" s="243">
        <v>196.87499999999997</v>
      </c>
      <c r="F50" s="243">
        <v>179.74999999999997</v>
      </c>
      <c r="G50" s="243">
        <v>160.20875000000001</v>
      </c>
      <c r="H50" s="243">
        <v>128.10200000000003</v>
      </c>
      <c r="I50" s="243">
        <v>92.102000000000032</v>
      </c>
      <c r="J50" s="243">
        <v>53.352000000000032</v>
      </c>
      <c r="K50" s="243">
        <v>15.426000000000021</v>
      </c>
      <c r="L50" s="4"/>
      <c r="M50"/>
      <c r="N50"/>
    </row>
    <row r="51" spans="2:14" x14ac:dyDescent="0.25">
      <c r="B51" s="246" t="s">
        <v>246</v>
      </c>
      <c r="C51" s="299">
        <v>160.77476199810599</v>
      </c>
      <c r="D51" s="299">
        <v>388.2913068276514</v>
      </c>
      <c r="E51" s="299">
        <v>437.45307032907181</v>
      </c>
      <c r="F51" s="299">
        <v>475.48515685164375</v>
      </c>
      <c r="G51" s="299">
        <v>498.32274924582373</v>
      </c>
      <c r="H51" s="299">
        <v>546.22401026440161</v>
      </c>
      <c r="I51" s="299">
        <v>598.39163848215071</v>
      </c>
      <c r="J51" s="299">
        <v>622.73576389130312</v>
      </c>
      <c r="K51" s="299">
        <v>650.37941044512297</v>
      </c>
      <c r="L51" s="299">
        <v>4378.0578683352751</v>
      </c>
      <c r="M51"/>
      <c r="N51"/>
    </row>
    <row r="52" spans="2:14" x14ac:dyDescent="0.25">
      <c r="B52" s="3" t="s">
        <v>236</v>
      </c>
      <c r="C52" s="243">
        <v>0</v>
      </c>
      <c r="D52" s="243">
        <v>60</v>
      </c>
      <c r="E52" s="243">
        <v>150</v>
      </c>
      <c r="F52" s="243">
        <v>180</v>
      </c>
      <c r="G52" s="243">
        <v>253.97999999999996</v>
      </c>
      <c r="H52" s="243">
        <v>360</v>
      </c>
      <c r="I52" s="243">
        <v>360</v>
      </c>
      <c r="J52" s="243">
        <v>420</v>
      </c>
      <c r="K52" s="243">
        <v>216.02000000000044</v>
      </c>
      <c r="L52" s="243"/>
      <c r="M52"/>
      <c r="N52"/>
    </row>
    <row r="53" spans="2:14" x14ac:dyDescent="0.25">
      <c r="B53" s="3" t="s">
        <v>247</v>
      </c>
      <c r="C53" s="243">
        <v>104.50000000000001</v>
      </c>
      <c r="D53" s="243">
        <v>207.75000000000003</v>
      </c>
      <c r="E53" s="243">
        <v>196.87499999999997</v>
      </c>
      <c r="F53" s="243">
        <v>179.74999999999997</v>
      </c>
      <c r="G53" s="243">
        <v>160.20875000000001</v>
      </c>
      <c r="H53" s="243">
        <v>128.10200000000003</v>
      </c>
      <c r="I53" s="243">
        <v>92.102000000000032</v>
      </c>
      <c r="J53" s="243">
        <v>53.352000000000032</v>
      </c>
      <c r="K53" s="243">
        <v>15.426000000000021</v>
      </c>
      <c r="L53" s="37">
        <v>1138.0657500000002</v>
      </c>
      <c r="M53"/>
      <c r="N53"/>
    </row>
    <row r="54" spans="2:14" x14ac:dyDescent="0.25">
      <c r="B54" s="246" t="s">
        <v>248</v>
      </c>
      <c r="C54" s="299">
        <v>104.50000000000001</v>
      </c>
      <c r="D54" s="299">
        <v>267.75</v>
      </c>
      <c r="E54" s="299">
        <v>346.875</v>
      </c>
      <c r="F54" s="299">
        <v>359.75</v>
      </c>
      <c r="G54" s="299">
        <v>414.18874999999997</v>
      </c>
      <c r="H54" s="299">
        <v>488.10200000000003</v>
      </c>
      <c r="I54" s="299">
        <v>452.10200000000003</v>
      </c>
      <c r="J54" s="299">
        <v>473.35200000000003</v>
      </c>
      <c r="K54" s="299">
        <v>231.44600000000045</v>
      </c>
      <c r="L54" s="299">
        <v>3138.0657500000002</v>
      </c>
      <c r="M54"/>
      <c r="N54"/>
    </row>
    <row r="55" spans="2:14" x14ac:dyDescent="0.25">
      <c r="B55" s="3" t="s">
        <v>95</v>
      </c>
      <c r="C55" s="243">
        <v>1.5385144688813968</v>
      </c>
      <c r="D55" s="243">
        <v>1.4502009592069147</v>
      </c>
      <c r="E55" s="243">
        <v>1.261125968516243</v>
      </c>
      <c r="F55" s="243">
        <v>1.3217099565021369</v>
      </c>
      <c r="G55" s="243">
        <v>1.2031296099805313</v>
      </c>
      <c r="H55" s="243">
        <v>1.1190775908814174</v>
      </c>
      <c r="I55" s="243">
        <v>1.3235766231561699</v>
      </c>
      <c r="J55" s="243">
        <v>1.3155870554921139</v>
      </c>
      <c r="K55" s="243">
        <v>2.8100697806188992</v>
      </c>
      <c r="L55" s="300">
        <v>1.3951453593141809</v>
      </c>
      <c r="M55"/>
      <c r="N55"/>
    </row>
    <row r="56" spans="2:14" x14ac:dyDescent="0.25">
      <c r="B56" s="277" t="s">
        <v>249</v>
      </c>
      <c r="C56" s="639">
        <v>1.3951453593141809</v>
      </c>
      <c r="D56" s="640"/>
      <c r="E56" s="640"/>
      <c r="F56" s="640"/>
      <c r="G56" s="640"/>
      <c r="H56" s="640"/>
      <c r="I56" s="640"/>
      <c r="J56" s="640"/>
      <c r="K56" s="640"/>
      <c r="L56" s="3"/>
      <c r="M56"/>
      <c r="N56"/>
    </row>
    <row r="57" spans="2:14" x14ac:dyDescent="0.25">
      <c r="F57"/>
      <c r="G57"/>
      <c r="H57"/>
      <c r="I57"/>
      <c r="J57"/>
      <c r="K57"/>
      <c r="L57"/>
      <c r="M57"/>
      <c r="N57"/>
    </row>
    <row r="58" spans="2:14" x14ac:dyDescent="0.25">
      <c r="F58"/>
      <c r="G58"/>
      <c r="H58"/>
      <c r="I58"/>
      <c r="J58"/>
      <c r="K58"/>
      <c r="L58"/>
      <c r="M58"/>
      <c r="N58"/>
    </row>
    <row r="59" spans="2:14" x14ac:dyDescent="0.25">
      <c r="B59" s="1" t="s">
        <v>965</v>
      </c>
    </row>
    <row r="60" spans="2:14" x14ac:dyDescent="0.25">
      <c r="B60" s="278"/>
      <c r="C60" s="242" t="s">
        <v>166</v>
      </c>
      <c r="D60" s="242" t="s">
        <v>167</v>
      </c>
      <c r="E60" s="242" t="s">
        <v>168</v>
      </c>
      <c r="F60" s="242" t="s">
        <v>169</v>
      </c>
      <c r="G60" s="242" t="s">
        <v>170</v>
      </c>
      <c r="H60" s="242" t="s">
        <v>171</v>
      </c>
      <c r="I60" s="242" t="s">
        <v>172</v>
      </c>
      <c r="J60" s="242" t="s">
        <v>173</v>
      </c>
      <c r="K60" s="242" t="s">
        <v>174</v>
      </c>
      <c r="L60" s="145" t="s">
        <v>878</v>
      </c>
    </row>
    <row r="61" spans="2:14" x14ac:dyDescent="0.25">
      <c r="B61" s="278"/>
      <c r="C61" s="146" t="s">
        <v>208</v>
      </c>
      <c r="D61" s="146" t="s">
        <v>208</v>
      </c>
      <c r="E61" s="146" t="s">
        <v>208</v>
      </c>
      <c r="F61" s="146" t="s">
        <v>208</v>
      </c>
      <c r="G61" s="146" t="s">
        <v>208</v>
      </c>
      <c r="H61" s="146" t="s">
        <v>208</v>
      </c>
      <c r="I61" s="146" t="s">
        <v>208</v>
      </c>
      <c r="J61" s="146" t="s">
        <v>208</v>
      </c>
      <c r="K61" s="146" t="s">
        <v>208</v>
      </c>
      <c r="L61" s="3"/>
    </row>
    <row r="62" spans="2:14" x14ac:dyDescent="0.25">
      <c r="B62" s="3" t="s">
        <v>242</v>
      </c>
      <c r="C62" s="243">
        <v>6.6500205208332943</v>
      </c>
      <c r="D62" s="243">
        <v>97.596008248106131</v>
      </c>
      <c r="E62" s="243">
        <v>159.0706350229639</v>
      </c>
      <c r="F62" s="243">
        <v>204.13562804978102</v>
      </c>
      <c r="G62" s="243">
        <v>256.80164868769941</v>
      </c>
      <c r="H62" s="243">
        <v>353.4149001519105</v>
      </c>
      <c r="I62" s="243">
        <v>443.35230596096966</v>
      </c>
      <c r="J62" s="243">
        <v>515.56035614518737</v>
      </c>
      <c r="K62" s="243">
        <v>584.29393553136401</v>
      </c>
      <c r="L62" s="4"/>
    </row>
    <row r="63" spans="2:14" x14ac:dyDescent="0.25">
      <c r="B63" s="3" t="s">
        <v>243</v>
      </c>
      <c r="C63" s="243">
        <v>40.986616477272733</v>
      </c>
      <c r="D63" s="243">
        <v>81.973232954545466</v>
      </c>
      <c r="E63" s="243">
        <v>81.973232954545466</v>
      </c>
      <c r="F63" s="243">
        <v>81.973232954545466</v>
      </c>
      <c r="G63" s="243">
        <v>81.973232954545466</v>
      </c>
      <c r="H63" s="243">
        <v>81.973232954545466</v>
      </c>
      <c r="I63" s="243">
        <v>81.973232954545466</v>
      </c>
      <c r="J63" s="243">
        <v>81.973232954545466</v>
      </c>
      <c r="K63" s="243">
        <v>70.707001136363601</v>
      </c>
      <c r="L63" s="4"/>
    </row>
    <row r="64" spans="2:14" x14ac:dyDescent="0.25">
      <c r="B64" s="3" t="s">
        <v>244</v>
      </c>
      <c r="C64" s="243">
        <v>15</v>
      </c>
      <c r="D64" s="243">
        <v>15</v>
      </c>
      <c r="E64" s="243">
        <v>15</v>
      </c>
      <c r="F64" s="243">
        <v>15</v>
      </c>
      <c r="G64" s="243">
        <v>15</v>
      </c>
      <c r="H64" s="243">
        <v>0</v>
      </c>
      <c r="I64" s="243">
        <v>0</v>
      </c>
      <c r="J64" s="243">
        <v>0</v>
      </c>
      <c r="K64" s="243">
        <v>0</v>
      </c>
      <c r="L64" s="4"/>
    </row>
    <row r="65" spans="2:14" x14ac:dyDescent="0.25">
      <c r="B65" s="3" t="s">
        <v>245</v>
      </c>
      <c r="C65" s="243">
        <v>104.50000000000001</v>
      </c>
      <c r="D65" s="243">
        <v>207.75000000000003</v>
      </c>
      <c r="E65" s="243">
        <v>196.87499999999997</v>
      </c>
      <c r="F65" s="243">
        <v>179.74999999999997</v>
      </c>
      <c r="G65" s="243">
        <v>160.20875000000001</v>
      </c>
      <c r="H65" s="243">
        <v>128.10200000000003</v>
      </c>
      <c r="I65" s="243">
        <v>92.102000000000032</v>
      </c>
      <c r="J65" s="243">
        <v>53.352000000000032</v>
      </c>
      <c r="K65" s="243">
        <v>15.426000000000021</v>
      </c>
      <c r="L65" s="4"/>
    </row>
    <row r="66" spans="2:14" x14ac:dyDescent="0.25">
      <c r="B66" s="246" t="s">
        <v>246</v>
      </c>
      <c r="C66" s="299">
        <v>167.13663699810604</v>
      </c>
      <c r="D66" s="299">
        <v>402.3192412026516</v>
      </c>
      <c r="E66" s="299">
        <v>452.91886797750931</v>
      </c>
      <c r="F66" s="299">
        <v>480.85886100432651</v>
      </c>
      <c r="G66" s="299">
        <v>513.98363164224486</v>
      </c>
      <c r="H66" s="299">
        <v>563.49013310645591</v>
      </c>
      <c r="I66" s="299">
        <v>617.42753891551524</v>
      </c>
      <c r="J66" s="299">
        <v>650.8855890997329</v>
      </c>
      <c r="K66" s="299">
        <v>670.42693666772766</v>
      </c>
      <c r="L66" s="299">
        <v>4519.4474366142695</v>
      </c>
    </row>
    <row r="67" spans="2:14" x14ac:dyDescent="0.25">
      <c r="B67" s="3" t="s">
        <v>236</v>
      </c>
      <c r="C67" s="243">
        <v>0</v>
      </c>
      <c r="D67" s="243">
        <v>60</v>
      </c>
      <c r="E67" s="243">
        <v>150</v>
      </c>
      <c r="F67" s="243">
        <v>180</v>
      </c>
      <c r="G67" s="243">
        <v>253.97999999999996</v>
      </c>
      <c r="H67" s="243">
        <v>360</v>
      </c>
      <c r="I67" s="243">
        <v>360</v>
      </c>
      <c r="J67" s="243">
        <v>420</v>
      </c>
      <c r="K67" s="243">
        <v>216.02000000000044</v>
      </c>
      <c r="L67" s="243"/>
    </row>
    <row r="68" spans="2:14" x14ac:dyDescent="0.25">
      <c r="B68" s="3" t="s">
        <v>247</v>
      </c>
      <c r="C68" s="243">
        <v>104.50000000000001</v>
      </c>
      <c r="D68" s="243">
        <v>207.75000000000003</v>
      </c>
      <c r="E68" s="243">
        <v>196.87499999999997</v>
      </c>
      <c r="F68" s="243">
        <v>179.74999999999997</v>
      </c>
      <c r="G68" s="243">
        <v>160.20875000000001</v>
      </c>
      <c r="H68" s="243">
        <v>128.10200000000003</v>
      </c>
      <c r="I68" s="243">
        <v>92.102000000000032</v>
      </c>
      <c r="J68" s="243">
        <v>53.352000000000032</v>
      </c>
      <c r="K68" s="243">
        <v>15.426000000000021</v>
      </c>
      <c r="L68" s="37">
        <v>1138.0657500000002</v>
      </c>
    </row>
    <row r="69" spans="2:14" x14ac:dyDescent="0.25">
      <c r="B69" s="246" t="s">
        <v>248</v>
      </c>
      <c r="C69" s="299">
        <v>104.50000000000001</v>
      </c>
      <c r="D69" s="299">
        <v>267.75</v>
      </c>
      <c r="E69" s="299">
        <v>346.875</v>
      </c>
      <c r="F69" s="299">
        <v>359.75</v>
      </c>
      <c r="G69" s="299">
        <v>414.18874999999997</v>
      </c>
      <c r="H69" s="299">
        <v>488.10200000000003</v>
      </c>
      <c r="I69" s="299">
        <v>452.10200000000003</v>
      </c>
      <c r="J69" s="299">
        <v>473.35200000000003</v>
      </c>
      <c r="K69" s="299">
        <v>231.44600000000045</v>
      </c>
      <c r="L69" s="299">
        <v>3138.0657500000002</v>
      </c>
    </row>
    <row r="70" spans="2:14" x14ac:dyDescent="0.25">
      <c r="B70" s="3" t="s">
        <v>95</v>
      </c>
      <c r="C70" s="243">
        <v>1.599393655484268</v>
      </c>
      <c r="D70" s="243">
        <v>1.5025928709716212</v>
      </c>
      <c r="E70" s="243">
        <v>1.305712051827054</v>
      </c>
      <c r="F70" s="243">
        <v>1.3366472856270368</v>
      </c>
      <c r="G70" s="243">
        <v>1.2409405896279049</v>
      </c>
      <c r="H70" s="243">
        <v>1.1544515964008668</v>
      </c>
      <c r="I70" s="243">
        <v>1.3656819454802571</v>
      </c>
      <c r="J70" s="243">
        <v>1.3750561719391339</v>
      </c>
      <c r="K70" s="243">
        <v>2.8966883707980537</v>
      </c>
      <c r="L70" s="300">
        <v>1.4402016390556092</v>
      </c>
    </row>
    <row r="71" spans="2:14" x14ac:dyDescent="0.25">
      <c r="B71" s="277" t="s">
        <v>249</v>
      </c>
      <c r="C71" s="639">
        <v>1.4402016390556092</v>
      </c>
      <c r="D71" s="640"/>
      <c r="E71" s="640"/>
      <c r="F71" s="640"/>
      <c r="G71" s="640"/>
      <c r="H71" s="640"/>
      <c r="I71" s="640"/>
      <c r="J71" s="640"/>
      <c r="K71" s="640"/>
      <c r="L71" s="3"/>
      <c r="M71"/>
      <c r="N71"/>
    </row>
    <row r="72" spans="2:14" x14ac:dyDescent="0.25">
      <c r="F72"/>
      <c r="G72"/>
      <c r="H72"/>
      <c r="I72"/>
      <c r="J72"/>
      <c r="K72"/>
      <c r="L72"/>
      <c r="M72"/>
      <c r="N72"/>
    </row>
    <row r="73" spans="2:14" x14ac:dyDescent="0.25">
      <c r="B73" s="1" t="s">
        <v>966</v>
      </c>
    </row>
    <row r="74" spans="2:14" x14ac:dyDescent="0.25">
      <c r="B74" s="278"/>
      <c r="C74" s="242" t="s">
        <v>166</v>
      </c>
      <c r="D74" s="242" t="s">
        <v>167</v>
      </c>
      <c r="E74" s="242" t="s">
        <v>168</v>
      </c>
      <c r="F74" s="242" t="s">
        <v>169</v>
      </c>
      <c r="G74" s="242" t="s">
        <v>170</v>
      </c>
      <c r="H74" s="242" t="s">
        <v>171</v>
      </c>
      <c r="I74" s="242" t="s">
        <v>172</v>
      </c>
      <c r="J74" s="242" t="s">
        <v>173</v>
      </c>
      <c r="K74" s="242" t="s">
        <v>174</v>
      </c>
      <c r="L74" s="145" t="s">
        <v>878</v>
      </c>
    </row>
    <row r="75" spans="2:14" x14ac:dyDescent="0.25">
      <c r="B75" s="278"/>
      <c r="C75" s="146" t="s">
        <v>208</v>
      </c>
      <c r="D75" s="146" t="s">
        <v>208</v>
      </c>
      <c r="E75" s="146" t="s">
        <v>208</v>
      </c>
      <c r="F75" s="146" t="s">
        <v>208</v>
      </c>
      <c r="G75" s="146" t="s">
        <v>208</v>
      </c>
      <c r="H75" s="146" t="s">
        <v>208</v>
      </c>
      <c r="I75" s="146" t="s">
        <v>208</v>
      </c>
      <c r="J75" s="146" t="s">
        <v>208</v>
      </c>
      <c r="K75" s="146" t="s">
        <v>208</v>
      </c>
      <c r="L75" s="3"/>
    </row>
    <row r="76" spans="2:14" x14ac:dyDescent="0.25">
      <c r="B76" s="3" t="s">
        <v>242</v>
      </c>
      <c r="C76" s="243">
        <v>0.52682257291660051</v>
      </c>
      <c r="D76" s="243">
        <v>86.639428135416722</v>
      </c>
      <c r="E76" s="243">
        <v>150.23072463541661</v>
      </c>
      <c r="F76" s="243">
        <v>205.3075302790032</v>
      </c>
      <c r="G76" s="243">
        <v>254.48014303499752</v>
      </c>
      <c r="H76" s="243">
        <v>354.91809951851337</v>
      </c>
      <c r="I76" s="243">
        <v>449.12280523119074</v>
      </c>
      <c r="J76" s="243">
        <v>516.52920844388609</v>
      </c>
      <c r="K76" s="243">
        <v>597.58075200040594</v>
      </c>
      <c r="L76" s="4"/>
    </row>
    <row r="77" spans="2:14" x14ac:dyDescent="0.25">
      <c r="B77" s="3" t="s">
        <v>243</v>
      </c>
      <c r="C77" s="243">
        <v>41.309028125000005</v>
      </c>
      <c r="D77" s="243">
        <v>82.618056250000009</v>
      </c>
      <c r="E77" s="243">
        <v>82.618056250000009</v>
      </c>
      <c r="F77" s="243">
        <v>82.618056250000009</v>
      </c>
      <c r="G77" s="243">
        <v>82.618056250000009</v>
      </c>
      <c r="H77" s="243">
        <v>82.618056250000009</v>
      </c>
      <c r="I77" s="243">
        <v>82.618056250000009</v>
      </c>
      <c r="J77" s="243">
        <v>82.618056250000009</v>
      </c>
      <c r="K77" s="243">
        <v>71.26320124999998</v>
      </c>
      <c r="L77" s="4"/>
    </row>
    <row r="78" spans="2:14" x14ac:dyDescent="0.25">
      <c r="B78" s="3" t="s">
        <v>244</v>
      </c>
      <c r="C78" s="243">
        <v>15</v>
      </c>
      <c r="D78" s="243">
        <v>15</v>
      </c>
      <c r="E78" s="243">
        <v>15</v>
      </c>
      <c r="F78" s="243">
        <v>15</v>
      </c>
      <c r="G78" s="243">
        <v>15</v>
      </c>
      <c r="H78" s="243">
        <v>0</v>
      </c>
      <c r="I78" s="243">
        <v>0</v>
      </c>
      <c r="J78" s="243">
        <v>0</v>
      </c>
      <c r="K78" s="243">
        <v>0</v>
      </c>
      <c r="L78" s="4"/>
    </row>
    <row r="79" spans="2:14" x14ac:dyDescent="0.25">
      <c r="B79" s="3" t="s">
        <v>245</v>
      </c>
      <c r="C79" s="243">
        <v>114.49999999999999</v>
      </c>
      <c r="D79" s="243">
        <v>227.625</v>
      </c>
      <c r="E79" s="243">
        <v>215.66250000000002</v>
      </c>
      <c r="F79" s="243">
        <v>196.82499999999999</v>
      </c>
      <c r="G79" s="243">
        <v>175.32962499999996</v>
      </c>
      <c r="H79" s="243">
        <v>140.01220000000004</v>
      </c>
      <c r="I79" s="243">
        <v>100.41220000000004</v>
      </c>
      <c r="J79" s="243">
        <v>57.787200000000041</v>
      </c>
      <c r="K79" s="243">
        <v>16.068600000000025</v>
      </c>
      <c r="L79" s="4"/>
    </row>
    <row r="80" spans="2:14" x14ac:dyDescent="0.25">
      <c r="B80" s="246" t="s">
        <v>246</v>
      </c>
      <c r="C80" s="299">
        <v>171.33585069791658</v>
      </c>
      <c r="D80" s="299">
        <v>411.88248438541672</v>
      </c>
      <c r="E80" s="299">
        <v>463.51128088541662</v>
      </c>
      <c r="F80" s="299">
        <v>499.75058652900321</v>
      </c>
      <c r="G80" s="299">
        <v>527.42782428499754</v>
      </c>
      <c r="H80" s="299">
        <v>577.54835576851337</v>
      </c>
      <c r="I80" s="299">
        <v>632.15306148119089</v>
      </c>
      <c r="J80" s="299">
        <v>656.93446469388618</v>
      </c>
      <c r="K80" s="299">
        <v>684.91255325040595</v>
      </c>
      <c r="L80" s="299">
        <v>4625.4564619767471</v>
      </c>
    </row>
    <row r="81" spans="2:12" x14ac:dyDescent="0.25">
      <c r="B81" s="3" t="s">
        <v>236</v>
      </c>
      <c r="C81" s="243">
        <v>0</v>
      </c>
      <c r="D81" s="243">
        <v>60</v>
      </c>
      <c r="E81" s="243">
        <v>150</v>
      </c>
      <c r="F81" s="243">
        <v>180</v>
      </c>
      <c r="G81" s="243">
        <v>253.97999999999996</v>
      </c>
      <c r="H81" s="243">
        <v>360</v>
      </c>
      <c r="I81" s="243">
        <v>360</v>
      </c>
      <c r="J81" s="243">
        <v>420</v>
      </c>
      <c r="K81" s="243">
        <v>216.02000000000044</v>
      </c>
      <c r="L81" s="243"/>
    </row>
    <row r="82" spans="2:12" x14ac:dyDescent="0.25">
      <c r="B82" s="3" t="s">
        <v>247</v>
      </c>
      <c r="C82" s="243">
        <v>114.49999999999999</v>
      </c>
      <c r="D82" s="243">
        <v>227.625</v>
      </c>
      <c r="E82" s="243">
        <v>215.66250000000002</v>
      </c>
      <c r="F82" s="243">
        <v>196.82499999999999</v>
      </c>
      <c r="G82" s="243">
        <v>175.32962499999996</v>
      </c>
      <c r="H82" s="243">
        <v>140.01220000000004</v>
      </c>
      <c r="I82" s="243">
        <v>100.41220000000004</v>
      </c>
      <c r="J82" s="243">
        <v>57.787200000000041</v>
      </c>
      <c r="K82" s="243">
        <v>16.068600000000025</v>
      </c>
      <c r="L82" s="37">
        <v>1244.222325</v>
      </c>
    </row>
    <row r="83" spans="2:12" x14ac:dyDescent="0.25">
      <c r="B83" s="246" t="s">
        <v>248</v>
      </c>
      <c r="C83" s="299">
        <v>114.49999999999999</v>
      </c>
      <c r="D83" s="299">
        <v>287.625</v>
      </c>
      <c r="E83" s="299">
        <v>365.66250000000002</v>
      </c>
      <c r="F83" s="299">
        <v>376.82499999999999</v>
      </c>
      <c r="G83" s="299">
        <v>429.30962499999993</v>
      </c>
      <c r="H83" s="299">
        <v>500.01220000000001</v>
      </c>
      <c r="I83" s="299">
        <v>460.41220000000004</v>
      </c>
      <c r="J83" s="299">
        <v>477.78720000000004</v>
      </c>
      <c r="K83" s="299">
        <v>232.08860000000047</v>
      </c>
      <c r="L83" s="299">
        <v>3244.2223250000006</v>
      </c>
    </row>
    <row r="84" spans="2:12" x14ac:dyDescent="0.25">
      <c r="B84" s="3" t="s">
        <v>95</v>
      </c>
      <c r="C84" s="243">
        <v>1.4963829755276559</v>
      </c>
      <c r="D84" s="243">
        <v>1.4320121143343476</v>
      </c>
      <c r="E84" s="243">
        <v>1.2675931518419761</v>
      </c>
      <c r="F84" s="243">
        <v>1.3262139893292728</v>
      </c>
      <c r="G84" s="243">
        <v>1.2285487992145474</v>
      </c>
      <c r="H84" s="243">
        <v>1.1550685278649468</v>
      </c>
      <c r="I84" s="243">
        <v>1.3730154445976688</v>
      </c>
      <c r="J84" s="243">
        <v>1.3749519968175918</v>
      </c>
      <c r="K84" s="243">
        <v>2.9510822731077897</v>
      </c>
      <c r="L84" s="300">
        <v>1.4257519980467881</v>
      </c>
    </row>
    <row r="85" spans="2:12" x14ac:dyDescent="0.25">
      <c r="B85" s="277" t="s">
        <v>249</v>
      </c>
      <c r="C85" s="639">
        <v>1.4257519980467881</v>
      </c>
      <c r="D85" s="640"/>
      <c r="E85" s="640"/>
      <c r="F85" s="640"/>
      <c r="G85" s="640"/>
      <c r="H85" s="640"/>
      <c r="I85" s="640"/>
      <c r="J85" s="640"/>
      <c r="K85" s="640"/>
      <c r="L85" s="3"/>
    </row>
  </sheetData>
  <mergeCells count="5">
    <mergeCell ref="B37:J37"/>
    <mergeCell ref="B38:J38"/>
    <mergeCell ref="B39:J39"/>
    <mergeCell ref="B40:J40"/>
    <mergeCell ref="B41:J41"/>
  </mergeCells>
  <pageMargins left="0.7" right="0.7" top="0.75" bottom="0.75" header="0.3" footer="0.3"/>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codeName="Sheet19"/>
  <dimension ref="B1:U58"/>
  <sheetViews>
    <sheetView showGridLines="0" topLeftCell="A21" workbookViewId="0">
      <selection activeCell="E15" sqref="E15"/>
    </sheetView>
  </sheetViews>
  <sheetFormatPr defaultColWidth="13.7109375" defaultRowHeight="18" customHeight="1" x14ac:dyDescent="0.25"/>
  <cols>
    <col min="1" max="1" width="4.85546875" style="376" customWidth="1"/>
    <col min="2" max="2" width="43.42578125" style="376" customWidth="1"/>
    <col min="3" max="3" width="7.140625" style="376" customWidth="1"/>
    <col min="4" max="14" width="12.7109375" style="376" customWidth="1"/>
    <col min="15" max="15" width="12.7109375" customWidth="1"/>
    <col min="21" max="16384" width="13.7109375" style="376"/>
  </cols>
  <sheetData>
    <row r="1" spans="2:21" ht="15.75" customHeight="1" x14ac:dyDescent="0.25"/>
    <row r="2" spans="2:21" s="155" customFormat="1" ht="18" customHeight="1" x14ac:dyDescent="0.25">
      <c r="B2" s="377" t="str">
        <f>"Financial Model of " &amp; B4</f>
        <v>Financial Model of Proposed 50 rooms Luxury Hotel set up M/S Excalibur Hotels &amp; Banquets Private Limit</v>
      </c>
      <c r="C2" s="378"/>
      <c r="D2" s="378"/>
      <c r="E2" s="378"/>
      <c r="F2" s="378"/>
      <c r="G2" s="378"/>
      <c r="H2" s="378"/>
      <c r="I2" s="378"/>
      <c r="J2" s="378"/>
      <c r="K2" s="378"/>
      <c r="L2" s="378"/>
      <c r="M2" s="378"/>
      <c r="N2" s="378"/>
      <c r="O2"/>
      <c r="P2"/>
      <c r="Q2"/>
      <c r="R2"/>
      <c r="S2"/>
      <c r="T2"/>
    </row>
    <row r="3" spans="2:21" s="155" customFormat="1" ht="12" customHeight="1" x14ac:dyDescent="0.25">
      <c r="C3" s="150"/>
      <c r="D3" s="150"/>
      <c r="E3" s="150"/>
      <c r="F3" s="150"/>
      <c r="G3" s="150"/>
      <c r="H3" s="150"/>
      <c r="I3" s="150"/>
      <c r="J3" s="150"/>
      <c r="K3" s="150"/>
      <c r="L3" s="150"/>
      <c r="M3" s="150"/>
      <c r="N3" s="150"/>
      <c r="O3"/>
      <c r="P3"/>
      <c r="Q3"/>
      <c r="R3"/>
      <c r="S3"/>
      <c r="T3"/>
    </row>
    <row r="4" spans="2:21" s="155" customFormat="1" ht="18" customHeight="1" x14ac:dyDescent="0.25">
      <c r="B4" s="379" t="s">
        <v>771</v>
      </c>
      <c r="C4" s="379"/>
      <c r="D4" s="149"/>
      <c r="E4" s="149"/>
      <c r="F4" s="149"/>
      <c r="G4" s="149"/>
      <c r="H4" s="149"/>
      <c r="I4" s="149"/>
      <c r="J4" s="149"/>
      <c r="K4" s="149"/>
      <c r="L4" s="149"/>
      <c r="M4" s="149"/>
      <c r="N4" s="149"/>
      <c r="O4"/>
      <c r="P4"/>
      <c r="Q4"/>
      <c r="R4"/>
      <c r="S4"/>
      <c r="T4"/>
    </row>
    <row r="5" spans="2:21" s="155" customFormat="1" ht="13.5" customHeight="1" x14ac:dyDescent="0.25">
      <c r="C5" s="150"/>
      <c r="D5" s="150"/>
      <c r="F5" s="380"/>
      <c r="O5"/>
      <c r="P5"/>
      <c r="Q5"/>
      <c r="R5"/>
      <c r="S5"/>
      <c r="T5"/>
    </row>
    <row r="6" spans="2:21" s="155" customFormat="1" ht="18" customHeight="1" x14ac:dyDescent="0.25">
      <c r="B6" s="379" t="s">
        <v>289</v>
      </c>
      <c r="C6" s="379"/>
      <c r="D6" s="149"/>
      <c r="E6" s="149"/>
      <c r="F6" s="149"/>
      <c r="G6" s="149"/>
      <c r="H6" s="149"/>
      <c r="I6" s="149"/>
      <c r="J6" s="149"/>
      <c r="K6" s="149"/>
      <c r="L6" s="149"/>
      <c r="M6" s="149"/>
      <c r="N6" s="149"/>
      <c r="O6"/>
      <c r="P6"/>
      <c r="Q6"/>
      <c r="R6"/>
      <c r="S6"/>
      <c r="T6"/>
    </row>
    <row r="7" spans="2:21" s="155" customFormat="1" ht="12.75" customHeight="1" x14ac:dyDescent="0.25">
      <c r="C7" s="150"/>
      <c r="D7" s="150"/>
      <c r="F7" s="380"/>
      <c r="O7"/>
      <c r="P7"/>
      <c r="Q7"/>
      <c r="R7"/>
      <c r="S7"/>
      <c r="T7"/>
    </row>
    <row r="8" spans="2:21" s="155" customFormat="1" ht="18" customHeight="1" x14ac:dyDescent="0.25">
      <c r="C8" s="150"/>
      <c r="D8" s="757" t="s">
        <v>207</v>
      </c>
      <c r="E8" s="757"/>
      <c r="F8" s="638" t="s">
        <v>290</v>
      </c>
      <c r="G8" s="638"/>
      <c r="H8" s="638"/>
      <c r="I8" s="638"/>
      <c r="J8" s="638"/>
      <c r="K8" s="638"/>
      <c r="L8" s="638"/>
      <c r="M8" s="638"/>
      <c r="N8" s="638"/>
      <c r="O8"/>
      <c r="P8"/>
      <c r="Q8"/>
      <c r="R8"/>
      <c r="S8"/>
      <c r="T8"/>
    </row>
    <row r="9" spans="2:21" s="155" customFormat="1" ht="18" customHeight="1" x14ac:dyDescent="0.25">
      <c r="B9" s="147" t="s">
        <v>291</v>
      </c>
      <c r="C9" s="148"/>
      <c r="D9" s="381"/>
      <c r="E9" s="381">
        <v>46660</v>
      </c>
      <c r="F9" s="381">
        <v>46477</v>
      </c>
      <c r="G9" s="381">
        <f>DATE(YEAR(F9)+1,MONTH(F9),DAY(F9))</f>
        <v>46843</v>
      </c>
      <c r="H9" s="381">
        <f t="shared" ref="H9:N9" si="0">DATE(YEAR(G9)+1,MONTH(G9),DAY(G9))</f>
        <v>47208</v>
      </c>
      <c r="I9" s="381">
        <f t="shared" si="0"/>
        <v>47573</v>
      </c>
      <c r="J9" s="381">
        <f t="shared" si="0"/>
        <v>47938</v>
      </c>
      <c r="K9" s="381">
        <f t="shared" si="0"/>
        <v>48304</v>
      </c>
      <c r="L9" s="381">
        <f t="shared" si="0"/>
        <v>48669</v>
      </c>
      <c r="M9" s="381">
        <f t="shared" si="0"/>
        <v>49034</v>
      </c>
      <c r="N9" s="381">
        <f t="shared" si="0"/>
        <v>49399</v>
      </c>
      <c r="O9"/>
      <c r="P9"/>
      <c r="Q9"/>
      <c r="R9"/>
      <c r="S9"/>
      <c r="T9"/>
    </row>
    <row r="10" spans="2:21" s="386" customFormat="1" ht="18" customHeight="1" x14ac:dyDescent="0.25">
      <c r="B10" s="382" t="s">
        <v>292</v>
      </c>
      <c r="C10" s="383"/>
      <c r="D10" s="384"/>
      <c r="E10" s="384"/>
      <c r="F10" s="385">
        <v>1</v>
      </c>
      <c r="G10" s="385">
        <f>F10+1</f>
        <v>2</v>
      </c>
      <c r="H10" s="385">
        <f t="shared" ref="H10:N10" si="1">G10+1</f>
        <v>3</v>
      </c>
      <c r="I10" s="385">
        <f t="shared" si="1"/>
        <v>4</v>
      </c>
      <c r="J10" s="385">
        <f t="shared" si="1"/>
        <v>5</v>
      </c>
      <c r="K10" s="385">
        <f t="shared" si="1"/>
        <v>6</v>
      </c>
      <c r="L10" s="385">
        <f t="shared" si="1"/>
        <v>7</v>
      </c>
      <c r="M10" s="385">
        <f t="shared" si="1"/>
        <v>8</v>
      </c>
      <c r="N10" s="385">
        <f t="shared" si="1"/>
        <v>9</v>
      </c>
      <c r="O10"/>
      <c r="P10"/>
      <c r="Q10"/>
      <c r="R10"/>
      <c r="S10"/>
      <c r="T10"/>
    </row>
    <row r="11" spans="2:21" s="386" customFormat="1" ht="18" customHeight="1" x14ac:dyDescent="0.25">
      <c r="B11" s="382" t="s">
        <v>293</v>
      </c>
      <c r="C11" s="383"/>
      <c r="D11" s="384"/>
      <c r="E11" s="384"/>
      <c r="F11" s="383">
        <v>6</v>
      </c>
      <c r="G11" s="383">
        <f t="shared" ref="G11:N11" si="2">MONTH(G9-F9)</f>
        <v>12</v>
      </c>
      <c r="H11" s="383">
        <f t="shared" si="2"/>
        <v>12</v>
      </c>
      <c r="I11" s="383">
        <f t="shared" si="2"/>
        <v>12</v>
      </c>
      <c r="J11" s="383">
        <f t="shared" si="2"/>
        <v>12</v>
      </c>
      <c r="K11" s="383">
        <f t="shared" si="2"/>
        <v>12</v>
      </c>
      <c r="L11" s="383">
        <f t="shared" si="2"/>
        <v>12</v>
      </c>
      <c r="M11" s="383">
        <f t="shared" si="2"/>
        <v>12</v>
      </c>
      <c r="N11" s="383">
        <f t="shared" si="2"/>
        <v>12</v>
      </c>
      <c r="O11"/>
      <c r="P11"/>
      <c r="Q11"/>
      <c r="R11"/>
      <c r="S11"/>
      <c r="T11"/>
    </row>
    <row r="12" spans="2:21" ht="18" customHeight="1" thickBot="1" x14ac:dyDescent="0.3"/>
    <row r="13" spans="2:21" ht="21" customHeight="1" x14ac:dyDescent="0.25">
      <c r="B13" s="387" t="s">
        <v>737</v>
      </c>
      <c r="C13" s="388"/>
    </row>
    <row r="14" spans="2:21" ht="18" customHeight="1" thickBot="1" x14ac:dyDescent="0.3">
      <c r="B14" s="389" t="s">
        <v>738</v>
      </c>
      <c r="C14" s="390"/>
    </row>
    <row r="16" spans="2:21" ht="18" customHeight="1" x14ac:dyDescent="0.25">
      <c r="B16" s="376" t="s">
        <v>739</v>
      </c>
      <c r="F16" s="391">
        <f>'P&amp;L &amp; Ratio Analysis'!F17</f>
        <v>11.256895520833254</v>
      </c>
      <c r="G16" s="391">
        <f>'P&amp;L &amp; Ratio Analysis'!G17</f>
        <v>107.75416762310599</v>
      </c>
      <c r="H16" s="391">
        <f>'P&amp;L &amp; Ratio Analysis'!H17</f>
        <v>170.27000573390163</v>
      </c>
      <c r="I16" s="391">
        <f>'P&amp;L &amp; Ratio Analysis'!I17</f>
        <v>243.76922191774372</v>
      </c>
      <c r="J16" s="391">
        <f>'P&amp;L &amp; Ratio Analysis'!J17</f>
        <v>324.8740669136439</v>
      </c>
      <c r="K16" s="391">
        <f>'P&amp;L &amp; Ratio Analysis'!K17</f>
        <v>439.23507301068702</v>
      </c>
      <c r="L16" s="391">
        <f>'P&amp;L &amp; Ratio Analysis'!L17</f>
        <v>548.73112248063239</v>
      </c>
      <c r="M16" s="391">
        <f>'P&amp;L &amp; Ratio Analysis'!M17</f>
        <v>667.82498062853961</v>
      </c>
      <c r="N16" s="391">
        <f>'P&amp;L &amp; Ratio Analysis'!N17</f>
        <v>804.76266040245287</v>
      </c>
      <c r="U16" s="391"/>
    </row>
    <row r="17" spans="2:14" ht="18" customHeight="1" x14ac:dyDescent="0.25">
      <c r="B17" s="376" t="s">
        <v>740</v>
      </c>
      <c r="F17" s="392">
        <f>+'P&amp;L &amp; Ratio Analysis'!F16</f>
        <v>15</v>
      </c>
      <c r="G17" s="392">
        <f>+'P&amp;L &amp; Ratio Analysis'!G16</f>
        <v>15</v>
      </c>
      <c r="H17" s="392">
        <f>+'P&amp;L &amp; Ratio Analysis'!H16</f>
        <v>15</v>
      </c>
      <c r="I17" s="392">
        <f>+'P&amp;L &amp; Ratio Analysis'!I16</f>
        <v>15</v>
      </c>
      <c r="J17" s="392">
        <f>+'P&amp;L &amp; Ratio Analysis'!J16</f>
        <v>15</v>
      </c>
      <c r="K17" s="392">
        <f>+'P&amp;L &amp; Ratio Analysis'!K16</f>
        <v>0</v>
      </c>
      <c r="L17" s="392">
        <f>+'P&amp;L &amp; Ratio Analysis'!L16</f>
        <v>0</v>
      </c>
      <c r="M17" s="392">
        <f>+'P&amp;L &amp; Ratio Analysis'!M16</f>
        <v>0</v>
      </c>
      <c r="N17" s="392">
        <f>+'P&amp;L &amp; Ratio Analysis'!N16</f>
        <v>0</v>
      </c>
    </row>
    <row r="18" spans="2:14" ht="18" customHeight="1" x14ac:dyDescent="0.25">
      <c r="B18" s="376" t="s">
        <v>741</v>
      </c>
      <c r="F18" s="392">
        <v>0</v>
      </c>
      <c r="G18" s="392">
        <v>0</v>
      </c>
      <c r="H18" s="392">
        <v>0</v>
      </c>
      <c r="I18" s="392">
        <v>0</v>
      </c>
      <c r="J18" s="392">
        <v>0</v>
      </c>
      <c r="K18" s="392">
        <v>0</v>
      </c>
      <c r="L18" s="392">
        <v>0</v>
      </c>
      <c r="M18" s="392">
        <v>0</v>
      </c>
      <c r="N18" s="392">
        <v>0</v>
      </c>
    </row>
    <row r="19" spans="2:14" ht="18" customHeight="1" x14ac:dyDescent="0.25">
      <c r="B19" s="376" t="s">
        <v>742</v>
      </c>
      <c r="F19" s="391">
        <f>'P&amp;L &amp; Ratio Analysis'!F11</f>
        <v>40.986616477272733</v>
      </c>
      <c r="G19" s="391">
        <f>'P&amp;L &amp; Ratio Analysis'!G11</f>
        <v>81.973232954545466</v>
      </c>
      <c r="H19" s="391">
        <f>'P&amp;L &amp; Ratio Analysis'!H11</f>
        <v>81.973232954545466</v>
      </c>
      <c r="I19" s="391">
        <f>'P&amp;L &amp; Ratio Analysis'!I11</f>
        <v>81.973232954545466</v>
      </c>
      <c r="J19" s="391">
        <f>'P&amp;L &amp; Ratio Analysis'!J11</f>
        <v>81.973232954545466</v>
      </c>
      <c r="K19" s="391">
        <f>'P&amp;L &amp; Ratio Analysis'!K11</f>
        <v>81.973232954545466</v>
      </c>
      <c r="L19" s="391">
        <f>'P&amp;L &amp; Ratio Analysis'!L11</f>
        <v>81.973232954545466</v>
      </c>
      <c r="M19" s="391">
        <f>'P&amp;L &amp; Ratio Analysis'!M11</f>
        <v>81.973232954545466</v>
      </c>
      <c r="N19" s="391">
        <f>'P&amp;L &amp; Ratio Analysis'!N11</f>
        <v>70.707001136363601</v>
      </c>
    </row>
    <row r="20" spans="2:14" ht="18" customHeight="1" x14ac:dyDescent="0.25">
      <c r="B20" s="376" t="s">
        <v>743</v>
      </c>
      <c r="F20" s="391">
        <f>Depr!C35</f>
        <v>158.73664772727273</v>
      </c>
      <c r="G20" s="391">
        <f>Depr!D35</f>
        <v>282.60550189393945</v>
      </c>
      <c r="H20" s="391">
        <f>Depr!E35</f>
        <v>254.34495170454545</v>
      </c>
      <c r="I20" s="391">
        <f>Depr!F35</f>
        <v>228.91045653409091</v>
      </c>
      <c r="J20" s="391">
        <f>Depr!G35</f>
        <v>206.01941088068182</v>
      </c>
      <c r="K20" s="391">
        <f>Depr!H35</f>
        <v>185.41746979261362</v>
      </c>
      <c r="L20" s="391">
        <f>Depr!I35</f>
        <v>166.8757228133523</v>
      </c>
      <c r="M20" s="391">
        <f>Depr!J35</f>
        <v>150.18815053201706</v>
      </c>
      <c r="N20" s="391">
        <f>Depr!K35</f>
        <v>135.16933547881536</v>
      </c>
    </row>
    <row r="21" spans="2:14" ht="18.75" customHeight="1" x14ac:dyDescent="0.25">
      <c r="B21" s="393" t="s">
        <v>744</v>
      </c>
      <c r="C21" s="393"/>
      <c r="D21" s="393"/>
      <c r="E21" s="393"/>
      <c r="F21" s="394">
        <f>F16+F17+F18+F19-F20</f>
        <v>-91.493135729166738</v>
      </c>
      <c r="G21" s="394">
        <f>G16+G17+G18+G19-G20</f>
        <v>-77.878101316287996</v>
      </c>
      <c r="H21" s="394">
        <f t="shared" ref="H21:N21" si="3">H16+H17+H18+H19-H20</f>
        <v>12.898286983901642</v>
      </c>
      <c r="I21" s="394">
        <f t="shared" si="3"/>
        <v>111.83199833819825</v>
      </c>
      <c r="J21" s="394">
        <f t="shared" si="3"/>
        <v>215.82788898750752</v>
      </c>
      <c r="K21" s="394">
        <f t="shared" si="3"/>
        <v>335.79083617261892</v>
      </c>
      <c r="L21" s="394">
        <f t="shared" si="3"/>
        <v>463.82863262182553</v>
      </c>
      <c r="M21" s="394">
        <f t="shared" si="3"/>
        <v>599.61006305106798</v>
      </c>
      <c r="N21" s="394">
        <f t="shared" si="3"/>
        <v>740.30032606000111</v>
      </c>
    </row>
    <row r="22" spans="2:14" ht="18" customHeight="1" x14ac:dyDescent="0.25">
      <c r="B22" s="376" t="s">
        <v>745</v>
      </c>
      <c r="F22" s="391">
        <f>E25</f>
        <v>0</v>
      </c>
      <c r="G22" s="391">
        <f t="shared" ref="G22:N22" si="4">F25</f>
        <v>-91.493135729166738</v>
      </c>
      <c r="H22" s="391">
        <f t="shared" si="4"/>
        <v>-169.37123704545473</v>
      </c>
      <c r="I22" s="391">
        <f t="shared" si="4"/>
        <v>-156.47295006155309</v>
      </c>
      <c r="J22" s="391">
        <f t="shared" si="4"/>
        <v>-44.640951723354846</v>
      </c>
      <c r="K22" s="391">
        <f t="shared" si="4"/>
        <v>0</v>
      </c>
      <c r="L22" s="391">
        <f t="shared" si="4"/>
        <v>0</v>
      </c>
      <c r="M22" s="391">
        <f t="shared" si="4"/>
        <v>0</v>
      </c>
      <c r="N22" s="391">
        <f t="shared" si="4"/>
        <v>0</v>
      </c>
    </row>
    <row r="23" spans="2:14" ht="18" customHeight="1" x14ac:dyDescent="0.25">
      <c r="B23" s="376" t="s">
        <v>746</v>
      </c>
      <c r="F23" s="391">
        <f>E26</f>
        <v>0</v>
      </c>
      <c r="G23" s="391">
        <f t="shared" ref="G23:N23" si="5">F26</f>
        <v>0</v>
      </c>
      <c r="H23" s="391">
        <f t="shared" si="5"/>
        <v>0</v>
      </c>
      <c r="I23" s="391">
        <f t="shared" si="5"/>
        <v>0</v>
      </c>
      <c r="J23" s="391">
        <f t="shared" si="5"/>
        <v>0</v>
      </c>
      <c r="K23" s="391">
        <f t="shared" si="5"/>
        <v>0</v>
      </c>
      <c r="L23" s="391">
        <f t="shared" si="5"/>
        <v>0</v>
      </c>
      <c r="M23" s="391">
        <f t="shared" si="5"/>
        <v>0</v>
      </c>
      <c r="N23" s="391">
        <f t="shared" si="5"/>
        <v>0</v>
      </c>
    </row>
    <row r="24" spans="2:14" ht="18.75" customHeight="1" x14ac:dyDescent="0.25">
      <c r="B24" s="393" t="s">
        <v>747</v>
      </c>
      <c r="C24" s="393"/>
      <c r="D24" s="393"/>
      <c r="E24" s="393"/>
      <c r="F24" s="394">
        <f>IF((F21+F22+F23)&gt;0,(F21+F22+F23),0)</f>
        <v>0</v>
      </c>
      <c r="G24" s="394">
        <f t="shared" ref="G24:N24" si="6">IF((G21+G22+G23)&gt;0,(G21+G22+G23),0)</f>
        <v>0</v>
      </c>
      <c r="H24" s="394">
        <f t="shared" si="6"/>
        <v>0</v>
      </c>
      <c r="I24" s="394">
        <f t="shared" si="6"/>
        <v>0</v>
      </c>
      <c r="J24" s="394">
        <f>IF((J21+J22+J23)&gt;0,(J21+J22+J23),0)</f>
        <v>171.18693726415268</v>
      </c>
      <c r="K24" s="394">
        <f t="shared" si="6"/>
        <v>335.79083617261892</v>
      </c>
      <c r="L24" s="394">
        <f t="shared" si="6"/>
        <v>463.82863262182553</v>
      </c>
      <c r="M24" s="394">
        <f t="shared" si="6"/>
        <v>599.61006305106798</v>
      </c>
      <c r="N24" s="394">
        <f t="shared" si="6"/>
        <v>740.30032606000111</v>
      </c>
    </row>
    <row r="25" spans="2:14" ht="18" customHeight="1" x14ac:dyDescent="0.25">
      <c r="B25" s="376" t="s">
        <v>748</v>
      </c>
      <c r="E25" s="395">
        <v>0</v>
      </c>
      <c r="F25" s="391">
        <f>IF((F21+F22)&lt;0,(F21+F22),0)</f>
        <v>-91.493135729166738</v>
      </c>
      <c r="G25" s="391">
        <f t="shared" ref="G25:N25" si="7">IF((G21+G22)&lt;0,(G21+G22),0)</f>
        <v>-169.37123704545473</v>
      </c>
      <c r="H25" s="391">
        <f t="shared" si="7"/>
        <v>-156.47295006155309</v>
      </c>
      <c r="I25" s="391">
        <f t="shared" si="7"/>
        <v>-44.640951723354846</v>
      </c>
      <c r="J25" s="391">
        <f t="shared" si="7"/>
        <v>0</v>
      </c>
      <c r="K25" s="391">
        <f t="shared" si="7"/>
        <v>0</v>
      </c>
      <c r="L25" s="391">
        <f t="shared" si="7"/>
        <v>0</v>
      </c>
      <c r="M25" s="391">
        <f t="shared" si="7"/>
        <v>0</v>
      </c>
      <c r="N25" s="391">
        <f t="shared" si="7"/>
        <v>0</v>
      </c>
    </row>
    <row r="26" spans="2:14" ht="18" customHeight="1" x14ac:dyDescent="0.25">
      <c r="B26" s="376" t="s">
        <v>749</v>
      </c>
      <c r="E26" s="395">
        <v>0</v>
      </c>
      <c r="F26" s="391">
        <f>IF(F21+F22&gt;0,IF(F21+F22+F23&lt;0,F21+F22+F23,0),F23)</f>
        <v>0</v>
      </c>
      <c r="G26" s="391">
        <f t="shared" ref="G26:N26" si="8">IF(G21+G22&gt;0,IF(G21+G22+G23&lt;0,G21+G22+G23,0),G23)</f>
        <v>0</v>
      </c>
      <c r="H26" s="391">
        <f t="shared" si="8"/>
        <v>0</v>
      </c>
      <c r="I26" s="391">
        <f t="shared" si="8"/>
        <v>0</v>
      </c>
      <c r="J26" s="391">
        <f t="shared" si="8"/>
        <v>0</v>
      </c>
      <c r="K26" s="391">
        <f t="shared" si="8"/>
        <v>0</v>
      </c>
      <c r="L26" s="391">
        <f t="shared" si="8"/>
        <v>0</v>
      </c>
      <c r="M26" s="391">
        <f t="shared" si="8"/>
        <v>0</v>
      </c>
      <c r="N26" s="391">
        <f t="shared" si="8"/>
        <v>0</v>
      </c>
    </row>
    <row r="27" spans="2:14" ht="8.25" customHeight="1" x14ac:dyDescent="0.25"/>
    <row r="28" spans="2:14" ht="18" customHeight="1" x14ac:dyDescent="0.25">
      <c r="B28" s="396" t="s">
        <v>750</v>
      </c>
      <c r="C28" s="396"/>
      <c r="D28" s="396"/>
      <c r="E28" s="396"/>
      <c r="F28" s="397">
        <f t="shared" ref="F28:G28" si="9">IF(F24&lt;0,0,IF(F24&lt;100,F24*$D$51,F24*$D$52))</f>
        <v>0</v>
      </c>
      <c r="G28" s="397">
        <f t="shared" si="9"/>
        <v>0</v>
      </c>
      <c r="H28" s="397">
        <f>IF(H24&lt;0,0,IF(H24&lt;100,H24*$D$51,H24*$D$52))</f>
        <v>0</v>
      </c>
      <c r="I28" s="397">
        <f t="shared" ref="I28:N28" si="10">IF(I24&lt;0,0,IF(I24&lt;100,I24*$D$51,I24*$D$52))</f>
        <v>0</v>
      </c>
      <c r="J28" s="397">
        <f t="shared" si="10"/>
        <v>47.624205946887272</v>
      </c>
      <c r="K28" s="397">
        <f t="shared" si="10"/>
        <v>93.417010623222581</v>
      </c>
      <c r="L28" s="397">
        <f t="shared" si="10"/>
        <v>129.03712559539187</v>
      </c>
      <c r="M28" s="397">
        <f t="shared" si="10"/>
        <v>166.81151954080713</v>
      </c>
      <c r="N28" s="397">
        <f t="shared" si="10"/>
        <v>205.9515507098923</v>
      </c>
    </row>
    <row r="29" spans="2:14" ht="12.75" customHeight="1" x14ac:dyDescent="0.25"/>
    <row r="30" spans="2:14" ht="18" customHeight="1" x14ac:dyDescent="0.25">
      <c r="B30" s="396" t="s">
        <v>751</v>
      </c>
    </row>
    <row r="31" spans="2:14" ht="10.5" customHeight="1" x14ac:dyDescent="0.25">
      <c r="F31" s="666"/>
      <c r="G31" s="666"/>
      <c r="H31" s="666"/>
      <c r="I31" s="666"/>
      <c r="J31" s="666"/>
      <c r="K31" s="666"/>
      <c r="L31" s="666"/>
      <c r="M31" s="666"/>
      <c r="N31" s="666"/>
    </row>
    <row r="32" spans="2:14" ht="18" customHeight="1" x14ac:dyDescent="0.25">
      <c r="B32" s="376" t="s">
        <v>752</v>
      </c>
      <c r="F32" s="391">
        <f>MAX(SUM(F16:F18,MIN(F25,F26))*$E$51,0)</f>
        <v>0</v>
      </c>
      <c r="G32" s="391">
        <f>MAX(SUM(G16:G18,MIN(G25,G26))*$E$52,0)</f>
        <v>0</v>
      </c>
      <c r="H32" s="391">
        <f>MAX(SUM(H16:H18,MIN(H25,H26))*$E$52,0)</f>
        <v>4.8068045328284175</v>
      </c>
      <c r="I32" s="391">
        <f t="shared" ref="I32:N32" si="11">MAX(SUM(I16:I18,MIN(I25,I26))*$E$52,0)</f>
        <v>35.74229086084739</v>
      </c>
      <c r="J32" s="391">
        <f t="shared" si="11"/>
        <v>56.731779249225447</v>
      </c>
      <c r="K32" s="391">
        <f t="shared" si="11"/>
        <v>73.317118386943889</v>
      </c>
      <c r="L32" s="391">
        <f t="shared" si="11"/>
        <v>91.594198964467168</v>
      </c>
      <c r="M32" s="391">
        <f t="shared" si="11"/>
        <v>111.47334576651583</v>
      </c>
      <c r="N32" s="391">
        <f t="shared" si="11"/>
        <v>134.33098327437745</v>
      </c>
    </row>
    <row r="33" spans="2:14" ht="18" customHeight="1" x14ac:dyDescent="0.25">
      <c r="B33" s="376" t="s">
        <v>750</v>
      </c>
      <c r="F33" s="391">
        <v>0</v>
      </c>
      <c r="G33" s="391">
        <v>0</v>
      </c>
      <c r="H33" s="391">
        <v>0</v>
      </c>
      <c r="I33" s="391">
        <v>0</v>
      </c>
      <c r="J33" s="391">
        <v>0</v>
      </c>
      <c r="K33" s="391">
        <f t="shared" ref="K33:N33" si="12">K28</f>
        <v>93.417010623222581</v>
      </c>
      <c r="L33" s="391">
        <f t="shared" si="12"/>
        <v>129.03712559539187</v>
      </c>
      <c r="M33" s="391">
        <f t="shared" si="12"/>
        <v>166.81151954080713</v>
      </c>
      <c r="N33" s="391">
        <f t="shared" si="12"/>
        <v>205.9515507098923</v>
      </c>
    </row>
    <row r="34" spans="2:14" ht="10.5" customHeight="1" x14ac:dyDescent="0.25"/>
    <row r="35" spans="2:14" ht="18" customHeight="1" x14ac:dyDescent="0.25">
      <c r="B35" s="376" t="s">
        <v>753</v>
      </c>
      <c r="F35" s="391">
        <f>MAX(F32,F33)</f>
        <v>0</v>
      </c>
      <c r="G35" s="391">
        <f t="shared" ref="G35:N35" si="13">MAX(G32,G33)</f>
        <v>0</v>
      </c>
      <c r="H35" s="391">
        <f t="shared" si="13"/>
        <v>4.8068045328284175</v>
      </c>
      <c r="I35" s="391">
        <f t="shared" si="13"/>
        <v>35.74229086084739</v>
      </c>
      <c r="J35" s="391">
        <f t="shared" si="13"/>
        <v>56.731779249225447</v>
      </c>
      <c r="K35" s="391">
        <f>MAX(K32,K33)</f>
        <v>93.417010623222581</v>
      </c>
      <c r="L35" s="391">
        <f>MAX(L32,L33)</f>
        <v>129.03712559539187</v>
      </c>
      <c r="M35" s="391">
        <f t="shared" si="13"/>
        <v>166.81151954080713</v>
      </c>
      <c r="N35" s="391">
        <f t="shared" si="13"/>
        <v>205.9515507098923</v>
      </c>
    </row>
    <row r="36" spans="2:14" ht="18" customHeight="1" x14ac:dyDescent="0.25">
      <c r="B36" s="376" t="s">
        <v>754</v>
      </c>
      <c r="F36" s="391">
        <f>IF((F33-F32)&lt;0,0,MIN((F33-F32),E42))</f>
        <v>0</v>
      </c>
      <c r="G36" s="391">
        <f t="shared" ref="G36:K36" si="14">IF((G33-G32)&lt;0,0,MIN((G33-G32),F42))</f>
        <v>0</v>
      </c>
      <c r="H36" s="391">
        <f t="shared" si="14"/>
        <v>0</v>
      </c>
      <c r="I36" s="391">
        <f t="shared" si="14"/>
        <v>0</v>
      </c>
      <c r="J36" s="391">
        <f t="shared" si="14"/>
        <v>0</v>
      </c>
      <c r="K36" s="391">
        <f t="shared" si="14"/>
        <v>20.099892236278691</v>
      </c>
      <c r="L36" s="391">
        <f>IF((L33-L32)&lt;0,0,MIN((L33-L32),K42))</f>
        <v>37.442926630924703</v>
      </c>
      <c r="M36" s="391">
        <f>IF((M33-M32)&lt;0,0,MIN((M33-M32),L42))</f>
        <v>39.738055775697859</v>
      </c>
      <c r="N36" s="391">
        <f>IF((N33-N32)&lt;0,0,MIN((N33-N32),M42))</f>
        <v>0</v>
      </c>
    </row>
    <row r="37" spans="2:14" ht="18.75" customHeight="1" x14ac:dyDescent="0.25">
      <c r="B37" s="398" t="s">
        <v>755</v>
      </c>
      <c r="C37" s="398"/>
      <c r="D37" s="398"/>
      <c r="E37" s="398"/>
      <c r="F37" s="399">
        <f>F35-F36</f>
        <v>0</v>
      </c>
      <c r="G37" s="399">
        <f t="shared" ref="G37:N37" si="15">G35-G36</f>
        <v>0</v>
      </c>
      <c r="H37" s="399">
        <f t="shared" si="15"/>
        <v>4.8068045328284175</v>
      </c>
      <c r="I37" s="399">
        <f t="shared" si="15"/>
        <v>35.74229086084739</v>
      </c>
      <c r="J37" s="399">
        <f t="shared" si="15"/>
        <v>56.731779249225447</v>
      </c>
      <c r="K37" s="399">
        <f t="shared" si="15"/>
        <v>73.317118386943889</v>
      </c>
      <c r="L37" s="399">
        <f t="shared" si="15"/>
        <v>91.594198964467168</v>
      </c>
      <c r="M37" s="399">
        <f t="shared" si="15"/>
        <v>127.07346376510927</v>
      </c>
      <c r="N37" s="399">
        <f t="shared" si="15"/>
        <v>205.9515507098923</v>
      </c>
    </row>
    <row r="38" spans="2:14" ht="15" x14ac:dyDescent="0.25"/>
    <row r="39" spans="2:14" ht="18" customHeight="1" x14ac:dyDescent="0.25">
      <c r="B39" s="376" t="s">
        <v>756</v>
      </c>
      <c r="F39" s="391">
        <f>E42</f>
        <v>0</v>
      </c>
      <c r="G39" s="391">
        <f t="shared" ref="G39:N39" si="16">F42</f>
        <v>0</v>
      </c>
      <c r="H39" s="391">
        <f t="shared" si="16"/>
        <v>0</v>
      </c>
      <c r="I39" s="391">
        <f t="shared" si="16"/>
        <v>4.8068045328284175</v>
      </c>
      <c r="J39" s="391">
        <f t="shared" si="16"/>
        <v>40.549095393675806</v>
      </c>
      <c r="K39" s="391">
        <f t="shared" si="16"/>
        <v>97.280874642901253</v>
      </c>
      <c r="L39" s="391">
        <f t="shared" si="16"/>
        <v>77.180982406622562</v>
      </c>
      <c r="M39" s="391">
        <f t="shared" si="16"/>
        <v>39.738055775697859</v>
      </c>
      <c r="N39" s="391">
        <f t="shared" si="16"/>
        <v>0</v>
      </c>
    </row>
    <row r="40" spans="2:14" ht="18" customHeight="1" x14ac:dyDescent="0.25">
      <c r="B40" s="376" t="s">
        <v>757</v>
      </c>
      <c r="F40" s="391">
        <f>IF(F32&gt;F33,F32,0)</f>
        <v>0</v>
      </c>
      <c r="G40" s="391">
        <f t="shared" ref="G40:N40" si="17">IF(G32&gt;G33,G32,0)</f>
        <v>0</v>
      </c>
      <c r="H40" s="391">
        <f t="shared" si="17"/>
        <v>4.8068045328284175</v>
      </c>
      <c r="I40" s="391">
        <f t="shared" si="17"/>
        <v>35.74229086084739</v>
      </c>
      <c r="J40" s="391">
        <f t="shared" si="17"/>
        <v>56.731779249225447</v>
      </c>
      <c r="K40" s="391">
        <f t="shared" si="17"/>
        <v>0</v>
      </c>
      <c r="L40" s="391">
        <f t="shared" si="17"/>
        <v>0</v>
      </c>
      <c r="M40" s="391">
        <f t="shared" si="17"/>
        <v>0</v>
      </c>
      <c r="N40" s="391">
        <f t="shared" si="17"/>
        <v>0</v>
      </c>
    </row>
    <row r="41" spans="2:14" ht="18" customHeight="1" x14ac:dyDescent="0.25">
      <c r="B41" s="376" t="s">
        <v>758</v>
      </c>
      <c r="F41" s="391">
        <f>-F36</f>
        <v>0</v>
      </c>
      <c r="G41" s="391">
        <f t="shared" ref="G41:N41" si="18">-G36</f>
        <v>0</v>
      </c>
      <c r="H41" s="391">
        <f t="shared" si="18"/>
        <v>0</v>
      </c>
      <c r="I41" s="391">
        <f t="shared" si="18"/>
        <v>0</v>
      </c>
      <c r="J41" s="391">
        <f t="shared" si="18"/>
        <v>0</v>
      </c>
      <c r="K41" s="391">
        <f t="shared" si="18"/>
        <v>-20.099892236278691</v>
      </c>
      <c r="L41" s="391">
        <f t="shared" si="18"/>
        <v>-37.442926630924703</v>
      </c>
      <c r="M41" s="391">
        <f t="shared" si="18"/>
        <v>-39.738055775697859</v>
      </c>
      <c r="N41" s="391">
        <f t="shared" si="18"/>
        <v>0</v>
      </c>
    </row>
    <row r="42" spans="2:14" ht="18.75" customHeight="1" x14ac:dyDescent="0.25">
      <c r="B42" s="393" t="s">
        <v>759</v>
      </c>
      <c r="C42" s="393"/>
      <c r="D42" s="393"/>
      <c r="E42" s="400">
        <v>0</v>
      </c>
      <c r="F42" s="394">
        <f>SUM(F39:F41)</f>
        <v>0</v>
      </c>
      <c r="G42" s="394">
        <f t="shared" ref="G42:N42" si="19">SUM(G39:G41)</f>
        <v>0</v>
      </c>
      <c r="H42" s="394">
        <f t="shared" si="19"/>
        <v>4.8068045328284175</v>
      </c>
      <c r="I42" s="394">
        <f t="shared" si="19"/>
        <v>40.549095393675806</v>
      </c>
      <c r="J42" s="394">
        <f t="shared" si="19"/>
        <v>97.280874642901253</v>
      </c>
      <c r="K42" s="394">
        <f t="shared" si="19"/>
        <v>77.180982406622562</v>
      </c>
      <c r="L42" s="394">
        <f t="shared" si="19"/>
        <v>39.738055775697859</v>
      </c>
      <c r="M42" s="394">
        <f t="shared" si="19"/>
        <v>0</v>
      </c>
      <c r="N42" s="394">
        <f t="shared" si="19"/>
        <v>0</v>
      </c>
    </row>
    <row r="43" spans="2:14" ht="18" customHeight="1" x14ac:dyDescent="0.25">
      <c r="F43" s="391"/>
      <c r="G43" s="391"/>
      <c r="H43" s="391"/>
      <c r="I43" s="391"/>
      <c r="J43" s="391"/>
      <c r="K43" s="391"/>
      <c r="L43" s="391"/>
      <c r="M43" s="391"/>
      <c r="N43" s="391"/>
    </row>
    <row r="44" spans="2:14" ht="18" customHeight="1" x14ac:dyDescent="0.25">
      <c r="F44" s="391"/>
      <c r="G44" s="391"/>
      <c r="H44" s="391"/>
      <c r="I44" s="391"/>
      <c r="J44" s="391"/>
      <c r="K44" s="391"/>
      <c r="L44" s="391"/>
      <c r="M44" s="391"/>
      <c r="N44" s="391"/>
    </row>
    <row r="47" spans="2:14" ht="18" customHeight="1" x14ac:dyDescent="0.25">
      <c r="B47" s="370" t="s">
        <v>730</v>
      </c>
      <c r="C47" s="758" t="s">
        <v>904</v>
      </c>
      <c r="D47" s="759"/>
      <c r="E47" s="370" t="s">
        <v>905</v>
      </c>
    </row>
    <row r="48" spans="2:14" ht="18" customHeight="1" x14ac:dyDescent="0.25">
      <c r="B48" s="371" t="s">
        <v>731</v>
      </c>
      <c r="C48" s="372">
        <v>0.25</v>
      </c>
      <c r="D48" s="374"/>
      <c r="E48" s="665">
        <v>0.15</v>
      </c>
    </row>
    <row r="49" spans="2:5" ht="18" customHeight="1" x14ac:dyDescent="0.25">
      <c r="B49" s="371" t="s">
        <v>732</v>
      </c>
      <c r="C49" s="372">
        <v>0.04</v>
      </c>
      <c r="D49" s="374"/>
      <c r="E49" s="665">
        <v>0.04</v>
      </c>
    </row>
    <row r="50" spans="2:5" ht="18" customHeight="1" x14ac:dyDescent="0.25">
      <c r="B50" s="371" t="s">
        <v>733</v>
      </c>
      <c r="C50" s="373"/>
      <c r="D50" s="374"/>
      <c r="E50" s="664"/>
    </row>
    <row r="51" spans="2:5" ht="18" customHeight="1" x14ac:dyDescent="0.25">
      <c r="B51" s="371" t="s">
        <v>734</v>
      </c>
      <c r="C51" s="372">
        <v>0</v>
      </c>
      <c r="D51" s="375">
        <f>$C$48*(1+$C$49)*(1+C51)</f>
        <v>0.26</v>
      </c>
      <c r="E51" s="688">
        <f>+E48+(E49*E48)</f>
        <v>0.156</v>
      </c>
    </row>
    <row r="52" spans="2:5" ht="18" customHeight="1" x14ac:dyDescent="0.25">
      <c r="B52" s="371" t="s">
        <v>735</v>
      </c>
      <c r="C52" s="372">
        <v>7.0000000000000007E-2</v>
      </c>
      <c r="D52" s="375">
        <f t="shared" ref="D52:D53" si="20">$C$48*(1+$C$49)*(1+C52)</f>
        <v>0.2782</v>
      </c>
      <c r="E52" s="688">
        <f>+E51+(E51*C52)</f>
        <v>0.16692000000000001</v>
      </c>
    </row>
    <row r="53" spans="2:5" ht="18" customHeight="1" x14ac:dyDescent="0.25">
      <c r="B53" s="371" t="s">
        <v>736</v>
      </c>
      <c r="C53" s="372">
        <v>0.12</v>
      </c>
      <c r="D53" s="375">
        <f t="shared" si="20"/>
        <v>0.29120000000000001</v>
      </c>
      <c r="E53" s="664"/>
    </row>
    <row r="58" spans="2:5" ht="18" customHeight="1" x14ac:dyDescent="0.25">
      <c r="C58" s="663"/>
      <c r="D58" s="663"/>
    </row>
  </sheetData>
  <mergeCells count="2">
    <mergeCell ref="D8:E8"/>
    <mergeCell ref="C47:D47"/>
  </mergeCells>
  <pageMargins left="0.7" right="0.7" top="0.75" bottom="0.75" header="0.3" footer="0.3"/>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AF1B9E2-A708-40F8-AC8C-D2F281F5DA65}">
  <sheetPr codeName="Sheet20"/>
  <dimension ref="A1:I84"/>
  <sheetViews>
    <sheetView view="pageBreakPreview" topLeftCell="A38" zoomScaleNormal="100" zoomScaleSheetLayoutView="100" workbookViewId="0">
      <selection activeCell="A9" sqref="A9:F52"/>
    </sheetView>
  </sheetViews>
  <sheetFormatPr defaultColWidth="13" defaultRowHeight="12.75" x14ac:dyDescent="0.2"/>
  <cols>
    <col min="1" max="1" width="19.42578125" style="619" customWidth="1"/>
    <col min="2" max="2" width="23.5703125" style="619" customWidth="1"/>
    <col min="3" max="3" width="12.5703125" style="619" customWidth="1"/>
    <col min="4" max="4" width="14" style="619" customWidth="1"/>
    <col min="5" max="5" width="16.140625" style="619" customWidth="1"/>
    <col min="6" max="6" width="11.140625" style="627" customWidth="1"/>
    <col min="7" max="8" width="11.85546875" style="619" bestFit="1" customWidth="1"/>
    <col min="9" max="9" width="9" style="619" bestFit="1" customWidth="1"/>
    <col min="10" max="16384" width="13" style="619"/>
  </cols>
  <sheetData>
    <row r="1" spans="1:8" x14ac:dyDescent="0.2">
      <c r="A1" s="760"/>
      <c r="B1" s="760"/>
      <c r="C1" s="760"/>
      <c r="D1" s="760"/>
      <c r="E1" s="760"/>
      <c r="F1" s="760"/>
      <c r="G1" s="618"/>
      <c r="H1" s="618"/>
    </row>
    <row r="5" spans="1:8" x14ac:dyDescent="0.2">
      <c r="A5" s="761" t="s">
        <v>803</v>
      </c>
      <c r="B5" s="761"/>
      <c r="C5" s="761"/>
      <c r="D5" s="761"/>
      <c r="E5" s="761"/>
      <c r="F5" s="761"/>
      <c r="G5" s="621"/>
    </row>
    <row r="6" spans="1:8" x14ac:dyDescent="0.2">
      <c r="A6" s="765" t="s">
        <v>932</v>
      </c>
      <c r="B6" s="762"/>
      <c r="C6" s="762"/>
      <c r="D6" s="762"/>
      <c r="E6" s="762"/>
      <c r="F6" s="762"/>
    </row>
    <row r="7" spans="1:8" x14ac:dyDescent="0.2">
      <c r="A7" s="765" t="s">
        <v>933</v>
      </c>
      <c r="B7" s="765"/>
      <c r="C7" s="765"/>
      <c r="D7" s="765"/>
      <c r="E7" s="765"/>
      <c r="F7" s="765"/>
    </row>
    <row r="8" spans="1:8" x14ac:dyDescent="0.2">
      <c r="A8" s="763" t="s">
        <v>931</v>
      </c>
      <c r="B8" s="764"/>
      <c r="C8" s="764"/>
      <c r="D8" s="764"/>
      <c r="E8" s="764"/>
      <c r="F8" s="764"/>
    </row>
    <row r="9" spans="1:8" ht="25.5" x14ac:dyDescent="0.2">
      <c r="A9" s="622" t="s">
        <v>804</v>
      </c>
      <c r="B9" s="622" t="s">
        <v>805</v>
      </c>
      <c r="C9" s="622" t="s">
        <v>806</v>
      </c>
      <c r="D9" s="622" t="s">
        <v>807</v>
      </c>
      <c r="E9" s="622" t="s">
        <v>808</v>
      </c>
      <c r="F9" s="801" t="s">
        <v>930</v>
      </c>
    </row>
    <row r="10" spans="1:8" ht="25.5" x14ac:dyDescent="0.2">
      <c r="A10" s="623" t="s">
        <v>809</v>
      </c>
      <c r="B10" s="624" t="s">
        <v>810</v>
      </c>
      <c r="C10" s="624">
        <v>1</v>
      </c>
      <c r="D10" s="624">
        <f>E10*12</f>
        <v>9.6000000000000014</v>
      </c>
      <c r="E10" s="625">
        <f>F10*C10</f>
        <v>0.8</v>
      </c>
      <c r="F10" s="626">
        <v>0.8</v>
      </c>
    </row>
    <row r="11" spans="1:8" ht="25.5" x14ac:dyDescent="0.2">
      <c r="A11" s="624"/>
      <c r="B11" s="624" t="s">
        <v>811</v>
      </c>
      <c r="C11" s="624">
        <v>4</v>
      </c>
      <c r="D11" s="625">
        <f>E11*12</f>
        <v>19.200000000000003</v>
      </c>
      <c r="E11" s="625">
        <f>F11*C11</f>
        <v>1.6</v>
      </c>
      <c r="F11" s="626">
        <v>0.4</v>
      </c>
    </row>
    <row r="12" spans="1:8" x14ac:dyDescent="0.2">
      <c r="A12" s="624"/>
      <c r="B12" s="624" t="s">
        <v>812</v>
      </c>
      <c r="C12" s="624">
        <v>3</v>
      </c>
      <c r="D12" s="624">
        <f>E12*12</f>
        <v>12.599999999999998</v>
      </c>
      <c r="E12" s="625">
        <f>F12*C12</f>
        <v>1.0499999999999998</v>
      </c>
      <c r="F12" s="626">
        <v>0.35</v>
      </c>
    </row>
    <row r="13" spans="1:8" x14ac:dyDescent="0.2">
      <c r="A13" s="624"/>
      <c r="B13" s="624" t="s">
        <v>813</v>
      </c>
      <c r="C13" s="624">
        <v>2</v>
      </c>
      <c r="D13" s="624">
        <f>E13*12</f>
        <v>7.1999999999999993</v>
      </c>
      <c r="E13" s="625">
        <f>F13*C13</f>
        <v>0.6</v>
      </c>
      <c r="F13" s="626">
        <v>0.3</v>
      </c>
    </row>
    <row r="14" spans="1:8" x14ac:dyDescent="0.2">
      <c r="A14" s="623" t="s">
        <v>814</v>
      </c>
      <c r="B14" s="624"/>
      <c r="C14" s="623">
        <f>SUM(C10:C13)</f>
        <v>10</v>
      </c>
      <c r="D14" s="623">
        <f>SUM(D10:D13)</f>
        <v>48.600000000000009</v>
      </c>
      <c r="E14" s="623">
        <f>SUM(E10:E13)</f>
        <v>4.05</v>
      </c>
      <c r="F14" s="623"/>
    </row>
    <row r="15" spans="1:8" x14ac:dyDescent="0.2">
      <c r="A15" s="624"/>
      <c r="B15" s="624"/>
      <c r="C15" s="624"/>
      <c r="D15" s="624"/>
      <c r="E15" s="624"/>
      <c r="F15" s="626"/>
    </row>
    <row r="16" spans="1:8" ht="25.5" x14ac:dyDescent="0.2">
      <c r="A16" s="623" t="s">
        <v>815</v>
      </c>
      <c r="B16" s="624" t="s">
        <v>816</v>
      </c>
      <c r="C16" s="624">
        <v>2</v>
      </c>
      <c r="D16" s="624">
        <f>E16*12</f>
        <v>7.1999999999999993</v>
      </c>
      <c r="E16" s="625">
        <f>F16*C16</f>
        <v>0.6</v>
      </c>
      <c r="F16" s="626">
        <v>0.3</v>
      </c>
    </row>
    <row r="17" spans="1:6" x14ac:dyDescent="0.2">
      <c r="A17" s="624"/>
      <c r="B17" s="624" t="s">
        <v>817</v>
      </c>
      <c r="C17" s="624">
        <v>4</v>
      </c>
      <c r="D17" s="624">
        <f>E17*12</f>
        <v>9.6000000000000014</v>
      </c>
      <c r="E17" s="625">
        <f>F17*C17</f>
        <v>0.8</v>
      </c>
      <c r="F17" s="626">
        <v>0.2</v>
      </c>
    </row>
    <row r="18" spans="1:6" x14ac:dyDescent="0.2">
      <c r="A18" s="624"/>
      <c r="B18" s="624" t="s">
        <v>818</v>
      </c>
      <c r="C18" s="624">
        <v>2</v>
      </c>
      <c r="D18" s="624">
        <f>E18*12</f>
        <v>3.5999999999999996</v>
      </c>
      <c r="E18" s="625">
        <f>F18*C18</f>
        <v>0.3</v>
      </c>
      <c r="F18" s="626">
        <v>0.15</v>
      </c>
    </row>
    <row r="19" spans="1:6" x14ac:dyDescent="0.2">
      <c r="A19" s="624"/>
      <c r="B19" s="624" t="s">
        <v>819</v>
      </c>
      <c r="C19" s="624">
        <v>4</v>
      </c>
      <c r="D19" s="624">
        <f>E19*12</f>
        <v>7.1999999999999993</v>
      </c>
      <c r="E19" s="625">
        <f>F19*C19</f>
        <v>0.6</v>
      </c>
      <c r="F19" s="626">
        <v>0.15</v>
      </c>
    </row>
    <row r="20" spans="1:6" x14ac:dyDescent="0.2">
      <c r="A20" s="624"/>
      <c r="B20" s="624" t="s">
        <v>820</v>
      </c>
      <c r="C20" s="624">
        <v>3</v>
      </c>
      <c r="D20" s="625">
        <f>E20*12</f>
        <v>5.3999999999999995</v>
      </c>
      <c r="E20" s="625">
        <f>F20*C20</f>
        <v>0.44999999999999996</v>
      </c>
      <c r="F20" s="626">
        <v>0.15</v>
      </c>
    </row>
    <row r="21" spans="1:6" x14ac:dyDescent="0.2">
      <c r="A21" s="623" t="s">
        <v>821</v>
      </c>
      <c r="B21" s="624"/>
      <c r="C21" s="623">
        <f>SUM(C16:C20)</f>
        <v>15</v>
      </c>
      <c r="D21" s="623">
        <f>SUM(D16:D20)</f>
        <v>33</v>
      </c>
      <c r="E21" s="623">
        <f>SUM(E16:E20)</f>
        <v>2.75</v>
      </c>
      <c r="F21" s="623"/>
    </row>
    <row r="22" spans="1:6" x14ac:dyDescent="0.2">
      <c r="A22" s="624"/>
      <c r="B22" s="624"/>
      <c r="C22" s="624"/>
      <c r="D22" s="624"/>
      <c r="E22" s="624"/>
      <c r="F22" s="626"/>
    </row>
    <row r="23" spans="1:6" ht="25.5" x14ac:dyDescent="0.2">
      <c r="A23" s="623" t="s">
        <v>822</v>
      </c>
      <c r="B23" s="624" t="s">
        <v>823</v>
      </c>
      <c r="C23" s="624">
        <v>1</v>
      </c>
      <c r="D23" s="624">
        <f>E23*12</f>
        <v>3.5999999999999996</v>
      </c>
      <c r="E23" s="625">
        <f>F23*C23</f>
        <v>0.3</v>
      </c>
      <c r="F23" s="626">
        <v>0.3</v>
      </c>
    </row>
    <row r="24" spans="1:6" ht="25.5" x14ac:dyDescent="0.2">
      <c r="A24" s="624"/>
      <c r="B24" s="624" t="s">
        <v>824</v>
      </c>
      <c r="C24" s="624">
        <v>12</v>
      </c>
      <c r="D24" s="624">
        <f>E24*12</f>
        <v>25.92</v>
      </c>
      <c r="E24" s="625">
        <f>F24*C24</f>
        <v>2.16</v>
      </c>
      <c r="F24" s="626">
        <v>0.18</v>
      </c>
    </row>
    <row r="25" spans="1:6" x14ac:dyDescent="0.2">
      <c r="A25" s="624"/>
      <c r="B25" s="624" t="s">
        <v>825</v>
      </c>
      <c r="C25" s="624">
        <v>4</v>
      </c>
      <c r="D25" s="624">
        <f>E25*12</f>
        <v>7.1999999999999993</v>
      </c>
      <c r="E25" s="625">
        <f>F25*C25</f>
        <v>0.6</v>
      </c>
      <c r="F25" s="626">
        <v>0.15</v>
      </c>
    </row>
    <row r="26" spans="1:6" ht="25.5" x14ac:dyDescent="0.2">
      <c r="A26" s="624"/>
      <c r="B26" s="624" t="s">
        <v>826</v>
      </c>
      <c r="C26" s="624">
        <v>6</v>
      </c>
      <c r="D26" s="624">
        <f>E26*12</f>
        <v>8.64</v>
      </c>
      <c r="E26" s="625">
        <f>F26*C26</f>
        <v>0.72</v>
      </c>
      <c r="F26" s="626">
        <v>0.12</v>
      </c>
    </row>
    <row r="27" spans="1:6" ht="25.5" x14ac:dyDescent="0.2">
      <c r="A27" s="623" t="s">
        <v>827</v>
      </c>
      <c r="B27" s="624"/>
      <c r="C27" s="623">
        <f>SUM(C22:C26)</f>
        <v>23</v>
      </c>
      <c r="D27" s="623">
        <f>SUM(D22:D26)</f>
        <v>45.36</v>
      </c>
      <c r="E27" s="623">
        <f>SUM(E23:E26)</f>
        <v>3.7800000000000002</v>
      </c>
      <c r="F27" s="626"/>
    </row>
    <row r="28" spans="1:6" x14ac:dyDescent="0.2">
      <c r="A28" s="624"/>
      <c r="B28" s="624"/>
      <c r="C28" s="624"/>
      <c r="D28" s="624"/>
      <c r="E28" s="624"/>
      <c r="F28" s="626"/>
    </row>
    <row r="29" spans="1:6" ht="25.5" x14ac:dyDescent="0.2">
      <c r="A29" s="623" t="s">
        <v>828</v>
      </c>
      <c r="B29" s="624" t="s">
        <v>829</v>
      </c>
      <c r="C29" s="624">
        <v>1</v>
      </c>
      <c r="D29" s="624">
        <f t="shared" ref="D29:D35" si="0">E29*12</f>
        <v>6</v>
      </c>
      <c r="E29" s="625">
        <f t="shared" ref="E29:E35" si="1">F29*C29</f>
        <v>0.5</v>
      </c>
      <c r="F29" s="626">
        <v>0.5</v>
      </c>
    </row>
    <row r="30" spans="1:6" x14ac:dyDescent="0.2">
      <c r="A30" s="624"/>
      <c r="B30" s="624" t="s">
        <v>830</v>
      </c>
      <c r="C30" s="624">
        <v>2</v>
      </c>
      <c r="D30" s="624">
        <f t="shared" si="0"/>
        <v>8.3999999999999986</v>
      </c>
      <c r="E30" s="625">
        <f t="shared" si="1"/>
        <v>0.7</v>
      </c>
      <c r="F30" s="626">
        <v>0.35</v>
      </c>
    </row>
    <row r="31" spans="1:6" x14ac:dyDescent="0.2">
      <c r="A31" s="624"/>
      <c r="B31" s="624" t="s">
        <v>831</v>
      </c>
      <c r="C31" s="624">
        <v>8</v>
      </c>
      <c r="D31" s="624">
        <f t="shared" si="0"/>
        <v>14.399999999999999</v>
      </c>
      <c r="E31" s="625">
        <f t="shared" si="1"/>
        <v>1.2</v>
      </c>
      <c r="F31" s="626">
        <v>0.15</v>
      </c>
    </row>
    <row r="32" spans="1:6" x14ac:dyDescent="0.2">
      <c r="A32" s="624"/>
      <c r="B32" s="624" t="s">
        <v>832</v>
      </c>
      <c r="C32" s="624">
        <v>2</v>
      </c>
      <c r="D32" s="624">
        <f t="shared" si="0"/>
        <v>7.1999999999999993</v>
      </c>
      <c r="E32" s="625">
        <f t="shared" si="1"/>
        <v>0.6</v>
      </c>
      <c r="F32" s="626">
        <v>0.3</v>
      </c>
    </row>
    <row r="33" spans="1:6" ht="25.5" x14ac:dyDescent="0.2">
      <c r="A33" s="624"/>
      <c r="B33" s="624" t="s">
        <v>833</v>
      </c>
      <c r="C33" s="624">
        <v>10</v>
      </c>
      <c r="D33" s="624">
        <f t="shared" si="0"/>
        <v>18</v>
      </c>
      <c r="E33" s="625">
        <f t="shared" si="1"/>
        <v>1.5</v>
      </c>
      <c r="F33" s="626">
        <v>0.15</v>
      </c>
    </row>
    <row r="34" spans="1:6" x14ac:dyDescent="0.2">
      <c r="A34" s="624"/>
      <c r="B34" s="624" t="s">
        <v>834</v>
      </c>
      <c r="C34" s="624">
        <v>10</v>
      </c>
      <c r="D34" s="624">
        <f t="shared" si="0"/>
        <v>12</v>
      </c>
      <c r="E34" s="625">
        <f t="shared" si="1"/>
        <v>1</v>
      </c>
      <c r="F34" s="626">
        <v>0.1</v>
      </c>
    </row>
    <row r="35" spans="1:6" x14ac:dyDescent="0.2">
      <c r="A35" s="624"/>
      <c r="B35" s="624" t="s">
        <v>835</v>
      </c>
      <c r="C35" s="624">
        <v>3</v>
      </c>
      <c r="D35" s="624">
        <f t="shared" si="0"/>
        <v>5.3999999999999995</v>
      </c>
      <c r="E35" s="625">
        <f t="shared" si="1"/>
        <v>0.44999999999999996</v>
      </c>
      <c r="F35" s="626">
        <v>0.15</v>
      </c>
    </row>
    <row r="36" spans="1:6" x14ac:dyDescent="0.2">
      <c r="A36" s="623" t="s">
        <v>836</v>
      </c>
      <c r="B36" s="624"/>
      <c r="C36" s="623">
        <f>SUM(C29:C35)</f>
        <v>36</v>
      </c>
      <c r="D36" s="623">
        <f>SUM(D29:D35)</f>
        <v>71.400000000000006</v>
      </c>
      <c r="E36" s="623">
        <f>SUM(E29:E35)</f>
        <v>5.95</v>
      </c>
      <c r="F36" s="626"/>
    </row>
    <row r="37" spans="1:6" x14ac:dyDescent="0.2">
      <c r="A37" s="624"/>
      <c r="B37" s="624"/>
      <c r="C37" s="624"/>
      <c r="D37" s="624"/>
      <c r="E37" s="624"/>
      <c r="F37" s="626"/>
    </row>
    <row r="38" spans="1:6" ht="25.5" x14ac:dyDescent="0.2">
      <c r="A38" s="623" t="s">
        <v>837</v>
      </c>
      <c r="B38" s="624" t="s">
        <v>838</v>
      </c>
      <c r="C38" s="624">
        <v>2</v>
      </c>
      <c r="D38" s="624">
        <f>E38*12</f>
        <v>7.1999999999999993</v>
      </c>
      <c r="E38" s="625">
        <f>F38*C38</f>
        <v>0.6</v>
      </c>
      <c r="F38" s="626">
        <v>0.3</v>
      </c>
    </row>
    <row r="39" spans="1:6" ht="25.5" x14ac:dyDescent="0.2">
      <c r="A39" s="624"/>
      <c r="B39" s="624" t="s">
        <v>839</v>
      </c>
      <c r="C39" s="624">
        <v>3</v>
      </c>
      <c r="D39" s="624">
        <f>E39*12</f>
        <v>6.48</v>
      </c>
      <c r="E39" s="625">
        <f>F39*C39</f>
        <v>0.54</v>
      </c>
      <c r="F39" s="626">
        <v>0.18</v>
      </c>
    </row>
    <row r="40" spans="1:6" x14ac:dyDescent="0.2">
      <c r="A40" s="624"/>
      <c r="B40" s="624" t="s">
        <v>840</v>
      </c>
      <c r="C40" s="624">
        <v>3</v>
      </c>
      <c r="D40" s="624">
        <f>E40*12</f>
        <v>4.32</v>
      </c>
      <c r="E40" s="625">
        <f>F40*C40</f>
        <v>0.36</v>
      </c>
      <c r="F40" s="626">
        <v>0.12</v>
      </c>
    </row>
    <row r="41" spans="1:6" x14ac:dyDescent="0.2">
      <c r="A41" s="623" t="s">
        <v>841</v>
      </c>
      <c r="B41" s="624"/>
      <c r="C41" s="623">
        <f>SUM(C38:C40)</f>
        <v>8</v>
      </c>
      <c r="D41" s="623">
        <f>SUM(D38:D40)</f>
        <v>18</v>
      </c>
      <c r="E41" s="623">
        <f>SUM(E38:E40)</f>
        <v>1.5</v>
      </c>
      <c r="F41" s="626"/>
    </row>
    <row r="42" spans="1:6" x14ac:dyDescent="0.2">
      <c r="A42" s="624"/>
      <c r="B42" s="624"/>
      <c r="C42" s="624"/>
      <c r="D42" s="624"/>
      <c r="E42" s="624"/>
      <c r="F42" s="626"/>
    </row>
    <row r="43" spans="1:6" ht="25.5" x14ac:dyDescent="0.2">
      <c r="A43" s="623" t="s">
        <v>842</v>
      </c>
      <c r="B43" s="624" t="s">
        <v>843</v>
      </c>
      <c r="C43" s="624">
        <v>1</v>
      </c>
      <c r="D43" s="624">
        <f>E43*12</f>
        <v>2.4000000000000004</v>
      </c>
      <c r="E43" s="625">
        <f>F43*C43</f>
        <v>0.2</v>
      </c>
      <c r="F43" s="626">
        <v>0.2</v>
      </c>
    </row>
    <row r="44" spans="1:6" x14ac:dyDescent="0.2">
      <c r="A44" s="624"/>
      <c r="B44" s="624" t="s">
        <v>844</v>
      </c>
      <c r="C44" s="624">
        <v>5</v>
      </c>
      <c r="D44" s="624">
        <f>E44*12</f>
        <v>7.1999999999999993</v>
      </c>
      <c r="E44" s="625">
        <f>F44*C44</f>
        <v>0.6</v>
      </c>
      <c r="F44" s="626">
        <v>0.12</v>
      </c>
    </row>
    <row r="45" spans="1:6" x14ac:dyDescent="0.2">
      <c r="A45" s="624"/>
      <c r="B45" s="624" t="s">
        <v>845</v>
      </c>
      <c r="C45" s="624">
        <v>3</v>
      </c>
      <c r="D45" s="624">
        <f>E45*12</f>
        <v>5.3999999999999995</v>
      </c>
      <c r="E45" s="625">
        <f>F45*C45</f>
        <v>0.44999999999999996</v>
      </c>
      <c r="F45" s="626">
        <v>0.15</v>
      </c>
    </row>
    <row r="46" spans="1:6" ht="25.5" x14ac:dyDescent="0.2">
      <c r="A46" s="623" t="s">
        <v>846</v>
      </c>
      <c r="B46" s="624"/>
      <c r="C46" s="623">
        <f>SUM(C43:C45)</f>
        <v>9</v>
      </c>
      <c r="D46" s="623">
        <f>SUM(D43:D45)</f>
        <v>15</v>
      </c>
      <c r="E46" s="623">
        <f>SUM(E42:E45)</f>
        <v>1.25</v>
      </c>
      <c r="F46" s="626"/>
    </row>
    <row r="47" spans="1:6" hidden="1" x14ac:dyDescent="0.2">
      <c r="A47" s="624"/>
      <c r="B47" s="624"/>
      <c r="C47" s="624"/>
      <c r="D47" s="624"/>
      <c r="E47" s="624"/>
      <c r="F47" s="626"/>
    </row>
    <row r="48" spans="1:6" hidden="1" x14ac:dyDescent="0.2">
      <c r="A48" s="623"/>
      <c r="B48" s="624"/>
      <c r="C48" s="624"/>
      <c r="D48" s="624"/>
      <c r="E48" s="624"/>
      <c r="F48" s="626"/>
    </row>
    <row r="49" spans="1:7" hidden="1" x14ac:dyDescent="0.2">
      <c r="A49" s="624"/>
      <c r="B49" s="624"/>
      <c r="C49" s="624"/>
      <c r="D49" s="624"/>
      <c r="E49" s="624"/>
      <c r="F49" s="626"/>
    </row>
    <row r="50" spans="1:7" x14ac:dyDescent="0.2">
      <c r="A50" s="623"/>
      <c r="B50" s="624"/>
      <c r="C50" s="623"/>
      <c r="D50" s="623"/>
      <c r="E50" s="623"/>
      <c r="F50" s="626"/>
    </row>
    <row r="51" spans="1:7" x14ac:dyDescent="0.2">
      <c r="A51" s="624"/>
      <c r="B51" s="624"/>
      <c r="C51" s="624"/>
      <c r="D51" s="624"/>
      <c r="E51" s="624"/>
      <c r="F51" s="626"/>
    </row>
    <row r="52" spans="1:7" x14ac:dyDescent="0.2">
      <c r="A52" s="623" t="s">
        <v>847</v>
      </c>
      <c r="B52" s="624"/>
      <c r="C52" s="623">
        <f>C50+C46+C41+C36+C27+C21+C14</f>
        <v>101</v>
      </c>
      <c r="D52" s="623">
        <f>D50+D46+D41+D36+D27+D21+D14</f>
        <v>231.36</v>
      </c>
      <c r="E52" s="623">
        <f>E50+E46+E41+E36+E27+E14+E21</f>
        <v>19.28</v>
      </c>
      <c r="F52" s="626"/>
    </row>
    <row r="53" spans="1:7" hidden="1" x14ac:dyDescent="0.2"/>
    <row r="54" spans="1:7" hidden="1" x14ac:dyDescent="0.2"/>
    <row r="55" spans="1:7" hidden="1" x14ac:dyDescent="0.2"/>
    <row r="56" spans="1:7" hidden="1" x14ac:dyDescent="0.2"/>
    <row r="57" spans="1:7" hidden="1" x14ac:dyDescent="0.2"/>
    <row r="58" spans="1:7" hidden="1" x14ac:dyDescent="0.2"/>
    <row r="59" spans="1:7" hidden="1" x14ac:dyDescent="0.2"/>
    <row r="60" spans="1:7" hidden="1" x14ac:dyDescent="0.2">
      <c r="A60" s="620"/>
      <c r="B60" s="628"/>
      <c r="C60" s="628"/>
      <c r="D60" s="628"/>
      <c r="E60" s="628"/>
      <c r="F60" s="629"/>
      <c r="G60" s="628"/>
    </row>
    <row r="61" spans="1:7" hidden="1" x14ac:dyDescent="0.2"/>
    <row r="62" spans="1:7" hidden="1" x14ac:dyDescent="0.2"/>
    <row r="63" spans="1:7" hidden="1" x14ac:dyDescent="0.2"/>
    <row r="64" spans="1:7" hidden="1" x14ac:dyDescent="0.2"/>
    <row r="65" spans="1:9" hidden="1" x14ac:dyDescent="0.2"/>
    <row r="66" spans="1:9" hidden="1" x14ac:dyDescent="0.2"/>
    <row r="67" spans="1:9" hidden="1" x14ac:dyDescent="0.2"/>
    <row r="68" spans="1:9" hidden="1" x14ac:dyDescent="0.2">
      <c r="H68" s="619">
        <f>G68+E66+E64+E62</f>
        <v>0</v>
      </c>
      <c r="I68" s="619">
        <f>H68*12</f>
        <v>0</v>
      </c>
    </row>
    <row r="69" spans="1:9" hidden="1" x14ac:dyDescent="0.2"/>
    <row r="70" spans="1:9" ht="13.5" hidden="1" thickBot="1" x14ac:dyDescent="0.25">
      <c r="B70" s="762"/>
      <c r="C70" s="762"/>
      <c r="D70" s="762"/>
      <c r="E70" s="762"/>
      <c r="G70" s="630"/>
      <c r="H70" s="619">
        <f>200000*4</f>
        <v>800000</v>
      </c>
    </row>
    <row r="71" spans="1:9" x14ac:dyDescent="0.2">
      <c r="E71" s="619">
        <f>+E52*12</f>
        <v>231.36</v>
      </c>
      <c r="H71" s="619">
        <f>E66*3*4</f>
        <v>0</v>
      </c>
    </row>
    <row r="73" spans="1:9" x14ac:dyDescent="0.2">
      <c r="A73" s="618" t="s">
        <v>227</v>
      </c>
      <c r="B73" s="618" t="s">
        <v>848</v>
      </c>
      <c r="C73" s="618" t="s">
        <v>849</v>
      </c>
      <c r="D73" s="618"/>
      <c r="E73" s="618" t="s">
        <v>850</v>
      </c>
      <c r="F73" s="631"/>
      <c r="G73" s="618"/>
      <c r="H73" s="618">
        <f>H68*4</f>
        <v>0</v>
      </c>
    </row>
    <row r="74" spans="1:9" x14ac:dyDescent="0.2">
      <c r="A74" s="619" t="s">
        <v>851</v>
      </c>
      <c r="D74" s="627"/>
      <c r="E74" s="632">
        <f>D74/100000</f>
        <v>0</v>
      </c>
      <c r="G74" s="627"/>
      <c r="H74" s="632"/>
    </row>
    <row r="75" spans="1:9" x14ac:dyDescent="0.2">
      <c r="A75" s="619" t="s">
        <v>852</v>
      </c>
      <c r="D75" s="627"/>
      <c r="E75" s="632">
        <f>D75/100000</f>
        <v>0</v>
      </c>
      <c r="G75" s="627"/>
      <c r="H75" s="632">
        <f>200000+75000+75000+75000</f>
        <v>425000</v>
      </c>
    </row>
    <row r="76" spans="1:9" x14ac:dyDescent="0.2">
      <c r="A76" s="619" t="s">
        <v>853</v>
      </c>
      <c r="B76" s="619">
        <f>E52</f>
        <v>19.28</v>
      </c>
      <c r="C76" s="619">
        <v>6</v>
      </c>
      <c r="D76" s="627"/>
      <c r="E76" s="632">
        <f>C76*B76</f>
        <v>115.68</v>
      </c>
      <c r="G76" s="627">
        <f>C76*B76</f>
        <v>115.68</v>
      </c>
      <c r="H76" s="632"/>
    </row>
    <row r="77" spans="1:9" x14ac:dyDescent="0.2">
      <c r="A77" s="619" t="s">
        <v>854</v>
      </c>
      <c r="B77" s="619">
        <f>B76*1.05</f>
        <v>20.244000000000003</v>
      </c>
      <c r="C77" s="619">
        <v>12</v>
      </c>
      <c r="D77" s="627"/>
      <c r="E77" s="632">
        <f t="shared" ref="E77:E84" si="2">C77*B77</f>
        <v>242.92800000000005</v>
      </c>
      <c r="G77" s="627"/>
      <c r="H77" s="632"/>
    </row>
    <row r="78" spans="1:9" x14ac:dyDescent="0.2">
      <c r="A78" s="619" t="s">
        <v>855</v>
      </c>
      <c r="B78" s="619">
        <f t="shared" ref="B78:B84" si="3">B77*1.05</f>
        <v>21.256200000000003</v>
      </c>
      <c r="C78" s="619">
        <v>12</v>
      </c>
      <c r="D78" s="627"/>
      <c r="E78" s="632">
        <f t="shared" si="2"/>
        <v>255.07440000000003</v>
      </c>
      <c r="G78" s="627"/>
      <c r="H78" s="632"/>
    </row>
    <row r="79" spans="1:9" x14ac:dyDescent="0.2">
      <c r="A79" s="619" t="s">
        <v>856</v>
      </c>
      <c r="B79" s="619">
        <f t="shared" si="3"/>
        <v>22.319010000000006</v>
      </c>
      <c r="C79" s="619">
        <v>12</v>
      </c>
      <c r="D79" s="627"/>
      <c r="E79" s="632">
        <f t="shared" si="2"/>
        <v>267.82812000000007</v>
      </c>
      <c r="G79" s="627"/>
      <c r="H79" s="632"/>
    </row>
    <row r="80" spans="1:9" x14ac:dyDescent="0.2">
      <c r="A80" s="619" t="s">
        <v>857</v>
      </c>
      <c r="B80" s="619">
        <f t="shared" si="3"/>
        <v>23.434960500000006</v>
      </c>
      <c r="C80" s="619">
        <v>12</v>
      </c>
      <c r="D80" s="627"/>
      <c r="E80" s="632">
        <f t="shared" si="2"/>
        <v>281.21952600000009</v>
      </c>
      <c r="G80" s="627"/>
      <c r="H80" s="632"/>
    </row>
    <row r="81" spans="1:5" x14ac:dyDescent="0.2">
      <c r="A81" s="619" t="s">
        <v>858</v>
      </c>
      <c r="B81" s="619">
        <f t="shared" si="3"/>
        <v>24.606708525000009</v>
      </c>
      <c r="C81" s="619">
        <v>12</v>
      </c>
      <c r="D81" s="627"/>
      <c r="E81" s="632">
        <f t="shared" si="2"/>
        <v>295.28050230000008</v>
      </c>
    </row>
    <row r="82" spans="1:5" x14ac:dyDescent="0.2">
      <c r="A82" s="619" t="s">
        <v>859</v>
      </c>
      <c r="B82" s="619">
        <f t="shared" si="3"/>
        <v>25.83704395125001</v>
      </c>
      <c r="C82" s="619">
        <v>12</v>
      </c>
      <c r="D82" s="627"/>
      <c r="E82" s="632">
        <f t="shared" si="2"/>
        <v>310.04452741500012</v>
      </c>
    </row>
    <row r="83" spans="1:5" x14ac:dyDescent="0.2">
      <c r="A83" s="619" t="s">
        <v>860</v>
      </c>
      <c r="B83" s="619">
        <f t="shared" si="3"/>
        <v>27.128896148812512</v>
      </c>
      <c r="C83" s="619">
        <v>12</v>
      </c>
      <c r="D83" s="627"/>
      <c r="E83" s="632">
        <f t="shared" si="2"/>
        <v>325.54675378575013</v>
      </c>
    </row>
    <row r="84" spans="1:5" x14ac:dyDescent="0.2">
      <c r="A84" s="619" t="s">
        <v>861</v>
      </c>
      <c r="B84" s="619">
        <f t="shared" si="3"/>
        <v>28.48534095625314</v>
      </c>
      <c r="C84" s="619">
        <v>12</v>
      </c>
      <c r="D84" s="627"/>
      <c r="E84" s="632">
        <f t="shared" si="2"/>
        <v>341.82409147503768</v>
      </c>
    </row>
  </sheetData>
  <mergeCells count="6">
    <mergeCell ref="A1:F1"/>
    <mergeCell ref="A5:F5"/>
    <mergeCell ref="B70:E70"/>
    <mergeCell ref="A8:F8"/>
    <mergeCell ref="A6:F6"/>
    <mergeCell ref="A7:F7"/>
  </mergeCells>
  <hyperlinks>
    <hyperlink ref="A8" r:id="rId1" xr:uid="{7AAAE068-C88B-4D3F-9B30-8F6561BE78E4}"/>
    <hyperlink ref="A6" r:id="rId2" location=":~:text=How%20much%20does%20a%20Hospitality%20industry%20make%20in,month%2C%20%E2%82%B911%2C388%20per%20week%2C%20or%20%E2%82%B9275.3%20per%20hour." xr:uid="{2F0667C0-6189-4D43-ABCC-B29BF5BA357F}"/>
  </hyperlinks>
  <pageMargins left="0.7" right="0.7" top="0.75" bottom="0.75" header="0.3" footer="0.3"/>
  <pageSetup scale="69" orientation="portrait" r:id="rId3"/>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EF7F0F4-4FDD-4639-BF3B-3256DF23FA36}">
  <sheetPr codeName="Sheet21"/>
  <dimension ref="A1:J30"/>
  <sheetViews>
    <sheetView view="pageBreakPreview" topLeftCell="A4" zoomScaleNormal="100" zoomScaleSheetLayoutView="100" workbookViewId="0">
      <selection activeCell="F21" sqref="F21"/>
    </sheetView>
  </sheetViews>
  <sheetFormatPr defaultRowHeight="12.75" x14ac:dyDescent="0.2"/>
  <cols>
    <col min="1" max="1" width="24.140625" style="644" bestFit="1" customWidth="1"/>
    <col min="2" max="2" width="16" style="644" customWidth="1"/>
    <col min="3" max="3" width="10.5703125" style="644" bestFit="1" customWidth="1"/>
    <col min="4" max="4" width="15.85546875" style="644" bestFit="1" customWidth="1"/>
    <col min="5" max="5" width="24" style="644" bestFit="1" customWidth="1"/>
    <col min="6" max="6" width="10.42578125" style="644" customWidth="1"/>
    <col min="7" max="7" width="14.5703125" style="644" bestFit="1" customWidth="1"/>
    <col min="8" max="9" width="10.140625" style="644" bestFit="1" customWidth="1"/>
    <col min="10" max="10" width="0" style="644" hidden="1" customWidth="1"/>
    <col min="11" max="256" width="9.140625" style="644"/>
    <col min="257" max="257" width="24.140625" style="644" bestFit="1" customWidth="1"/>
    <col min="258" max="258" width="16" style="644" customWidth="1"/>
    <col min="259" max="259" width="10.5703125" style="644" bestFit="1" customWidth="1"/>
    <col min="260" max="260" width="15.85546875" style="644" bestFit="1" customWidth="1"/>
    <col min="261" max="261" width="24" style="644" bestFit="1" customWidth="1"/>
    <col min="262" max="262" width="10.42578125" style="644" customWidth="1"/>
    <col min="263" max="263" width="14.5703125" style="644" bestFit="1" customWidth="1"/>
    <col min="264" max="265" width="10.140625" style="644" bestFit="1" customWidth="1"/>
    <col min="266" max="266" width="0" style="644" hidden="1" customWidth="1"/>
    <col min="267" max="512" width="9.140625" style="644"/>
    <col min="513" max="513" width="24.140625" style="644" bestFit="1" customWidth="1"/>
    <col min="514" max="514" width="16" style="644" customWidth="1"/>
    <col min="515" max="515" width="10.5703125" style="644" bestFit="1" customWidth="1"/>
    <col min="516" max="516" width="15.85546875" style="644" bestFit="1" customWidth="1"/>
    <col min="517" max="517" width="24" style="644" bestFit="1" customWidth="1"/>
    <col min="518" max="518" width="10.42578125" style="644" customWidth="1"/>
    <col min="519" max="519" width="14.5703125" style="644" bestFit="1" customWidth="1"/>
    <col min="520" max="521" width="10.140625" style="644" bestFit="1" customWidth="1"/>
    <col min="522" max="522" width="0" style="644" hidden="1" customWidth="1"/>
    <col min="523" max="768" width="9.140625" style="644"/>
    <col min="769" max="769" width="24.140625" style="644" bestFit="1" customWidth="1"/>
    <col min="770" max="770" width="16" style="644" customWidth="1"/>
    <col min="771" max="771" width="10.5703125" style="644" bestFit="1" customWidth="1"/>
    <col min="772" max="772" width="15.85546875" style="644" bestFit="1" customWidth="1"/>
    <col min="773" max="773" width="24" style="644" bestFit="1" customWidth="1"/>
    <col min="774" max="774" width="10.42578125" style="644" customWidth="1"/>
    <col min="775" max="775" width="14.5703125" style="644" bestFit="1" customWidth="1"/>
    <col min="776" max="777" width="10.140625" style="644" bestFit="1" customWidth="1"/>
    <col min="778" max="778" width="0" style="644" hidden="1" customWidth="1"/>
    <col min="779" max="1024" width="9.140625" style="644"/>
    <col min="1025" max="1025" width="24.140625" style="644" bestFit="1" customWidth="1"/>
    <col min="1026" max="1026" width="16" style="644" customWidth="1"/>
    <col min="1027" max="1027" width="10.5703125" style="644" bestFit="1" customWidth="1"/>
    <col min="1028" max="1028" width="15.85546875" style="644" bestFit="1" customWidth="1"/>
    <col min="1029" max="1029" width="24" style="644" bestFit="1" customWidth="1"/>
    <col min="1030" max="1030" width="10.42578125" style="644" customWidth="1"/>
    <col min="1031" max="1031" width="14.5703125" style="644" bestFit="1" customWidth="1"/>
    <col min="1032" max="1033" width="10.140625" style="644" bestFit="1" customWidth="1"/>
    <col min="1034" max="1034" width="0" style="644" hidden="1" customWidth="1"/>
    <col min="1035" max="1280" width="9.140625" style="644"/>
    <col min="1281" max="1281" width="24.140625" style="644" bestFit="1" customWidth="1"/>
    <col min="1282" max="1282" width="16" style="644" customWidth="1"/>
    <col min="1283" max="1283" width="10.5703125" style="644" bestFit="1" customWidth="1"/>
    <col min="1284" max="1284" width="15.85546875" style="644" bestFit="1" customWidth="1"/>
    <col min="1285" max="1285" width="24" style="644" bestFit="1" customWidth="1"/>
    <col min="1286" max="1286" width="10.42578125" style="644" customWidth="1"/>
    <col min="1287" max="1287" width="14.5703125" style="644" bestFit="1" customWidth="1"/>
    <col min="1288" max="1289" width="10.140625" style="644" bestFit="1" customWidth="1"/>
    <col min="1290" max="1290" width="0" style="644" hidden="1" customWidth="1"/>
    <col min="1291" max="1536" width="9.140625" style="644"/>
    <col min="1537" max="1537" width="24.140625" style="644" bestFit="1" customWidth="1"/>
    <col min="1538" max="1538" width="16" style="644" customWidth="1"/>
    <col min="1539" max="1539" width="10.5703125" style="644" bestFit="1" customWidth="1"/>
    <col min="1540" max="1540" width="15.85546875" style="644" bestFit="1" customWidth="1"/>
    <col min="1541" max="1541" width="24" style="644" bestFit="1" customWidth="1"/>
    <col min="1542" max="1542" width="10.42578125" style="644" customWidth="1"/>
    <col min="1543" max="1543" width="14.5703125" style="644" bestFit="1" customWidth="1"/>
    <col min="1544" max="1545" width="10.140625" style="644" bestFit="1" customWidth="1"/>
    <col min="1546" max="1546" width="0" style="644" hidden="1" customWidth="1"/>
    <col min="1547" max="1792" width="9.140625" style="644"/>
    <col min="1793" max="1793" width="24.140625" style="644" bestFit="1" customWidth="1"/>
    <col min="1794" max="1794" width="16" style="644" customWidth="1"/>
    <col min="1795" max="1795" width="10.5703125" style="644" bestFit="1" customWidth="1"/>
    <col min="1796" max="1796" width="15.85546875" style="644" bestFit="1" customWidth="1"/>
    <col min="1797" max="1797" width="24" style="644" bestFit="1" customWidth="1"/>
    <col min="1798" max="1798" width="10.42578125" style="644" customWidth="1"/>
    <col min="1799" max="1799" width="14.5703125" style="644" bestFit="1" customWidth="1"/>
    <col min="1800" max="1801" width="10.140625" style="644" bestFit="1" customWidth="1"/>
    <col min="1802" max="1802" width="0" style="644" hidden="1" customWidth="1"/>
    <col min="1803" max="2048" width="9.140625" style="644"/>
    <col min="2049" max="2049" width="24.140625" style="644" bestFit="1" customWidth="1"/>
    <col min="2050" max="2050" width="16" style="644" customWidth="1"/>
    <col min="2051" max="2051" width="10.5703125" style="644" bestFit="1" customWidth="1"/>
    <col min="2052" max="2052" width="15.85546875" style="644" bestFit="1" customWidth="1"/>
    <col min="2053" max="2053" width="24" style="644" bestFit="1" customWidth="1"/>
    <col min="2054" max="2054" width="10.42578125" style="644" customWidth="1"/>
    <col min="2055" max="2055" width="14.5703125" style="644" bestFit="1" customWidth="1"/>
    <col min="2056" max="2057" width="10.140625" style="644" bestFit="1" customWidth="1"/>
    <col min="2058" max="2058" width="0" style="644" hidden="1" customWidth="1"/>
    <col min="2059" max="2304" width="9.140625" style="644"/>
    <col min="2305" max="2305" width="24.140625" style="644" bestFit="1" customWidth="1"/>
    <col min="2306" max="2306" width="16" style="644" customWidth="1"/>
    <col min="2307" max="2307" width="10.5703125" style="644" bestFit="1" customWidth="1"/>
    <col min="2308" max="2308" width="15.85546875" style="644" bestFit="1" customWidth="1"/>
    <col min="2309" max="2309" width="24" style="644" bestFit="1" customWidth="1"/>
    <col min="2310" max="2310" width="10.42578125" style="644" customWidth="1"/>
    <col min="2311" max="2311" width="14.5703125" style="644" bestFit="1" customWidth="1"/>
    <col min="2312" max="2313" width="10.140625" style="644" bestFit="1" customWidth="1"/>
    <col min="2314" max="2314" width="0" style="644" hidden="1" customWidth="1"/>
    <col min="2315" max="2560" width="9.140625" style="644"/>
    <col min="2561" max="2561" width="24.140625" style="644" bestFit="1" customWidth="1"/>
    <col min="2562" max="2562" width="16" style="644" customWidth="1"/>
    <col min="2563" max="2563" width="10.5703125" style="644" bestFit="1" customWidth="1"/>
    <col min="2564" max="2564" width="15.85546875" style="644" bestFit="1" customWidth="1"/>
    <col min="2565" max="2565" width="24" style="644" bestFit="1" customWidth="1"/>
    <col min="2566" max="2566" width="10.42578125" style="644" customWidth="1"/>
    <col min="2567" max="2567" width="14.5703125" style="644" bestFit="1" customWidth="1"/>
    <col min="2568" max="2569" width="10.140625" style="644" bestFit="1" customWidth="1"/>
    <col min="2570" max="2570" width="0" style="644" hidden="1" customWidth="1"/>
    <col min="2571" max="2816" width="9.140625" style="644"/>
    <col min="2817" max="2817" width="24.140625" style="644" bestFit="1" customWidth="1"/>
    <col min="2818" max="2818" width="16" style="644" customWidth="1"/>
    <col min="2819" max="2819" width="10.5703125" style="644" bestFit="1" customWidth="1"/>
    <col min="2820" max="2820" width="15.85546875" style="644" bestFit="1" customWidth="1"/>
    <col min="2821" max="2821" width="24" style="644" bestFit="1" customWidth="1"/>
    <col min="2822" max="2822" width="10.42578125" style="644" customWidth="1"/>
    <col min="2823" max="2823" width="14.5703125" style="644" bestFit="1" customWidth="1"/>
    <col min="2824" max="2825" width="10.140625" style="644" bestFit="1" customWidth="1"/>
    <col min="2826" max="2826" width="0" style="644" hidden="1" customWidth="1"/>
    <col min="2827" max="3072" width="9.140625" style="644"/>
    <col min="3073" max="3073" width="24.140625" style="644" bestFit="1" customWidth="1"/>
    <col min="3074" max="3074" width="16" style="644" customWidth="1"/>
    <col min="3075" max="3075" width="10.5703125" style="644" bestFit="1" customWidth="1"/>
    <col min="3076" max="3076" width="15.85546875" style="644" bestFit="1" customWidth="1"/>
    <col min="3077" max="3077" width="24" style="644" bestFit="1" customWidth="1"/>
    <col min="3078" max="3078" width="10.42578125" style="644" customWidth="1"/>
    <col min="3079" max="3079" width="14.5703125" style="644" bestFit="1" customWidth="1"/>
    <col min="3080" max="3081" width="10.140625" style="644" bestFit="1" customWidth="1"/>
    <col min="3082" max="3082" width="0" style="644" hidden="1" customWidth="1"/>
    <col min="3083" max="3328" width="9.140625" style="644"/>
    <col min="3329" max="3329" width="24.140625" style="644" bestFit="1" customWidth="1"/>
    <col min="3330" max="3330" width="16" style="644" customWidth="1"/>
    <col min="3331" max="3331" width="10.5703125" style="644" bestFit="1" customWidth="1"/>
    <col min="3332" max="3332" width="15.85546875" style="644" bestFit="1" customWidth="1"/>
    <col min="3333" max="3333" width="24" style="644" bestFit="1" customWidth="1"/>
    <col min="3334" max="3334" width="10.42578125" style="644" customWidth="1"/>
    <col min="3335" max="3335" width="14.5703125" style="644" bestFit="1" customWidth="1"/>
    <col min="3336" max="3337" width="10.140625" style="644" bestFit="1" customWidth="1"/>
    <col min="3338" max="3338" width="0" style="644" hidden="1" customWidth="1"/>
    <col min="3339" max="3584" width="9.140625" style="644"/>
    <col min="3585" max="3585" width="24.140625" style="644" bestFit="1" customWidth="1"/>
    <col min="3586" max="3586" width="16" style="644" customWidth="1"/>
    <col min="3587" max="3587" width="10.5703125" style="644" bestFit="1" customWidth="1"/>
    <col min="3588" max="3588" width="15.85546875" style="644" bestFit="1" customWidth="1"/>
    <col min="3589" max="3589" width="24" style="644" bestFit="1" customWidth="1"/>
    <col min="3590" max="3590" width="10.42578125" style="644" customWidth="1"/>
    <col min="3591" max="3591" width="14.5703125" style="644" bestFit="1" customWidth="1"/>
    <col min="3592" max="3593" width="10.140625" style="644" bestFit="1" customWidth="1"/>
    <col min="3594" max="3594" width="0" style="644" hidden="1" customWidth="1"/>
    <col min="3595" max="3840" width="9.140625" style="644"/>
    <col min="3841" max="3841" width="24.140625" style="644" bestFit="1" customWidth="1"/>
    <col min="3842" max="3842" width="16" style="644" customWidth="1"/>
    <col min="3843" max="3843" width="10.5703125" style="644" bestFit="1" customWidth="1"/>
    <col min="3844" max="3844" width="15.85546875" style="644" bestFit="1" customWidth="1"/>
    <col min="3845" max="3845" width="24" style="644" bestFit="1" customWidth="1"/>
    <col min="3846" max="3846" width="10.42578125" style="644" customWidth="1"/>
    <col min="3847" max="3847" width="14.5703125" style="644" bestFit="1" customWidth="1"/>
    <col min="3848" max="3849" width="10.140625" style="644" bestFit="1" customWidth="1"/>
    <col min="3850" max="3850" width="0" style="644" hidden="1" customWidth="1"/>
    <col min="3851" max="4096" width="9.140625" style="644"/>
    <col min="4097" max="4097" width="24.140625" style="644" bestFit="1" customWidth="1"/>
    <col min="4098" max="4098" width="16" style="644" customWidth="1"/>
    <col min="4099" max="4099" width="10.5703125" style="644" bestFit="1" customWidth="1"/>
    <col min="4100" max="4100" width="15.85546875" style="644" bestFit="1" customWidth="1"/>
    <col min="4101" max="4101" width="24" style="644" bestFit="1" customWidth="1"/>
    <col min="4102" max="4102" width="10.42578125" style="644" customWidth="1"/>
    <col min="4103" max="4103" width="14.5703125" style="644" bestFit="1" customWidth="1"/>
    <col min="4104" max="4105" width="10.140625" style="644" bestFit="1" customWidth="1"/>
    <col min="4106" max="4106" width="0" style="644" hidden="1" customWidth="1"/>
    <col min="4107" max="4352" width="9.140625" style="644"/>
    <col min="4353" max="4353" width="24.140625" style="644" bestFit="1" customWidth="1"/>
    <col min="4354" max="4354" width="16" style="644" customWidth="1"/>
    <col min="4355" max="4355" width="10.5703125" style="644" bestFit="1" customWidth="1"/>
    <col min="4356" max="4356" width="15.85546875" style="644" bestFit="1" customWidth="1"/>
    <col min="4357" max="4357" width="24" style="644" bestFit="1" customWidth="1"/>
    <col min="4358" max="4358" width="10.42578125" style="644" customWidth="1"/>
    <col min="4359" max="4359" width="14.5703125" style="644" bestFit="1" customWidth="1"/>
    <col min="4360" max="4361" width="10.140625" style="644" bestFit="1" customWidth="1"/>
    <col min="4362" max="4362" width="0" style="644" hidden="1" customWidth="1"/>
    <col min="4363" max="4608" width="9.140625" style="644"/>
    <col min="4609" max="4609" width="24.140625" style="644" bestFit="1" customWidth="1"/>
    <col min="4610" max="4610" width="16" style="644" customWidth="1"/>
    <col min="4611" max="4611" width="10.5703125" style="644" bestFit="1" customWidth="1"/>
    <col min="4612" max="4612" width="15.85546875" style="644" bestFit="1" customWidth="1"/>
    <col min="4613" max="4613" width="24" style="644" bestFit="1" customWidth="1"/>
    <col min="4614" max="4614" width="10.42578125" style="644" customWidth="1"/>
    <col min="4615" max="4615" width="14.5703125" style="644" bestFit="1" customWidth="1"/>
    <col min="4616" max="4617" width="10.140625" style="644" bestFit="1" customWidth="1"/>
    <col min="4618" max="4618" width="0" style="644" hidden="1" customWidth="1"/>
    <col min="4619" max="4864" width="9.140625" style="644"/>
    <col min="4865" max="4865" width="24.140625" style="644" bestFit="1" customWidth="1"/>
    <col min="4866" max="4866" width="16" style="644" customWidth="1"/>
    <col min="4867" max="4867" width="10.5703125" style="644" bestFit="1" customWidth="1"/>
    <col min="4868" max="4868" width="15.85546875" style="644" bestFit="1" customWidth="1"/>
    <col min="4869" max="4869" width="24" style="644" bestFit="1" customWidth="1"/>
    <col min="4870" max="4870" width="10.42578125" style="644" customWidth="1"/>
    <col min="4871" max="4871" width="14.5703125" style="644" bestFit="1" customWidth="1"/>
    <col min="4872" max="4873" width="10.140625" style="644" bestFit="1" customWidth="1"/>
    <col min="4874" max="4874" width="0" style="644" hidden="1" customWidth="1"/>
    <col min="4875" max="5120" width="9.140625" style="644"/>
    <col min="5121" max="5121" width="24.140625" style="644" bestFit="1" customWidth="1"/>
    <col min="5122" max="5122" width="16" style="644" customWidth="1"/>
    <col min="5123" max="5123" width="10.5703125" style="644" bestFit="1" customWidth="1"/>
    <col min="5124" max="5124" width="15.85546875" style="644" bestFit="1" customWidth="1"/>
    <col min="5125" max="5125" width="24" style="644" bestFit="1" customWidth="1"/>
    <col min="5126" max="5126" width="10.42578125" style="644" customWidth="1"/>
    <col min="5127" max="5127" width="14.5703125" style="644" bestFit="1" customWidth="1"/>
    <col min="5128" max="5129" width="10.140625" style="644" bestFit="1" customWidth="1"/>
    <col min="5130" max="5130" width="0" style="644" hidden="1" customWidth="1"/>
    <col min="5131" max="5376" width="9.140625" style="644"/>
    <col min="5377" max="5377" width="24.140625" style="644" bestFit="1" customWidth="1"/>
    <col min="5378" max="5378" width="16" style="644" customWidth="1"/>
    <col min="5379" max="5379" width="10.5703125" style="644" bestFit="1" customWidth="1"/>
    <col min="5380" max="5380" width="15.85546875" style="644" bestFit="1" customWidth="1"/>
    <col min="5381" max="5381" width="24" style="644" bestFit="1" customWidth="1"/>
    <col min="5382" max="5382" width="10.42578125" style="644" customWidth="1"/>
    <col min="5383" max="5383" width="14.5703125" style="644" bestFit="1" customWidth="1"/>
    <col min="5384" max="5385" width="10.140625" style="644" bestFit="1" customWidth="1"/>
    <col min="5386" max="5386" width="0" style="644" hidden="1" customWidth="1"/>
    <col min="5387" max="5632" width="9.140625" style="644"/>
    <col min="5633" max="5633" width="24.140625" style="644" bestFit="1" customWidth="1"/>
    <col min="5634" max="5634" width="16" style="644" customWidth="1"/>
    <col min="5635" max="5635" width="10.5703125" style="644" bestFit="1" customWidth="1"/>
    <col min="5636" max="5636" width="15.85546875" style="644" bestFit="1" customWidth="1"/>
    <col min="5637" max="5637" width="24" style="644" bestFit="1" customWidth="1"/>
    <col min="5638" max="5638" width="10.42578125" style="644" customWidth="1"/>
    <col min="5639" max="5639" width="14.5703125" style="644" bestFit="1" customWidth="1"/>
    <col min="5640" max="5641" width="10.140625" style="644" bestFit="1" customWidth="1"/>
    <col min="5642" max="5642" width="0" style="644" hidden="1" customWidth="1"/>
    <col min="5643" max="5888" width="9.140625" style="644"/>
    <col min="5889" max="5889" width="24.140625" style="644" bestFit="1" customWidth="1"/>
    <col min="5890" max="5890" width="16" style="644" customWidth="1"/>
    <col min="5891" max="5891" width="10.5703125" style="644" bestFit="1" customWidth="1"/>
    <col min="5892" max="5892" width="15.85546875" style="644" bestFit="1" customWidth="1"/>
    <col min="5893" max="5893" width="24" style="644" bestFit="1" customWidth="1"/>
    <col min="5894" max="5894" width="10.42578125" style="644" customWidth="1"/>
    <col min="5895" max="5895" width="14.5703125" style="644" bestFit="1" customWidth="1"/>
    <col min="5896" max="5897" width="10.140625" style="644" bestFit="1" customWidth="1"/>
    <col min="5898" max="5898" width="0" style="644" hidden="1" customWidth="1"/>
    <col min="5899" max="6144" width="9.140625" style="644"/>
    <col min="6145" max="6145" width="24.140625" style="644" bestFit="1" customWidth="1"/>
    <col min="6146" max="6146" width="16" style="644" customWidth="1"/>
    <col min="6147" max="6147" width="10.5703125" style="644" bestFit="1" customWidth="1"/>
    <col min="6148" max="6148" width="15.85546875" style="644" bestFit="1" customWidth="1"/>
    <col min="6149" max="6149" width="24" style="644" bestFit="1" customWidth="1"/>
    <col min="6150" max="6150" width="10.42578125" style="644" customWidth="1"/>
    <col min="6151" max="6151" width="14.5703125" style="644" bestFit="1" customWidth="1"/>
    <col min="6152" max="6153" width="10.140625" style="644" bestFit="1" customWidth="1"/>
    <col min="6154" max="6154" width="0" style="644" hidden="1" customWidth="1"/>
    <col min="6155" max="6400" width="9.140625" style="644"/>
    <col min="6401" max="6401" width="24.140625" style="644" bestFit="1" customWidth="1"/>
    <col min="6402" max="6402" width="16" style="644" customWidth="1"/>
    <col min="6403" max="6403" width="10.5703125" style="644" bestFit="1" customWidth="1"/>
    <col min="6404" max="6404" width="15.85546875" style="644" bestFit="1" customWidth="1"/>
    <col min="6405" max="6405" width="24" style="644" bestFit="1" customWidth="1"/>
    <col min="6406" max="6406" width="10.42578125" style="644" customWidth="1"/>
    <col min="6407" max="6407" width="14.5703125" style="644" bestFit="1" customWidth="1"/>
    <col min="6408" max="6409" width="10.140625" style="644" bestFit="1" customWidth="1"/>
    <col min="6410" max="6410" width="0" style="644" hidden="1" customWidth="1"/>
    <col min="6411" max="6656" width="9.140625" style="644"/>
    <col min="6657" max="6657" width="24.140625" style="644" bestFit="1" customWidth="1"/>
    <col min="6658" max="6658" width="16" style="644" customWidth="1"/>
    <col min="6659" max="6659" width="10.5703125" style="644" bestFit="1" customWidth="1"/>
    <col min="6660" max="6660" width="15.85546875" style="644" bestFit="1" customWidth="1"/>
    <col min="6661" max="6661" width="24" style="644" bestFit="1" customWidth="1"/>
    <col min="6662" max="6662" width="10.42578125" style="644" customWidth="1"/>
    <col min="6663" max="6663" width="14.5703125" style="644" bestFit="1" customWidth="1"/>
    <col min="6664" max="6665" width="10.140625" style="644" bestFit="1" customWidth="1"/>
    <col min="6666" max="6666" width="0" style="644" hidden="1" customWidth="1"/>
    <col min="6667" max="6912" width="9.140625" style="644"/>
    <col min="6913" max="6913" width="24.140625" style="644" bestFit="1" customWidth="1"/>
    <col min="6914" max="6914" width="16" style="644" customWidth="1"/>
    <col min="6915" max="6915" width="10.5703125" style="644" bestFit="1" customWidth="1"/>
    <col min="6916" max="6916" width="15.85546875" style="644" bestFit="1" customWidth="1"/>
    <col min="6917" max="6917" width="24" style="644" bestFit="1" customWidth="1"/>
    <col min="6918" max="6918" width="10.42578125" style="644" customWidth="1"/>
    <col min="6919" max="6919" width="14.5703125" style="644" bestFit="1" customWidth="1"/>
    <col min="6920" max="6921" width="10.140625" style="644" bestFit="1" customWidth="1"/>
    <col min="6922" max="6922" width="0" style="644" hidden="1" customWidth="1"/>
    <col min="6923" max="7168" width="9.140625" style="644"/>
    <col min="7169" max="7169" width="24.140625" style="644" bestFit="1" customWidth="1"/>
    <col min="7170" max="7170" width="16" style="644" customWidth="1"/>
    <col min="7171" max="7171" width="10.5703125" style="644" bestFit="1" customWidth="1"/>
    <col min="7172" max="7172" width="15.85546875" style="644" bestFit="1" customWidth="1"/>
    <col min="7173" max="7173" width="24" style="644" bestFit="1" customWidth="1"/>
    <col min="7174" max="7174" width="10.42578125" style="644" customWidth="1"/>
    <col min="7175" max="7175" width="14.5703125" style="644" bestFit="1" customWidth="1"/>
    <col min="7176" max="7177" width="10.140625" style="644" bestFit="1" customWidth="1"/>
    <col min="7178" max="7178" width="0" style="644" hidden="1" customWidth="1"/>
    <col min="7179" max="7424" width="9.140625" style="644"/>
    <col min="7425" max="7425" width="24.140625" style="644" bestFit="1" customWidth="1"/>
    <col min="7426" max="7426" width="16" style="644" customWidth="1"/>
    <col min="7427" max="7427" width="10.5703125" style="644" bestFit="1" customWidth="1"/>
    <col min="7428" max="7428" width="15.85546875" style="644" bestFit="1" customWidth="1"/>
    <col min="7429" max="7429" width="24" style="644" bestFit="1" customWidth="1"/>
    <col min="7430" max="7430" width="10.42578125" style="644" customWidth="1"/>
    <col min="7431" max="7431" width="14.5703125" style="644" bestFit="1" customWidth="1"/>
    <col min="7432" max="7433" width="10.140625" style="644" bestFit="1" customWidth="1"/>
    <col min="7434" max="7434" width="0" style="644" hidden="1" customWidth="1"/>
    <col min="7435" max="7680" width="9.140625" style="644"/>
    <col min="7681" max="7681" width="24.140625" style="644" bestFit="1" customWidth="1"/>
    <col min="7682" max="7682" width="16" style="644" customWidth="1"/>
    <col min="7683" max="7683" width="10.5703125" style="644" bestFit="1" customWidth="1"/>
    <col min="7684" max="7684" width="15.85546875" style="644" bestFit="1" customWidth="1"/>
    <col min="7685" max="7685" width="24" style="644" bestFit="1" customWidth="1"/>
    <col min="7686" max="7686" width="10.42578125" style="644" customWidth="1"/>
    <col min="7687" max="7687" width="14.5703125" style="644" bestFit="1" customWidth="1"/>
    <col min="7688" max="7689" width="10.140625" style="644" bestFit="1" customWidth="1"/>
    <col min="7690" max="7690" width="0" style="644" hidden="1" customWidth="1"/>
    <col min="7691" max="7936" width="9.140625" style="644"/>
    <col min="7937" max="7937" width="24.140625" style="644" bestFit="1" customWidth="1"/>
    <col min="7938" max="7938" width="16" style="644" customWidth="1"/>
    <col min="7939" max="7939" width="10.5703125" style="644" bestFit="1" customWidth="1"/>
    <col min="7940" max="7940" width="15.85546875" style="644" bestFit="1" customWidth="1"/>
    <col min="7941" max="7941" width="24" style="644" bestFit="1" customWidth="1"/>
    <col min="7942" max="7942" width="10.42578125" style="644" customWidth="1"/>
    <col min="7943" max="7943" width="14.5703125" style="644" bestFit="1" customWidth="1"/>
    <col min="7944" max="7945" width="10.140625" style="644" bestFit="1" customWidth="1"/>
    <col min="7946" max="7946" width="0" style="644" hidden="1" customWidth="1"/>
    <col min="7947" max="8192" width="9.140625" style="644"/>
    <col min="8193" max="8193" width="24.140625" style="644" bestFit="1" customWidth="1"/>
    <col min="8194" max="8194" width="16" style="644" customWidth="1"/>
    <col min="8195" max="8195" width="10.5703125" style="644" bestFit="1" customWidth="1"/>
    <col min="8196" max="8196" width="15.85546875" style="644" bestFit="1" customWidth="1"/>
    <col min="8197" max="8197" width="24" style="644" bestFit="1" customWidth="1"/>
    <col min="8198" max="8198" width="10.42578125" style="644" customWidth="1"/>
    <col min="8199" max="8199" width="14.5703125" style="644" bestFit="1" customWidth="1"/>
    <col min="8200" max="8201" width="10.140625" style="644" bestFit="1" customWidth="1"/>
    <col min="8202" max="8202" width="0" style="644" hidden="1" customWidth="1"/>
    <col min="8203" max="8448" width="9.140625" style="644"/>
    <col min="8449" max="8449" width="24.140625" style="644" bestFit="1" customWidth="1"/>
    <col min="8450" max="8450" width="16" style="644" customWidth="1"/>
    <col min="8451" max="8451" width="10.5703125" style="644" bestFit="1" customWidth="1"/>
    <col min="8452" max="8452" width="15.85546875" style="644" bestFit="1" customWidth="1"/>
    <col min="8453" max="8453" width="24" style="644" bestFit="1" customWidth="1"/>
    <col min="8454" max="8454" width="10.42578125" style="644" customWidth="1"/>
    <col min="8455" max="8455" width="14.5703125" style="644" bestFit="1" customWidth="1"/>
    <col min="8456" max="8457" width="10.140625" style="644" bestFit="1" customWidth="1"/>
    <col min="8458" max="8458" width="0" style="644" hidden="1" customWidth="1"/>
    <col min="8459" max="8704" width="9.140625" style="644"/>
    <col min="8705" max="8705" width="24.140625" style="644" bestFit="1" customWidth="1"/>
    <col min="8706" max="8706" width="16" style="644" customWidth="1"/>
    <col min="8707" max="8707" width="10.5703125" style="644" bestFit="1" customWidth="1"/>
    <col min="8708" max="8708" width="15.85546875" style="644" bestFit="1" customWidth="1"/>
    <col min="8709" max="8709" width="24" style="644" bestFit="1" customWidth="1"/>
    <col min="8710" max="8710" width="10.42578125" style="644" customWidth="1"/>
    <col min="8711" max="8711" width="14.5703125" style="644" bestFit="1" customWidth="1"/>
    <col min="8712" max="8713" width="10.140625" style="644" bestFit="1" customWidth="1"/>
    <col min="8714" max="8714" width="0" style="644" hidden="1" customWidth="1"/>
    <col min="8715" max="8960" width="9.140625" style="644"/>
    <col min="8961" max="8961" width="24.140625" style="644" bestFit="1" customWidth="1"/>
    <col min="8962" max="8962" width="16" style="644" customWidth="1"/>
    <col min="8963" max="8963" width="10.5703125" style="644" bestFit="1" customWidth="1"/>
    <col min="8964" max="8964" width="15.85546875" style="644" bestFit="1" customWidth="1"/>
    <col min="8965" max="8965" width="24" style="644" bestFit="1" customWidth="1"/>
    <col min="8966" max="8966" width="10.42578125" style="644" customWidth="1"/>
    <col min="8967" max="8967" width="14.5703125" style="644" bestFit="1" customWidth="1"/>
    <col min="8968" max="8969" width="10.140625" style="644" bestFit="1" customWidth="1"/>
    <col min="8970" max="8970" width="0" style="644" hidden="1" customWidth="1"/>
    <col min="8971" max="9216" width="9.140625" style="644"/>
    <col min="9217" max="9217" width="24.140625" style="644" bestFit="1" customWidth="1"/>
    <col min="9218" max="9218" width="16" style="644" customWidth="1"/>
    <col min="9219" max="9219" width="10.5703125" style="644" bestFit="1" customWidth="1"/>
    <col min="9220" max="9220" width="15.85546875" style="644" bestFit="1" customWidth="1"/>
    <col min="9221" max="9221" width="24" style="644" bestFit="1" customWidth="1"/>
    <col min="9222" max="9222" width="10.42578125" style="644" customWidth="1"/>
    <col min="9223" max="9223" width="14.5703125" style="644" bestFit="1" customWidth="1"/>
    <col min="9224" max="9225" width="10.140625" style="644" bestFit="1" customWidth="1"/>
    <col min="9226" max="9226" width="0" style="644" hidden="1" customWidth="1"/>
    <col min="9227" max="9472" width="9.140625" style="644"/>
    <col min="9473" max="9473" width="24.140625" style="644" bestFit="1" customWidth="1"/>
    <col min="9474" max="9474" width="16" style="644" customWidth="1"/>
    <col min="9475" max="9475" width="10.5703125" style="644" bestFit="1" customWidth="1"/>
    <col min="9476" max="9476" width="15.85546875" style="644" bestFit="1" customWidth="1"/>
    <col min="9477" max="9477" width="24" style="644" bestFit="1" customWidth="1"/>
    <col min="9478" max="9478" width="10.42578125" style="644" customWidth="1"/>
    <col min="9479" max="9479" width="14.5703125" style="644" bestFit="1" customWidth="1"/>
    <col min="9480" max="9481" width="10.140625" style="644" bestFit="1" customWidth="1"/>
    <col min="9482" max="9482" width="0" style="644" hidden="1" customWidth="1"/>
    <col min="9483" max="9728" width="9.140625" style="644"/>
    <col min="9729" max="9729" width="24.140625" style="644" bestFit="1" customWidth="1"/>
    <col min="9730" max="9730" width="16" style="644" customWidth="1"/>
    <col min="9731" max="9731" width="10.5703125" style="644" bestFit="1" customWidth="1"/>
    <col min="9732" max="9732" width="15.85546875" style="644" bestFit="1" customWidth="1"/>
    <col min="9733" max="9733" width="24" style="644" bestFit="1" customWidth="1"/>
    <col min="9734" max="9734" width="10.42578125" style="644" customWidth="1"/>
    <col min="9735" max="9735" width="14.5703125" style="644" bestFit="1" customWidth="1"/>
    <col min="9736" max="9737" width="10.140625" style="644" bestFit="1" customWidth="1"/>
    <col min="9738" max="9738" width="0" style="644" hidden="1" customWidth="1"/>
    <col min="9739" max="9984" width="9.140625" style="644"/>
    <col min="9985" max="9985" width="24.140625" style="644" bestFit="1" customWidth="1"/>
    <col min="9986" max="9986" width="16" style="644" customWidth="1"/>
    <col min="9987" max="9987" width="10.5703125" style="644" bestFit="1" customWidth="1"/>
    <col min="9988" max="9988" width="15.85546875" style="644" bestFit="1" customWidth="1"/>
    <col min="9989" max="9989" width="24" style="644" bestFit="1" customWidth="1"/>
    <col min="9990" max="9990" width="10.42578125" style="644" customWidth="1"/>
    <col min="9991" max="9991" width="14.5703125" style="644" bestFit="1" customWidth="1"/>
    <col min="9992" max="9993" width="10.140625" style="644" bestFit="1" customWidth="1"/>
    <col min="9994" max="9994" width="0" style="644" hidden="1" customWidth="1"/>
    <col min="9995" max="10240" width="9.140625" style="644"/>
    <col min="10241" max="10241" width="24.140625" style="644" bestFit="1" customWidth="1"/>
    <col min="10242" max="10242" width="16" style="644" customWidth="1"/>
    <col min="10243" max="10243" width="10.5703125" style="644" bestFit="1" customWidth="1"/>
    <col min="10244" max="10244" width="15.85546875" style="644" bestFit="1" customWidth="1"/>
    <col min="10245" max="10245" width="24" style="644" bestFit="1" customWidth="1"/>
    <col min="10246" max="10246" width="10.42578125" style="644" customWidth="1"/>
    <col min="10247" max="10247" width="14.5703125" style="644" bestFit="1" customWidth="1"/>
    <col min="10248" max="10249" width="10.140625" style="644" bestFit="1" customWidth="1"/>
    <col min="10250" max="10250" width="0" style="644" hidden="1" customWidth="1"/>
    <col min="10251" max="10496" width="9.140625" style="644"/>
    <col min="10497" max="10497" width="24.140625" style="644" bestFit="1" customWidth="1"/>
    <col min="10498" max="10498" width="16" style="644" customWidth="1"/>
    <col min="10499" max="10499" width="10.5703125" style="644" bestFit="1" customWidth="1"/>
    <col min="10500" max="10500" width="15.85546875" style="644" bestFit="1" customWidth="1"/>
    <col min="10501" max="10501" width="24" style="644" bestFit="1" customWidth="1"/>
    <col min="10502" max="10502" width="10.42578125" style="644" customWidth="1"/>
    <col min="10503" max="10503" width="14.5703125" style="644" bestFit="1" customWidth="1"/>
    <col min="10504" max="10505" width="10.140625" style="644" bestFit="1" customWidth="1"/>
    <col min="10506" max="10506" width="0" style="644" hidden="1" customWidth="1"/>
    <col min="10507" max="10752" width="9.140625" style="644"/>
    <col min="10753" max="10753" width="24.140625" style="644" bestFit="1" customWidth="1"/>
    <col min="10754" max="10754" width="16" style="644" customWidth="1"/>
    <col min="10755" max="10755" width="10.5703125" style="644" bestFit="1" customWidth="1"/>
    <col min="10756" max="10756" width="15.85546875" style="644" bestFit="1" customWidth="1"/>
    <col min="10757" max="10757" width="24" style="644" bestFit="1" customWidth="1"/>
    <col min="10758" max="10758" width="10.42578125" style="644" customWidth="1"/>
    <col min="10759" max="10759" width="14.5703125" style="644" bestFit="1" customWidth="1"/>
    <col min="10760" max="10761" width="10.140625" style="644" bestFit="1" customWidth="1"/>
    <col min="10762" max="10762" width="0" style="644" hidden="1" customWidth="1"/>
    <col min="10763" max="11008" width="9.140625" style="644"/>
    <col min="11009" max="11009" width="24.140625" style="644" bestFit="1" customWidth="1"/>
    <col min="11010" max="11010" width="16" style="644" customWidth="1"/>
    <col min="11011" max="11011" width="10.5703125" style="644" bestFit="1" customWidth="1"/>
    <col min="11012" max="11012" width="15.85546875" style="644" bestFit="1" customWidth="1"/>
    <col min="11013" max="11013" width="24" style="644" bestFit="1" customWidth="1"/>
    <col min="11014" max="11014" width="10.42578125" style="644" customWidth="1"/>
    <col min="11015" max="11015" width="14.5703125" style="644" bestFit="1" customWidth="1"/>
    <col min="11016" max="11017" width="10.140625" style="644" bestFit="1" customWidth="1"/>
    <col min="11018" max="11018" width="0" style="644" hidden="1" customWidth="1"/>
    <col min="11019" max="11264" width="9.140625" style="644"/>
    <col min="11265" max="11265" width="24.140625" style="644" bestFit="1" customWidth="1"/>
    <col min="11266" max="11266" width="16" style="644" customWidth="1"/>
    <col min="11267" max="11267" width="10.5703125" style="644" bestFit="1" customWidth="1"/>
    <col min="11268" max="11268" width="15.85546875" style="644" bestFit="1" customWidth="1"/>
    <col min="11269" max="11269" width="24" style="644" bestFit="1" customWidth="1"/>
    <col min="11270" max="11270" width="10.42578125" style="644" customWidth="1"/>
    <col min="11271" max="11271" width="14.5703125" style="644" bestFit="1" customWidth="1"/>
    <col min="11272" max="11273" width="10.140625" style="644" bestFit="1" customWidth="1"/>
    <col min="11274" max="11274" width="0" style="644" hidden="1" customWidth="1"/>
    <col min="11275" max="11520" width="9.140625" style="644"/>
    <col min="11521" max="11521" width="24.140625" style="644" bestFit="1" customWidth="1"/>
    <col min="11522" max="11522" width="16" style="644" customWidth="1"/>
    <col min="11523" max="11523" width="10.5703125" style="644" bestFit="1" customWidth="1"/>
    <col min="11524" max="11524" width="15.85546875" style="644" bestFit="1" customWidth="1"/>
    <col min="11525" max="11525" width="24" style="644" bestFit="1" customWidth="1"/>
    <col min="11526" max="11526" width="10.42578125" style="644" customWidth="1"/>
    <col min="11527" max="11527" width="14.5703125" style="644" bestFit="1" customWidth="1"/>
    <col min="11528" max="11529" width="10.140625" style="644" bestFit="1" customWidth="1"/>
    <col min="11530" max="11530" width="0" style="644" hidden="1" customWidth="1"/>
    <col min="11531" max="11776" width="9.140625" style="644"/>
    <col min="11777" max="11777" width="24.140625" style="644" bestFit="1" customWidth="1"/>
    <col min="11778" max="11778" width="16" style="644" customWidth="1"/>
    <col min="11779" max="11779" width="10.5703125" style="644" bestFit="1" customWidth="1"/>
    <col min="11780" max="11780" width="15.85546875" style="644" bestFit="1" customWidth="1"/>
    <col min="11781" max="11781" width="24" style="644" bestFit="1" customWidth="1"/>
    <col min="11782" max="11782" width="10.42578125" style="644" customWidth="1"/>
    <col min="11783" max="11783" width="14.5703125" style="644" bestFit="1" customWidth="1"/>
    <col min="11784" max="11785" width="10.140625" style="644" bestFit="1" customWidth="1"/>
    <col min="11786" max="11786" width="0" style="644" hidden="1" customWidth="1"/>
    <col min="11787" max="12032" width="9.140625" style="644"/>
    <col min="12033" max="12033" width="24.140625" style="644" bestFit="1" customWidth="1"/>
    <col min="12034" max="12034" width="16" style="644" customWidth="1"/>
    <col min="12035" max="12035" width="10.5703125" style="644" bestFit="1" customWidth="1"/>
    <col min="12036" max="12036" width="15.85546875" style="644" bestFit="1" customWidth="1"/>
    <col min="12037" max="12037" width="24" style="644" bestFit="1" customWidth="1"/>
    <col min="12038" max="12038" width="10.42578125" style="644" customWidth="1"/>
    <col min="12039" max="12039" width="14.5703125" style="644" bestFit="1" customWidth="1"/>
    <col min="12040" max="12041" width="10.140625" style="644" bestFit="1" customWidth="1"/>
    <col min="12042" max="12042" width="0" style="644" hidden="1" customWidth="1"/>
    <col min="12043" max="12288" width="9.140625" style="644"/>
    <col min="12289" max="12289" width="24.140625" style="644" bestFit="1" customWidth="1"/>
    <col min="12290" max="12290" width="16" style="644" customWidth="1"/>
    <col min="12291" max="12291" width="10.5703125" style="644" bestFit="1" customWidth="1"/>
    <col min="12292" max="12292" width="15.85546875" style="644" bestFit="1" customWidth="1"/>
    <col min="12293" max="12293" width="24" style="644" bestFit="1" customWidth="1"/>
    <col min="12294" max="12294" width="10.42578125" style="644" customWidth="1"/>
    <col min="12295" max="12295" width="14.5703125" style="644" bestFit="1" customWidth="1"/>
    <col min="12296" max="12297" width="10.140625" style="644" bestFit="1" customWidth="1"/>
    <col min="12298" max="12298" width="0" style="644" hidden="1" customWidth="1"/>
    <col min="12299" max="12544" width="9.140625" style="644"/>
    <col min="12545" max="12545" width="24.140625" style="644" bestFit="1" customWidth="1"/>
    <col min="12546" max="12546" width="16" style="644" customWidth="1"/>
    <col min="12547" max="12547" width="10.5703125" style="644" bestFit="1" customWidth="1"/>
    <col min="12548" max="12548" width="15.85546875" style="644" bestFit="1" customWidth="1"/>
    <col min="12549" max="12549" width="24" style="644" bestFit="1" customWidth="1"/>
    <col min="12550" max="12550" width="10.42578125" style="644" customWidth="1"/>
    <col min="12551" max="12551" width="14.5703125" style="644" bestFit="1" customWidth="1"/>
    <col min="12552" max="12553" width="10.140625" style="644" bestFit="1" customWidth="1"/>
    <col min="12554" max="12554" width="0" style="644" hidden="1" customWidth="1"/>
    <col min="12555" max="12800" width="9.140625" style="644"/>
    <col min="12801" max="12801" width="24.140625" style="644" bestFit="1" customWidth="1"/>
    <col min="12802" max="12802" width="16" style="644" customWidth="1"/>
    <col min="12803" max="12803" width="10.5703125" style="644" bestFit="1" customWidth="1"/>
    <col min="12804" max="12804" width="15.85546875" style="644" bestFit="1" customWidth="1"/>
    <col min="12805" max="12805" width="24" style="644" bestFit="1" customWidth="1"/>
    <col min="12806" max="12806" width="10.42578125" style="644" customWidth="1"/>
    <col min="12807" max="12807" width="14.5703125" style="644" bestFit="1" customWidth="1"/>
    <col min="12808" max="12809" width="10.140625" style="644" bestFit="1" customWidth="1"/>
    <col min="12810" max="12810" width="0" style="644" hidden="1" customWidth="1"/>
    <col min="12811" max="13056" width="9.140625" style="644"/>
    <col min="13057" max="13057" width="24.140625" style="644" bestFit="1" customWidth="1"/>
    <col min="13058" max="13058" width="16" style="644" customWidth="1"/>
    <col min="13059" max="13059" width="10.5703125" style="644" bestFit="1" customWidth="1"/>
    <col min="13060" max="13060" width="15.85546875" style="644" bestFit="1" customWidth="1"/>
    <col min="13061" max="13061" width="24" style="644" bestFit="1" customWidth="1"/>
    <col min="13062" max="13062" width="10.42578125" style="644" customWidth="1"/>
    <col min="13063" max="13063" width="14.5703125" style="644" bestFit="1" customWidth="1"/>
    <col min="13064" max="13065" width="10.140625" style="644" bestFit="1" customWidth="1"/>
    <col min="13066" max="13066" width="0" style="644" hidden="1" customWidth="1"/>
    <col min="13067" max="13312" width="9.140625" style="644"/>
    <col min="13313" max="13313" width="24.140625" style="644" bestFit="1" customWidth="1"/>
    <col min="13314" max="13314" width="16" style="644" customWidth="1"/>
    <col min="13315" max="13315" width="10.5703125" style="644" bestFit="1" customWidth="1"/>
    <col min="13316" max="13316" width="15.85546875" style="644" bestFit="1" customWidth="1"/>
    <col min="13317" max="13317" width="24" style="644" bestFit="1" customWidth="1"/>
    <col min="13318" max="13318" width="10.42578125" style="644" customWidth="1"/>
    <col min="13319" max="13319" width="14.5703125" style="644" bestFit="1" customWidth="1"/>
    <col min="13320" max="13321" width="10.140625" style="644" bestFit="1" customWidth="1"/>
    <col min="13322" max="13322" width="0" style="644" hidden="1" customWidth="1"/>
    <col min="13323" max="13568" width="9.140625" style="644"/>
    <col min="13569" max="13569" width="24.140625" style="644" bestFit="1" customWidth="1"/>
    <col min="13570" max="13570" width="16" style="644" customWidth="1"/>
    <col min="13571" max="13571" width="10.5703125" style="644" bestFit="1" customWidth="1"/>
    <col min="13572" max="13572" width="15.85546875" style="644" bestFit="1" customWidth="1"/>
    <col min="13573" max="13573" width="24" style="644" bestFit="1" customWidth="1"/>
    <col min="13574" max="13574" width="10.42578125" style="644" customWidth="1"/>
    <col min="13575" max="13575" width="14.5703125" style="644" bestFit="1" customWidth="1"/>
    <col min="13576" max="13577" width="10.140625" style="644" bestFit="1" customWidth="1"/>
    <col min="13578" max="13578" width="0" style="644" hidden="1" customWidth="1"/>
    <col min="13579" max="13824" width="9.140625" style="644"/>
    <col min="13825" max="13825" width="24.140625" style="644" bestFit="1" customWidth="1"/>
    <col min="13826" max="13826" width="16" style="644" customWidth="1"/>
    <col min="13827" max="13827" width="10.5703125" style="644" bestFit="1" customWidth="1"/>
    <col min="13828" max="13828" width="15.85546875" style="644" bestFit="1" customWidth="1"/>
    <col min="13829" max="13829" width="24" style="644" bestFit="1" customWidth="1"/>
    <col min="13830" max="13830" width="10.42578125" style="644" customWidth="1"/>
    <col min="13831" max="13831" width="14.5703125" style="644" bestFit="1" customWidth="1"/>
    <col min="13832" max="13833" width="10.140625" style="644" bestFit="1" customWidth="1"/>
    <col min="13834" max="13834" width="0" style="644" hidden="1" customWidth="1"/>
    <col min="13835" max="14080" width="9.140625" style="644"/>
    <col min="14081" max="14081" width="24.140625" style="644" bestFit="1" customWidth="1"/>
    <col min="14082" max="14082" width="16" style="644" customWidth="1"/>
    <col min="14083" max="14083" width="10.5703125" style="644" bestFit="1" customWidth="1"/>
    <col min="14084" max="14084" width="15.85546875" style="644" bestFit="1" customWidth="1"/>
    <col min="14085" max="14085" width="24" style="644" bestFit="1" customWidth="1"/>
    <col min="14086" max="14086" width="10.42578125" style="644" customWidth="1"/>
    <col min="14087" max="14087" width="14.5703125" style="644" bestFit="1" customWidth="1"/>
    <col min="14088" max="14089" width="10.140625" style="644" bestFit="1" customWidth="1"/>
    <col min="14090" max="14090" width="0" style="644" hidden="1" customWidth="1"/>
    <col min="14091" max="14336" width="9.140625" style="644"/>
    <col min="14337" max="14337" width="24.140625" style="644" bestFit="1" customWidth="1"/>
    <col min="14338" max="14338" width="16" style="644" customWidth="1"/>
    <col min="14339" max="14339" width="10.5703125" style="644" bestFit="1" customWidth="1"/>
    <col min="14340" max="14340" width="15.85546875" style="644" bestFit="1" customWidth="1"/>
    <col min="14341" max="14341" width="24" style="644" bestFit="1" customWidth="1"/>
    <col min="14342" max="14342" width="10.42578125" style="644" customWidth="1"/>
    <col min="14343" max="14343" width="14.5703125" style="644" bestFit="1" customWidth="1"/>
    <col min="14344" max="14345" width="10.140625" style="644" bestFit="1" customWidth="1"/>
    <col min="14346" max="14346" width="0" style="644" hidden="1" customWidth="1"/>
    <col min="14347" max="14592" width="9.140625" style="644"/>
    <col min="14593" max="14593" width="24.140625" style="644" bestFit="1" customWidth="1"/>
    <col min="14594" max="14594" width="16" style="644" customWidth="1"/>
    <col min="14595" max="14595" width="10.5703125" style="644" bestFit="1" customWidth="1"/>
    <col min="14596" max="14596" width="15.85546875" style="644" bestFit="1" customWidth="1"/>
    <col min="14597" max="14597" width="24" style="644" bestFit="1" customWidth="1"/>
    <col min="14598" max="14598" width="10.42578125" style="644" customWidth="1"/>
    <col min="14599" max="14599" width="14.5703125" style="644" bestFit="1" customWidth="1"/>
    <col min="14600" max="14601" width="10.140625" style="644" bestFit="1" customWidth="1"/>
    <col min="14602" max="14602" width="0" style="644" hidden="1" customWidth="1"/>
    <col min="14603" max="14848" width="9.140625" style="644"/>
    <col min="14849" max="14849" width="24.140625" style="644" bestFit="1" customWidth="1"/>
    <col min="14850" max="14850" width="16" style="644" customWidth="1"/>
    <col min="14851" max="14851" width="10.5703125" style="644" bestFit="1" customWidth="1"/>
    <col min="14852" max="14852" width="15.85546875" style="644" bestFit="1" customWidth="1"/>
    <col min="14853" max="14853" width="24" style="644" bestFit="1" customWidth="1"/>
    <col min="14854" max="14854" width="10.42578125" style="644" customWidth="1"/>
    <col min="14855" max="14855" width="14.5703125" style="644" bestFit="1" customWidth="1"/>
    <col min="14856" max="14857" width="10.140625" style="644" bestFit="1" customWidth="1"/>
    <col min="14858" max="14858" width="0" style="644" hidden="1" customWidth="1"/>
    <col min="14859" max="15104" width="9.140625" style="644"/>
    <col min="15105" max="15105" width="24.140625" style="644" bestFit="1" customWidth="1"/>
    <col min="15106" max="15106" width="16" style="644" customWidth="1"/>
    <col min="15107" max="15107" width="10.5703125" style="644" bestFit="1" customWidth="1"/>
    <col min="15108" max="15108" width="15.85546875" style="644" bestFit="1" customWidth="1"/>
    <col min="15109" max="15109" width="24" style="644" bestFit="1" customWidth="1"/>
    <col min="15110" max="15110" width="10.42578125" style="644" customWidth="1"/>
    <col min="15111" max="15111" width="14.5703125" style="644" bestFit="1" customWidth="1"/>
    <col min="15112" max="15113" width="10.140625" style="644" bestFit="1" customWidth="1"/>
    <col min="15114" max="15114" width="0" style="644" hidden="1" customWidth="1"/>
    <col min="15115" max="15360" width="9.140625" style="644"/>
    <col min="15361" max="15361" width="24.140625" style="644" bestFit="1" customWidth="1"/>
    <col min="15362" max="15362" width="16" style="644" customWidth="1"/>
    <col min="15363" max="15363" width="10.5703125" style="644" bestFit="1" customWidth="1"/>
    <col min="15364" max="15364" width="15.85546875" style="644" bestFit="1" customWidth="1"/>
    <col min="15365" max="15365" width="24" style="644" bestFit="1" customWidth="1"/>
    <col min="15366" max="15366" width="10.42578125" style="644" customWidth="1"/>
    <col min="15367" max="15367" width="14.5703125" style="644" bestFit="1" customWidth="1"/>
    <col min="15368" max="15369" width="10.140625" style="644" bestFit="1" customWidth="1"/>
    <col min="15370" max="15370" width="0" style="644" hidden="1" customWidth="1"/>
    <col min="15371" max="15616" width="9.140625" style="644"/>
    <col min="15617" max="15617" width="24.140625" style="644" bestFit="1" customWidth="1"/>
    <col min="15618" max="15618" width="16" style="644" customWidth="1"/>
    <col min="15619" max="15619" width="10.5703125" style="644" bestFit="1" customWidth="1"/>
    <col min="15620" max="15620" width="15.85546875" style="644" bestFit="1" customWidth="1"/>
    <col min="15621" max="15621" width="24" style="644" bestFit="1" customWidth="1"/>
    <col min="15622" max="15622" width="10.42578125" style="644" customWidth="1"/>
    <col min="15623" max="15623" width="14.5703125" style="644" bestFit="1" customWidth="1"/>
    <col min="15624" max="15625" width="10.140625" style="644" bestFit="1" customWidth="1"/>
    <col min="15626" max="15626" width="0" style="644" hidden="1" customWidth="1"/>
    <col min="15627" max="15872" width="9.140625" style="644"/>
    <col min="15873" max="15873" width="24.140625" style="644" bestFit="1" customWidth="1"/>
    <col min="15874" max="15874" width="16" style="644" customWidth="1"/>
    <col min="15875" max="15875" width="10.5703125" style="644" bestFit="1" customWidth="1"/>
    <col min="15876" max="15876" width="15.85546875" style="644" bestFit="1" customWidth="1"/>
    <col min="15877" max="15877" width="24" style="644" bestFit="1" customWidth="1"/>
    <col min="15878" max="15878" width="10.42578125" style="644" customWidth="1"/>
    <col min="15879" max="15879" width="14.5703125" style="644" bestFit="1" customWidth="1"/>
    <col min="15880" max="15881" width="10.140625" style="644" bestFit="1" customWidth="1"/>
    <col min="15882" max="15882" width="0" style="644" hidden="1" customWidth="1"/>
    <col min="15883" max="16128" width="9.140625" style="644"/>
    <col min="16129" max="16129" width="24.140625" style="644" bestFit="1" customWidth="1"/>
    <col min="16130" max="16130" width="16" style="644" customWidth="1"/>
    <col min="16131" max="16131" width="10.5703125" style="644" bestFit="1" customWidth="1"/>
    <col min="16132" max="16132" width="15.85546875" style="644" bestFit="1" customWidth="1"/>
    <col min="16133" max="16133" width="24" style="644" bestFit="1" customWidth="1"/>
    <col min="16134" max="16134" width="10.42578125" style="644" customWidth="1"/>
    <col min="16135" max="16135" width="14.5703125" style="644" bestFit="1" customWidth="1"/>
    <col min="16136" max="16137" width="10.140625" style="644" bestFit="1" customWidth="1"/>
    <col min="16138" max="16138" width="0" style="644" hidden="1" customWidth="1"/>
    <col min="16139" max="16384" width="9.140625" style="644"/>
  </cols>
  <sheetData>
    <row r="1" spans="1:10" hidden="1" x14ac:dyDescent="0.2"/>
    <row r="2" spans="1:10" hidden="1" x14ac:dyDescent="0.2"/>
    <row r="3" spans="1:10" hidden="1" x14ac:dyDescent="0.2"/>
    <row r="4" spans="1:10" x14ac:dyDescent="0.2">
      <c r="A4" s="645"/>
      <c r="B4" s="645"/>
      <c r="C4" s="645"/>
      <c r="D4" s="645"/>
      <c r="E4" s="645"/>
      <c r="F4" s="645"/>
      <c r="G4" s="645"/>
      <c r="H4" s="645"/>
      <c r="I4" s="645"/>
      <c r="J4" s="645"/>
    </row>
    <row r="5" spans="1:10" x14ac:dyDescent="0.2">
      <c r="A5" s="766" t="s">
        <v>885</v>
      </c>
      <c r="B5" s="766"/>
      <c r="C5" s="766"/>
      <c r="D5" s="766"/>
      <c r="E5" s="766"/>
      <c r="F5" s="766"/>
      <c r="G5" s="766"/>
      <c r="H5" s="766"/>
      <c r="I5" s="766"/>
      <c r="J5" s="766"/>
    </row>
    <row r="6" spans="1:10" x14ac:dyDescent="0.2">
      <c r="A6" s="645"/>
      <c r="B6" s="645"/>
      <c r="C6" s="645"/>
      <c r="D6" s="645"/>
      <c r="E6" s="645"/>
      <c r="F6" s="645"/>
      <c r="G6" s="645"/>
      <c r="H6" s="645"/>
      <c r="I6" s="645"/>
      <c r="J6" s="645"/>
    </row>
    <row r="7" spans="1:10" x14ac:dyDescent="0.2">
      <c r="A7" s="646"/>
      <c r="B7" s="647"/>
      <c r="C7" s="648"/>
      <c r="D7" s="648"/>
      <c r="E7" s="648"/>
      <c r="F7" s="648"/>
      <c r="G7" s="648"/>
      <c r="H7" s="649"/>
      <c r="I7" s="650"/>
    </row>
    <row r="8" spans="1:10" x14ac:dyDescent="0.2">
      <c r="B8" s="651"/>
      <c r="H8" s="652"/>
      <c r="I8" s="652"/>
    </row>
    <row r="9" spans="1:10" x14ac:dyDescent="0.2">
      <c r="A9" s="653" t="s">
        <v>886</v>
      </c>
      <c r="B9" s="645"/>
      <c r="C9" s="654">
        <v>200</v>
      </c>
      <c r="D9" s="653" t="s">
        <v>887</v>
      </c>
      <c r="E9" s="645"/>
      <c r="H9" s="652"/>
      <c r="I9" s="652"/>
    </row>
    <row r="10" spans="1:10" x14ac:dyDescent="0.2">
      <c r="A10" s="653" t="s">
        <v>888</v>
      </c>
      <c r="B10" s="645"/>
      <c r="C10" s="645">
        <v>360</v>
      </c>
      <c r="D10" s="655"/>
      <c r="E10" s="645"/>
      <c r="H10" s="652"/>
      <c r="I10" s="652"/>
    </row>
    <row r="11" spans="1:10" x14ac:dyDescent="0.2">
      <c r="A11" s="653" t="s">
        <v>889</v>
      </c>
      <c r="B11" s="645"/>
      <c r="C11" s="645">
        <v>24</v>
      </c>
      <c r="D11" s="655"/>
      <c r="E11" s="645"/>
      <c r="H11" s="652"/>
      <c r="I11" s="652"/>
    </row>
    <row r="12" spans="1:10" x14ac:dyDescent="0.2">
      <c r="A12" s="653" t="s">
        <v>890</v>
      </c>
      <c r="B12" s="645"/>
      <c r="C12" s="645">
        <f>+C9*C10*C11/100000</f>
        <v>17.28</v>
      </c>
      <c r="D12" s="653" t="s">
        <v>891</v>
      </c>
      <c r="E12" s="645"/>
      <c r="H12" s="652"/>
      <c r="I12" s="652"/>
    </row>
    <row r="13" spans="1:10" x14ac:dyDescent="0.2">
      <c r="A13" s="645" t="s">
        <v>892</v>
      </c>
      <c r="B13" s="645"/>
      <c r="C13" s="645">
        <v>10</v>
      </c>
      <c r="D13" s="693" t="s">
        <v>957</v>
      </c>
      <c r="E13" s="693">
        <v>10</v>
      </c>
      <c r="F13" s="645"/>
      <c r="G13" s="645"/>
      <c r="H13" s="652"/>
      <c r="I13" s="652"/>
    </row>
    <row r="14" spans="1:10" x14ac:dyDescent="0.2">
      <c r="A14" s="645"/>
      <c r="B14" s="645"/>
      <c r="C14" s="645"/>
      <c r="D14" s="645"/>
      <c r="E14" s="645"/>
      <c r="F14" s="645"/>
      <c r="G14" s="645"/>
      <c r="H14" s="651"/>
      <c r="I14" s="651"/>
    </row>
    <row r="15" spans="1:10" hidden="1" x14ac:dyDescent="0.2">
      <c r="A15" s="653" t="s">
        <v>893</v>
      </c>
      <c r="B15" s="645"/>
      <c r="C15" s="645"/>
      <c r="D15" s="645"/>
      <c r="E15" s="645"/>
      <c r="F15" s="656">
        <v>7.5</v>
      </c>
      <c r="G15" s="653"/>
    </row>
    <row r="16" spans="1:10" hidden="1" x14ac:dyDescent="0.2">
      <c r="A16" s="653" t="s">
        <v>894</v>
      </c>
      <c r="B16" s="645"/>
      <c r="C16" s="645"/>
      <c r="D16" s="645"/>
      <c r="E16" s="645"/>
      <c r="F16" s="656">
        <f>+C12*F15</f>
        <v>129.60000000000002</v>
      </c>
      <c r="G16" s="653" t="s">
        <v>891</v>
      </c>
    </row>
    <row r="17" spans="1:10" x14ac:dyDescent="0.2">
      <c r="A17" s="645"/>
      <c r="B17" s="645"/>
      <c r="C17" s="645"/>
      <c r="D17" s="645"/>
      <c r="E17" s="645"/>
      <c r="F17" s="645"/>
      <c r="G17" s="645"/>
      <c r="H17" s="651"/>
      <c r="I17" s="651"/>
    </row>
    <row r="18" spans="1:10" x14ac:dyDescent="0.2">
      <c r="A18" s="645" t="s">
        <v>227</v>
      </c>
      <c r="B18" s="645"/>
      <c r="C18" s="645"/>
      <c r="D18" s="645" t="s">
        <v>895</v>
      </c>
      <c r="E18" s="645"/>
      <c r="F18" s="645"/>
      <c r="I18" s="651"/>
    </row>
    <row r="19" spans="1:10" x14ac:dyDescent="0.2">
      <c r="A19" s="644" t="s">
        <v>851</v>
      </c>
      <c r="C19" s="657"/>
      <c r="D19" s="658">
        <f>C19/100000</f>
        <v>0</v>
      </c>
      <c r="F19" s="657"/>
    </row>
    <row r="20" spans="1:10" x14ac:dyDescent="0.2">
      <c r="A20" s="644" t="s">
        <v>852</v>
      </c>
      <c r="C20" s="657"/>
      <c r="D20" s="658">
        <f>C20/100000</f>
        <v>0</v>
      </c>
      <c r="F20" s="657"/>
    </row>
    <row r="21" spans="1:10" s="645" customFormat="1" x14ac:dyDescent="0.2">
      <c r="A21" s="644" t="s">
        <v>853</v>
      </c>
      <c r="B21" s="644"/>
      <c r="C21" s="657"/>
      <c r="D21" s="658">
        <f>C12*C13</f>
        <v>172.8</v>
      </c>
      <c r="E21" s="644"/>
      <c r="F21" s="657">
        <f>+D21/2</f>
        <v>86.4</v>
      </c>
      <c r="I21" s="654"/>
      <c r="J21" s="659"/>
    </row>
    <row r="22" spans="1:10" x14ac:dyDescent="0.2">
      <c r="A22" s="644" t="s">
        <v>854</v>
      </c>
      <c r="C22" s="657"/>
      <c r="D22" s="658">
        <f t="shared" ref="D22:D29" si="0">D21*1.05</f>
        <v>181.44000000000003</v>
      </c>
      <c r="E22" s="658">
        <f>+D22-D21</f>
        <v>8.6400000000000148</v>
      </c>
      <c r="F22" s="657">
        <f>E22/D22*100</f>
        <v>4.761904761904769</v>
      </c>
    </row>
    <row r="23" spans="1:10" s="645" customFormat="1" x14ac:dyDescent="0.2">
      <c r="A23" s="644" t="s">
        <v>855</v>
      </c>
      <c r="B23" s="644"/>
      <c r="C23" s="657"/>
      <c r="D23" s="658">
        <f t="shared" si="0"/>
        <v>190.51200000000003</v>
      </c>
      <c r="E23" s="658">
        <f>+D23-D22</f>
        <v>9.0720000000000027</v>
      </c>
      <c r="F23" s="657">
        <f t="shared" ref="F23:F29" si="1">E23/D23*100</f>
        <v>4.7619047619047628</v>
      </c>
      <c r="I23" s="656"/>
    </row>
    <row r="24" spans="1:10" x14ac:dyDescent="0.2">
      <c r="A24" s="644" t="s">
        <v>856</v>
      </c>
      <c r="C24" s="657"/>
      <c r="D24" s="658">
        <f t="shared" si="0"/>
        <v>200.03760000000003</v>
      </c>
      <c r="E24" s="658">
        <f>+D24-D23</f>
        <v>9.5255999999999972</v>
      </c>
      <c r="F24" s="657">
        <f t="shared" si="1"/>
        <v>4.7619047619047592</v>
      </c>
    </row>
    <row r="25" spans="1:10" x14ac:dyDescent="0.2">
      <c r="A25" s="644" t="s">
        <v>858</v>
      </c>
      <c r="C25" s="657"/>
      <c r="D25" s="658">
        <f t="shared" si="0"/>
        <v>210.03948000000003</v>
      </c>
      <c r="E25" s="658">
        <f t="shared" ref="E25:E29" si="2">+D25-D24</f>
        <v>10.00188</v>
      </c>
      <c r="F25" s="657">
        <f t="shared" si="1"/>
        <v>4.761904761904761</v>
      </c>
      <c r="I25" s="660"/>
      <c r="J25" s="660"/>
    </row>
    <row r="26" spans="1:10" x14ac:dyDescent="0.2">
      <c r="A26" s="644" t="s">
        <v>859</v>
      </c>
      <c r="C26" s="657"/>
      <c r="D26" s="658">
        <f t="shared" si="0"/>
        <v>220.54145400000004</v>
      </c>
      <c r="E26" s="658">
        <f t="shared" si="2"/>
        <v>10.501974000000018</v>
      </c>
      <c r="F26" s="657">
        <f t="shared" si="1"/>
        <v>4.761904761904769</v>
      </c>
    </row>
    <row r="27" spans="1:10" x14ac:dyDescent="0.2">
      <c r="A27" s="644" t="s">
        <v>860</v>
      </c>
      <c r="B27" s="660"/>
      <c r="C27" s="657"/>
      <c r="D27" s="658">
        <f t="shared" si="0"/>
        <v>231.56852670000006</v>
      </c>
      <c r="E27" s="658">
        <f t="shared" si="2"/>
        <v>11.027072700000019</v>
      </c>
      <c r="F27" s="657">
        <f t="shared" si="1"/>
        <v>4.761904761904769</v>
      </c>
      <c r="I27" s="660"/>
      <c r="J27" s="661"/>
    </row>
    <row r="28" spans="1:10" x14ac:dyDescent="0.2">
      <c r="A28" s="644" t="s">
        <v>861</v>
      </c>
      <c r="C28" s="657"/>
      <c r="D28" s="658">
        <f t="shared" si="0"/>
        <v>243.14695303500008</v>
      </c>
      <c r="E28" s="658">
        <f t="shared" si="2"/>
        <v>11.578426335000017</v>
      </c>
      <c r="F28" s="657">
        <f t="shared" si="1"/>
        <v>4.7619047619047672</v>
      </c>
    </row>
    <row r="29" spans="1:10" x14ac:dyDescent="0.2">
      <c r="A29" s="644" t="s">
        <v>896</v>
      </c>
      <c r="B29" s="645"/>
      <c r="C29" s="657"/>
      <c r="D29" s="658">
        <f t="shared" si="0"/>
        <v>255.30430068675008</v>
      </c>
      <c r="E29" s="658">
        <f t="shared" si="2"/>
        <v>12.157347651750001</v>
      </c>
      <c r="F29" s="657">
        <f t="shared" si="1"/>
        <v>4.761904761904761</v>
      </c>
      <c r="I29" s="645"/>
      <c r="J29" s="645"/>
    </row>
    <row r="30" spans="1:10" x14ac:dyDescent="0.2">
      <c r="A30" s="645"/>
      <c r="B30" s="645"/>
      <c r="C30" s="645"/>
      <c r="D30" s="662"/>
      <c r="E30" s="645"/>
      <c r="F30" s="645"/>
      <c r="I30" s="662"/>
      <c r="J30" s="645"/>
    </row>
  </sheetData>
  <mergeCells count="1">
    <mergeCell ref="A5:J5"/>
  </mergeCells>
  <pageMargins left="0.7" right="0.7" top="0.75" bottom="0.75" header="0.3" footer="0.3"/>
  <pageSetup scale="70" orientation="portrait" r:id="rId1"/>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codeName="Sheet22">
    <pageSetUpPr fitToPage="1"/>
  </sheetPr>
  <dimension ref="A1:BD27"/>
  <sheetViews>
    <sheetView workbookViewId="0">
      <selection activeCell="E25" sqref="E25"/>
    </sheetView>
  </sheetViews>
  <sheetFormatPr defaultRowHeight="15" x14ac:dyDescent="0.25"/>
  <cols>
    <col min="2" max="2" width="11.140625" bestFit="1" customWidth="1"/>
    <col min="3" max="3" width="24.7109375" customWidth="1"/>
    <col min="4" max="4" width="12" bestFit="1" customWidth="1"/>
    <col min="7" max="7" width="13.7109375" bestFit="1" customWidth="1"/>
    <col min="11" max="11" width="15.85546875" bestFit="1" customWidth="1"/>
  </cols>
  <sheetData>
    <row r="1" spans="1:56" x14ac:dyDescent="0.25">
      <c r="A1" s="218" t="s">
        <v>433</v>
      </c>
      <c r="B1" s="218"/>
      <c r="C1" s="218"/>
      <c r="D1" s="218"/>
      <c r="E1" s="218"/>
      <c r="F1" s="218"/>
      <c r="G1" s="218"/>
      <c r="H1" s="218"/>
      <c r="I1" s="218"/>
      <c r="J1" s="218"/>
      <c r="K1" s="218"/>
      <c r="L1" s="218"/>
      <c r="M1" s="218"/>
      <c r="N1" s="218"/>
      <c r="O1" s="218"/>
      <c r="P1" s="218"/>
      <c r="Q1" s="218"/>
      <c r="R1" s="218"/>
      <c r="S1" s="218"/>
      <c r="T1" s="218"/>
      <c r="U1" s="218"/>
      <c r="V1" s="218"/>
      <c r="W1" s="218"/>
      <c r="X1" s="218"/>
      <c r="Y1" s="218"/>
      <c r="Z1" s="218"/>
      <c r="AA1" s="218"/>
      <c r="AB1" s="218"/>
      <c r="AC1" s="218"/>
      <c r="AD1" s="218"/>
      <c r="AE1" s="218"/>
      <c r="AF1" s="218"/>
      <c r="AG1" s="218"/>
      <c r="AH1" s="218"/>
      <c r="AI1" s="218"/>
      <c r="AJ1" s="218"/>
      <c r="AK1" s="218"/>
      <c r="AL1" s="218"/>
      <c r="AM1" s="218"/>
      <c r="AN1" s="218"/>
      <c r="AO1" s="218"/>
      <c r="AP1" s="218"/>
      <c r="AQ1" s="218"/>
      <c r="AR1" s="218"/>
      <c r="AS1" s="218"/>
      <c r="AT1" s="218"/>
      <c r="AU1" s="218"/>
      <c r="AV1" s="218"/>
      <c r="AW1" s="218"/>
      <c r="AX1" s="218"/>
      <c r="AY1" s="218"/>
      <c r="AZ1" s="218"/>
      <c r="BA1" s="218"/>
      <c r="BB1" s="218"/>
      <c r="BC1" s="218"/>
      <c r="BD1" s="218"/>
    </row>
    <row r="2" spans="1:56" ht="15.75" thickBot="1" x14ac:dyDescent="0.3"/>
    <row r="3" spans="1:56" ht="19.5" thickBot="1" x14ac:dyDescent="0.35">
      <c r="A3" s="145" t="s">
        <v>594</v>
      </c>
      <c r="C3" s="770" t="s">
        <v>193</v>
      </c>
      <c r="D3" s="771"/>
      <c r="E3" s="771"/>
      <c r="F3" s="771"/>
      <c r="G3" s="771"/>
      <c r="H3" s="771"/>
      <c r="I3" s="771"/>
      <c r="J3" s="771"/>
      <c r="K3" s="771"/>
      <c r="L3" s="771"/>
      <c r="M3" s="771"/>
      <c r="N3" s="771"/>
      <c r="O3" s="771"/>
      <c r="P3" s="771"/>
      <c r="Q3" s="772"/>
    </row>
    <row r="4" spans="1:56" ht="15.75" thickBot="1" x14ac:dyDescent="0.3"/>
    <row r="5" spans="1:56" ht="15.75" thickBot="1" x14ac:dyDescent="0.3">
      <c r="A5">
        <v>10000</v>
      </c>
      <c r="C5" s="767">
        <v>2025</v>
      </c>
      <c r="D5" s="768"/>
      <c r="E5" s="768"/>
      <c r="F5" s="769"/>
      <c r="G5" s="767">
        <v>2026</v>
      </c>
      <c r="H5" s="768"/>
      <c r="I5" s="768"/>
      <c r="J5" s="769"/>
      <c r="K5" s="767">
        <v>2027</v>
      </c>
      <c r="L5" s="768"/>
      <c r="M5" s="768"/>
      <c r="N5" s="769"/>
      <c r="O5" s="767" t="s">
        <v>89</v>
      </c>
      <c r="P5" s="768"/>
      <c r="Q5" s="769"/>
      <c r="R5" s="767" t="s">
        <v>90</v>
      </c>
      <c r="S5" s="768"/>
      <c r="T5" s="769"/>
      <c r="U5" s="767" t="s">
        <v>91</v>
      </c>
      <c r="V5" s="768"/>
      <c r="W5" s="769"/>
      <c r="X5" s="767" t="s">
        <v>88</v>
      </c>
      <c r="Y5" s="768"/>
      <c r="Z5" s="769"/>
      <c r="AA5" s="767" t="s">
        <v>92</v>
      </c>
      <c r="AB5" s="768"/>
      <c r="AC5" s="769"/>
      <c r="AD5" s="767" t="s">
        <v>93</v>
      </c>
      <c r="AE5" s="768"/>
      <c r="AF5" s="769"/>
      <c r="AG5" s="767" t="s">
        <v>94</v>
      </c>
      <c r="AH5" s="768"/>
      <c r="AI5" s="769"/>
      <c r="AJ5" s="767" t="s">
        <v>100</v>
      </c>
      <c r="AK5" s="768"/>
      <c r="AL5" s="769"/>
      <c r="AM5" s="767" t="s">
        <v>101</v>
      </c>
      <c r="AN5" s="768"/>
      <c r="AO5" s="769"/>
      <c r="AP5" s="767" t="s">
        <v>102</v>
      </c>
      <c r="AQ5" s="768"/>
      <c r="AR5" s="769"/>
      <c r="AS5" s="767" t="s">
        <v>103</v>
      </c>
      <c r="AT5" s="768"/>
      <c r="AU5" s="769"/>
      <c r="AV5" s="767" t="s">
        <v>104</v>
      </c>
      <c r="AW5" s="768"/>
      <c r="AX5" s="769"/>
      <c r="AY5" s="773" t="s">
        <v>105</v>
      </c>
      <c r="AZ5" s="774"/>
      <c r="BA5" s="775"/>
      <c r="BB5" s="773" t="s">
        <v>116</v>
      </c>
      <c r="BC5" s="774"/>
      <c r="BD5" s="775"/>
    </row>
    <row r="6" spans="1:56" x14ac:dyDescent="0.25">
      <c r="C6" s="31" t="s">
        <v>192</v>
      </c>
      <c r="D6" s="31" t="s">
        <v>114</v>
      </c>
      <c r="E6" s="32" t="s">
        <v>194</v>
      </c>
      <c r="F6" s="33" t="s">
        <v>31</v>
      </c>
      <c r="G6" s="32" t="s">
        <v>192</v>
      </c>
      <c r="H6" s="31" t="s">
        <v>114</v>
      </c>
      <c r="I6" s="32" t="s">
        <v>194</v>
      </c>
      <c r="J6" s="33" t="s">
        <v>31</v>
      </c>
      <c r="K6" s="32" t="s">
        <v>192</v>
      </c>
      <c r="L6" s="31" t="s">
        <v>114</v>
      </c>
      <c r="M6" s="32" t="s">
        <v>194</v>
      </c>
      <c r="N6" s="33" t="s">
        <v>31</v>
      </c>
      <c r="O6" s="31" t="s">
        <v>114</v>
      </c>
      <c r="P6" s="32" t="s">
        <v>194</v>
      </c>
      <c r="Q6" s="33" t="s">
        <v>31</v>
      </c>
      <c r="R6" s="31" t="s">
        <v>114</v>
      </c>
      <c r="S6" s="32" t="s">
        <v>194</v>
      </c>
      <c r="T6" s="33" t="s">
        <v>31</v>
      </c>
      <c r="U6" s="31" t="s">
        <v>114</v>
      </c>
      <c r="V6" s="32" t="s">
        <v>194</v>
      </c>
      <c r="W6" s="33" t="s">
        <v>31</v>
      </c>
      <c r="X6" s="31" t="s">
        <v>114</v>
      </c>
      <c r="Y6" s="32" t="s">
        <v>194</v>
      </c>
      <c r="Z6" s="33" t="s">
        <v>31</v>
      </c>
      <c r="AA6" s="31" t="s">
        <v>114</v>
      </c>
      <c r="AB6" s="32" t="s">
        <v>194</v>
      </c>
      <c r="AC6" s="33" t="s">
        <v>31</v>
      </c>
      <c r="AD6" s="31" t="s">
        <v>114</v>
      </c>
      <c r="AE6" s="32" t="s">
        <v>194</v>
      </c>
      <c r="AF6" s="33" t="s">
        <v>31</v>
      </c>
      <c r="AG6" s="31" t="s">
        <v>114</v>
      </c>
      <c r="AH6" s="32" t="s">
        <v>194</v>
      </c>
      <c r="AI6" s="33" t="s">
        <v>31</v>
      </c>
      <c r="AJ6" s="31" t="s">
        <v>114</v>
      </c>
      <c r="AK6" s="32" t="s">
        <v>194</v>
      </c>
      <c r="AL6" s="33" t="s">
        <v>31</v>
      </c>
      <c r="AM6" s="31" t="s">
        <v>114</v>
      </c>
      <c r="AN6" s="32" t="s">
        <v>194</v>
      </c>
      <c r="AO6" s="33" t="s">
        <v>31</v>
      </c>
      <c r="AP6" s="31" t="s">
        <v>114</v>
      </c>
      <c r="AQ6" s="32" t="s">
        <v>194</v>
      </c>
      <c r="AR6" s="33" t="s">
        <v>31</v>
      </c>
      <c r="AS6" s="31" t="s">
        <v>114</v>
      </c>
      <c r="AT6" s="32" t="s">
        <v>194</v>
      </c>
      <c r="AU6" s="33" t="s">
        <v>31</v>
      </c>
      <c r="AV6" s="31" t="s">
        <v>114</v>
      </c>
      <c r="AW6" s="32" t="s">
        <v>194</v>
      </c>
      <c r="AX6" s="32" t="s">
        <v>31</v>
      </c>
      <c r="AY6" s="53"/>
      <c r="AZ6" s="129"/>
      <c r="BA6" s="129"/>
      <c r="BB6" s="129"/>
      <c r="BC6" s="129"/>
      <c r="BD6" s="130"/>
    </row>
    <row r="7" spans="1:56" x14ac:dyDescent="0.25">
      <c r="B7" s="1" t="s">
        <v>75</v>
      </c>
      <c r="C7" s="91"/>
      <c r="D7" s="34"/>
      <c r="E7" s="29"/>
      <c r="F7" s="286">
        <f>D7*0.09/12</f>
        <v>0</v>
      </c>
      <c r="G7" s="37">
        <v>3</v>
      </c>
      <c r="H7" s="284">
        <f>D18+G7</f>
        <v>18</v>
      </c>
      <c r="I7" s="29"/>
      <c r="J7" s="285">
        <f>H7*$D$26</f>
        <v>0.15299999999999997</v>
      </c>
      <c r="K7" s="37">
        <v>6</v>
      </c>
      <c r="L7" s="284">
        <f>H18+K7</f>
        <v>67</v>
      </c>
      <c r="M7" s="29"/>
      <c r="N7" s="285">
        <f>L7*$D$26</f>
        <v>0.5694999999999999</v>
      </c>
      <c r="O7" s="284">
        <f>L18-M18</f>
        <v>75.200000000000017</v>
      </c>
      <c r="P7" s="37">
        <f>$D$27</f>
        <v>0.53333333333333333</v>
      </c>
      <c r="Q7" s="285">
        <f>(O7-P7)*$D$26</f>
        <v>0.63466666666666671</v>
      </c>
      <c r="R7" s="284">
        <f>O18-P18</f>
        <v>68.80000000000004</v>
      </c>
      <c r="S7" s="37">
        <f t="shared" ref="S7:S18" si="0">$D$27</f>
        <v>0.53333333333333333</v>
      </c>
      <c r="T7" s="285">
        <f>(R7-S7)*$D$26</f>
        <v>0.58026666666666693</v>
      </c>
      <c r="U7" s="284">
        <f>R18-S18</f>
        <v>62.400000000000063</v>
      </c>
      <c r="V7" s="37">
        <f t="shared" ref="V7:V18" si="1">$D$27</f>
        <v>0.53333333333333333</v>
      </c>
      <c r="W7" s="285">
        <f>(U7-V7)*$D$26</f>
        <v>0.52586666666666715</v>
      </c>
      <c r="X7" s="284">
        <f>U18-V18</f>
        <v>56.000000000000085</v>
      </c>
      <c r="Y7" s="37">
        <f t="shared" ref="Y7:Y18" si="2">$D$27</f>
        <v>0.53333333333333333</v>
      </c>
      <c r="Z7" s="35">
        <f>(X7-Y7)*$D$26</f>
        <v>0.47146666666666737</v>
      </c>
      <c r="AA7" s="34">
        <f>X18-Y18</f>
        <v>49.600000000000108</v>
      </c>
      <c r="AB7" s="37">
        <f t="shared" ref="AB7:AB18" si="3">$D$27</f>
        <v>0.53333333333333333</v>
      </c>
      <c r="AC7" s="285">
        <f>(AA7-AB7)*$D$26</f>
        <v>0.41706666666666753</v>
      </c>
      <c r="AD7" s="284">
        <f>AA18-AB18</f>
        <v>43.200000000000131</v>
      </c>
      <c r="AE7" s="37">
        <f t="shared" ref="AE7:AE18" si="4">$D$27</f>
        <v>0.53333333333333333</v>
      </c>
      <c r="AF7" s="285">
        <f>(AD7-AE7)*$D$26</f>
        <v>0.36266666666666775</v>
      </c>
      <c r="AG7" s="284">
        <f>AD18-AE18</f>
        <v>36.800000000000153</v>
      </c>
      <c r="AH7" s="37">
        <f t="shared" ref="AH7:AH18" si="5">$D$27</f>
        <v>0.53333333333333333</v>
      </c>
      <c r="AI7" s="285">
        <f>AG7*$D$26</f>
        <v>0.31280000000000124</v>
      </c>
      <c r="AJ7" s="284">
        <f>AG18-AH18</f>
        <v>30.400000000000166</v>
      </c>
      <c r="AK7" s="37">
        <f t="shared" ref="AK7:AK18" si="6">$D$27</f>
        <v>0.53333333333333333</v>
      </c>
      <c r="AL7" s="285">
        <f>AJ7*$D$26</f>
        <v>0.25840000000000135</v>
      </c>
      <c r="AM7" s="284">
        <f>AJ18-AK18</f>
        <v>24.000000000000146</v>
      </c>
      <c r="AN7" s="37">
        <f t="shared" ref="AN7:AN18" si="7">$D$27</f>
        <v>0.53333333333333333</v>
      </c>
      <c r="AO7" s="285">
        <f>AM7*$D$26</f>
        <v>0.20400000000000121</v>
      </c>
      <c r="AP7" s="284">
        <f>AM18-AN18</f>
        <v>17.600000000000126</v>
      </c>
      <c r="AQ7" s="37">
        <f t="shared" ref="AQ7:AQ18" si="8">$D$27</f>
        <v>0.53333333333333333</v>
      </c>
      <c r="AR7" s="285">
        <f>AP7*$D$26</f>
        <v>0.14960000000000104</v>
      </c>
      <c r="AS7" s="284">
        <f>AP18-AQ18</f>
        <v>11.200000000000122</v>
      </c>
      <c r="AT7" s="37">
        <f t="shared" ref="AT7:AT18" si="9">$D$27</f>
        <v>0.53333333333333333</v>
      </c>
      <c r="AU7" s="285">
        <f>AS7*$D$26</f>
        <v>9.520000000000102E-2</v>
      </c>
      <c r="AV7" s="284">
        <f>AS18-AT18</f>
        <v>4.8000000000001233</v>
      </c>
      <c r="AW7" s="37">
        <f t="shared" ref="AW7:AW15" si="10">$D$27</f>
        <v>0.53333333333333333</v>
      </c>
      <c r="AX7" s="294">
        <f>AV7*$D$26</f>
        <v>4.0800000000001044E-2</v>
      </c>
      <c r="AY7" s="48"/>
      <c r="AZ7" s="3"/>
      <c r="BA7" s="3"/>
      <c r="BB7" s="3"/>
      <c r="BC7" s="3"/>
      <c r="BD7" s="131"/>
    </row>
    <row r="8" spans="1:56" x14ac:dyDescent="0.25">
      <c r="B8" s="1" t="s">
        <v>76</v>
      </c>
      <c r="C8" s="91"/>
      <c r="D8" s="34"/>
      <c r="E8" s="29"/>
      <c r="F8" s="286">
        <f t="shared" ref="F8:F12" si="11">D8*0.09/12</f>
        <v>0</v>
      </c>
      <c r="G8" s="37">
        <v>3</v>
      </c>
      <c r="H8" s="284">
        <f>H7+G8</f>
        <v>21</v>
      </c>
      <c r="I8" s="29"/>
      <c r="J8" s="285">
        <f t="shared" ref="J8:J18" si="12">H8*$D$26</f>
        <v>0.17849999999999996</v>
      </c>
      <c r="K8" s="37">
        <v>6.5</v>
      </c>
      <c r="L8" s="284">
        <f>L7+K8</f>
        <v>73.5</v>
      </c>
      <c r="M8" s="29"/>
      <c r="N8" s="285">
        <f t="shared" ref="N8:N9" si="13">L8*$D$26</f>
        <v>0.62474999999999992</v>
      </c>
      <c r="O8" s="284">
        <f>O7-P7</f>
        <v>74.666666666666686</v>
      </c>
      <c r="P8" s="37">
        <f t="shared" ref="P8:P18" si="14">$D$27</f>
        <v>0.53333333333333333</v>
      </c>
      <c r="Q8" s="285">
        <f t="shared" ref="Q8:Q18" si="15">(O8-P8)*$D$26</f>
        <v>0.63013333333333343</v>
      </c>
      <c r="R8" s="284">
        <f>R7-S7</f>
        <v>68.266666666666708</v>
      </c>
      <c r="S8" s="37">
        <f t="shared" si="0"/>
        <v>0.53333333333333333</v>
      </c>
      <c r="T8" s="285">
        <f t="shared" ref="T8:T18" si="16">(R8-S8)*$D$26</f>
        <v>0.57573333333333365</v>
      </c>
      <c r="U8" s="284">
        <f>U7-V7</f>
        <v>61.866666666666731</v>
      </c>
      <c r="V8" s="37">
        <f t="shared" si="1"/>
        <v>0.53333333333333333</v>
      </c>
      <c r="W8" s="285">
        <f t="shared" ref="W8:W18" si="17">(U8-V8)*$D$26</f>
        <v>0.52133333333333387</v>
      </c>
      <c r="X8" s="284">
        <f>X7-Y7</f>
        <v>55.466666666666754</v>
      </c>
      <c r="Y8" s="37">
        <f t="shared" si="2"/>
        <v>0.53333333333333333</v>
      </c>
      <c r="Z8" s="285">
        <f t="shared" ref="Z8:Z18" si="18">(X8-Y8)*$D$26</f>
        <v>0.46693333333333403</v>
      </c>
      <c r="AA8" s="284">
        <f>AA7-AB7</f>
        <v>49.066666666666777</v>
      </c>
      <c r="AB8" s="37">
        <f t="shared" si="3"/>
        <v>0.53333333333333333</v>
      </c>
      <c r="AC8" s="285">
        <f t="shared" ref="AC8:AC18" si="19">(AA8-AB8)*$D$26</f>
        <v>0.41253333333333425</v>
      </c>
      <c r="AD8" s="284">
        <f>AD7-AE7</f>
        <v>42.666666666666799</v>
      </c>
      <c r="AE8" s="37">
        <f t="shared" si="4"/>
        <v>0.53333333333333333</v>
      </c>
      <c r="AF8" s="285">
        <f t="shared" ref="AF8:AF18" si="20">(AD8-AE8)*$D$26</f>
        <v>0.35813333333333441</v>
      </c>
      <c r="AG8" s="284">
        <f>AG7-AH7</f>
        <v>36.266666666666822</v>
      </c>
      <c r="AH8" s="37">
        <f t="shared" si="5"/>
        <v>0.53333333333333333</v>
      </c>
      <c r="AI8" s="285">
        <f t="shared" ref="AI8:AI18" si="21">AG8*$D$26</f>
        <v>0.30826666666666797</v>
      </c>
      <c r="AJ8" s="284">
        <f>AJ7-AK7</f>
        <v>29.866666666666831</v>
      </c>
      <c r="AK8" s="37">
        <f t="shared" si="6"/>
        <v>0.53333333333333333</v>
      </c>
      <c r="AL8" s="285">
        <f t="shared" ref="AL8:AL18" si="22">AJ8*$D$26</f>
        <v>0.25386666666666802</v>
      </c>
      <c r="AM8" s="284">
        <f>AM7-AN7</f>
        <v>23.466666666666811</v>
      </c>
      <c r="AN8" s="37">
        <f t="shared" si="7"/>
        <v>0.53333333333333333</v>
      </c>
      <c r="AO8" s="285">
        <f t="shared" ref="AO8:AO18" si="23">AM8*$D$26</f>
        <v>0.19946666666666787</v>
      </c>
      <c r="AP8" s="284">
        <f>AP7-AQ7</f>
        <v>17.066666666666791</v>
      </c>
      <c r="AQ8" s="37">
        <f t="shared" si="8"/>
        <v>0.53333333333333333</v>
      </c>
      <c r="AR8" s="285">
        <f t="shared" ref="AR8:AR18" si="24">AP8*$D$26</f>
        <v>0.1450666666666677</v>
      </c>
      <c r="AS8" s="284">
        <f>AS7-AT7</f>
        <v>10.666666666666789</v>
      </c>
      <c r="AT8" s="37">
        <f t="shared" si="9"/>
        <v>0.53333333333333333</v>
      </c>
      <c r="AU8" s="285">
        <f t="shared" ref="AU8:AU18" si="25">AS8*$D$26</f>
        <v>9.0666666666667686E-2</v>
      </c>
      <c r="AV8" s="284">
        <f>AV7-AW7</f>
        <v>4.2666666666667901</v>
      </c>
      <c r="AW8" s="37">
        <f t="shared" si="10"/>
        <v>0.53333333333333333</v>
      </c>
      <c r="AX8" s="294">
        <f t="shared" ref="AX8:AX15" si="26">AV8*$D$26</f>
        <v>3.626666666666771E-2</v>
      </c>
      <c r="AY8" s="48"/>
      <c r="AZ8" s="3"/>
      <c r="BA8" s="3"/>
      <c r="BB8" s="3"/>
      <c r="BC8" s="3"/>
      <c r="BD8" s="131"/>
    </row>
    <row r="9" spans="1:56" x14ac:dyDescent="0.25">
      <c r="B9" s="1" t="s">
        <v>77</v>
      </c>
      <c r="C9" s="91"/>
      <c r="D9" s="34"/>
      <c r="E9" s="29"/>
      <c r="F9" s="286">
        <f t="shared" si="11"/>
        <v>0</v>
      </c>
      <c r="G9" s="37">
        <v>3</v>
      </c>
      <c r="H9" s="284">
        <f t="shared" ref="H9:H18" si="27">H8+G9</f>
        <v>24</v>
      </c>
      <c r="I9" s="29"/>
      <c r="J9" s="285">
        <f t="shared" si="12"/>
        <v>0.20399999999999996</v>
      </c>
      <c r="K9" s="37">
        <v>6.5</v>
      </c>
      <c r="L9" s="284">
        <f>L8+K9</f>
        <v>80</v>
      </c>
      <c r="M9" s="29"/>
      <c r="N9" s="285">
        <f t="shared" si="13"/>
        <v>0.67999999999999994</v>
      </c>
      <c r="O9" s="284">
        <f t="shared" ref="O9:O18" si="28">O8-P8</f>
        <v>74.133333333333354</v>
      </c>
      <c r="P9" s="37">
        <f t="shared" si="14"/>
        <v>0.53333333333333333</v>
      </c>
      <c r="Q9" s="285">
        <f t="shared" si="15"/>
        <v>0.62560000000000016</v>
      </c>
      <c r="R9" s="284">
        <f t="shared" ref="R9:R18" si="29">R8-S8</f>
        <v>67.733333333333377</v>
      </c>
      <c r="S9" s="37">
        <f t="shared" si="0"/>
        <v>0.53333333333333333</v>
      </c>
      <c r="T9" s="285">
        <f t="shared" si="16"/>
        <v>0.57120000000000026</v>
      </c>
      <c r="U9" s="284">
        <f t="shared" ref="U9:U18" si="30">U8-V8</f>
        <v>61.3333333333334</v>
      </c>
      <c r="V9" s="37">
        <f t="shared" si="1"/>
        <v>0.53333333333333333</v>
      </c>
      <c r="W9" s="285">
        <f t="shared" si="17"/>
        <v>0.51680000000000048</v>
      </c>
      <c r="X9" s="284">
        <f t="shared" ref="X9:X18" si="31">X8-Y8</f>
        <v>54.933333333333422</v>
      </c>
      <c r="Y9" s="37">
        <f t="shared" si="2"/>
        <v>0.53333333333333333</v>
      </c>
      <c r="Z9" s="285">
        <f t="shared" si="18"/>
        <v>0.4624000000000007</v>
      </c>
      <c r="AA9" s="284">
        <f t="shared" ref="AA9:AA18" si="32">AA8-AB8</f>
        <v>48.533333333333445</v>
      </c>
      <c r="AB9" s="37">
        <f t="shared" si="3"/>
        <v>0.53333333333333333</v>
      </c>
      <c r="AC9" s="285">
        <f t="shared" si="19"/>
        <v>0.40800000000000092</v>
      </c>
      <c r="AD9" s="284">
        <f t="shared" ref="AD9:AD18" si="33">AD8-AE8</f>
        <v>42.133333333333468</v>
      </c>
      <c r="AE9" s="37">
        <f t="shared" si="4"/>
        <v>0.53333333333333333</v>
      </c>
      <c r="AF9" s="285">
        <f t="shared" si="20"/>
        <v>0.35360000000000114</v>
      </c>
      <c r="AG9" s="284">
        <f t="shared" ref="AG9:AG18" si="34">AG8-AH8</f>
        <v>35.733333333333491</v>
      </c>
      <c r="AH9" s="37">
        <f t="shared" si="5"/>
        <v>0.53333333333333333</v>
      </c>
      <c r="AI9" s="285">
        <f t="shared" si="21"/>
        <v>0.30373333333333463</v>
      </c>
      <c r="AJ9" s="284">
        <f t="shared" ref="AJ9:AJ18" si="35">AJ8-AK8</f>
        <v>29.333333333333496</v>
      </c>
      <c r="AK9" s="37">
        <f t="shared" si="6"/>
        <v>0.53333333333333333</v>
      </c>
      <c r="AL9" s="285">
        <f t="shared" si="22"/>
        <v>0.24933333333333468</v>
      </c>
      <c r="AM9" s="284">
        <f t="shared" ref="AM9:AM18" si="36">AM8-AN8</f>
        <v>22.933333333333476</v>
      </c>
      <c r="AN9" s="37">
        <f t="shared" si="7"/>
        <v>0.53333333333333333</v>
      </c>
      <c r="AO9" s="285">
        <f t="shared" si="23"/>
        <v>0.19493333333333451</v>
      </c>
      <c r="AP9" s="284">
        <f t="shared" ref="AP9:AP18" si="37">AP8-AQ8</f>
        <v>16.533333333333456</v>
      </c>
      <c r="AQ9" s="37">
        <f t="shared" si="8"/>
        <v>0.53333333333333333</v>
      </c>
      <c r="AR9" s="285">
        <f t="shared" si="24"/>
        <v>0.14053333333333434</v>
      </c>
      <c r="AS9" s="284">
        <f t="shared" ref="AS9:AS18" si="38">AS8-AT8</f>
        <v>10.133333333333455</v>
      </c>
      <c r="AT9" s="37">
        <f t="shared" si="9"/>
        <v>0.53333333333333333</v>
      </c>
      <c r="AU9" s="285">
        <f t="shared" si="25"/>
        <v>8.6133333333334366E-2</v>
      </c>
      <c r="AV9" s="284">
        <f t="shared" ref="AV9:AV16" si="39">AV8-AW8</f>
        <v>3.7333333333334568</v>
      </c>
      <c r="AW9" s="37">
        <f t="shared" si="10"/>
        <v>0.53333333333333333</v>
      </c>
      <c r="AX9" s="294">
        <f t="shared" si="26"/>
        <v>3.1733333333334376E-2</v>
      </c>
      <c r="AY9" s="48"/>
      <c r="AZ9" s="3"/>
      <c r="BA9" s="3"/>
      <c r="BB9" s="3"/>
      <c r="BC9" s="3"/>
      <c r="BD9" s="131"/>
    </row>
    <row r="10" spans="1:56" x14ac:dyDescent="0.25">
      <c r="B10" s="1" t="s">
        <v>78</v>
      </c>
      <c r="C10" s="91"/>
      <c r="D10" s="34"/>
      <c r="E10" s="29"/>
      <c r="F10" s="286">
        <f t="shared" si="11"/>
        <v>0</v>
      </c>
      <c r="G10" s="37">
        <v>3</v>
      </c>
      <c r="H10" s="284">
        <f t="shared" si="27"/>
        <v>27</v>
      </c>
      <c r="I10" s="29"/>
      <c r="J10" s="285">
        <f t="shared" si="12"/>
        <v>0.22949999999999998</v>
      </c>
      <c r="K10" s="89"/>
      <c r="L10" s="284">
        <f t="shared" ref="L10:L18" si="40">L9-M9</f>
        <v>80</v>
      </c>
      <c r="M10" s="37">
        <f>$D$27</f>
        <v>0.53333333333333333</v>
      </c>
      <c r="N10" s="285">
        <f>(L10-M10)*$D$26</f>
        <v>0.67546666666666655</v>
      </c>
      <c r="O10" s="284">
        <f t="shared" si="28"/>
        <v>73.600000000000023</v>
      </c>
      <c r="P10" s="37">
        <f t="shared" si="14"/>
        <v>0.53333333333333333</v>
      </c>
      <c r="Q10" s="285">
        <f t="shared" si="15"/>
        <v>0.62106666666666677</v>
      </c>
      <c r="R10" s="284">
        <f t="shared" si="29"/>
        <v>67.200000000000045</v>
      </c>
      <c r="S10" s="37">
        <f t="shared" si="0"/>
        <v>0.53333333333333333</v>
      </c>
      <c r="T10" s="285">
        <f t="shared" si="16"/>
        <v>0.56666666666666698</v>
      </c>
      <c r="U10" s="284">
        <f t="shared" si="30"/>
        <v>60.800000000000068</v>
      </c>
      <c r="V10" s="37">
        <f t="shared" si="1"/>
        <v>0.53333333333333333</v>
      </c>
      <c r="W10" s="285">
        <f t="shared" si="17"/>
        <v>0.5122666666666672</v>
      </c>
      <c r="X10" s="284">
        <f t="shared" si="31"/>
        <v>54.400000000000091</v>
      </c>
      <c r="Y10" s="37">
        <f t="shared" si="2"/>
        <v>0.53333333333333333</v>
      </c>
      <c r="Z10" s="285">
        <f t="shared" si="18"/>
        <v>0.45786666666666742</v>
      </c>
      <c r="AA10" s="284">
        <f t="shared" si="32"/>
        <v>48.000000000000114</v>
      </c>
      <c r="AB10" s="37">
        <f t="shared" si="3"/>
        <v>0.53333333333333333</v>
      </c>
      <c r="AC10" s="285">
        <f t="shared" si="19"/>
        <v>0.40346666666666758</v>
      </c>
      <c r="AD10" s="284">
        <f t="shared" si="33"/>
        <v>41.600000000000136</v>
      </c>
      <c r="AE10" s="37">
        <f t="shared" si="4"/>
        <v>0.53333333333333333</v>
      </c>
      <c r="AF10" s="285">
        <f t="shared" si="20"/>
        <v>0.3490666666666678</v>
      </c>
      <c r="AG10" s="284">
        <f t="shared" si="34"/>
        <v>35.200000000000159</v>
      </c>
      <c r="AH10" s="37">
        <f t="shared" si="5"/>
        <v>0.53333333333333333</v>
      </c>
      <c r="AI10" s="285">
        <f t="shared" si="21"/>
        <v>0.2992000000000013</v>
      </c>
      <c r="AJ10" s="284">
        <f t="shared" si="35"/>
        <v>28.800000000000161</v>
      </c>
      <c r="AK10" s="37">
        <f t="shared" si="6"/>
        <v>0.53333333333333333</v>
      </c>
      <c r="AL10" s="285">
        <f t="shared" si="22"/>
        <v>0.24480000000000132</v>
      </c>
      <c r="AM10" s="284">
        <f t="shared" si="36"/>
        <v>22.400000000000141</v>
      </c>
      <c r="AN10" s="37">
        <f t="shared" si="7"/>
        <v>0.53333333333333333</v>
      </c>
      <c r="AO10" s="285">
        <f t="shared" si="23"/>
        <v>0.19040000000000118</v>
      </c>
      <c r="AP10" s="284">
        <f t="shared" si="37"/>
        <v>16.000000000000121</v>
      </c>
      <c r="AQ10" s="37">
        <f t="shared" si="8"/>
        <v>0.53333333333333333</v>
      </c>
      <c r="AR10" s="285">
        <f t="shared" si="24"/>
        <v>0.13600000000000101</v>
      </c>
      <c r="AS10" s="284">
        <f t="shared" si="38"/>
        <v>9.6000000000001222</v>
      </c>
      <c r="AT10" s="37">
        <f t="shared" si="9"/>
        <v>0.53333333333333333</v>
      </c>
      <c r="AU10" s="285">
        <f t="shared" si="25"/>
        <v>8.1600000000001033E-2</v>
      </c>
      <c r="AV10" s="284">
        <f t="shared" si="39"/>
        <v>3.2000000000001236</v>
      </c>
      <c r="AW10" s="37">
        <f t="shared" si="10"/>
        <v>0.53333333333333333</v>
      </c>
      <c r="AX10" s="294">
        <f t="shared" si="26"/>
        <v>2.7200000000001046E-2</v>
      </c>
      <c r="AY10" s="48"/>
      <c r="AZ10" s="3"/>
      <c r="BA10" s="3"/>
      <c r="BB10" s="3"/>
      <c r="BC10" s="3"/>
      <c r="BD10" s="131"/>
    </row>
    <row r="11" spans="1:56" x14ac:dyDescent="0.25">
      <c r="B11" s="1" t="s">
        <v>79</v>
      </c>
      <c r="C11" s="91"/>
      <c r="D11" s="34"/>
      <c r="E11" s="29"/>
      <c r="F11" s="286">
        <f t="shared" si="11"/>
        <v>0</v>
      </c>
      <c r="G11" s="37">
        <v>3</v>
      </c>
      <c r="H11" s="284">
        <f t="shared" si="27"/>
        <v>30</v>
      </c>
      <c r="I11" s="29"/>
      <c r="J11" s="285">
        <f t="shared" si="12"/>
        <v>0.25499999999999995</v>
      </c>
      <c r="K11" s="89"/>
      <c r="L11" s="284">
        <f t="shared" si="40"/>
        <v>79.466666666666669</v>
      </c>
      <c r="M11" s="37">
        <f t="shared" ref="M11:M18" si="41">$D$27</f>
        <v>0.53333333333333333</v>
      </c>
      <c r="N11" s="285">
        <f>(L11-M11)*$D$26</f>
        <v>0.67093333333333327</v>
      </c>
      <c r="O11" s="284">
        <f t="shared" si="28"/>
        <v>73.066666666666691</v>
      </c>
      <c r="P11" s="37">
        <f t="shared" si="14"/>
        <v>0.53333333333333333</v>
      </c>
      <c r="Q11" s="285">
        <f t="shared" si="15"/>
        <v>0.61653333333333349</v>
      </c>
      <c r="R11" s="284">
        <f t="shared" si="29"/>
        <v>66.666666666666714</v>
      </c>
      <c r="S11" s="37">
        <f t="shared" si="0"/>
        <v>0.53333333333333333</v>
      </c>
      <c r="T11" s="285">
        <f t="shared" si="16"/>
        <v>0.56213333333333371</v>
      </c>
      <c r="U11" s="284">
        <f t="shared" si="30"/>
        <v>60.266666666666737</v>
      </c>
      <c r="V11" s="37">
        <f t="shared" si="1"/>
        <v>0.53333333333333333</v>
      </c>
      <c r="W11" s="285">
        <f t="shared" si="17"/>
        <v>0.50773333333333392</v>
      </c>
      <c r="X11" s="284">
        <f t="shared" si="31"/>
        <v>53.86666666666676</v>
      </c>
      <c r="Y11" s="37">
        <f t="shared" si="2"/>
        <v>0.53333333333333333</v>
      </c>
      <c r="Z11" s="285">
        <f t="shared" si="18"/>
        <v>0.45333333333333409</v>
      </c>
      <c r="AA11" s="284">
        <f t="shared" si="32"/>
        <v>47.466666666666782</v>
      </c>
      <c r="AB11" s="37">
        <f t="shared" si="3"/>
        <v>0.53333333333333333</v>
      </c>
      <c r="AC11" s="285">
        <f t="shared" si="19"/>
        <v>0.39893333333333431</v>
      </c>
      <c r="AD11" s="284">
        <f t="shared" si="33"/>
        <v>41.066666666666805</v>
      </c>
      <c r="AE11" s="37">
        <f t="shared" si="4"/>
        <v>0.53333333333333333</v>
      </c>
      <c r="AF11" s="285">
        <f t="shared" si="20"/>
        <v>0.34453333333333447</v>
      </c>
      <c r="AG11" s="284">
        <f t="shared" si="34"/>
        <v>34.666666666666828</v>
      </c>
      <c r="AH11" s="37">
        <f t="shared" si="5"/>
        <v>0.53333333333333333</v>
      </c>
      <c r="AI11" s="285">
        <f t="shared" si="21"/>
        <v>0.29466666666666802</v>
      </c>
      <c r="AJ11" s="284">
        <f t="shared" si="35"/>
        <v>28.266666666666826</v>
      </c>
      <c r="AK11" s="37">
        <f t="shared" si="6"/>
        <v>0.53333333333333333</v>
      </c>
      <c r="AL11" s="285">
        <f t="shared" si="22"/>
        <v>0.24026666666666799</v>
      </c>
      <c r="AM11" s="284">
        <f t="shared" si="36"/>
        <v>21.866666666666806</v>
      </c>
      <c r="AN11" s="37">
        <f t="shared" si="7"/>
        <v>0.53333333333333333</v>
      </c>
      <c r="AO11" s="285">
        <f t="shared" si="23"/>
        <v>0.18586666666666782</v>
      </c>
      <c r="AP11" s="284">
        <f t="shared" si="37"/>
        <v>15.466666666666788</v>
      </c>
      <c r="AQ11" s="37">
        <f t="shared" si="8"/>
        <v>0.53333333333333333</v>
      </c>
      <c r="AR11" s="285">
        <f t="shared" si="24"/>
        <v>0.13146666666666768</v>
      </c>
      <c r="AS11" s="284">
        <f t="shared" si="38"/>
        <v>9.066666666666789</v>
      </c>
      <c r="AT11" s="37">
        <f t="shared" si="9"/>
        <v>0.53333333333333333</v>
      </c>
      <c r="AU11" s="285">
        <f t="shared" si="25"/>
        <v>7.7066666666667699E-2</v>
      </c>
      <c r="AV11" s="284">
        <f t="shared" si="39"/>
        <v>2.6666666666667904</v>
      </c>
      <c r="AW11" s="37">
        <f t="shared" si="10"/>
        <v>0.53333333333333333</v>
      </c>
      <c r="AX11" s="294">
        <f t="shared" si="26"/>
        <v>2.2666666666667716E-2</v>
      </c>
      <c r="AY11" s="48"/>
      <c r="AZ11" s="3"/>
      <c r="BA11" s="3"/>
      <c r="BB11" s="3"/>
      <c r="BC11" s="3"/>
      <c r="BD11" s="131"/>
    </row>
    <row r="12" spans="1:56" x14ac:dyDescent="0.25">
      <c r="B12" s="1" t="s">
        <v>80</v>
      </c>
      <c r="C12" s="91"/>
      <c r="D12" s="34"/>
      <c r="E12" s="29"/>
      <c r="F12" s="286">
        <f t="shared" si="11"/>
        <v>0</v>
      </c>
      <c r="G12" s="37">
        <v>3</v>
      </c>
      <c r="H12" s="284">
        <f t="shared" si="27"/>
        <v>33</v>
      </c>
      <c r="I12" s="29"/>
      <c r="J12" s="285">
        <f t="shared" si="12"/>
        <v>0.28049999999999997</v>
      </c>
      <c r="K12" s="89"/>
      <c r="L12" s="284">
        <f t="shared" si="40"/>
        <v>78.933333333333337</v>
      </c>
      <c r="M12" s="37">
        <f t="shared" si="41"/>
        <v>0.53333333333333333</v>
      </c>
      <c r="N12" s="285">
        <f t="shared" ref="N12:N18" si="42">(L12-M12)*$D$26</f>
        <v>0.66639999999999999</v>
      </c>
      <c r="O12" s="284">
        <f t="shared" si="28"/>
        <v>72.53333333333336</v>
      </c>
      <c r="P12" s="37">
        <f t="shared" si="14"/>
        <v>0.53333333333333333</v>
      </c>
      <c r="Q12" s="285">
        <f t="shared" si="15"/>
        <v>0.61200000000000021</v>
      </c>
      <c r="R12" s="284">
        <f t="shared" si="29"/>
        <v>66.133333333333383</v>
      </c>
      <c r="S12" s="37">
        <f t="shared" si="0"/>
        <v>0.53333333333333333</v>
      </c>
      <c r="T12" s="285">
        <f t="shared" si="16"/>
        <v>0.55760000000000032</v>
      </c>
      <c r="U12" s="284">
        <f t="shared" si="30"/>
        <v>59.733333333333405</v>
      </c>
      <c r="V12" s="37">
        <f t="shared" si="1"/>
        <v>0.53333333333333333</v>
      </c>
      <c r="W12" s="285">
        <f t="shared" si="17"/>
        <v>0.50320000000000054</v>
      </c>
      <c r="X12" s="284">
        <f t="shared" si="31"/>
        <v>53.333333333333428</v>
      </c>
      <c r="Y12" s="37">
        <f t="shared" si="2"/>
        <v>0.53333333333333333</v>
      </c>
      <c r="Z12" s="285">
        <f t="shared" si="18"/>
        <v>0.44880000000000075</v>
      </c>
      <c r="AA12" s="284">
        <f t="shared" si="32"/>
        <v>46.933333333333451</v>
      </c>
      <c r="AB12" s="37">
        <f t="shared" si="3"/>
        <v>0.53333333333333333</v>
      </c>
      <c r="AC12" s="285">
        <f t="shared" si="19"/>
        <v>0.39440000000000097</v>
      </c>
      <c r="AD12" s="284">
        <f t="shared" si="33"/>
        <v>40.533333333333474</v>
      </c>
      <c r="AE12" s="37">
        <f t="shared" si="4"/>
        <v>0.53333333333333333</v>
      </c>
      <c r="AF12" s="285">
        <f t="shared" si="20"/>
        <v>0.34000000000000119</v>
      </c>
      <c r="AG12" s="284">
        <f t="shared" si="34"/>
        <v>34.133333333333496</v>
      </c>
      <c r="AH12" s="37">
        <f t="shared" si="5"/>
        <v>0.53333333333333333</v>
      </c>
      <c r="AI12" s="285">
        <f t="shared" si="21"/>
        <v>0.29013333333333469</v>
      </c>
      <c r="AJ12" s="284">
        <f t="shared" si="35"/>
        <v>27.733333333333491</v>
      </c>
      <c r="AK12" s="37">
        <f t="shared" si="6"/>
        <v>0.53333333333333333</v>
      </c>
      <c r="AL12" s="285">
        <f t="shared" si="22"/>
        <v>0.23573333333333463</v>
      </c>
      <c r="AM12" s="284">
        <f t="shared" si="36"/>
        <v>21.333333333333471</v>
      </c>
      <c r="AN12" s="37">
        <f t="shared" si="7"/>
        <v>0.53333333333333333</v>
      </c>
      <c r="AO12" s="285">
        <f t="shared" si="23"/>
        <v>0.18133333333333448</v>
      </c>
      <c r="AP12" s="284">
        <f t="shared" si="37"/>
        <v>14.933333333333454</v>
      </c>
      <c r="AQ12" s="37">
        <f t="shared" si="8"/>
        <v>0.53333333333333333</v>
      </c>
      <c r="AR12" s="285">
        <f t="shared" si="24"/>
        <v>0.12693333333333434</v>
      </c>
      <c r="AS12" s="284">
        <f t="shared" si="38"/>
        <v>8.5333333333334558</v>
      </c>
      <c r="AT12" s="37">
        <f t="shared" si="9"/>
        <v>0.53333333333333333</v>
      </c>
      <c r="AU12" s="285">
        <f t="shared" si="25"/>
        <v>7.2533333333334366E-2</v>
      </c>
      <c r="AV12" s="284">
        <f t="shared" si="39"/>
        <v>2.1333333333334572</v>
      </c>
      <c r="AW12" s="37">
        <f t="shared" si="10"/>
        <v>0.53333333333333333</v>
      </c>
      <c r="AX12" s="294">
        <f t="shared" si="26"/>
        <v>1.8133333333334382E-2</v>
      </c>
      <c r="AY12" s="48"/>
      <c r="AZ12" s="3"/>
      <c r="BA12" s="3"/>
      <c r="BB12" s="3"/>
      <c r="BC12" s="3"/>
      <c r="BD12" s="131"/>
    </row>
    <row r="13" spans="1:56" x14ac:dyDescent="0.25">
      <c r="B13" s="1" t="s">
        <v>81</v>
      </c>
      <c r="C13" s="37">
        <v>2.5</v>
      </c>
      <c r="D13" s="284">
        <f t="shared" ref="D13:D18" si="43">D12+C13</f>
        <v>2.5</v>
      </c>
      <c r="E13" s="29"/>
      <c r="F13" s="286">
        <f>D13*$D$26</f>
        <v>2.1249999999999998E-2</v>
      </c>
      <c r="G13" s="37">
        <v>4</v>
      </c>
      <c r="H13" s="284">
        <f t="shared" si="27"/>
        <v>37</v>
      </c>
      <c r="I13" s="29"/>
      <c r="J13" s="285">
        <f t="shared" si="12"/>
        <v>0.31449999999999995</v>
      </c>
      <c r="K13" s="89"/>
      <c r="L13" s="284">
        <f t="shared" si="40"/>
        <v>78.400000000000006</v>
      </c>
      <c r="M13" s="37">
        <f t="shared" si="41"/>
        <v>0.53333333333333333</v>
      </c>
      <c r="N13" s="285">
        <f t="shared" si="42"/>
        <v>0.6618666666666666</v>
      </c>
      <c r="O13" s="284">
        <f t="shared" si="28"/>
        <v>72.000000000000028</v>
      </c>
      <c r="P13" s="37">
        <f t="shared" si="14"/>
        <v>0.53333333333333333</v>
      </c>
      <c r="Q13" s="285">
        <f t="shared" si="15"/>
        <v>0.60746666666666682</v>
      </c>
      <c r="R13" s="284">
        <f t="shared" si="29"/>
        <v>65.600000000000051</v>
      </c>
      <c r="S13" s="37">
        <f t="shared" si="0"/>
        <v>0.53333333333333333</v>
      </c>
      <c r="T13" s="285">
        <f t="shared" si="16"/>
        <v>0.55306666666666704</v>
      </c>
      <c r="U13" s="284">
        <f t="shared" si="30"/>
        <v>59.200000000000074</v>
      </c>
      <c r="V13" s="37">
        <f t="shared" si="1"/>
        <v>0.53333333333333333</v>
      </c>
      <c r="W13" s="285">
        <f t="shared" si="17"/>
        <v>0.49866666666666726</v>
      </c>
      <c r="X13" s="284">
        <f t="shared" si="31"/>
        <v>52.800000000000097</v>
      </c>
      <c r="Y13" s="37">
        <f t="shared" si="2"/>
        <v>0.53333333333333333</v>
      </c>
      <c r="Z13" s="285">
        <f t="shared" si="18"/>
        <v>0.44426666666666742</v>
      </c>
      <c r="AA13" s="284">
        <f t="shared" si="32"/>
        <v>46.400000000000119</v>
      </c>
      <c r="AB13" s="37">
        <f t="shared" si="3"/>
        <v>0.53333333333333333</v>
      </c>
      <c r="AC13" s="285">
        <f t="shared" si="19"/>
        <v>0.38986666666666764</v>
      </c>
      <c r="AD13" s="284">
        <f t="shared" si="33"/>
        <v>40.000000000000142</v>
      </c>
      <c r="AE13" s="37">
        <f t="shared" si="4"/>
        <v>0.53333333333333333</v>
      </c>
      <c r="AF13" s="285">
        <f t="shared" si="20"/>
        <v>0.33546666666666786</v>
      </c>
      <c r="AG13" s="284">
        <f t="shared" si="34"/>
        <v>33.600000000000165</v>
      </c>
      <c r="AH13" s="37">
        <f t="shared" si="5"/>
        <v>0.53333333333333333</v>
      </c>
      <c r="AI13" s="285">
        <f t="shared" si="21"/>
        <v>0.28560000000000135</v>
      </c>
      <c r="AJ13" s="284">
        <f t="shared" si="35"/>
        <v>27.200000000000156</v>
      </c>
      <c r="AK13" s="37">
        <f t="shared" si="6"/>
        <v>0.53333333333333333</v>
      </c>
      <c r="AL13" s="285">
        <f t="shared" si="22"/>
        <v>0.23120000000000129</v>
      </c>
      <c r="AM13" s="284">
        <f t="shared" si="36"/>
        <v>20.800000000000136</v>
      </c>
      <c r="AN13" s="37">
        <f t="shared" si="7"/>
        <v>0.53333333333333333</v>
      </c>
      <c r="AO13" s="285">
        <f t="shared" si="23"/>
        <v>0.17680000000000112</v>
      </c>
      <c r="AP13" s="284">
        <f t="shared" si="37"/>
        <v>14.400000000000121</v>
      </c>
      <c r="AQ13" s="37">
        <f t="shared" si="8"/>
        <v>0.53333333333333333</v>
      </c>
      <c r="AR13" s="285">
        <f t="shared" si="24"/>
        <v>0.12240000000000101</v>
      </c>
      <c r="AS13" s="284">
        <f t="shared" si="38"/>
        <v>8.0000000000001226</v>
      </c>
      <c r="AT13" s="37">
        <f t="shared" si="9"/>
        <v>0.53333333333333333</v>
      </c>
      <c r="AU13" s="285">
        <f t="shared" si="25"/>
        <v>6.8000000000001032E-2</v>
      </c>
      <c r="AV13" s="284">
        <f t="shared" si="39"/>
        <v>1.600000000000124</v>
      </c>
      <c r="AW13" s="37">
        <f t="shared" si="10"/>
        <v>0.53333333333333333</v>
      </c>
      <c r="AX13" s="294">
        <f t="shared" si="26"/>
        <v>1.3600000000001052E-2</v>
      </c>
      <c r="AY13" s="48"/>
      <c r="AZ13" s="3"/>
      <c r="BA13" s="3"/>
      <c r="BB13" s="3"/>
      <c r="BC13" s="3"/>
      <c r="BD13" s="131"/>
    </row>
    <row r="14" spans="1:56" x14ac:dyDescent="0.25">
      <c r="B14" s="1" t="s">
        <v>82</v>
      </c>
      <c r="C14" s="37">
        <v>2.5</v>
      </c>
      <c r="D14" s="284">
        <f t="shared" si="43"/>
        <v>5</v>
      </c>
      <c r="E14" s="29"/>
      <c r="F14" s="286">
        <f t="shared" ref="F14:F18" si="44">D14*$D$26</f>
        <v>4.2499999999999996E-2</v>
      </c>
      <c r="G14" s="37">
        <v>4</v>
      </c>
      <c r="H14" s="284">
        <f t="shared" si="27"/>
        <v>41</v>
      </c>
      <c r="I14" s="29"/>
      <c r="J14" s="285">
        <f t="shared" si="12"/>
        <v>0.34849999999999998</v>
      </c>
      <c r="K14" s="89"/>
      <c r="L14" s="284">
        <f t="shared" si="40"/>
        <v>77.866666666666674</v>
      </c>
      <c r="M14" s="37">
        <f t="shared" si="41"/>
        <v>0.53333333333333333</v>
      </c>
      <c r="N14" s="285">
        <f t="shared" si="42"/>
        <v>0.65733333333333333</v>
      </c>
      <c r="O14" s="284">
        <f t="shared" si="28"/>
        <v>71.466666666666697</v>
      </c>
      <c r="P14" s="37">
        <f t="shared" si="14"/>
        <v>0.53333333333333333</v>
      </c>
      <c r="Q14" s="285">
        <f t="shared" si="15"/>
        <v>0.60293333333333354</v>
      </c>
      <c r="R14" s="284">
        <f t="shared" si="29"/>
        <v>65.06666666666672</v>
      </c>
      <c r="S14" s="37">
        <f t="shared" si="0"/>
        <v>0.53333333333333333</v>
      </c>
      <c r="T14" s="285">
        <f t="shared" si="16"/>
        <v>0.54853333333333376</v>
      </c>
      <c r="U14" s="284">
        <f t="shared" si="30"/>
        <v>58.666666666666742</v>
      </c>
      <c r="V14" s="37">
        <f t="shared" si="1"/>
        <v>0.53333333333333333</v>
      </c>
      <c r="W14" s="285">
        <f t="shared" si="17"/>
        <v>0.49413333333333392</v>
      </c>
      <c r="X14" s="284">
        <f t="shared" si="31"/>
        <v>52.266666666666765</v>
      </c>
      <c r="Y14" s="37">
        <f t="shared" si="2"/>
        <v>0.53333333333333333</v>
      </c>
      <c r="Z14" s="285">
        <f t="shared" si="18"/>
        <v>0.43973333333333414</v>
      </c>
      <c r="AA14" s="284">
        <f t="shared" si="32"/>
        <v>45.866666666666788</v>
      </c>
      <c r="AB14" s="37">
        <f t="shared" si="3"/>
        <v>0.53333333333333333</v>
      </c>
      <c r="AC14" s="285">
        <f t="shared" si="19"/>
        <v>0.3853333333333343</v>
      </c>
      <c r="AD14" s="284">
        <f t="shared" si="33"/>
        <v>39.466666666666811</v>
      </c>
      <c r="AE14" s="37">
        <f t="shared" si="4"/>
        <v>0.53333333333333333</v>
      </c>
      <c r="AF14" s="285">
        <f t="shared" si="20"/>
        <v>0.33093333333333452</v>
      </c>
      <c r="AG14" s="284">
        <f t="shared" si="34"/>
        <v>33.066666666666833</v>
      </c>
      <c r="AH14" s="37">
        <f t="shared" si="5"/>
        <v>0.53333333333333333</v>
      </c>
      <c r="AI14" s="285">
        <f t="shared" si="21"/>
        <v>0.28106666666666802</v>
      </c>
      <c r="AJ14" s="284">
        <f t="shared" si="35"/>
        <v>26.666666666666821</v>
      </c>
      <c r="AK14" s="37">
        <f t="shared" si="6"/>
        <v>0.53333333333333333</v>
      </c>
      <c r="AL14" s="285">
        <f t="shared" si="22"/>
        <v>0.22666666666666793</v>
      </c>
      <c r="AM14" s="284">
        <f t="shared" si="36"/>
        <v>20.266666666666801</v>
      </c>
      <c r="AN14" s="37">
        <f t="shared" si="7"/>
        <v>0.53333333333333333</v>
      </c>
      <c r="AO14" s="285">
        <f t="shared" si="23"/>
        <v>0.17226666666666779</v>
      </c>
      <c r="AP14" s="284">
        <f t="shared" si="37"/>
        <v>13.866666666666788</v>
      </c>
      <c r="AQ14" s="37">
        <f t="shared" si="8"/>
        <v>0.53333333333333333</v>
      </c>
      <c r="AR14" s="285">
        <f t="shared" si="24"/>
        <v>0.11786666666666769</v>
      </c>
      <c r="AS14" s="284">
        <f t="shared" si="38"/>
        <v>7.4666666666667894</v>
      </c>
      <c r="AT14" s="37">
        <f t="shared" si="9"/>
        <v>0.53333333333333333</v>
      </c>
      <c r="AU14" s="285">
        <f t="shared" si="25"/>
        <v>6.3466666666667698E-2</v>
      </c>
      <c r="AV14" s="284">
        <f t="shared" si="39"/>
        <v>1.0666666666667908</v>
      </c>
      <c r="AW14" s="37">
        <f t="shared" si="10"/>
        <v>0.53333333333333333</v>
      </c>
      <c r="AX14" s="294">
        <f t="shared" si="26"/>
        <v>9.0666666666677203E-3</v>
      </c>
      <c r="AY14" s="48"/>
      <c r="AZ14" s="3"/>
      <c r="BA14" s="3"/>
      <c r="BB14" s="3"/>
      <c r="BC14" s="3"/>
      <c r="BD14" s="131"/>
    </row>
    <row r="15" spans="1:56" x14ac:dyDescent="0.25">
      <c r="B15" s="1" t="s">
        <v>83</v>
      </c>
      <c r="C15" s="37">
        <v>2.5</v>
      </c>
      <c r="D15" s="284">
        <f t="shared" si="43"/>
        <v>7.5</v>
      </c>
      <c r="E15" s="29"/>
      <c r="F15" s="286">
        <f t="shared" si="44"/>
        <v>6.3749999999999987E-2</v>
      </c>
      <c r="G15" s="37">
        <v>5</v>
      </c>
      <c r="H15" s="284">
        <f t="shared" si="27"/>
        <v>46</v>
      </c>
      <c r="I15" s="29"/>
      <c r="J15" s="285">
        <f t="shared" si="12"/>
        <v>0.39099999999999996</v>
      </c>
      <c r="K15" s="89"/>
      <c r="L15" s="284">
        <f t="shared" si="40"/>
        <v>77.333333333333343</v>
      </c>
      <c r="M15" s="37">
        <f t="shared" si="41"/>
        <v>0.53333333333333333</v>
      </c>
      <c r="N15" s="285">
        <f t="shared" si="42"/>
        <v>0.65280000000000005</v>
      </c>
      <c r="O15" s="284">
        <f t="shared" si="28"/>
        <v>70.933333333333366</v>
      </c>
      <c r="P15" s="37">
        <f t="shared" si="14"/>
        <v>0.53333333333333333</v>
      </c>
      <c r="Q15" s="285">
        <f t="shared" si="15"/>
        <v>0.59840000000000027</v>
      </c>
      <c r="R15" s="284">
        <f t="shared" si="29"/>
        <v>64.533333333333388</v>
      </c>
      <c r="S15" s="37">
        <f t="shared" si="0"/>
        <v>0.53333333333333333</v>
      </c>
      <c r="T15" s="285">
        <f t="shared" si="16"/>
        <v>0.54400000000000037</v>
      </c>
      <c r="U15" s="284">
        <f t="shared" si="30"/>
        <v>58.133333333333411</v>
      </c>
      <c r="V15" s="37">
        <f t="shared" si="1"/>
        <v>0.53333333333333333</v>
      </c>
      <c r="W15" s="285">
        <f t="shared" si="17"/>
        <v>0.48960000000000059</v>
      </c>
      <c r="X15" s="284">
        <f t="shared" si="31"/>
        <v>51.733333333333434</v>
      </c>
      <c r="Y15" s="37">
        <f t="shared" si="2"/>
        <v>0.53333333333333333</v>
      </c>
      <c r="Z15" s="285">
        <f t="shared" si="18"/>
        <v>0.43520000000000081</v>
      </c>
      <c r="AA15" s="284">
        <f t="shared" si="32"/>
        <v>45.333333333333456</v>
      </c>
      <c r="AB15" s="37">
        <f t="shared" si="3"/>
        <v>0.53333333333333333</v>
      </c>
      <c r="AC15" s="285">
        <f t="shared" si="19"/>
        <v>0.38080000000000103</v>
      </c>
      <c r="AD15" s="284">
        <f t="shared" si="33"/>
        <v>38.933333333333479</v>
      </c>
      <c r="AE15" s="37">
        <f t="shared" si="4"/>
        <v>0.53333333333333333</v>
      </c>
      <c r="AF15" s="285">
        <f t="shared" si="20"/>
        <v>0.32640000000000119</v>
      </c>
      <c r="AG15" s="284">
        <f t="shared" si="34"/>
        <v>32.533333333333502</v>
      </c>
      <c r="AH15" s="37">
        <f t="shared" si="5"/>
        <v>0.53333333333333333</v>
      </c>
      <c r="AI15" s="285">
        <f t="shared" si="21"/>
        <v>0.27653333333333474</v>
      </c>
      <c r="AJ15" s="284">
        <f t="shared" si="35"/>
        <v>26.133333333333486</v>
      </c>
      <c r="AK15" s="37">
        <f t="shared" si="6"/>
        <v>0.53333333333333333</v>
      </c>
      <c r="AL15" s="285">
        <f t="shared" si="22"/>
        <v>0.2221333333333346</v>
      </c>
      <c r="AM15" s="284">
        <f t="shared" si="36"/>
        <v>19.733333333333466</v>
      </c>
      <c r="AN15" s="37">
        <f t="shared" si="7"/>
        <v>0.53333333333333333</v>
      </c>
      <c r="AO15" s="285">
        <f t="shared" si="23"/>
        <v>0.16773333333333443</v>
      </c>
      <c r="AP15" s="284">
        <f t="shared" si="37"/>
        <v>13.333333333333455</v>
      </c>
      <c r="AQ15" s="37">
        <f t="shared" si="8"/>
        <v>0.53333333333333333</v>
      </c>
      <c r="AR15" s="285">
        <f t="shared" si="24"/>
        <v>0.11333333333333435</v>
      </c>
      <c r="AS15" s="284">
        <f t="shared" si="38"/>
        <v>6.9333333333334561</v>
      </c>
      <c r="AT15" s="37">
        <f t="shared" si="9"/>
        <v>0.53333333333333333</v>
      </c>
      <c r="AU15" s="285">
        <f t="shared" si="25"/>
        <v>5.8933333333334371E-2</v>
      </c>
      <c r="AV15" s="284">
        <f t="shared" si="39"/>
        <v>0.53333333333345745</v>
      </c>
      <c r="AW15" s="37">
        <f t="shared" si="10"/>
        <v>0.53333333333333333</v>
      </c>
      <c r="AX15" s="294">
        <f t="shared" si="26"/>
        <v>4.5333333333343875E-3</v>
      </c>
      <c r="AY15" s="48"/>
      <c r="AZ15" s="3"/>
      <c r="BA15" s="3"/>
      <c r="BB15" s="3"/>
      <c r="BC15" s="3"/>
      <c r="BD15" s="131"/>
    </row>
    <row r="16" spans="1:56" x14ac:dyDescent="0.25">
      <c r="B16" s="1" t="s">
        <v>84</v>
      </c>
      <c r="C16" s="37">
        <v>2.5</v>
      </c>
      <c r="D16" s="284">
        <f t="shared" si="43"/>
        <v>10</v>
      </c>
      <c r="E16" s="29"/>
      <c r="F16" s="286">
        <f t="shared" si="44"/>
        <v>8.4999999999999992E-2</v>
      </c>
      <c r="G16" s="37">
        <v>5</v>
      </c>
      <c r="H16" s="284">
        <f t="shared" si="27"/>
        <v>51</v>
      </c>
      <c r="I16" s="29"/>
      <c r="J16" s="285">
        <f t="shared" si="12"/>
        <v>0.43349999999999994</v>
      </c>
      <c r="K16" s="89"/>
      <c r="L16" s="284">
        <f t="shared" si="40"/>
        <v>76.800000000000011</v>
      </c>
      <c r="M16" s="37">
        <f t="shared" si="41"/>
        <v>0.53333333333333333</v>
      </c>
      <c r="N16" s="285">
        <f t="shared" si="42"/>
        <v>0.64826666666666666</v>
      </c>
      <c r="O16" s="284">
        <f t="shared" si="28"/>
        <v>70.400000000000034</v>
      </c>
      <c r="P16" s="37">
        <f t="shared" si="14"/>
        <v>0.53333333333333333</v>
      </c>
      <c r="Q16" s="285">
        <f t="shared" si="15"/>
        <v>0.59386666666666688</v>
      </c>
      <c r="R16" s="284">
        <f t="shared" si="29"/>
        <v>64.000000000000057</v>
      </c>
      <c r="S16" s="37">
        <f t="shared" si="0"/>
        <v>0.53333333333333333</v>
      </c>
      <c r="T16" s="285">
        <f t="shared" si="16"/>
        <v>0.53946666666666709</v>
      </c>
      <c r="U16" s="284">
        <f t="shared" si="30"/>
        <v>57.60000000000008</v>
      </c>
      <c r="V16" s="37">
        <f t="shared" si="1"/>
        <v>0.53333333333333333</v>
      </c>
      <c r="W16" s="285">
        <f t="shared" si="17"/>
        <v>0.48506666666666731</v>
      </c>
      <c r="X16" s="284">
        <f t="shared" si="31"/>
        <v>51.200000000000102</v>
      </c>
      <c r="Y16" s="37">
        <f t="shared" si="2"/>
        <v>0.53333333333333333</v>
      </c>
      <c r="Z16" s="285">
        <f t="shared" si="18"/>
        <v>0.43066666666666747</v>
      </c>
      <c r="AA16" s="284">
        <f t="shared" si="32"/>
        <v>44.800000000000125</v>
      </c>
      <c r="AB16" s="37">
        <f t="shared" si="3"/>
        <v>0.53333333333333333</v>
      </c>
      <c r="AC16" s="285">
        <f t="shared" si="19"/>
        <v>0.37626666666666769</v>
      </c>
      <c r="AD16" s="284">
        <f t="shared" si="33"/>
        <v>38.400000000000148</v>
      </c>
      <c r="AE16" s="37">
        <f t="shared" si="4"/>
        <v>0.53333333333333333</v>
      </c>
      <c r="AF16" s="285">
        <f t="shared" si="20"/>
        <v>0.32186666666666791</v>
      </c>
      <c r="AG16" s="284">
        <f t="shared" si="34"/>
        <v>32.000000000000171</v>
      </c>
      <c r="AH16" s="37">
        <f t="shared" si="5"/>
        <v>0.53333333333333333</v>
      </c>
      <c r="AI16" s="285">
        <f t="shared" si="21"/>
        <v>0.27200000000000141</v>
      </c>
      <c r="AJ16" s="284">
        <f t="shared" si="35"/>
        <v>25.600000000000151</v>
      </c>
      <c r="AK16" s="37">
        <f t="shared" si="6"/>
        <v>0.53333333333333333</v>
      </c>
      <c r="AL16" s="285">
        <f t="shared" si="22"/>
        <v>0.21760000000000126</v>
      </c>
      <c r="AM16" s="284">
        <f t="shared" si="36"/>
        <v>19.200000000000131</v>
      </c>
      <c r="AN16" s="37">
        <f t="shared" si="7"/>
        <v>0.53333333333333333</v>
      </c>
      <c r="AO16" s="285">
        <f t="shared" si="23"/>
        <v>0.16320000000000109</v>
      </c>
      <c r="AP16" s="284">
        <f t="shared" si="37"/>
        <v>12.800000000000122</v>
      </c>
      <c r="AQ16" s="37">
        <f t="shared" si="8"/>
        <v>0.53333333333333333</v>
      </c>
      <c r="AR16" s="285">
        <f t="shared" si="24"/>
        <v>0.10880000000000102</v>
      </c>
      <c r="AS16" s="284">
        <f t="shared" si="38"/>
        <v>6.4000000000001229</v>
      </c>
      <c r="AT16" s="37">
        <f t="shared" si="9"/>
        <v>0.53333333333333333</v>
      </c>
      <c r="AU16" s="285">
        <f t="shared" si="25"/>
        <v>5.4400000000001038E-2</v>
      </c>
      <c r="AV16" s="284">
        <f t="shared" si="39"/>
        <v>1.241229341530925E-13</v>
      </c>
      <c r="AW16" s="292">
        <f>50/10^5</f>
        <v>5.0000000000000001E-4</v>
      </c>
      <c r="AX16" s="294">
        <f>AV16*$D$26</f>
        <v>1.0550449403012861E-15</v>
      </c>
      <c r="AY16" s="48"/>
      <c r="AZ16" s="3"/>
      <c r="BA16" s="3"/>
      <c r="BB16" s="3"/>
      <c r="BC16" s="3"/>
      <c r="BD16" s="131"/>
    </row>
    <row r="17" spans="2:56" x14ac:dyDescent="0.25">
      <c r="B17" s="1" t="s">
        <v>85</v>
      </c>
      <c r="C17" s="37">
        <v>2.5</v>
      </c>
      <c r="D17" s="284">
        <f t="shared" si="43"/>
        <v>12.5</v>
      </c>
      <c r="E17" s="29"/>
      <c r="F17" s="286">
        <f t="shared" si="44"/>
        <v>0.10624999999999998</v>
      </c>
      <c r="G17" s="37">
        <v>5</v>
      </c>
      <c r="H17" s="284">
        <f t="shared" si="27"/>
        <v>56</v>
      </c>
      <c r="I17" s="29"/>
      <c r="J17" s="285">
        <f t="shared" si="12"/>
        <v>0.47599999999999992</v>
      </c>
      <c r="K17" s="89"/>
      <c r="L17" s="284">
        <f t="shared" si="40"/>
        <v>76.26666666666668</v>
      </c>
      <c r="M17" s="37">
        <f t="shared" si="41"/>
        <v>0.53333333333333333</v>
      </c>
      <c r="N17" s="285">
        <f t="shared" si="42"/>
        <v>0.64373333333333338</v>
      </c>
      <c r="O17" s="284">
        <f t="shared" si="28"/>
        <v>69.866666666666703</v>
      </c>
      <c r="P17" s="37">
        <f t="shared" si="14"/>
        <v>0.53333333333333333</v>
      </c>
      <c r="Q17" s="285">
        <f t="shared" si="15"/>
        <v>0.5893333333333336</v>
      </c>
      <c r="R17" s="284">
        <f t="shared" si="29"/>
        <v>63.466666666666725</v>
      </c>
      <c r="S17" s="37">
        <f t="shared" si="0"/>
        <v>0.53333333333333333</v>
      </c>
      <c r="T17" s="285">
        <f t="shared" si="16"/>
        <v>0.53493333333333382</v>
      </c>
      <c r="U17" s="284">
        <f t="shared" si="30"/>
        <v>57.066666666666748</v>
      </c>
      <c r="V17" s="37">
        <f t="shared" si="1"/>
        <v>0.53333333333333333</v>
      </c>
      <c r="W17" s="285">
        <f t="shared" si="17"/>
        <v>0.48053333333333398</v>
      </c>
      <c r="X17" s="284">
        <f t="shared" si="31"/>
        <v>50.666666666666771</v>
      </c>
      <c r="Y17" s="37">
        <f t="shared" si="2"/>
        <v>0.53333333333333333</v>
      </c>
      <c r="Z17" s="285">
        <f t="shared" si="18"/>
        <v>0.4261333333333342</v>
      </c>
      <c r="AA17" s="284">
        <f t="shared" si="32"/>
        <v>44.266666666666794</v>
      </c>
      <c r="AB17" s="37">
        <f t="shared" si="3"/>
        <v>0.53333333333333333</v>
      </c>
      <c r="AC17" s="285">
        <f t="shared" si="19"/>
        <v>0.37173333333333436</v>
      </c>
      <c r="AD17" s="284">
        <f t="shared" si="33"/>
        <v>37.866666666666816</v>
      </c>
      <c r="AE17" s="37">
        <f t="shared" si="4"/>
        <v>0.53333333333333333</v>
      </c>
      <c r="AF17" s="285">
        <f t="shared" si="20"/>
        <v>0.31733333333333458</v>
      </c>
      <c r="AG17" s="284">
        <f t="shared" si="34"/>
        <v>31.466666666666836</v>
      </c>
      <c r="AH17" s="37">
        <f t="shared" si="5"/>
        <v>0.53333333333333333</v>
      </c>
      <c r="AI17" s="285">
        <f t="shared" si="21"/>
        <v>0.26746666666666807</v>
      </c>
      <c r="AJ17" s="284">
        <f t="shared" si="35"/>
        <v>25.066666666666816</v>
      </c>
      <c r="AK17" s="37">
        <f t="shared" si="6"/>
        <v>0.53333333333333333</v>
      </c>
      <c r="AL17" s="285">
        <f t="shared" si="22"/>
        <v>0.2130666666666679</v>
      </c>
      <c r="AM17" s="284">
        <f t="shared" si="36"/>
        <v>18.666666666666796</v>
      </c>
      <c r="AN17" s="37">
        <f t="shared" si="7"/>
        <v>0.53333333333333333</v>
      </c>
      <c r="AO17" s="285">
        <f t="shared" si="23"/>
        <v>0.15866666666666773</v>
      </c>
      <c r="AP17" s="284">
        <f t="shared" si="37"/>
        <v>12.266666666666788</v>
      </c>
      <c r="AQ17" s="37">
        <f t="shared" si="8"/>
        <v>0.53333333333333333</v>
      </c>
      <c r="AR17" s="285">
        <f t="shared" si="24"/>
        <v>0.10426666666666769</v>
      </c>
      <c r="AS17" s="284">
        <f t="shared" si="38"/>
        <v>5.8666666666667897</v>
      </c>
      <c r="AT17" s="37">
        <f t="shared" si="9"/>
        <v>0.53333333333333333</v>
      </c>
      <c r="AU17" s="285">
        <f t="shared" si="25"/>
        <v>4.9866666666667704E-2</v>
      </c>
      <c r="AV17" s="284"/>
      <c r="AW17" s="29"/>
      <c r="AX17" s="128"/>
      <c r="AY17" s="48"/>
      <c r="AZ17" s="3"/>
      <c r="BA17" s="3"/>
      <c r="BB17" s="3"/>
      <c r="BC17" s="3"/>
      <c r="BD17" s="131"/>
    </row>
    <row r="18" spans="2:56" ht="15.75" thickBot="1" x14ac:dyDescent="0.3">
      <c r="B18" s="1" t="s">
        <v>86</v>
      </c>
      <c r="C18" s="37">
        <v>2.5</v>
      </c>
      <c r="D18" s="284">
        <f t="shared" si="43"/>
        <v>15</v>
      </c>
      <c r="E18" s="29"/>
      <c r="F18" s="286">
        <f t="shared" si="44"/>
        <v>0.12749999999999997</v>
      </c>
      <c r="G18" s="37">
        <v>5</v>
      </c>
      <c r="H18" s="284">
        <f t="shared" si="27"/>
        <v>61</v>
      </c>
      <c r="I18" s="29"/>
      <c r="J18" s="285">
        <f t="shared" si="12"/>
        <v>0.51849999999999996</v>
      </c>
      <c r="K18" s="89"/>
      <c r="L18" s="284">
        <f t="shared" si="40"/>
        <v>75.733333333333348</v>
      </c>
      <c r="M18" s="37">
        <f t="shared" si="41"/>
        <v>0.53333333333333333</v>
      </c>
      <c r="N18" s="285">
        <f t="shared" si="42"/>
        <v>0.6392000000000001</v>
      </c>
      <c r="O18" s="284">
        <f t="shared" si="28"/>
        <v>69.333333333333371</v>
      </c>
      <c r="P18" s="37">
        <f t="shared" si="14"/>
        <v>0.53333333333333333</v>
      </c>
      <c r="Q18" s="285">
        <f t="shared" si="15"/>
        <v>0.58480000000000021</v>
      </c>
      <c r="R18" s="284">
        <f t="shared" si="29"/>
        <v>62.933333333333394</v>
      </c>
      <c r="S18" s="37">
        <f t="shared" si="0"/>
        <v>0.53333333333333333</v>
      </c>
      <c r="T18" s="285">
        <f t="shared" si="16"/>
        <v>0.53040000000000043</v>
      </c>
      <c r="U18" s="284">
        <f t="shared" si="30"/>
        <v>56.533333333333417</v>
      </c>
      <c r="V18" s="37">
        <f t="shared" si="1"/>
        <v>0.53333333333333333</v>
      </c>
      <c r="W18" s="285">
        <f t="shared" si="17"/>
        <v>0.47600000000000064</v>
      </c>
      <c r="X18" s="284">
        <f t="shared" si="31"/>
        <v>50.133333333333439</v>
      </c>
      <c r="Y18" s="37">
        <f t="shared" si="2"/>
        <v>0.53333333333333333</v>
      </c>
      <c r="Z18" s="285">
        <f t="shared" si="18"/>
        <v>0.42160000000000086</v>
      </c>
      <c r="AA18" s="284">
        <f t="shared" si="32"/>
        <v>43.733333333333462</v>
      </c>
      <c r="AB18" s="37">
        <f t="shared" si="3"/>
        <v>0.53333333333333333</v>
      </c>
      <c r="AC18" s="285">
        <f t="shared" si="19"/>
        <v>0.36720000000000108</v>
      </c>
      <c r="AD18" s="284">
        <f t="shared" si="33"/>
        <v>37.333333333333485</v>
      </c>
      <c r="AE18" s="37">
        <f t="shared" si="4"/>
        <v>0.53333333333333333</v>
      </c>
      <c r="AF18" s="285">
        <f t="shared" si="20"/>
        <v>0.31280000000000124</v>
      </c>
      <c r="AG18" s="284">
        <f t="shared" si="34"/>
        <v>30.933333333333501</v>
      </c>
      <c r="AH18" s="37">
        <f t="shared" si="5"/>
        <v>0.53333333333333333</v>
      </c>
      <c r="AI18" s="285">
        <f t="shared" si="21"/>
        <v>0.26293333333333474</v>
      </c>
      <c r="AJ18" s="284">
        <f t="shared" si="35"/>
        <v>24.533333333333481</v>
      </c>
      <c r="AK18" s="37">
        <f t="shared" si="6"/>
        <v>0.53333333333333333</v>
      </c>
      <c r="AL18" s="285">
        <f t="shared" si="22"/>
        <v>0.20853333333333457</v>
      </c>
      <c r="AM18" s="284">
        <f t="shared" si="36"/>
        <v>18.133333333333461</v>
      </c>
      <c r="AN18" s="37">
        <f t="shared" si="7"/>
        <v>0.53333333333333333</v>
      </c>
      <c r="AO18" s="285">
        <f t="shared" si="23"/>
        <v>0.1541333333333344</v>
      </c>
      <c r="AP18" s="284">
        <f t="shared" si="37"/>
        <v>11.733333333333455</v>
      </c>
      <c r="AQ18" s="37">
        <f t="shared" si="8"/>
        <v>0.53333333333333333</v>
      </c>
      <c r="AR18" s="285">
        <f t="shared" si="24"/>
        <v>9.9733333333334354E-2</v>
      </c>
      <c r="AS18" s="284">
        <f t="shared" si="38"/>
        <v>5.3333333333334565</v>
      </c>
      <c r="AT18" s="37">
        <f t="shared" si="9"/>
        <v>0.53333333333333333</v>
      </c>
      <c r="AU18" s="285">
        <f t="shared" si="25"/>
        <v>4.5333333333334377E-2</v>
      </c>
      <c r="AV18" s="284"/>
      <c r="AW18" s="29"/>
      <c r="AX18" s="128"/>
      <c r="AY18" s="48"/>
      <c r="AZ18" s="3"/>
      <c r="BA18" s="3"/>
      <c r="BB18" s="3"/>
      <c r="BC18" s="3"/>
      <c r="BD18" s="131"/>
    </row>
    <row r="19" spans="2:56" ht="15.75" thickBot="1" x14ac:dyDescent="0.3">
      <c r="B19" s="1" t="s">
        <v>30</v>
      </c>
      <c r="C19" s="283">
        <f>SUM(C13:C18)</f>
        <v>15</v>
      </c>
      <c r="D19" s="30"/>
      <c r="E19" s="287">
        <f t="shared" ref="E19" si="45">SUM(E7:E18)</f>
        <v>0</v>
      </c>
      <c r="F19" s="288">
        <f>SUM(F7:F18)</f>
        <v>0.44624999999999992</v>
      </c>
      <c r="G19" s="289">
        <f>SUM(G7:G18)</f>
        <v>46</v>
      </c>
      <c r="H19" s="290"/>
      <c r="I19" s="287">
        <f t="shared" ref="I19:J19" si="46">SUM(I7:I18)</f>
        <v>0</v>
      </c>
      <c r="J19" s="288">
        <f t="shared" si="46"/>
        <v>3.7824999999999998</v>
      </c>
      <c r="K19" s="289">
        <f>SUM(K7:K18)</f>
        <v>19</v>
      </c>
      <c r="L19" s="30"/>
      <c r="M19" s="287">
        <f t="shared" ref="M19:N19" si="47">SUM(M7:M18)</f>
        <v>4.8</v>
      </c>
      <c r="N19" s="288">
        <f t="shared" si="47"/>
        <v>7.7902499999999986</v>
      </c>
      <c r="O19" s="290"/>
      <c r="P19" s="287">
        <f t="shared" ref="P19:Q19" si="48">SUM(P7:P18)</f>
        <v>6.3999999999999995</v>
      </c>
      <c r="Q19" s="288">
        <f t="shared" si="48"/>
        <v>7.3168000000000024</v>
      </c>
      <c r="R19" s="30"/>
      <c r="S19" s="287">
        <f t="shared" ref="S19:T19" si="49">SUM(S7:S18)</f>
        <v>6.3999999999999995</v>
      </c>
      <c r="T19" s="288">
        <f t="shared" si="49"/>
        <v>6.6640000000000033</v>
      </c>
      <c r="U19" s="290"/>
      <c r="V19" s="287">
        <f t="shared" ref="V19:W19" si="50">SUM(V7:V18)</f>
        <v>6.3999999999999995</v>
      </c>
      <c r="W19" s="288">
        <f t="shared" si="50"/>
        <v>6.0112000000000059</v>
      </c>
      <c r="X19" s="290"/>
      <c r="Y19" s="287">
        <f t="shared" ref="Y19:Z19" si="51">SUM(Y7:Y18)</f>
        <v>6.3999999999999995</v>
      </c>
      <c r="Z19" s="288">
        <f t="shared" si="51"/>
        <v>5.3584000000000085</v>
      </c>
      <c r="AA19" s="290"/>
      <c r="AB19" s="287">
        <f t="shared" ref="AB19:AC19" si="52">SUM(AB7:AB18)</f>
        <v>6.3999999999999995</v>
      </c>
      <c r="AC19" s="288">
        <f t="shared" si="52"/>
        <v>4.705600000000012</v>
      </c>
      <c r="AD19" s="290"/>
      <c r="AE19" s="287">
        <f t="shared" ref="AE19:AF19" si="53">SUM(AE7:AE18)</f>
        <v>6.3999999999999995</v>
      </c>
      <c r="AF19" s="288">
        <f t="shared" si="53"/>
        <v>4.0528000000000146</v>
      </c>
      <c r="AG19" s="290"/>
      <c r="AH19" s="287">
        <f t="shared" ref="AH19:AI19" si="54">SUM(AH7:AH18)</f>
        <v>6.3999999999999995</v>
      </c>
      <c r="AI19" s="288">
        <f t="shared" si="54"/>
        <v>3.4544000000000166</v>
      </c>
      <c r="AJ19" s="290"/>
      <c r="AK19" s="287">
        <f t="shared" ref="AK19:AL19" si="55">SUM(AK7:AK18)</f>
        <v>6.3999999999999995</v>
      </c>
      <c r="AL19" s="288">
        <f t="shared" si="55"/>
        <v>2.8016000000000156</v>
      </c>
      <c r="AM19" s="290"/>
      <c r="AN19" s="287">
        <f t="shared" ref="AN19:AO19" si="56">SUM(AN7:AN18)</f>
        <v>6.3999999999999995</v>
      </c>
      <c r="AO19" s="288">
        <f t="shared" si="56"/>
        <v>2.1488000000000143</v>
      </c>
      <c r="AP19" s="290"/>
      <c r="AQ19" s="287">
        <f t="shared" ref="AQ19:AR19" si="57">SUM(AQ7:AQ18)</f>
        <v>6.3999999999999995</v>
      </c>
      <c r="AR19" s="288">
        <f t="shared" si="57"/>
        <v>1.4960000000000124</v>
      </c>
      <c r="AS19" s="290"/>
      <c r="AT19" s="287">
        <f t="shared" ref="AT19:AU19" si="58">SUM(AT7:AT18)</f>
        <v>6.3999999999999995</v>
      </c>
      <c r="AU19" s="288">
        <f t="shared" si="58"/>
        <v>0.84320000000001238</v>
      </c>
      <c r="AV19" s="290"/>
      <c r="AW19" s="287">
        <f t="shared" ref="AW19:AX19" si="59">SUM(AW7:AW18)</f>
        <v>4.8004999999999995</v>
      </c>
      <c r="AX19" s="293">
        <f t="shared" si="59"/>
        <v>0.20400000000001051</v>
      </c>
      <c r="AY19" s="132"/>
      <c r="AZ19" s="133"/>
      <c r="BA19" s="133"/>
      <c r="BB19" s="133"/>
      <c r="BC19" s="133"/>
      <c r="BD19" s="134"/>
    </row>
    <row r="20" spans="2:56" x14ac:dyDescent="0.25">
      <c r="E20" s="70"/>
      <c r="F20" s="70">
        <f>F19</f>
        <v>0.44624999999999992</v>
      </c>
      <c r="G20" s="70"/>
      <c r="I20" s="70"/>
      <c r="J20" s="276">
        <f>J19</f>
        <v>3.7824999999999998</v>
      </c>
      <c r="K20" s="276"/>
      <c r="L20" s="37"/>
      <c r="M20" s="276">
        <f>I20+M19</f>
        <v>4.8</v>
      </c>
      <c r="N20" s="276">
        <f>N19</f>
        <v>7.7902499999999986</v>
      </c>
      <c r="O20" s="37"/>
      <c r="P20" s="276">
        <f>M20+P19</f>
        <v>11.2</v>
      </c>
      <c r="Q20" s="276">
        <f>Q19</f>
        <v>7.3168000000000024</v>
      </c>
      <c r="S20" s="276">
        <f>P20+S19</f>
        <v>17.599999999999998</v>
      </c>
      <c r="T20" s="276">
        <f>T19</f>
        <v>6.6640000000000033</v>
      </c>
      <c r="U20" s="37"/>
      <c r="V20" s="37">
        <f>S20+V19</f>
        <v>23.999999999999996</v>
      </c>
      <c r="W20" s="37">
        <f>W19</f>
        <v>6.0112000000000059</v>
      </c>
      <c r="X20" s="37"/>
      <c r="Y20" s="37">
        <f>V20+Y19</f>
        <v>30.399999999999995</v>
      </c>
      <c r="Z20" s="37">
        <f>Z19</f>
        <v>5.3584000000000085</v>
      </c>
      <c r="AA20" s="37"/>
      <c r="AB20" s="37">
        <f>Y20+AB19</f>
        <v>36.799999999999997</v>
      </c>
      <c r="AC20" s="37">
        <f>AC19</f>
        <v>4.705600000000012</v>
      </c>
      <c r="AD20" s="37"/>
      <c r="AE20" s="37">
        <f>AB20+AE19</f>
        <v>43.199999999999996</v>
      </c>
      <c r="AF20" s="37">
        <f>AF19</f>
        <v>4.0528000000000146</v>
      </c>
      <c r="AG20" s="37"/>
      <c r="AH20" s="37">
        <f>AE20+AH19</f>
        <v>49.599999999999994</v>
      </c>
      <c r="AI20" s="37">
        <f>AI19</f>
        <v>3.4544000000000166</v>
      </c>
      <c r="AJ20" s="37"/>
      <c r="AK20" s="37">
        <f>AH20+AK19</f>
        <v>55.999999999999993</v>
      </c>
      <c r="AL20" s="37">
        <f>AL19</f>
        <v>2.8016000000000156</v>
      </c>
      <c r="AM20" s="37"/>
      <c r="AN20" s="37">
        <f>AK20+AN19</f>
        <v>62.399999999999991</v>
      </c>
      <c r="AO20" s="37">
        <f>AO19</f>
        <v>2.1488000000000143</v>
      </c>
      <c r="AP20" s="37"/>
      <c r="AQ20" s="37">
        <f>AN20+AQ19</f>
        <v>68.8</v>
      </c>
      <c r="AR20" s="37">
        <f>AR19</f>
        <v>1.4960000000000124</v>
      </c>
      <c r="AS20" s="37"/>
      <c r="AT20" s="37">
        <f>AQ20+AT19</f>
        <v>75.2</v>
      </c>
      <c r="AU20" s="37">
        <f>AU19</f>
        <v>0.84320000000001238</v>
      </c>
      <c r="AV20" s="37"/>
      <c r="AW20" s="37"/>
      <c r="AX20" s="37">
        <f>AX19</f>
        <v>0.20400000000001051</v>
      </c>
    </row>
    <row r="21" spans="2:56" x14ac:dyDescent="0.25">
      <c r="C21" s="70" t="s">
        <v>201</v>
      </c>
      <c r="D21" s="1"/>
      <c r="E21" s="1"/>
      <c r="F21" s="70">
        <f>F20+J20+N7+N8+N9</f>
        <v>6.1029999999999989</v>
      </c>
      <c r="G21" s="70"/>
      <c r="H21" s="1"/>
    </row>
    <row r="22" spans="2:56" x14ac:dyDescent="0.25">
      <c r="C22" t="s">
        <v>307</v>
      </c>
      <c r="D22">
        <v>150</v>
      </c>
      <c r="J22" s="2" t="s">
        <v>304</v>
      </c>
      <c r="L22" s="37">
        <f>O7-P19</f>
        <v>68.800000000000011</v>
      </c>
      <c r="M22" s="37"/>
      <c r="N22" s="37"/>
      <c r="O22" s="37">
        <f>R7-S19</f>
        <v>62.400000000000041</v>
      </c>
      <c r="P22" s="37"/>
      <c r="Q22" s="37"/>
      <c r="R22" s="37">
        <f>U7-V19</f>
        <v>56.000000000000064</v>
      </c>
      <c r="S22" s="37"/>
      <c r="T22" s="37"/>
      <c r="U22" s="37">
        <f>X7-Y19</f>
        <v>49.600000000000087</v>
      </c>
      <c r="V22" s="37"/>
      <c r="W22" s="37"/>
      <c r="X22" s="37">
        <f>AA7-AB19</f>
        <v>43.200000000000109</v>
      </c>
      <c r="Y22" s="37"/>
      <c r="Z22" s="37"/>
      <c r="AA22" s="37">
        <f>AD7-AE19</f>
        <v>36.800000000000132</v>
      </c>
      <c r="AB22" s="37"/>
      <c r="AC22" s="37"/>
      <c r="AD22" s="37">
        <f>AG7-AH19</f>
        <v>30.400000000000155</v>
      </c>
      <c r="AE22" s="37"/>
      <c r="AF22" s="37"/>
      <c r="AG22" s="37">
        <f>AJ7-AK19</f>
        <v>24.000000000000167</v>
      </c>
      <c r="AH22" s="37"/>
      <c r="AI22" s="37"/>
      <c r="AJ22" s="37">
        <f>AM7-AN19</f>
        <v>17.600000000000147</v>
      </c>
      <c r="AK22" s="37"/>
      <c r="AL22" s="37"/>
      <c r="AM22" s="37">
        <f>AP7-AQ19</f>
        <v>11.200000000000127</v>
      </c>
      <c r="AN22" s="37"/>
      <c r="AO22" s="37"/>
      <c r="AP22" s="37">
        <f>AS7-AT19</f>
        <v>4.8000000000001224</v>
      </c>
      <c r="AQ22" s="37"/>
      <c r="AR22" s="37"/>
      <c r="AS22" s="37">
        <f>AV7-AW19</f>
        <v>-4.9999999987626609E-4</v>
      </c>
      <c r="AT22" s="37"/>
      <c r="AU22" s="37"/>
      <c r="AV22" s="37">
        <v>0</v>
      </c>
    </row>
    <row r="23" spans="2:56" x14ac:dyDescent="0.25">
      <c r="C23" t="s">
        <v>308</v>
      </c>
      <c r="D23" s="2">
        <f>L9</f>
        <v>80</v>
      </c>
      <c r="J23" t="s">
        <v>305</v>
      </c>
      <c r="L23" s="37">
        <f>P19</f>
        <v>6.3999999999999995</v>
      </c>
      <c r="M23" s="37"/>
      <c r="N23" s="37"/>
      <c r="O23" s="37">
        <f>S19</f>
        <v>6.3999999999999995</v>
      </c>
      <c r="P23" s="37"/>
      <c r="Q23" s="37"/>
      <c r="R23" s="37">
        <f>V19</f>
        <v>6.3999999999999995</v>
      </c>
      <c r="S23" s="37"/>
      <c r="T23" s="37"/>
      <c r="U23" s="37">
        <f>Y19</f>
        <v>6.3999999999999995</v>
      </c>
      <c r="V23" s="37"/>
      <c r="W23" s="37"/>
      <c r="X23" s="37">
        <f>AB19</f>
        <v>6.3999999999999995</v>
      </c>
      <c r="Y23" s="37"/>
      <c r="Z23" s="37"/>
      <c r="AA23" s="37">
        <f>AE19</f>
        <v>6.3999999999999995</v>
      </c>
      <c r="AB23" s="37"/>
      <c r="AC23" s="37"/>
      <c r="AD23" s="37">
        <f>AH19</f>
        <v>6.3999999999999995</v>
      </c>
      <c r="AE23" s="37"/>
      <c r="AF23" s="37"/>
      <c r="AG23" s="37">
        <f>AK19</f>
        <v>6.3999999999999995</v>
      </c>
      <c r="AH23" s="37"/>
      <c r="AI23" s="37"/>
      <c r="AJ23" s="37">
        <f>AN19</f>
        <v>6.3999999999999995</v>
      </c>
      <c r="AK23" s="37"/>
      <c r="AL23" s="37"/>
      <c r="AM23" s="37">
        <f>AQ19</f>
        <v>6.3999999999999995</v>
      </c>
      <c r="AN23" s="37"/>
      <c r="AO23" s="37"/>
      <c r="AP23" s="37">
        <f>AT19</f>
        <v>6.3999999999999995</v>
      </c>
      <c r="AQ23" s="37"/>
      <c r="AR23" s="37"/>
      <c r="AS23" s="37">
        <f>AW19</f>
        <v>4.8004999999999995</v>
      </c>
      <c r="AT23" s="37"/>
      <c r="AU23" s="37"/>
      <c r="AV23" s="37">
        <v>0</v>
      </c>
    </row>
    <row r="24" spans="2:56" x14ac:dyDescent="0.25">
      <c r="C24" t="s">
        <v>306</v>
      </c>
      <c r="D24" s="2">
        <f>L9/150</f>
        <v>0.53333333333333333</v>
      </c>
    </row>
    <row r="25" spans="2:56" x14ac:dyDescent="0.25">
      <c r="C25" t="s">
        <v>587</v>
      </c>
      <c r="D25" s="17">
        <f>10.2%-E25</f>
        <v>0.10199999999999999</v>
      </c>
      <c r="E25" s="17">
        <v>0</v>
      </c>
      <c r="K25" s="2"/>
    </row>
    <row r="26" spans="2:56" x14ac:dyDescent="0.25">
      <c r="C26" t="s">
        <v>586</v>
      </c>
      <c r="D26" s="279">
        <f>D25/12</f>
        <v>8.4999999999999989E-3</v>
      </c>
      <c r="K26" s="92"/>
    </row>
    <row r="27" spans="2:56" x14ac:dyDescent="0.25">
      <c r="C27" t="s">
        <v>592</v>
      </c>
      <c r="D27" s="37">
        <f>D23/D22</f>
        <v>0.53333333333333333</v>
      </c>
    </row>
  </sheetData>
  <mergeCells count="18">
    <mergeCell ref="BB5:BD5"/>
    <mergeCell ref="U5:W5"/>
    <mergeCell ref="X5:Z5"/>
    <mergeCell ref="AA5:AC5"/>
    <mergeCell ref="AD5:AF5"/>
    <mergeCell ref="AG5:AI5"/>
    <mergeCell ref="AJ5:AL5"/>
    <mergeCell ref="AM5:AO5"/>
    <mergeCell ref="AP5:AR5"/>
    <mergeCell ref="AS5:AU5"/>
    <mergeCell ref="AV5:AX5"/>
    <mergeCell ref="AY5:BA5"/>
    <mergeCell ref="R5:T5"/>
    <mergeCell ref="C3:Q3"/>
    <mergeCell ref="C5:F5"/>
    <mergeCell ref="G5:J5"/>
    <mergeCell ref="K5:N5"/>
    <mergeCell ref="O5:Q5"/>
  </mergeCells>
  <dataValidations count="1">
    <dataValidation type="list" allowBlank="1" showInputMessage="1" showErrorMessage="1" sqref="E25" xr:uid="{00000000-0002-0000-1300-000000000000}">
      <formula1>"0%,1%"</formula1>
    </dataValidation>
  </dataValidations>
  <pageMargins left="0.70866141732283472" right="0.70866141732283472" top="0.74803149606299213" bottom="0.74803149606299213" header="0.31496062992125984" footer="0.31496062992125984"/>
  <pageSetup paperSize="9" orientation="landscape" r:id="rId1"/>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codeName="Sheet23"/>
  <dimension ref="A1:T133"/>
  <sheetViews>
    <sheetView workbookViewId="0">
      <pane xSplit="4" ySplit="2" topLeftCell="E3" activePane="bottomRight" state="frozen"/>
      <selection pane="topRight" activeCell="E1" sqref="E1"/>
      <selection pane="bottomLeft" activeCell="A2" sqref="A2"/>
      <selection pane="bottomRight" activeCell="E10" sqref="E10"/>
    </sheetView>
  </sheetViews>
  <sheetFormatPr defaultRowHeight="15" x14ac:dyDescent="0.25"/>
  <cols>
    <col min="1" max="1" width="25.42578125" customWidth="1"/>
    <col min="2" max="2" width="14.7109375" customWidth="1"/>
    <col min="3" max="3" width="12.5703125" customWidth="1"/>
    <col min="4" max="4" width="12.140625" hidden="1" customWidth="1"/>
    <col min="5" max="5" width="12" customWidth="1"/>
    <col min="6" max="6" width="10.7109375" bestFit="1" customWidth="1"/>
    <col min="7" max="7" width="11.28515625" customWidth="1"/>
    <col min="8" max="8" width="11.7109375" customWidth="1"/>
    <col min="9" max="9" width="12.42578125" customWidth="1"/>
    <col min="10" max="10" width="12.28515625" bestFit="1" customWidth="1"/>
    <col min="11" max="11" width="11.5703125" customWidth="1"/>
    <col min="12" max="12" width="10.7109375" hidden="1" customWidth="1"/>
    <col min="13" max="13" width="11" hidden="1" customWidth="1"/>
    <col min="14" max="14" width="11.28515625" hidden="1" customWidth="1"/>
    <col min="15" max="17" width="10.7109375" hidden="1" customWidth="1"/>
    <col min="18" max="18" width="11.140625" hidden="1" customWidth="1"/>
    <col min="19" max="19" width="10.7109375" hidden="1" customWidth="1"/>
  </cols>
  <sheetData>
    <row r="1" spans="1:19" x14ac:dyDescent="0.25">
      <c r="A1" s="736" t="s">
        <v>433</v>
      </c>
      <c r="B1" s="736"/>
      <c r="C1" s="736"/>
      <c r="D1" s="736"/>
      <c r="E1" s="736"/>
      <c r="F1" s="736"/>
      <c r="G1" s="736"/>
      <c r="H1" s="736"/>
      <c r="I1" s="736"/>
      <c r="J1" s="736"/>
      <c r="K1" s="736"/>
      <c r="L1" s="736"/>
      <c r="M1" s="736"/>
      <c r="N1" s="736"/>
      <c r="O1" s="736"/>
      <c r="P1" s="736"/>
      <c r="Q1" s="736"/>
      <c r="R1" s="736"/>
      <c r="S1" s="736"/>
    </row>
    <row r="2" spans="1:19" x14ac:dyDescent="0.25">
      <c r="A2" s="145" t="s">
        <v>594</v>
      </c>
      <c r="E2" s="28" t="s">
        <v>124</v>
      </c>
      <c r="F2" s="28" t="s">
        <v>15</v>
      </c>
      <c r="G2" s="28" t="s">
        <v>125</v>
      </c>
      <c r="H2" s="28" t="s">
        <v>126</v>
      </c>
      <c r="I2" s="28" t="s">
        <v>127</v>
      </c>
      <c r="J2" s="28" t="s">
        <v>128</v>
      </c>
      <c r="K2" s="28" t="s">
        <v>129</v>
      </c>
      <c r="L2" s="28" t="s">
        <v>130</v>
      </c>
      <c r="M2" s="28" t="s">
        <v>131</v>
      </c>
      <c r="N2" s="28" t="s">
        <v>132</v>
      </c>
      <c r="O2" s="28" t="s">
        <v>57</v>
      </c>
      <c r="P2" s="28" t="s">
        <v>58</v>
      </c>
      <c r="Q2" s="28" t="s">
        <v>59</v>
      </c>
      <c r="R2" s="28" t="s">
        <v>60</v>
      </c>
      <c r="S2" s="28" t="s">
        <v>197</v>
      </c>
    </row>
    <row r="3" spans="1:19" x14ac:dyDescent="0.25">
      <c r="D3" s="268">
        <v>46112</v>
      </c>
      <c r="E3" s="268">
        <v>46477</v>
      </c>
      <c r="F3" s="268">
        <v>46843</v>
      </c>
      <c r="G3" s="268">
        <v>47208</v>
      </c>
      <c r="H3" s="268">
        <v>47573</v>
      </c>
      <c r="I3" s="268">
        <v>47938</v>
      </c>
      <c r="J3" s="268">
        <v>48304</v>
      </c>
      <c r="K3" s="268">
        <v>48669</v>
      </c>
      <c r="L3" s="268">
        <v>49034</v>
      </c>
      <c r="M3" s="268">
        <v>49399</v>
      </c>
      <c r="N3" s="268">
        <v>49765</v>
      </c>
      <c r="O3" s="268">
        <v>50130</v>
      </c>
      <c r="P3" s="268">
        <v>50495</v>
      </c>
      <c r="Q3" s="268">
        <v>50860</v>
      </c>
      <c r="R3" s="268">
        <v>51226</v>
      </c>
      <c r="S3" s="268">
        <v>51591</v>
      </c>
    </row>
    <row r="4" spans="1:19" x14ac:dyDescent="0.25">
      <c r="A4" t="s">
        <v>591</v>
      </c>
      <c r="D4">
        <v>90</v>
      </c>
      <c r="E4" s="16">
        <f>D4</f>
        <v>90</v>
      </c>
      <c r="F4" s="16">
        <f t="shared" ref="F4:S4" si="0">E4</f>
        <v>90</v>
      </c>
      <c r="G4" s="16">
        <f t="shared" si="0"/>
        <v>90</v>
      </c>
      <c r="H4" s="16">
        <f t="shared" si="0"/>
        <v>90</v>
      </c>
      <c r="I4" s="16">
        <f t="shared" si="0"/>
        <v>90</v>
      </c>
      <c r="J4" s="16">
        <f t="shared" si="0"/>
        <v>90</v>
      </c>
      <c r="K4" s="16">
        <f t="shared" si="0"/>
        <v>90</v>
      </c>
      <c r="L4" s="16">
        <f t="shared" si="0"/>
        <v>90</v>
      </c>
      <c r="M4" s="16">
        <f t="shared" si="0"/>
        <v>90</v>
      </c>
      <c r="N4" s="16">
        <f t="shared" si="0"/>
        <v>90</v>
      </c>
      <c r="O4" s="16">
        <f t="shared" si="0"/>
        <v>90</v>
      </c>
      <c r="P4" s="16">
        <f t="shared" si="0"/>
        <v>90</v>
      </c>
      <c r="Q4" s="16">
        <f t="shared" si="0"/>
        <v>90</v>
      </c>
      <c r="R4" s="16">
        <f t="shared" si="0"/>
        <v>90</v>
      </c>
      <c r="S4" s="16">
        <f t="shared" si="0"/>
        <v>90</v>
      </c>
    </row>
    <row r="5" spans="1:19" x14ac:dyDescent="0.25">
      <c r="A5" t="s">
        <v>133</v>
      </c>
      <c r="E5" s="16">
        <f>E3-D3</f>
        <v>365</v>
      </c>
      <c r="F5" s="16">
        <f>F3-E3</f>
        <v>366</v>
      </c>
      <c r="G5" s="16">
        <f t="shared" ref="G5:S5" si="1">G3-F3</f>
        <v>365</v>
      </c>
      <c r="H5" s="16">
        <f t="shared" si="1"/>
        <v>365</v>
      </c>
      <c r="I5" s="16">
        <f t="shared" si="1"/>
        <v>365</v>
      </c>
      <c r="J5" s="16">
        <f t="shared" si="1"/>
        <v>366</v>
      </c>
      <c r="K5" s="16">
        <f t="shared" si="1"/>
        <v>365</v>
      </c>
      <c r="L5" s="16">
        <f t="shared" si="1"/>
        <v>365</v>
      </c>
      <c r="M5" s="16">
        <f t="shared" si="1"/>
        <v>365</v>
      </c>
      <c r="N5" s="16">
        <f t="shared" si="1"/>
        <v>366</v>
      </c>
      <c r="O5" s="16">
        <f t="shared" si="1"/>
        <v>365</v>
      </c>
      <c r="P5" s="16">
        <f t="shared" si="1"/>
        <v>365</v>
      </c>
      <c r="Q5" s="16">
        <f t="shared" si="1"/>
        <v>365</v>
      </c>
      <c r="R5" s="16">
        <f t="shared" si="1"/>
        <v>366</v>
      </c>
      <c r="S5" s="16">
        <f t="shared" si="1"/>
        <v>365</v>
      </c>
    </row>
    <row r="6" spans="1:19" x14ac:dyDescent="0.25">
      <c r="A6" t="s">
        <v>134</v>
      </c>
      <c r="E6" s="16">
        <f>E5*E4</f>
        <v>32850</v>
      </c>
      <c r="F6" s="16">
        <f t="shared" ref="F6:S6" si="2">F5*F4</f>
        <v>32940</v>
      </c>
      <c r="G6" s="16">
        <f t="shared" si="2"/>
        <v>32850</v>
      </c>
      <c r="H6" s="16">
        <f t="shared" si="2"/>
        <v>32850</v>
      </c>
      <c r="I6" s="16">
        <f t="shared" si="2"/>
        <v>32850</v>
      </c>
      <c r="J6" s="16">
        <f t="shared" si="2"/>
        <v>32940</v>
      </c>
      <c r="K6" s="16">
        <f t="shared" si="2"/>
        <v>32850</v>
      </c>
      <c r="L6" s="16">
        <f t="shared" si="2"/>
        <v>32850</v>
      </c>
      <c r="M6" s="16">
        <f t="shared" si="2"/>
        <v>32850</v>
      </c>
      <c r="N6" s="16">
        <f t="shared" si="2"/>
        <v>32940</v>
      </c>
      <c r="O6" s="16">
        <f t="shared" si="2"/>
        <v>32850</v>
      </c>
      <c r="P6" s="16">
        <f t="shared" si="2"/>
        <v>32850</v>
      </c>
      <c r="Q6" s="16">
        <f t="shared" si="2"/>
        <v>32850</v>
      </c>
      <c r="R6" s="16">
        <f t="shared" si="2"/>
        <v>32940</v>
      </c>
      <c r="S6" s="16">
        <f t="shared" si="2"/>
        <v>32850</v>
      </c>
    </row>
    <row r="7" spans="1:19" x14ac:dyDescent="0.25">
      <c r="A7" t="s">
        <v>135</v>
      </c>
      <c r="D7" s="17">
        <v>0.05</v>
      </c>
      <c r="E7" s="301">
        <v>0.5</v>
      </c>
      <c r="F7" s="301">
        <f>E7*(1+$D$7)</f>
        <v>0.52500000000000002</v>
      </c>
      <c r="G7" s="301">
        <f t="shared" ref="G7:O7" si="3">F7*(1+$D$7)</f>
        <v>0.55125000000000002</v>
      </c>
      <c r="H7" s="301">
        <f t="shared" si="3"/>
        <v>0.57881250000000006</v>
      </c>
      <c r="I7" s="301">
        <f t="shared" si="3"/>
        <v>0.60775312500000012</v>
      </c>
      <c r="J7" s="301">
        <f t="shared" si="3"/>
        <v>0.63814078125000018</v>
      </c>
      <c r="K7" s="301">
        <f t="shared" si="3"/>
        <v>0.67004782031250021</v>
      </c>
      <c r="L7" s="301">
        <f>K7</f>
        <v>0.67004782031250021</v>
      </c>
      <c r="M7" s="301">
        <f t="shared" ref="M7:N7" si="4">L7</f>
        <v>0.67004782031250021</v>
      </c>
      <c r="N7" s="301">
        <f t="shared" si="4"/>
        <v>0.67004782031250021</v>
      </c>
      <c r="O7" s="301">
        <f t="shared" si="3"/>
        <v>0.70355021132812523</v>
      </c>
      <c r="P7" s="301">
        <f>O7</f>
        <v>0.70355021132812523</v>
      </c>
      <c r="Q7" s="301">
        <f t="shared" ref="Q7:S7" si="5">P7</f>
        <v>0.70355021132812523</v>
      </c>
      <c r="R7" s="301">
        <f t="shared" si="5"/>
        <v>0.70355021132812523</v>
      </c>
      <c r="S7" s="301">
        <f t="shared" si="5"/>
        <v>0.70355021132812523</v>
      </c>
    </row>
    <row r="8" spans="1:19" x14ac:dyDescent="0.25">
      <c r="A8" t="s">
        <v>136</v>
      </c>
      <c r="E8" s="84">
        <f>E6*E7</f>
        <v>16425</v>
      </c>
      <c r="F8" s="84">
        <f t="shared" ref="F8:S8" si="6">F6*F7</f>
        <v>17293.5</v>
      </c>
      <c r="G8" s="84">
        <f t="shared" si="6"/>
        <v>18108.5625</v>
      </c>
      <c r="H8" s="84">
        <f t="shared" si="6"/>
        <v>19013.990625000002</v>
      </c>
      <c r="I8" s="84">
        <f t="shared" si="6"/>
        <v>19964.690156250002</v>
      </c>
      <c r="J8" s="84">
        <f t="shared" si="6"/>
        <v>21020.357334375007</v>
      </c>
      <c r="K8" s="84">
        <f t="shared" si="6"/>
        <v>22011.070897265632</v>
      </c>
      <c r="L8" s="84">
        <f t="shared" si="6"/>
        <v>22011.070897265632</v>
      </c>
      <c r="M8" s="84">
        <f t="shared" si="6"/>
        <v>22011.070897265632</v>
      </c>
      <c r="N8" s="84">
        <f t="shared" si="6"/>
        <v>22071.375201093757</v>
      </c>
      <c r="O8" s="84">
        <f t="shared" si="6"/>
        <v>23111.624442128912</v>
      </c>
      <c r="P8" s="84">
        <f t="shared" si="6"/>
        <v>23111.624442128912</v>
      </c>
      <c r="Q8" s="84">
        <f t="shared" si="6"/>
        <v>23111.624442128912</v>
      </c>
      <c r="R8" s="84">
        <f t="shared" si="6"/>
        <v>23174.943961148445</v>
      </c>
      <c r="S8" s="84">
        <f t="shared" si="6"/>
        <v>23111.624442128912</v>
      </c>
    </row>
    <row r="9" spans="1:19" x14ac:dyDescent="0.25">
      <c r="A9" t="s">
        <v>137</v>
      </c>
      <c r="E9" s="84">
        <f>E4*E7</f>
        <v>45</v>
      </c>
      <c r="F9" s="84">
        <f t="shared" ref="F9:S9" si="7">F4*F7</f>
        <v>47.25</v>
      </c>
      <c r="G9" s="84">
        <f t="shared" si="7"/>
        <v>49.612500000000004</v>
      </c>
      <c r="H9" s="84">
        <f t="shared" si="7"/>
        <v>52.093125000000008</v>
      </c>
      <c r="I9" s="84">
        <f t="shared" si="7"/>
        <v>54.697781250000013</v>
      </c>
      <c r="J9" s="84">
        <f t="shared" si="7"/>
        <v>57.432670312500015</v>
      </c>
      <c r="K9" s="84">
        <f t="shared" si="7"/>
        <v>60.304303828125022</v>
      </c>
      <c r="L9" s="84">
        <f t="shared" si="7"/>
        <v>60.304303828125022</v>
      </c>
      <c r="M9" s="84">
        <f t="shared" si="7"/>
        <v>60.304303828125022</v>
      </c>
      <c r="N9" s="84">
        <f t="shared" si="7"/>
        <v>60.304303828125022</v>
      </c>
      <c r="O9" s="84">
        <f t="shared" si="7"/>
        <v>63.31951901953127</v>
      </c>
      <c r="P9" s="84">
        <f t="shared" si="7"/>
        <v>63.31951901953127</v>
      </c>
      <c r="Q9" s="84">
        <f t="shared" si="7"/>
        <v>63.31951901953127</v>
      </c>
      <c r="R9" s="84">
        <f t="shared" si="7"/>
        <v>63.31951901953127</v>
      </c>
      <c r="S9" s="84">
        <f t="shared" si="7"/>
        <v>63.31951901953127</v>
      </c>
    </row>
    <row r="10" spans="1:19" x14ac:dyDescent="0.25">
      <c r="A10" t="s">
        <v>138</v>
      </c>
      <c r="B10" s="17">
        <v>0.05</v>
      </c>
      <c r="C10" t="s">
        <v>507</v>
      </c>
      <c r="D10" s="17">
        <v>0.06</v>
      </c>
      <c r="E10" s="84">
        <f>20000*(1-B10)</f>
        <v>19000</v>
      </c>
      <c r="F10" s="84">
        <f>E10*(1+$D$10)</f>
        <v>20140</v>
      </c>
      <c r="G10" s="84">
        <f t="shared" ref="G10:S10" si="8">F10*(1+$D$10)</f>
        <v>21348.400000000001</v>
      </c>
      <c r="H10" s="84">
        <f t="shared" si="8"/>
        <v>22629.304000000004</v>
      </c>
      <c r="I10" s="84">
        <f t="shared" si="8"/>
        <v>23987.062240000007</v>
      </c>
      <c r="J10" s="84">
        <f t="shared" si="8"/>
        <v>25426.285974400009</v>
      </c>
      <c r="K10" s="84">
        <f t="shared" si="8"/>
        <v>26951.863132864011</v>
      </c>
      <c r="L10" s="84">
        <f t="shared" si="8"/>
        <v>28568.974920835852</v>
      </c>
      <c r="M10" s="84">
        <f t="shared" si="8"/>
        <v>30283.113416086006</v>
      </c>
      <c r="N10" s="84">
        <f t="shared" si="8"/>
        <v>32100.100221051169</v>
      </c>
      <c r="O10" s="84">
        <f t="shared" si="8"/>
        <v>34026.10623431424</v>
      </c>
      <c r="P10" s="84">
        <f t="shared" si="8"/>
        <v>36067.672608373097</v>
      </c>
      <c r="Q10" s="84">
        <f t="shared" si="8"/>
        <v>38231.732964875482</v>
      </c>
      <c r="R10" s="84">
        <f t="shared" si="8"/>
        <v>40525.636942768011</v>
      </c>
      <c r="S10" s="84">
        <f t="shared" si="8"/>
        <v>42957.175159334096</v>
      </c>
    </row>
    <row r="11" spans="1:19" x14ac:dyDescent="0.25">
      <c r="A11" s="1" t="s">
        <v>139</v>
      </c>
    </row>
    <row r="12" spans="1:19" x14ac:dyDescent="0.25">
      <c r="A12" t="s">
        <v>140</v>
      </c>
      <c r="E12" s="37">
        <f>E10*E9*E5/10^7</f>
        <v>31.2075</v>
      </c>
      <c r="F12" s="37">
        <f t="shared" ref="F12:S12" si="9">F10*F9*F5/10^7</f>
        <v>34.829109000000003</v>
      </c>
      <c r="G12" s="37">
        <f t="shared" si="9"/>
        <v>38.658883567499998</v>
      </c>
      <c r="H12" s="37">
        <f t="shared" si="9"/>
        <v>43.027337410627517</v>
      </c>
      <c r="I12" s="37">
        <f t="shared" si="9"/>
        <v>47.889426538028431</v>
      </c>
      <c r="J12" s="37">
        <f t="shared" si="9"/>
        <v>53.446961686789564</v>
      </c>
      <c r="K12" s="37">
        <f t="shared" si="9"/>
        <v>59.323937023086955</v>
      </c>
      <c r="L12" s="37">
        <f t="shared" si="9"/>
        <v>62.883373244472182</v>
      </c>
      <c r="M12" s="37">
        <f t="shared" si="9"/>
        <v>66.656375639140506</v>
      </c>
      <c r="N12" s="37">
        <f t="shared" si="9"/>
        <v>70.849335597153299</v>
      </c>
      <c r="O12" s="37">
        <f t="shared" si="9"/>
        <v>78.639858851545199</v>
      </c>
      <c r="P12" s="37">
        <f t="shared" si="9"/>
        <v>83.35825038263792</v>
      </c>
      <c r="Q12" s="37">
        <f t="shared" si="9"/>
        <v>88.359745405596186</v>
      </c>
      <c r="R12" s="37">
        <f t="shared" si="9"/>
        <v>93.917936513849583</v>
      </c>
      <c r="S12" s="37">
        <f t="shared" si="9"/>
        <v>99.281009937727887</v>
      </c>
    </row>
    <row r="13" spans="1:19" x14ac:dyDescent="0.25">
      <c r="A13" t="s">
        <v>141</v>
      </c>
      <c r="D13" s="17">
        <v>0.05</v>
      </c>
      <c r="E13" s="37">
        <f>B73/10^7</f>
        <v>16.412224999999999</v>
      </c>
      <c r="F13" s="37">
        <f t="shared" ref="F13:S13" si="10">E13/E7*F7*(1+$D$13)</f>
        <v>18.094478062500002</v>
      </c>
      <c r="G13" s="37">
        <f t="shared" si="10"/>
        <v>19.949162063906254</v>
      </c>
      <c r="H13" s="37">
        <f t="shared" si="10"/>
        <v>21.993951175456647</v>
      </c>
      <c r="I13" s="37">
        <f t="shared" si="10"/>
        <v>24.248331170940958</v>
      </c>
      <c r="J13" s="37">
        <f t="shared" si="10"/>
        <v>26.733785115962409</v>
      </c>
      <c r="K13" s="37">
        <f t="shared" si="10"/>
        <v>29.473998090348555</v>
      </c>
      <c r="L13" s="37">
        <f t="shared" si="10"/>
        <v>30.947697994865983</v>
      </c>
      <c r="M13" s="37">
        <f t="shared" si="10"/>
        <v>32.495082894609283</v>
      </c>
      <c r="N13" s="37">
        <f t="shared" si="10"/>
        <v>34.11983703933975</v>
      </c>
      <c r="O13" s="37">
        <f t="shared" si="10"/>
        <v>37.617120335872073</v>
      </c>
      <c r="P13" s="37">
        <f t="shared" si="10"/>
        <v>39.497976352665681</v>
      </c>
      <c r="Q13" s="37">
        <f t="shared" si="10"/>
        <v>41.47287517029897</v>
      </c>
      <c r="R13" s="37">
        <f t="shared" si="10"/>
        <v>43.546518928813917</v>
      </c>
      <c r="S13" s="37">
        <f t="shared" si="10"/>
        <v>45.723844875254613</v>
      </c>
    </row>
    <row r="14" spans="1:19" x14ac:dyDescent="0.25">
      <c r="A14" t="s">
        <v>142</v>
      </c>
      <c r="D14" s="17">
        <v>0.1</v>
      </c>
      <c r="E14" s="37">
        <f>E89/10^7</f>
        <v>0.49275000000000002</v>
      </c>
      <c r="F14" s="37">
        <f>E14*(1+$D$14)</f>
        <v>0.54202500000000009</v>
      </c>
      <c r="G14" s="37">
        <f t="shared" ref="G14:S14" si="11">F14*(1+$D$14)</f>
        <v>0.59622750000000013</v>
      </c>
      <c r="H14" s="37">
        <f t="shared" si="11"/>
        <v>0.65585025000000019</v>
      </c>
      <c r="I14" s="37">
        <f t="shared" si="11"/>
        <v>0.72143527500000026</v>
      </c>
      <c r="J14" s="37">
        <f t="shared" si="11"/>
        <v>0.79357880250000035</v>
      </c>
      <c r="K14" s="37">
        <f t="shared" si="11"/>
        <v>0.87293668275000047</v>
      </c>
      <c r="L14" s="37">
        <f t="shared" si="11"/>
        <v>0.96023035102500054</v>
      </c>
      <c r="M14" s="37">
        <f t="shared" si="11"/>
        <v>1.0562533861275007</v>
      </c>
      <c r="N14" s="37">
        <f t="shared" si="11"/>
        <v>1.1618787247402509</v>
      </c>
      <c r="O14" s="37">
        <f t="shared" si="11"/>
        <v>1.2780665972142762</v>
      </c>
      <c r="P14" s="37">
        <f t="shared" si="11"/>
        <v>1.405873256935704</v>
      </c>
      <c r="Q14" s="37">
        <f t="shared" si="11"/>
        <v>1.5464605826292745</v>
      </c>
      <c r="R14" s="37">
        <f t="shared" si="11"/>
        <v>1.7011066408922022</v>
      </c>
      <c r="S14" s="37">
        <f t="shared" si="11"/>
        <v>1.8712173049814225</v>
      </c>
    </row>
    <row r="15" spans="1:19" x14ac:dyDescent="0.25">
      <c r="A15" t="s">
        <v>143</v>
      </c>
      <c r="D15" s="17">
        <v>7.0000000000000007E-2</v>
      </c>
      <c r="E15" s="37">
        <f>E97/10^7</f>
        <v>0.41062500000000002</v>
      </c>
      <c r="F15" s="37">
        <f>E15*(1+$D$15)</f>
        <v>0.43936875000000003</v>
      </c>
      <c r="G15" s="37">
        <f t="shared" ref="G15:S15" si="12">F15*(1+$D$15)</f>
        <v>0.47012456250000006</v>
      </c>
      <c r="H15" s="37">
        <f t="shared" si="12"/>
        <v>0.50303328187500007</v>
      </c>
      <c r="I15" s="37">
        <f t="shared" si="12"/>
        <v>0.53824561160625006</v>
      </c>
      <c r="J15" s="37">
        <f t="shared" si="12"/>
        <v>0.57592280441868759</v>
      </c>
      <c r="K15" s="37">
        <f t="shared" si="12"/>
        <v>0.61623740072799571</v>
      </c>
      <c r="L15" s="37">
        <f t="shared" si="12"/>
        <v>0.65937401877895541</v>
      </c>
      <c r="M15" s="37">
        <f t="shared" si="12"/>
        <v>0.70553020009348233</v>
      </c>
      <c r="N15" s="37">
        <f t="shared" si="12"/>
        <v>0.75491731410002616</v>
      </c>
      <c r="O15" s="37">
        <f t="shared" si="12"/>
        <v>0.807761526087028</v>
      </c>
      <c r="P15" s="37">
        <f t="shared" si="12"/>
        <v>0.86430483291311999</v>
      </c>
      <c r="Q15" s="37">
        <f t="shared" si="12"/>
        <v>0.92480617121703845</v>
      </c>
      <c r="R15" s="37">
        <f t="shared" si="12"/>
        <v>0.9895426032022312</v>
      </c>
      <c r="S15" s="37">
        <f t="shared" si="12"/>
        <v>1.0588105854263874</v>
      </c>
    </row>
    <row r="16" spans="1:19" x14ac:dyDescent="0.25">
      <c r="A16" t="s">
        <v>144</v>
      </c>
      <c r="D16" s="17">
        <v>0.05</v>
      </c>
      <c r="E16" s="37">
        <f>E105/10^7</f>
        <v>0.18576000000000001</v>
      </c>
      <c r="F16" s="37">
        <f>E16</f>
        <v>0.18576000000000001</v>
      </c>
      <c r="G16" s="37">
        <f>F16*(1+$D$16)</f>
        <v>0.19504800000000003</v>
      </c>
      <c r="H16" s="37">
        <f>G16</f>
        <v>0.19504800000000003</v>
      </c>
      <c r="I16" s="37">
        <f t="shared" ref="I16:S16" si="13">H16*(1+$D$16)</f>
        <v>0.20480040000000005</v>
      </c>
      <c r="J16" s="37">
        <f t="shared" si="13"/>
        <v>0.21504042000000007</v>
      </c>
      <c r="K16" s="37">
        <f t="shared" si="13"/>
        <v>0.22579244100000007</v>
      </c>
      <c r="L16" s="37">
        <f t="shared" si="13"/>
        <v>0.23708206305000007</v>
      </c>
      <c r="M16" s="37">
        <f t="shared" si="13"/>
        <v>0.24893616620250009</v>
      </c>
      <c r="N16" s="37">
        <f t="shared" si="13"/>
        <v>0.2613829745126251</v>
      </c>
      <c r="O16" s="37">
        <f t="shared" si="13"/>
        <v>0.27445212323825635</v>
      </c>
      <c r="P16" s="37">
        <f t="shared" si="13"/>
        <v>0.28817472940016919</v>
      </c>
      <c r="Q16" s="37">
        <f t="shared" si="13"/>
        <v>0.30258346587017765</v>
      </c>
      <c r="R16" s="37">
        <f t="shared" si="13"/>
        <v>0.31771263916368653</v>
      </c>
      <c r="S16" s="37">
        <f t="shared" si="13"/>
        <v>0.33359827112187085</v>
      </c>
    </row>
    <row r="17" spans="1:20" x14ac:dyDescent="0.25">
      <c r="A17" s="221" t="s">
        <v>145</v>
      </c>
      <c r="B17" s="221"/>
      <c r="C17" s="221"/>
      <c r="D17" s="221"/>
      <c r="E17" s="295">
        <f>SUM(E12:E16)</f>
        <v>48.708860000000008</v>
      </c>
      <c r="F17" s="295">
        <f t="shared" ref="F17:S17" si="14">SUM(F12:F16)</f>
        <v>54.090740812500009</v>
      </c>
      <c r="G17" s="295">
        <f t="shared" si="14"/>
        <v>59.86944569390625</v>
      </c>
      <c r="H17" s="295">
        <f t="shared" si="14"/>
        <v>66.375220117959174</v>
      </c>
      <c r="I17" s="295">
        <f t="shared" si="14"/>
        <v>73.602238995575647</v>
      </c>
      <c r="J17" s="295">
        <f t="shared" si="14"/>
        <v>81.765288829670638</v>
      </c>
      <c r="K17" s="295">
        <f t="shared" si="14"/>
        <v>90.512901637913501</v>
      </c>
      <c r="L17" s="295">
        <f t="shared" si="14"/>
        <v>95.687757672192134</v>
      </c>
      <c r="M17" s="295">
        <f t="shared" si="14"/>
        <v>101.16217828617326</v>
      </c>
      <c r="N17" s="295">
        <f t="shared" si="14"/>
        <v>107.14735164984596</v>
      </c>
      <c r="O17" s="295">
        <f t="shared" si="14"/>
        <v>118.61725943395685</v>
      </c>
      <c r="P17" s="295">
        <f t="shared" si="14"/>
        <v>125.4145795545526</v>
      </c>
      <c r="Q17" s="295">
        <f t="shared" si="14"/>
        <v>132.60647079561164</v>
      </c>
      <c r="R17" s="295">
        <f t="shared" si="14"/>
        <v>140.47281732592162</v>
      </c>
      <c r="S17" s="295">
        <f t="shared" si="14"/>
        <v>148.26848097451219</v>
      </c>
    </row>
    <row r="18" spans="1:20" x14ac:dyDescent="0.25">
      <c r="A18" s="1" t="s">
        <v>146</v>
      </c>
    </row>
    <row r="19" spans="1:20" x14ac:dyDescent="0.25">
      <c r="A19" t="s">
        <v>140</v>
      </c>
      <c r="D19" s="17">
        <v>0.15</v>
      </c>
      <c r="E19" s="37">
        <f>E12*$D$19</f>
        <v>4.6811249999999998</v>
      </c>
      <c r="F19" s="37">
        <f t="shared" ref="F19:S19" si="15">F12*$D$19</f>
        <v>5.2243663500000004</v>
      </c>
      <c r="G19" s="37">
        <f t="shared" si="15"/>
        <v>5.7988325351249994</v>
      </c>
      <c r="H19" s="37">
        <f t="shared" si="15"/>
        <v>6.4541006115941277</v>
      </c>
      <c r="I19" s="37">
        <f t="shared" si="15"/>
        <v>7.1834139807042643</v>
      </c>
      <c r="J19" s="37">
        <f t="shared" si="15"/>
        <v>8.0170442530184349</v>
      </c>
      <c r="K19" s="37">
        <f t="shared" si="15"/>
        <v>8.898590553463043</v>
      </c>
      <c r="L19" s="37">
        <f t="shared" si="15"/>
        <v>9.4325059866708276</v>
      </c>
      <c r="M19" s="37">
        <f t="shared" si="15"/>
        <v>9.9984563458710749</v>
      </c>
      <c r="N19" s="37">
        <f t="shared" si="15"/>
        <v>10.627400339572995</v>
      </c>
      <c r="O19" s="37">
        <f t="shared" si="15"/>
        <v>11.79597882773178</v>
      </c>
      <c r="P19" s="37">
        <f t="shared" si="15"/>
        <v>12.503737557395688</v>
      </c>
      <c r="Q19" s="37">
        <f t="shared" si="15"/>
        <v>13.253961810839428</v>
      </c>
      <c r="R19" s="37">
        <f t="shared" si="15"/>
        <v>14.087690477077437</v>
      </c>
      <c r="S19" s="37">
        <f t="shared" si="15"/>
        <v>14.892151490659183</v>
      </c>
      <c r="T19" s="2"/>
    </row>
    <row r="20" spans="1:20" x14ac:dyDescent="0.25">
      <c r="A20" t="s">
        <v>141</v>
      </c>
      <c r="D20" s="17">
        <v>0.5</v>
      </c>
      <c r="E20" s="37">
        <f>E13*$D$20</f>
        <v>8.2061124999999997</v>
      </c>
      <c r="F20" s="37">
        <f t="shared" ref="F20:S20" si="16">F13*$D$20</f>
        <v>9.0472390312500011</v>
      </c>
      <c r="G20" s="37">
        <f t="shared" si="16"/>
        <v>9.974581031953127</v>
      </c>
      <c r="H20" s="37">
        <f t="shared" si="16"/>
        <v>10.996975587728324</v>
      </c>
      <c r="I20" s="37">
        <f t="shared" si="16"/>
        <v>12.124165585470479</v>
      </c>
      <c r="J20" s="37">
        <f t="shared" si="16"/>
        <v>13.366892557981204</v>
      </c>
      <c r="K20" s="37">
        <f t="shared" si="16"/>
        <v>14.736999045174278</v>
      </c>
      <c r="L20" s="37">
        <f t="shared" si="16"/>
        <v>15.473848997432992</v>
      </c>
      <c r="M20" s="37">
        <f t="shared" si="16"/>
        <v>16.247541447304641</v>
      </c>
      <c r="N20" s="37">
        <f t="shared" si="16"/>
        <v>17.059918519669875</v>
      </c>
      <c r="O20" s="37">
        <f t="shared" si="16"/>
        <v>18.808560167936037</v>
      </c>
      <c r="P20" s="37">
        <f t="shared" si="16"/>
        <v>19.748988176332841</v>
      </c>
      <c r="Q20" s="37">
        <f t="shared" si="16"/>
        <v>20.736437585149485</v>
      </c>
      <c r="R20" s="37">
        <f t="shared" si="16"/>
        <v>21.773259464406959</v>
      </c>
      <c r="S20" s="37">
        <f t="shared" si="16"/>
        <v>22.861922437627307</v>
      </c>
    </row>
    <row r="21" spans="1:20" x14ac:dyDescent="0.25">
      <c r="A21" t="s">
        <v>142</v>
      </c>
      <c r="D21" s="17">
        <v>0.5</v>
      </c>
      <c r="E21" s="37">
        <f>E14*$D$21</f>
        <v>0.24637500000000001</v>
      </c>
      <c r="F21" s="37">
        <f t="shared" ref="F21:S21" si="17">F14*$D$21</f>
        <v>0.27101250000000005</v>
      </c>
      <c r="G21" s="37">
        <f t="shared" si="17"/>
        <v>0.29811375000000007</v>
      </c>
      <c r="H21" s="37">
        <f t="shared" si="17"/>
        <v>0.3279251250000001</v>
      </c>
      <c r="I21" s="37">
        <f t="shared" si="17"/>
        <v>0.36071763750000013</v>
      </c>
      <c r="J21" s="37">
        <f t="shared" si="17"/>
        <v>0.39678940125000017</v>
      </c>
      <c r="K21" s="37">
        <f t="shared" si="17"/>
        <v>0.43646834137500023</v>
      </c>
      <c r="L21" s="37">
        <f t="shared" si="17"/>
        <v>0.48011517551250027</v>
      </c>
      <c r="M21" s="37">
        <f t="shared" si="17"/>
        <v>0.52812669306375037</v>
      </c>
      <c r="N21" s="37">
        <f t="shared" si="17"/>
        <v>0.58093936237012544</v>
      </c>
      <c r="O21" s="37">
        <f t="shared" si="17"/>
        <v>0.63903329860713809</v>
      </c>
      <c r="P21" s="37">
        <f t="shared" si="17"/>
        <v>0.70293662846785199</v>
      </c>
      <c r="Q21" s="37">
        <f t="shared" si="17"/>
        <v>0.77323029131463727</v>
      </c>
      <c r="R21" s="37">
        <f t="shared" si="17"/>
        <v>0.8505533204461011</v>
      </c>
      <c r="S21" s="37">
        <f t="shared" si="17"/>
        <v>0.93560865249071123</v>
      </c>
    </row>
    <row r="22" spans="1:20" x14ac:dyDescent="0.25">
      <c r="A22" t="s">
        <v>143</v>
      </c>
      <c r="D22" s="17">
        <v>0.35</v>
      </c>
      <c r="E22" s="37">
        <f>E15*$D$22</f>
        <v>0.14371875000000001</v>
      </c>
      <c r="F22" s="37">
        <f t="shared" ref="F22:S22" si="18">F15*$D$22</f>
        <v>0.15377906250000001</v>
      </c>
      <c r="G22" s="37">
        <f t="shared" si="18"/>
        <v>0.164543596875</v>
      </c>
      <c r="H22" s="37">
        <f t="shared" si="18"/>
        <v>0.17606164865625001</v>
      </c>
      <c r="I22" s="37">
        <f t="shared" si="18"/>
        <v>0.18838596406218752</v>
      </c>
      <c r="J22" s="37">
        <f t="shared" si="18"/>
        <v>0.20157298154654066</v>
      </c>
      <c r="K22" s="37">
        <f t="shared" si="18"/>
        <v>0.21568309025479848</v>
      </c>
      <c r="L22" s="37">
        <f t="shared" si="18"/>
        <v>0.23078090657263436</v>
      </c>
      <c r="M22" s="37">
        <f t="shared" si="18"/>
        <v>0.24693557003271879</v>
      </c>
      <c r="N22" s="37">
        <f t="shared" si="18"/>
        <v>0.26422105993500916</v>
      </c>
      <c r="O22" s="37">
        <f t="shared" si="18"/>
        <v>0.28271653413045977</v>
      </c>
      <c r="P22" s="37">
        <f t="shared" si="18"/>
        <v>0.30250669151959197</v>
      </c>
      <c r="Q22" s="37">
        <f t="shared" si="18"/>
        <v>0.32368215992596344</v>
      </c>
      <c r="R22" s="37">
        <f t="shared" si="18"/>
        <v>0.34633991112078089</v>
      </c>
      <c r="S22" s="37">
        <f t="shared" si="18"/>
        <v>0.37058370489923559</v>
      </c>
    </row>
    <row r="23" spans="1:20" x14ac:dyDescent="0.25">
      <c r="A23" t="s">
        <v>144</v>
      </c>
      <c r="D23" s="17">
        <v>0.2</v>
      </c>
      <c r="E23" s="37">
        <f>E16*$D$23</f>
        <v>3.7152000000000004E-2</v>
      </c>
      <c r="F23" s="37">
        <f t="shared" ref="F23:S23" si="19">F16*$D$23</f>
        <v>3.7152000000000004E-2</v>
      </c>
      <c r="G23" s="37">
        <f t="shared" si="19"/>
        <v>3.9009600000000005E-2</v>
      </c>
      <c r="H23" s="37">
        <f t="shared" si="19"/>
        <v>3.9009600000000005E-2</v>
      </c>
      <c r="I23" s="37">
        <f t="shared" si="19"/>
        <v>4.096008000000001E-2</v>
      </c>
      <c r="J23" s="37">
        <f t="shared" si="19"/>
        <v>4.3008084000000016E-2</v>
      </c>
      <c r="K23" s="37">
        <f t="shared" si="19"/>
        <v>4.5158488200000013E-2</v>
      </c>
      <c r="L23" s="37">
        <f t="shared" si="19"/>
        <v>4.7416412610000014E-2</v>
      </c>
      <c r="M23" s="37">
        <f t="shared" si="19"/>
        <v>4.9787233240500023E-2</v>
      </c>
      <c r="N23" s="37">
        <f t="shared" si="19"/>
        <v>5.2276594902525023E-2</v>
      </c>
      <c r="O23" s="37">
        <f t="shared" si="19"/>
        <v>5.4890424647651273E-2</v>
      </c>
      <c r="P23" s="37">
        <f t="shared" si="19"/>
        <v>5.7634945880033844E-2</v>
      </c>
      <c r="Q23" s="37">
        <f t="shared" si="19"/>
        <v>6.0516693174035532E-2</v>
      </c>
      <c r="R23" s="37">
        <f t="shared" si="19"/>
        <v>6.3542527832737311E-2</v>
      </c>
      <c r="S23" s="37">
        <f t="shared" si="19"/>
        <v>6.6719654224374175E-2</v>
      </c>
    </row>
    <row r="24" spans="1:20" x14ac:dyDescent="0.25">
      <c r="A24" s="223" t="s">
        <v>147</v>
      </c>
      <c r="B24" s="223"/>
      <c r="C24" s="223"/>
      <c r="D24" s="223"/>
      <c r="E24" s="296">
        <f>SUM(E19:E23)</f>
        <v>13.31448325</v>
      </c>
      <c r="F24" s="296">
        <f t="shared" ref="F24:S24" si="20">SUM(F19:F23)</f>
        <v>14.733548943750002</v>
      </c>
      <c r="G24" s="296">
        <f t="shared" si="20"/>
        <v>16.275080513953124</v>
      </c>
      <c r="H24" s="296">
        <f t="shared" si="20"/>
        <v>17.994072572978702</v>
      </c>
      <c r="I24" s="296">
        <f t="shared" si="20"/>
        <v>19.897643247736934</v>
      </c>
      <c r="J24" s="296">
        <f t="shared" si="20"/>
        <v>22.02530727779618</v>
      </c>
      <c r="K24" s="296">
        <f t="shared" si="20"/>
        <v>24.332899518467119</v>
      </c>
      <c r="L24" s="296">
        <f t="shared" si="20"/>
        <v>25.664667478798957</v>
      </c>
      <c r="M24" s="296">
        <f t="shared" si="20"/>
        <v>27.070847289512688</v>
      </c>
      <c r="N24" s="296">
        <f t="shared" si="20"/>
        <v>28.584755876450533</v>
      </c>
      <c r="O24" s="296">
        <f t="shared" si="20"/>
        <v>31.581179253053069</v>
      </c>
      <c r="P24" s="296">
        <f t="shared" si="20"/>
        <v>33.315803999596</v>
      </c>
      <c r="Q24" s="296">
        <f t="shared" si="20"/>
        <v>35.147828540403559</v>
      </c>
      <c r="R24" s="296">
        <f t="shared" si="20"/>
        <v>37.121385700884012</v>
      </c>
      <c r="S24" s="296">
        <f t="shared" si="20"/>
        <v>39.126985939900806</v>
      </c>
    </row>
    <row r="25" spans="1:20" x14ac:dyDescent="0.25">
      <c r="A25" s="3" t="s">
        <v>148</v>
      </c>
      <c r="B25" s="3"/>
      <c r="C25" s="3"/>
      <c r="D25" s="3"/>
      <c r="E25" s="291">
        <f>E17-E24</f>
        <v>35.394376750000006</v>
      </c>
      <c r="F25" s="291">
        <f t="shared" ref="F25:S25" si="21">F17-F24</f>
        <v>39.357191868750007</v>
      </c>
      <c r="G25" s="291">
        <f t="shared" si="21"/>
        <v>43.59436517995313</v>
      </c>
      <c r="H25" s="291">
        <f t="shared" si="21"/>
        <v>48.381147544980472</v>
      </c>
      <c r="I25" s="291">
        <f t="shared" si="21"/>
        <v>53.704595747838709</v>
      </c>
      <c r="J25" s="291">
        <f t="shared" si="21"/>
        <v>59.739981551874457</v>
      </c>
      <c r="K25" s="291">
        <f t="shared" si="21"/>
        <v>66.180002119446385</v>
      </c>
      <c r="L25" s="291">
        <f t="shared" si="21"/>
        <v>70.023090193393173</v>
      </c>
      <c r="M25" s="291">
        <f t="shared" si="21"/>
        <v>74.091330996660574</v>
      </c>
      <c r="N25" s="291">
        <f t="shared" si="21"/>
        <v>78.562595773395429</v>
      </c>
      <c r="O25" s="291">
        <f t="shared" si="21"/>
        <v>87.036080180903781</v>
      </c>
      <c r="P25" s="291">
        <f t="shared" si="21"/>
        <v>92.098775554956603</v>
      </c>
      <c r="Q25" s="291">
        <f t="shared" si="21"/>
        <v>97.458642255208076</v>
      </c>
      <c r="R25" s="291">
        <f t="shared" si="21"/>
        <v>103.35143162503761</v>
      </c>
      <c r="S25" s="291">
        <f t="shared" si="21"/>
        <v>109.14149503461138</v>
      </c>
    </row>
    <row r="26" spans="1:20" x14ac:dyDescent="0.25">
      <c r="A26" s="1" t="s">
        <v>149</v>
      </c>
      <c r="E26" s="37"/>
      <c r="F26" s="37"/>
      <c r="G26" s="37"/>
      <c r="H26" s="37"/>
      <c r="I26" s="37"/>
      <c r="J26" s="37"/>
      <c r="K26" s="37"/>
      <c r="L26" s="37"/>
      <c r="M26" s="37"/>
      <c r="N26" s="37"/>
      <c r="O26" s="37"/>
      <c r="P26" s="37"/>
      <c r="Q26" s="37"/>
      <c r="R26" s="37"/>
      <c r="S26" s="37"/>
    </row>
    <row r="27" spans="1:20" x14ac:dyDescent="0.25">
      <c r="A27" t="s">
        <v>150</v>
      </c>
      <c r="D27" s="17">
        <v>0.15</v>
      </c>
      <c r="E27" s="37">
        <f>E17*$D$27</f>
        <v>7.3063290000000007</v>
      </c>
      <c r="F27" s="37">
        <f t="shared" ref="F27:R27" si="22">F17*$D$27</f>
        <v>8.1136111218750013</v>
      </c>
      <c r="G27" s="37">
        <f t="shared" si="22"/>
        <v>8.9804168540859379</v>
      </c>
      <c r="H27" s="37">
        <f t="shared" si="22"/>
        <v>9.9562830176938757</v>
      </c>
      <c r="I27" s="37">
        <f t="shared" si="22"/>
        <v>11.040335849336346</v>
      </c>
      <c r="J27" s="37">
        <f t="shared" si="22"/>
        <v>12.264793324450595</v>
      </c>
      <c r="K27" s="37">
        <f t="shared" si="22"/>
        <v>13.576935245687025</v>
      </c>
      <c r="L27" s="37">
        <f t="shared" si="22"/>
        <v>14.353163650828821</v>
      </c>
      <c r="M27" s="37">
        <f t="shared" si="22"/>
        <v>15.174326742925988</v>
      </c>
      <c r="N27" s="37">
        <f t="shared" si="22"/>
        <v>16.072102747476894</v>
      </c>
      <c r="O27" s="37">
        <f t="shared" si="22"/>
        <v>17.792588915093525</v>
      </c>
      <c r="P27" s="37">
        <f t="shared" si="22"/>
        <v>18.81218693318289</v>
      </c>
      <c r="Q27" s="37">
        <f t="shared" si="22"/>
        <v>19.890970619341747</v>
      </c>
      <c r="R27" s="37">
        <f t="shared" si="22"/>
        <v>21.070922598888242</v>
      </c>
      <c r="S27" s="37">
        <f>S17*$D$27</f>
        <v>22.240272146176828</v>
      </c>
    </row>
    <row r="28" spans="1:20" x14ac:dyDescent="0.25">
      <c r="A28" t="s">
        <v>151</v>
      </c>
      <c r="D28" s="17">
        <v>0.02</v>
      </c>
      <c r="E28" s="37">
        <f>E17*$D$28</f>
        <v>0.97417720000000019</v>
      </c>
      <c r="F28" s="37">
        <f t="shared" ref="F28:S28" si="23">F17*$D$28</f>
        <v>1.0818148162500003</v>
      </c>
      <c r="G28" s="37">
        <f t="shared" si="23"/>
        <v>1.1973889138781251</v>
      </c>
      <c r="H28" s="37">
        <f t="shared" si="23"/>
        <v>1.3275044023591835</v>
      </c>
      <c r="I28" s="37">
        <f t="shared" si="23"/>
        <v>1.4720447799115131</v>
      </c>
      <c r="J28" s="37">
        <f t="shared" si="23"/>
        <v>1.6353057765934127</v>
      </c>
      <c r="K28" s="37">
        <f t="shared" si="23"/>
        <v>1.81025803275827</v>
      </c>
      <c r="L28" s="37">
        <f t="shared" si="23"/>
        <v>1.9137551534438426</v>
      </c>
      <c r="M28" s="37">
        <f t="shared" si="23"/>
        <v>2.0232435657234653</v>
      </c>
      <c r="N28" s="37">
        <f t="shared" si="23"/>
        <v>2.1429470329969194</v>
      </c>
      <c r="O28" s="37">
        <f t="shared" si="23"/>
        <v>2.3723451886791369</v>
      </c>
      <c r="P28" s="37">
        <f t="shared" si="23"/>
        <v>2.5082915910910519</v>
      </c>
      <c r="Q28" s="37">
        <f t="shared" si="23"/>
        <v>2.6521294159122331</v>
      </c>
      <c r="R28" s="37">
        <f t="shared" si="23"/>
        <v>2.8094563465184326</v>
      </c>
      <c r="S28" s="37">
        <f t="shared" si="23"/>
        <v>2.9653696194902439</v>
      </c>
    </row>
    <row r="29" spans="1:20" x14ac:dyDescent="0.25">
      <c r="A29" t="s">
        <v>152</v>
      </c>
      <c r="D29" s="17">
        <v>0.09</v>
      </c>
      <c r="E29" s="37">
        <f>E17*$D$29</f>
        <v>4.3837974000000006</v>
      </c>
      <c r="F29" s="37">
        <f t="shared" ref="F29:S29" si="24">F17*$D$29</f>
        <v>4.8681666731250006</v>
      </c>
      <c r="G29" s="37">
        <f t="shared" si="24"/>
        <v>5.388250112451562</v>
      </c>
      <c r="H29" s="37">
        <f t="shared" si="24"/>
        <v>5.9737698106163251</v>
      </c>
      <c r="I29" s="37">
        <f t="shared" si="24"/>
        <v>6.6242015096018081</v>
      </c>
      <c r="J29" s="37">
        <f t="shared" si="24"/>
        <v>7.358875994670357</v>
      </c>
      <c r="K29" s="37">
        <f t="shared" si="24"/>
        <v>8.1461611474122151</v>
      </c>
      <c r="L29" s="37">
        <f t="shared" si="24"/>
        <v>8.6118981904972927</v>
      </c>
      <c r="M29" s="37">
        <f t="shared" si="24"/>
        <v>9.1045960457555921</v>
      </c>
      <c r="N29" s="37">
        <f t="shared" si="24"/>
        <v>9.6432616484861367</v>
      </c>
      <c r="O29" s="37">
        <f t="shared" si="24"/>
        <v>10.675553349056116</v>
      </c>
      <c r="P29" s="37">
        <f t="shared" si="24"/>
        <v>11.287312159909733</v>
      </c>
      <c r="Q29" s="37">
        <f t="shared" si="24"/>
        <v>11.934582371605048</v>
      </c>
      <c r="R29" s="37">
        <f t="shared" si="24"/>
        <v>12.642553559332946</v>
      </c>
      <c r="S29" s="37">
        <f t="shared" si="24"/>
        <v>13.344163287706097</v>
      </c>
    </row>
    <row r="30" spans="1:20" x14ac:dyDescent="0.25">
      <c r="A30" t="s">
        <v>153</v>
      </c>
      <c r="D30" s="17">
        <v>0.1</v>
      </c>
      <c r="E30" s="37">
        <f t="shared" ref="E30:S30" si="25">E17*$D$30</f>
        <v>4.8708860000000014</v>
      </c>
      <c r="F30" s="37">
        <f t="shared" si="25"/>
        <v>5.4090740812500009</v>
      </c>
      <c r="G30" s="37">
        <f t="shared" si="25"/>
        <v>5.9869445693906256</v>
      </c>
      <c r="H30" s="37">
        <f t="shared" si="25"/>
        <v>6.6375220117959177</v>
      </c>
      <c r="I30" s="37">
        <f t="shared" si="25"/>
        <v>7.3602238995575648</v>
      </c>
      <c r="J30" s="37">
        <f t="shared" si="25"/>
        <v>8.1765288829670641</v>
      </c>
      <c r="K30" s="37">
        <f t="shared" si="25"/>
        <v>9.0512901637913501</v>
      </c>
      <c r="L30" s="37">
        <f t="shared" si="25"/>
        <v>9.5687757672192131</v>
      </c>
      <c r="M30" s="37">
        <f t="shared" si="25"/>
        <v>10.116217828617327</v>
      </c>
      <c r="N30" s="37">
        <f t="shared" si="25"/>
        <v>10.714735164984596</v>
      </c>
      <c r="O30" s="37">
        <f t="shared" si="25"/>
        <v>11.861725943395685</v>
      </c>
      <c r="P30" s="37">
        <f t="shared" si="25"/>
        <v>12.541457955455261</v>
      </c>
      <c r="Q30" s="37">
        <f t="shared" si="25"/>
        <v>13.260647079561165</v>
      </c>
      <c r="R30" s="37">
        <f t="shared" si="25"/>
        <v>14.047281732592163</v>
      </c>
      <c r="S30" s="37">
        <f t="shared" si="25"/>
        <v>14.826848097451219</v>
      </c>
    </row>
    <row r="31" spans="1:20" x14ac:dyDescent="0.25">
      <c r="A31" t="s">
        <v>568</v>
      </c>
      <c r="D31" s="17"/>
      <c r="E31" s="37">
        <f>E17*B131</f>
        <v>0.48708860000000009</v>
      </c>
      <c r="F31" s="37">
        <f>F17*B131</f>
        <v>0.54090740812500016</v>
      </c>
      <c r="G31" s="37">
        <f>G17*B132</f>
        <v>1.1973889138781251</v>
      </c>
      <c r="H31" s="37">
        <f>H17*B132</f>
        <v>1.3275044023591835</v>
      </c>
      <c r="I31" s="37">
        <f>I17*B132</f>
        <v>1.4720447799115131</v>
      </c>
      <c r="J31" s="37">
        <f t="shared" ref="J31:S31" si="26">J17*$B$133</f>
        <v>2.4529586648901192</v>
      </c>
      <c r="K31" s="37">
        <f t="shared" si="26"/>
        <v>2.715387049137405</v>
      </c>
      <c r="L31" s="37">
        <f t="shared" si="26"/>
        <v>2.8706327301657639</v>
      </c>
      <c r="M31" s="37">
        <f t="shared" si="26"/>
        <v>3.0348653485851975</v>
      </c>
      <c r="N31" s="37">
        <f t="shared" si="26"/>
        <v>3.2144205494953786</v>
      </c>
      <c r="O31" s="37">
        <f t="shared" si="26"/>
        <v>3.5585177830187051</v>
      </c>
      <c r="P31" s="37">
        <f t="shared" si="26"/>
        <v>3.7624373866365781</v>
      </c>
      <c r="Q31" s="37">
        <f t="shared" si="26"/>
        <v>3.9781941238683491</v>
      </c>
      <c r="R31" s="37">
        <f t="shared" si="26"/>
        <v>4.2141845197776489</v>
      </c>
      <c r="S31" s="37">
        <f t="shared" si="26"/>
        <v>4.4480544292353654</v>
      </c>
    </row>
    <row r="32" spans="1:20" x14ac:dyDescent="0.25">
      <c r="A32" s="223" t="s">
        <v>154</v>
      </c>
      <c r="B32" s="223"/>
      <c r="C32" s="223"/>
      <c r="D32" s="223"/>
      <c r="E32" s="296">
        <f t="shared" ref="E32:S32" si="27">SUM(E27:E31)</f>
        <v>18.022278200000002</v>
      </c>
      <c r="F32" s="296">
        <f t="shared" si="27"/>
        <v>20.013574100625004</v>
      </c>
      <c r="G32" s="296">
        <f t="shared" si="27"/>
        <v>22.750389363684377</v>
      </c>
      <c r="H32" s="296">
        <f t="shared" si="27"/>
        <v>25.222583644824482</v>
      </c>
      <c r="I32" s="296">
        <f t="shared" si="27"/>
        <v>27.968850818318746</v>
      </c>
      <c r="J32" s="296">
        <f t="shared" si="27"/>
        <v>31.88846264357155</v>
      </c>
      <c r="K32" s="296">
        <f t="shared" si="27"/>
        <v>35.300031638786265</v>
      </c>
      <c r="L32" s="296">
        <f t="shared" si="27"/>
        <v>37.318225492154937</v>
      </c>
      <c r="M32" s="296">
        <f t="shared" si="27"/>
        <v>39.453249531607568</v>
      </c>
      <c r="N32" s="296">
        <f t="shared" si="27"/>
        <v>41.787467143439926</v>
      </c>
      <c r="O32" s="296">
        <f t="shared" si="27"/>
        <v>46.260731179243173</v>
      </c>
      <c r="P32" s="296">
        <f t="shared" si="27"/>
        <v>48.911686026275518</v>
      </c>
      <c r="Q32" s="296">
        <f t="shared" si="27"/>
        <v>51.71652361028854</v>
      </c>
      <c r="R32" s="296">
        <f t="shared" si="27"/>
        <v>54.784398757109429</v>
      </c>
      <c r="S32" s="296">
        <f t="shared" si="27"/>
        <v>57.824707580059751</v>
      </c>
    </row>
    <row r="33" spans="1:20" x14ac:dyDescent="0.25">
      <c r="A33" s="3" t="s">
        <v>155</v>
      </c>
      <c r="B33" s="3"/>
      <c r="C33" s="3"/>
      <c r="D33" s="3"/>
      <c r="E33" s="291">
        <f t="shared" ref="E33:S33" si="28">E25-E32</f>
        <v>17.372098550000004</v>
      </c>
      <c r="F33" s="291">
        <f t="shared" si="28"/>
        <v>19.343617768125004</v>
      </c>
      <c r="G33" s="291">
        <f t="shared" si="28"/>
        <v>20.843975816268753</v>
      </c>
      <c r="H33" s="291">
        <f t="shared" si="28"/>
        <v>23.15856390015599</v>
      </c>
      <c r="I33" s="291">
        <f t="shared" si="28"/>
        <v>25.735744929519964</v>
      </c>
      <c r="J33" s="291">
        <f t="shared" si="28"/>
        <v>27.851518908302907</v>
      </c>
      <c r="K33" s="291">
        <f t="shared" si="28"/>
        <v>30.87997048066012</v>
      </c>
      <c r="L33" s="291">
        <f t="shared" si="28"/>
        <v>32.704864701238236</v>
      </c>
      <c r="M33" s="291">
        <f t="shared" si="28"/>
        <v>34.638081465053006</v>
      </c>
      <c r="N33" s="291">
        <f t="shared" si="28"/>
        <v>36.775128629955503</v>
      </c>
      <c r="O33" s="291">
        <f t="shared" si="28"/>
        <v>40.775349001660608</v>
      </c>
      <c r="P33" s="291">
        <f t="shared" si="28"/>
        <v>43.187089528681085</v>
      </c>
      <c r="Q33" s="291">
        <f t="shared" si="28"/>
        <v>45.742118644919536</v>
      </c>
      <c r="R33" s="291">
        <f t="shared" si="28"/>
        <v>48.567032867928177</v>
      </c>
      <c r="S33" s="291">
        <f t="shared" si="28"/>
        <v>51.31678745455163</v>
      </c>
    </row>
    <row r="34" spans="1:20" x14ac:dyDescent="0.25">
      <c r="A34" t="s">
        <v>156</v>
      </c>
      <c r="D34" s="238"/>
      <c r="E34" s="37">
        <f>E17*B123</f>
        <v>0.48708860000000009</v>
      </c>
      <c r="F34" s="37">
        <f t="shared" ref="F34:S34" si="29">F17*$B$124</f>
        <v>0.67613426015625011</v>
      </c>
      <c r="G34" s="37">
        <f t="shared" si="29"/>
        <v>0.7483680711738282</v>
      </c>
      <c r="H34" s="37">
        <f t="shared" si="29"/>
        <v>0.82969025147448972</v>
      </c>
      <c r="I34" s="37">
        <f t="shared" si="29"/>
        <v>0.92002798744469561</v>
      </c>
      <c r="J34" s="37">
        <f t="shared" si="29"/>
        <v>1.022066110370883</v>
      </c>
      <c r="K34" s="37">
        <f t="shared" si="29"/>
        <v>1.1314112704739188</v>
      </c>
      <c r="L34" s="37">
        <f t="shared" si="29"/>
        <v>1.1960969709024016</v>
      </c>
      <c r="M34" s="37">
        <f t="shared" si="29"/>
        <v>1.2645272285771658</v>
      </c>
      <c r="N34" s="37">
        <f t="shared" si="29"/>
        <v>1.3393418956230745</v>
      </c>
      <c r="O34" s="37">
        <f t="shared" si="29"/>
        <v>1.4827157429244606</v>
      </c>
      <c r="P34" s="37">
        <f t="shared" si="29"/>
        <v>1.5676822444319076</v>
      </c>
      <c r="Q34" s="37">
        <f t="shared" si="29"/>
        <v>1.6575808849451457</v>
      </c>
      <c r="R34" s="37">
        <f t="shared" si="29"/>
        <v>1.7559102165740204</v>
      </c>
      <c r="S34" s="37">
        <f t="shared" si="29"/>
        <v>1.8533560121814023</v>
      </c>
    </row>
    <row r="35" spans="1:20" x14ac:dyDescent="0.25">
      <c r="A35" t="s">
        <v>157</v>
      </c>
      <c r="D35" s="17"/>
      <c r="E35" s="37">
        <f>E17*$B$110</f>
        <v>0.97417720000000019</v>
      </c>
      <c r="F35" s="37">
        <f>F17*$B$110</f>
        <v>1.0818148162500003</v>
      </c>
      <c r="G35" s="37">
        <f>G17*$B$110</f>
        <v>1.1973889138781251</v>
      </c>
      <c r="H35" s="37">
        <f>H17*$B$110</f>
        <v>1.3275044023591835</v>
      </c>
      <c r="I35" s="37">
        <f>I17*$B$110</f>
        <v>1.4720447799115131</v>
      </c>
      <c r="J35" s="37">
        <f t="shared" ref="J35:S35" si="30">J17*$B$111</f>
        <v>2.044132220741766</v>
      </c>
      <c r="K35" s="37">
        <f t="shared" si="30"/>
        <v>2.2628225409478375</v>
      </c>
      <c r="L35" s="37">
        <f t="shared" si="30"/>
        <v>2.3921939418048033</v>
      </c>
      <c r="M35" s="37">
        <f t="shared" si="30"/>
        <v>2.5290544571543316</v>
      </c>
      <c r="N35" s="37">
        <f t="shared" si="30"/>
        <v>2.678683791246149</v>
      </c>
      <c r="O35" s="37">
        <f t="shared" si="30"/>
        <v>2.9654314858489212</v>
      </c>
      <c r="P35" s="37">
        <f t="shared" si="30"/>
        <v>3.1353644888638152</v>
      </c>
      <c r="Q35" s="37">
        <f t="shared" si="30"/>
        <v>3.3151617698902913</v>
      </c>
      <c r="R35" s="37">
        <f t="shared" si="30"/>
        <v>3.5118204331480407</v>
      </c>
      <c r="S35" s="37">
        <f t="shared" si="30"/>
        <v>3.7067120243628047</v>
      </c>
    </row>
    <row r="36" spans="1:20" x14ac:dyDescent="0.25">
      <c r="A36" t="s">
        <v>598</v>
      </c>
      <c r="D36" s="17"/>
      <c r="E36" s="37">
        <f>E17*B127</f>
        <v>0.48708860000000009</v>
      </c>
      <c r="F36" s="37">
        <f>F17*$B$128</f>
        <v>0.67613426015625011</v>
      </c>
      <c r="G36" s="37">
        <f t="shared" ref="G36:S36" si="31">G17*$B$128</f>
        <v>0.7483680711738282</v>
      </c>
      <c r="H36" s="37">
        <f t="shared" si="31"/>
        <v>0.82969025147448972</v>
      </c>
      <c r="I36" s="37">
        <f t="shared" si="31"/>
        <v>0.92002798744469561</v>
      </c>
      <c r="J36" s="37">
        <f t="shared" si="31"/>
        <v>1.022066110370883</v>
      </c>
      <c r="K36" s="37">
        <f t="shared" si="31"/>
        <v>1.1314112704739188</v>
      </c>
      <c r="L36" s="37">
        <f t="shared" si="31"/>
        <v>1.1960969709024016</v>
      </c>
      <c r="M36" s="37">
        <f t="shared" si="31"/>
        <v>1.2645272285771658</v>
      </c>
      <c r="N36" s="37">
        <f t="shared" si="31"/>
        <v>1.3393418956230745</v>
      </c>
      <c r="O36" s="37">
        <f t="shared" si="31"/>
        <v>1.4827157429244606</v>
      </c>
      <c r="P36" s="37">
        <f t="shared" si="31"/>
        <v>1.5676822444319076</v>
      </c>
      <c r="Q36" s="37">
        <f t="shared" si="31"/>
        <v>1.6575808849451457</v>
      </c>
      <c r="R36" s="37">
        <f t="shared" si="31"/>
        <v>1.7559102165740204</v>
      </c>
      <c r="S36" s="37">
        <f t="shared" si="31"/>
        <v>1.8533560121814023</v>
      </c>
    </row>
    <row r="37" spans="1:20" x14ac:dyDescent="0.25">
      <c r="A37" t="s">
        <v>158</v>
      </c>
      <c r="D37" s="17"/>
      <c r="E37" s="37">
        <f>E33*$B$119</f>
        <v>1.2160468985000004</v>
      </c>
      <c r="F37" s="37">
        <f t="shared" ref="F37:S37" si="32">F33*$B$119</f>
        <v>1.3540532437687505</v>
      </c>
      <c r="G37" s="37">
        <f t="shared" si="32"/>
        <v>1.4590783071388129</v>
      </c>
      <c r="H37" s="37">
        <f t="shared" si="32"/>
        <v>1.6210994730109194</v>
      </c>
      <c r="I37" s="37">
        <f t="shared" si="32"/>
        <v>1.8015021450663977</v>
      </c>
      <c r="J37" s="37">
        <f t="shared" si="32"/>
        <v>1.9496063235812038</v>
      </c>
      <c r="K37" s="37">
        <f t="shared" si="32"/>
        <v>2.1615979336462088</v>
      </c>
      <c r="L37" s="37">
        <f t="shared" si="32"/>
        <v>2.2893405290866768</v>
      </c>
      <c r="M37" s="37">
        <f t="shared" si="32"/>
        <v>2.4246657025537108</v>
      </c>
      <c r="N37" s="37">
        <f t="shared" si="32"/>
        <v>2.5742590040968856</v>
      </c>
      <c r="O37" s="37">
        <f t="shared" si="32"/>
        <v>2.8542744301162428</v>
      </c>
      <c r="P37" s="37">
        <f t="shared" si="32"/>
        <v>3.0230962670076762</v>
      </c>
      <c r="Q37" s="37">
        <f t="shared" si="32"/>
        <v>3.2019483051443678</v>
      </c>
      <c r="R37" s="37">
        <f t="shared" si="32"/>
        <v>3.3996923007549729</v>
      </c>
      <c r="S37" s="37">
        <f t="shared" si="32"/>
        <v>3.5921751218186144</v>
      </c>
    </row>
    <row r="38" spans="1:20" x14ac:dyDescent="0.25">
      <c r="A38" s="192" t="s">
        <v>516</v>
      </c>
      <c r="E38" s="37">
        <f>'Total Project Cost- Hotel'!$C$24/5</f>
        <v>3.2399999999999998</v>
      </c>
      <c r="F38" s="37">
        <f>'Total Project Cost- Hotel'!$C$24/5</f>
        <v>3.2399999999999998</v>
      </c>
      <c r="G38" s="37">
        <f>'Total Project Cost- Hotel'!$C$24/5</f>
        <v>3.2399999999999998</v>
      </c>
      <c r="H38" s="37">
        <f>'Total Project Cost- Hotel'!$C$24/5</f>
        <v>3.2399999999999998</v>
      </c>
      <c r="I38" s="37">
        <f>'Total Project Cost- Hotel'!$C$24/5</f>
        <v>3.2399999999999998</v>
      </c>
      <c r="J38" s="37">
        <v>0</v>
      </c>
      <c r="K38" s="37">
        <v>0</v>
      </c>
      <c r="L38" s="37">
        <v>0</v>
      </c>
      <c r="M38" s="37">
        <v>0</v>
      </c>
      <c r="N38" s="37">
        <v>0</v>
      </c>
      <c r="O38" s="37">
        <v>0</v>
      </c>
      <c r="P38" s="37">
        <v>0</v>
      </c>
      <c r="Q38" s="37">
        <v>0</v>
      </c>
      <c r="R38" s="37">
        <v>0</v>
      </c>
      <c r="S38" s="37">
        <v>0</v>
      </c>
    </row>
    <row r="39" spans="1:20" x14ac:dyDescent="0.25">
      <c r="A39" s="223" t="s">
        <v>159</v>
      </c>
      <c r="B39" s="222"/>
      <c r="C39" s="222"/>
      <c r="D39" s="222"/>
      <c r="E39" s="296">
        <f>SUM(E34:E38)</f>
        <v>6.4044012984999998</v>
      </c>
      <c r="F39" s="296">
        <f t="shared" ref="F39:S39" si="33">SUM(F34:F38)</f>
        <v>7.0281365803312514</v>
      </c>
      <c r="G39" s="296">
        <f t="shared" si="33"/>
        <v>7.393203363364595</v>
      </c>
      <c r="H39" s="296">
        <f t="shared" si="33"/>
        <v>7.8479843783190812</v>
      </c>
      <c r="I39" s="296">
        <f t="shared" si="33"/>
        <v>8.3536028998673011</v>
      </c>
      <c r="J39" s="296">
        <f t="shared" si="33"/>
        <v>6.0378707650647359</v>
      </c>
      <c r="K39" s="296">
        <f t="shared" si="33"/>
        <v>6.6872430155418838</v>
      </c>
      <c r="L39" s="296">
        <f t="shared" si="33"/>
        <v>7.0737284126962834</v>
      </c>
      <c r="M39" s="296">
        <f t="shared" si="33"/>
        <v>7.4827746168623737</v>
      </c>
      <c r="N39" s="296">
        <f t="shared" si="33"/>
        <v>7.931626586589184</v>
      </c>
      <c r="O39" s="296">
        <f t="shared" si="33"/>
        <v>8.7851374018140849</v>
      </c>
      <c r="P39" s="296">
        <f t="shared" si="33"/>
        <v>9.2938252447353058</v>
      </c>
      <c r="Q39" s="296">
        <f t="shared" si="33"/>
        <v>9.83227184492495</v>
      </c>
      <c r="R39" s="296">
        <f t="shared" si="33"/>
        <v>10.423333167051055</v>
      </c>
      <c r="S39" s="296">
        <f t="shared" si="33"/>
        <v>11.005599170544224</v>
      </c>
    </row>
    <row r="40" spans="1:20" x14ac:dyDescent="0.25">
      <c r="A40" s="3" t="s">
        <v>160</v>
      </c>
      <c r="B40" s="3"/>
      <c r="C40" s="3"/>
      <c r="D40" s="3"/>
      <c r="E40" s="291">
        <f t="shared" ref="E40:S40" si="34">E33-E39</f>
        <v>10.967697251500004</v>
      </c>
      <c r="F40" s="291">
        <f t="shared" si="34"/>
        <v>12.315481187793752</v>
      </c>
      <c r="G40" s="291">
        <f t="shared" si="34"/>
        <v>13.450772452904157</v>
      </c>
      <c r="H40" s="291">
        <f t="shared" si="34"/>
        <v>15.310579521836909</v>
      </c>
      <c r="I40" s="291">
        <f t="shared" si="34"/>
        <v>17.382142029652663</v>
      </c>
      <c r="J40" s="291">
        <f t="shared" si="34"/>
        <v>21.813648143238172</v>
      </c>
      <c r="K40" s="291">
        <f t="shared" si="34"/>
        <v>24.192727465118235</v>
      </c>
      <c r="L40" s="291">
        <f t="shared" si="34"/>
        <v>25.631136288541953</v>
      </c>
      <c r="M40" s="291">
        <f t="shared" si="34"/>
        <v>27.155306848190634</v>
      </c>
      <c r="N40" s="291">
        <f t="shared" si="34"/>
        <v>28.843502043366321</v>
      </c>
      <c r="O40" s="291">
        <f t="shared" si="34"/>
        <v>31.990211599846525</v>
      </c>
      <c r="P40" s="291">
        <f t="shared" si="34"/>
        <v>33.893264283945783</v>
      </c>
      <c r="Q40" s="291">
        <f t="shared" si="34"/>
        <v>35.909846799994583</v>
      </c>
      <c r="R40" s="291">
        <f t="shared" si="34"/>
        <v>38.143699700877121</v>
      </c>
      <c r="S40" s="291">
        <f t="shared" si="34"/>
        <v>40.311188284007407</v>
      </c>
    </row>
    <row r="41" spans="1:20" x14ac:dyDescent="0.25">
      <c r="E41" s="37"/>
      <c r="F41" s="37"/>
      <c r="G41" s="37"/>
      <c r="H41" s="37"/>
      <c r="I41" s="37"/>
      <c r="J41" s="37"/>
      <c r="K41" s="37"/>
      <c r="L41" s="37"/>
      <c r="M41" s="37"/>
      <c r="N41" s="37"/>
      <c r="O41" s="37"/>
      <c r="P41" s="37"/>
      <c r="Q41" s="37"/>
      <c r="R41" s="37"/>
      <c r="S41" s="37"/>
    </row>
    <row r="42" spans="1:20" x14ac:dyDescent="0.25">
      <c r="A42" t="s">
        <v>161</v>
      </c>
      <c r="C42" t="s">
        <v>518</v>
      </c>
      <c r="D42" s="17" t="s">
        <v>519</v>
      </c>
      <c r="E42" s="37"/>
      <c r="F42" s="37"/>
      <c r="G42" s="37"/>
      <c r="H42" s="37"/>
      <c r="I42" s="37"/>
      <c r="J42" s="37"/>
      <c r="K42" s="37"/>
      <c r="L42" s="37"/>
      <c r="M42" s="37"/>
      <c r="N42" s="37"/>
      <c r="O42" s="37"/>
      <c r="P42" s="37"/>
      <c r="Q42" s="37"/>
      <c r="R42" s="37"/>
      <c r="S42" s="37"/>
    </row>
    <row r="43" spans="1:20" x14ac:dyDescent="0.25">
      <c r="A43" t="s">
        <v>517</v>
      </c>
      <c r="B43">
        <v>48400</v>
      </c>
      <c r="C43">
        <v>9</v>
      </c>
      <c r="D43" s="17">
        <v>0.01</v>
      </c>
      <c r="E43" s="37">
        <f>(B43*C43)/10^7</f>
        <v>4.3560000000000001E-2</v>
      </c>
      <c r="F43" s="37">
        <f>E43</f>
        <v>4.3560000000000001E-2</v>
      </c>
      <c r="G43" s="37">
        <f t="shared" ref="G43:S43" si="35">F43</f>
        <v>4.3560000000000001E-2</v>
      </c>
      <c r="H43" s="37">
        <f t="shared" si="35"/>
        <v>4.3560000000000001E-2</v>
      </c>
      <c r="I43" s="37">
        <f>H43*(1+$D$43)</f>
        <v>4.3995600000000003E-2</v>
      </c>
      <c r="J43" s="37">
        <f t="shared" si="35"/>
        <v>4.3995600000000003E-2</v>
      </c>
      <c r="K43" s="37">
        <f t="shared" si="35"/>
        <v>4.3995600000000003E-2</v>
      </c>
      <c r="L43" s="37">
        <f t="shared" si="35"/>
        <v>4.3995600000000003E-2</v>
      </c>
      <c r="M43" s="37">
        <f>L43*(1+$D$43)</f>
        <v>4.4435556000000001E-2</v>
      </c>
      <c r="N43" s="37">
        <f t="shared" si="35"/>
        <v>4.4435556000000001E-2</v>
      </c>
      <c r="O43" s="37">
        <f t="shared" si="35"/>
        <v>4.4435556000000001E-2</v>
      </c>
      <c r="P43" s="37">
        <f t="shared" si="35"/>
        <v>4.4435556000000001E-2</v>
      </c>
      <c r="Q43" s="37">
        <f>P43*(1+$D$43)</f>
        <v>4.4879911559999999E-2</v>
      </c>
      <c r="R43" s="37">
        <f t="shared" si="35"/>
        <v>4.4879911559999999E-2</v>
      </c>
      <c r="S43" s="37">
        <f t="shared" si="35"/>
        <v>4.4879911559999999E-2</v>
      </c>
      <c r="T43" s="2"/>
    </row>
    <row r="44" spans="1:20" x14ac:dyDescent="0.25">
      <c r="A44" t="s">
        <v>163</v>
      </c>
      <c r="D44" s="198">
        <v>0.01</v>
      </c>
      <c r="E44" s="37">
        <f>BS!F28*'Decrease in room rent 5%'!$D$44</f>
        <v>29.438050501893933</v>
      </c>
      <c r="F44" s="37">
        <f>BS!G28*'Decrease in room rent 5%'!$D$44</f>
        <v>28.618318172348477</v>
      </c>
      <c r="G44" s="37">
        <f>BS!H28*'Decrease in room rent 5%'!$D$44</f>
        <v>27.798585842803021</v>
      </c>
      <c r="H44" s="37">
        <f>BS!I28*'Decrease in room rent 5%'!$D$44</f>
        <v>26.978853513257569</v>
      </c>
      <c r="I44" s="37">
        <f>BS!J28*'Decrease in room rent 5%'!$D$44</f>
        <v>26.159121183712113</v>
      </c>
      <c r="J44" s="37">
        <f>BS!K28*'Decrease in room rent 5%'!$D$44</f>
        <v>25.339388854166661</v>
      </c>
      <c r="K44" s="37">
        <f>BS!L28*'Decrease in room rent 5%'!$D$44</f>
        <v>24.519656524621205</v>
      </c>
      <c r="L44" s="37">
        <f>BS!M28*'Decrease in room rent 5%'!$D$44</f>
        <v>23.699924195075752</v>
      </c>
      <c r="M44" s="37">
        <f>BS!N28*'Decrease in room rent 5%'!$D$44</f>
        <v>22.992854183712115</v>
      </c>
      <c r="N44" s="37">
        <f>BS!O28*'Decrease in room rent 5%'!$D$44</f>
        <v>0</v>
      </c>
      <c r="O44" s="37">
        <f>BS!P28*'Decrease in room rent 5%'!$D$44</f>
        <v>0</v>
      </c>
      <c r="P44" s="37">
        <f>BS!Q28*'Decrease in room rent 5%'!$D$44</f>
        <v>0</v>
      </c>
      <c r="Q44" s="37">
        <f>BS!R28*'Decrease in room rent 5%'!$D$44</f>
        <v>0</v>
      </c>
      <c r="R44" s="37">
        <f>BS!S28*'Decrease in room rent 5%'!$D$44</f>
        <v>0</v>
      </c>
      <c r="S44" s="37">
        <v>0</v>
      </c>
    </row>
    <row r="45" spans="1:20" x14ac:dyDescent="0.25">
      <c r="A45" s="223" t="s">
        <v>164</v>
      </c>
      <c r="B45" s="222"/>
      <c r="C45" s="222"/>
      <c r="D45" s="222"/>
      <c r="E45" s="296">
        <f>SUM(E43:E44)</f>
        <v>29.481610501893933</v>
      </c>
      <c r="F45" s="296">
        <f t="shared" ref="F45:S45" si="36">SUM(F43:F44)</f>
        <v>28.661878172348477</v>
      </c>
      <c r="G45" s="296">
        <f t="shared" si="36"/>
        <v>27.842145842803021</v>
      </c>
      <c r="H45" s="296">
        <f t="shared" si="36"/>
        <v>27.022413513257568</v>
      </c>
      <c r="I45" s="296">
        <f t="shared" si="36"/>
        <v>26.203116783712112</v>
      </c>
      <c r="J45" s="296">
        <f t="shared" si="36"/>
        <v>25.383384454166659</v>
      </c>
      <c r="K45" s="296">
        <f t="shared" si="36"/>
        <v>24.563652124621203</v>
      </c>
      <c r="L45" s="296">
        <f t="shared" si="36"/>
        <v>23.743919795075751</v>
      </c>
      <c r="M45" s="296">
        <f t="shared" si="36"/>
        <v>23.037289739712115</v>
      </c>
      <c r="N45" s="296">
        <f t="shared" si="36"/>
        <v>4.4435556000000001E-2</v>
      </c>
      <c r="O45" s="296">
        <f t="shared" si="36"/>
        <v>4.4435556000000001E-2</v>
      </c>
      <c r="P45" s="296">
        <f t="shared" si="36"/>
        <v>4.4435556000000001E-2</v>
      </c>
      <c r="Q45" s="296">
        <f t="shared" si="36"/>
        <v>4.4879911559999999E-2</v>
      </c>
      <c r="R45" s="296">
        <f t="shared" si="36"/>
        <v>4.4879911559999999E-2</v>
      </c>
      <c r="S45" s="296">
        <f t="shared" si="36"/>
        <v>4.4879911559999999E-2</v>
      </c>
    </row>
    <row r="46" spans="1:20" s="247" customFormat="1" x14ac:dyDescent="0.25">
      <c r="A46" s="246" t="s">
        <v>41</v>
      </c>
      <c r="B46" s="246"/>
      <c r="C46" s="246"/>
      <c r="D46" s="246"/>
      <c r="E46" s="297">
        <f>E40-E45</f>
        <v>-18.513913250393927</v>
      </c>
      <c r="F46" s="297">
        <f t="shared" ref="F46:S46" si="37">F40-F45</f>
        <v>-16.346396984554723</v>
      </c>
      <c r="G46" s="297">
        <f t="shared" si="37"/>
        <v>-14.391373389898863</v>
      </c>
      <c r="H46" s="297">
        <f t="shared" si="37"/>
        <v>-11.71183399142066</v>
      </c>
      <c r="I46" s="297">
        <f t="shared" si="37"/>
        <v>-8.8209747540594492</v>
      </c>
      <c r="J46" s="297">
        <f t="shared" si="37"/>
        <v>-3.5697363109284872</v>
      </c>
      <c r="K46" s="297">
        <f t="shared" si="37"/>
        <v>-0.37092465950296827</v>
      </c>
      <c r="L46" s="297">
        <f t="shared" si="37"/>
        <v>1.8872164934662017</v>
      </c>
      <c r="M46" s="297">
        <f t="shared" si="37"/>
        <v>4.1180171084785187</v>
      </c>
      <c r="N46" s="297">
        <f t="shared" si="37"/>
        <v>28.799066487366321</v>
      </c>
      <c r="O46" s="297">
        <f t="shared" si="37"/>
        <v>31.945776043846525</v>
      </c>
      <c r="P46" s="297">
        <f t="shared" si="37"/>
        <v>33.848828727945779</v>
      </c>
      <c r="Q46" s="297">
        <f t="shared" si="37"/>
        <v>35.86496688843458</v>
      </c>
      <c r="R46" s="297">
        <f t="shared" si="37"/>
        <v>38.098819789317119</v>
      </c>
      <c r="S46" s="297">
        <f t="shared" si="37"/>
        <v>40.266308372447405</v>
      </c>
    </row>
    <row r="48" spans="1:20" x14ac:dyDescent="0.25">
      <c r="A48" t="s">
        <v>525</v>
      </c>
      <c r="E48" s="244">
        <f t="shared" ref="E48:S48" si="38">E33/E17</f>
        <v>0.35665171695662762</v>
      </c>
      <c r="F48" s="244">
        <f t="shared" si="38"/>
        <v>0.35761421414392652</v>
      </c>
      <c r="G48" s="244">
        <f t="shared" si="38"/>
        <v>0.34815715386505297</v>
      </c>
      <c r="H48" s="244">
        <f t="shared" si="38"/>
        <v>0.34890376045457311</v>
      </c>
      <c r="I48" s="244">
        <f t="shared" si="38"/>
        <v>0.34965981036347255</v>
      </c>
      <c r="J48" s="244">
        <f t="shared" si="38"/>
        <v>0.34062765883848095</v>
      </c>
      <c r="K48" s="244">
        <f t="shared" si="38"/>
        <v>0.34116650689414318</v>
      </c>
      <c r="L48" s="244">
        <f t="shared" si="38"/>
        <v>0.3417873456004562</v>
      </c>
      <c r="M48" s="244">
        <f t="shared" si="38"/>
        <v>0.34240149878017506</v>
      </c>
      <c r="N48" s="244">
        <f t="shared" si="38"/>
        <v>0.34322013623010883</v>
      </c>
      <c r="O48" s="244">
        <f t="shared" si="38"/>
        <v>0.34375561529781684</v>
      </c>
      <c r="P48" s="244">
        <f t="shared" si="38"/>
        <v>0.34435461715912896</v>
      </c>
      <c r="Q48" s="244">
        <f t="shared" si="38"/>
        <v>0.34494635420486047</v>
      </c>
      <c r="R48" s="244">
        <f t="shared" si="38"/>
        <v>0.34573972240653594</v>
      </c>
      <c r="S48" s="244">
        <f t="shared" si="38"/>
        <v>0.34610719093677872</v>
      </c>
    </row>
    <row r="49" spans="1:19" x14ac:dyDescent="0.25">
      <c r="F49" s="17"/>
      <c r="G49" s="17"/>
      <c r="H49" s="17"/>
      <c r="I49" s="17"/>
      <c r="J49" s="17"/>
      <c r="K49" s="17"/>
      <c r="L49" s="17"/>
      <c r="M49" s="17"/>
      <c r="N49" s="17"/>
      <c r="O49" s="17"/>
      <c r="P49" s="17"/>
      <c r="Q49" s="17"/>
      <c r="R49" s="17"/>
      <c r="S49" s="17"/>
    </row>
    <row r="52" spans="1:19" x14ac:dyDescent="0.25">
      <c r="E52" s="2"/>
      <c r="F52" s="2"/>
      <c r="G52" s="2"/>
      <c r="H52" s="2"/>
      <c r="I52" s="2"/>
      <c r="J52" s="2"/>
      <c r="K52" s="2"/>
      <c r="L52" s="2"/>
      <c r="M52" s="2"/>
      <c r="N52" s="2"/>
      <c r="O52" s="2"/>
      <c r="P52" s="2"/>
      <c r="Q52" s="2"/>
      <c r="R52" s="2"/>
      <c r="S52" s="2"/>
    </row>
    <row r="53" spans="1:19" x14ac:dyDescent="0.25">
      <c r="A53" s="737" t="s">
        <v>433</v>
      </c>
      <c r="B53" s="737"/>
      <c r="C53" s="737"/>
      <c r="D53" s="737"/>
      <c r="E53" s="737"/>
      <c r="F53" s="737"/>
      <c r="G53" s="737"/>
      <c r="H53" s="737"/>
      <c r="I53" s="737"/>
      <c r="J53" s="737"/>
      <c r="K53" s="213"/>
      <c r="L53" s="213"/>
      <c r="M53" s="213"/>
      <c r="N53" s="213"/>
      <c r="O53" s="213"/>
      <c r="P53" s="213"/>
      <c r="Q53" s="213"/>
      <c r="R53" s="213"/>
      <c r="S53" s="213"/>
    </row>
    <row r="54" spans="1:19" x14ac:dyDescent="0.25">
      <c r="A54" s="737" t="s">
        <v>511</v>
      </c>
      <c r="B54" s="737"/>
      <c r="C54" s="737"/>
      <c r="D54" s="737"/>
      <c r="E54" s="737"/>
      <c r="F54" s="737"/>
      <c r="G54" s="737"/>
      <c r="H54" s="737"/>
      <c r="I54" s="737"/>
      <c r="J54" s="737"/>
    </row>
    <row r="55" spans="1:19" x14ac:dyDescent="0.25">
      <c r="A55" s="197" t="s">
        <v>512</v>
      </c>
      <c r="B55" s="196"/>
      <c r="C55" s="197" t="s">
        <v>312</v>
      </c>
      <c r="D55" s="196"/>
      <c r="E55" s="196"/>
      <c r="F55" s="196"/>
      <c r="G55" s="197" t="s">
        <v>313</v>
      </c>
      <c r="H55" s="196"/>
      <c r="I55" s="196"/>
      <c r="J55" s="196"/>
    </row>
    <row r="56" spans="1:19" x14ac:dyDescent="0.25">
      <c r="A56" s="196"/>
      <c r="B56" s="197" t="s">
        <v>213</v>
      </c>
      <c r="C56" s="197" t="s">
        <v>314</v>
      </c>
      <c r="D56" s="197" t="s">
        <v>602</v>
      </c>
      <c r="E56" s="197" t="s">
        <v>316</v>
      </c>
      <c r="F56" s="197" t="s">
        <v>317</v>
      </c>
      <c r="G56" s="197" t="s">
        <v>510</v>
      </c>
      <c r="H56" s="197" t="s">
        <v>319</v>
      </c>
      <c r="I56" s="197" t="s">
        <v>320</v>
      </c>
      <c r="J56" s="197" t="s">
        <v>321</v>
      </c>
    </row>
    <row r="57" spans="1:19" x14ac:dyDescent="0.25">
      <c r="A57" s="1" t="s">
        <v>322</v>
      </c>
      <c r="B57" t="s">
        <v>508</v>
      </c>
      <c r="C57">
        <v>75</v>
      </c>
      <c r="D57">
        <v>40</v>
      </c>
      <c r="E57">
        <v>40</v>
      </c>
      <c r="F57">
        <v>20</v>
      </c>
      <c r="G57">
        <v>300</v>
      </c>
      <c r="H57">
        <v>65</v>
      </c>
      <c r="I57">
        <v>34</v>
      </c>
      <c r="J57">
        <v>15</v>
      </c>
    </row>
    <row r="59" spans="1:19" x14ac:dyDescent="0.25">
      <c r="A59" s="1" t="s">
        <v>323</v>
      </c>
      <c r="C59">
        <v>365</v>
      </c>
      <c r="D59">
        <v>365</v>
      </c>
      <c r="E59">
        <v>365</v>
      </c>
      <c r="F59">
        <v>365</v>
      </c>
      <c r="G59">
        <v>365</v>
      </c>
      <c r="H59">
        <v>365</v>
      </c>
      <c r="I59">
        <v>365</v>
      </c>
      <c r="J59">
        <v>365</v>
      </c>
    </row>
    <row r="60" spans="1:19" x14ac:dyDescent="0.25">
      <c r="A60" s="1" t="s">
        <v>324</v>
      </c>
    </row>
    <row r="61" spans="1:19" x14ac:dyDescent="0.25">
      <c r="A61" t="s">
        <v>325</v>
      </c>
      <c r="C61" s="17">
        <v>0.9</v>
      </c>
      <c r="D61" s="17">
        <v>0</v>
      </c>
      <c r="E61" s="17">
        <v>0</v>
      </c>
      <c r="F61" s="17">
        <v>0</v>
      </c>
      <c r="G61" s="17">
        <v>0.1</v>
      </c>
      <c r="H61" s="17">
        <v>0.05</v>
      </c>
      <c r="I61" s="17">
        <v>0.1</v>
      </c>
      <c r="J61" s="17">
        <v>0.05</v>
      </c>
    </row>
    <row r="62" spans="1:19" x14ac:dyDescent="0.25">
      <c r="A62" t="s">
        <v>326</v>
      </c>
      <c r="C62" s="17">
        <v>0.3</v>
      </c>
      <c r="D62" s="17">
        <v>0</v>
      </c>
      <c r="E62" s="17">
        <v>0.1</v>
      </c>
      <c r="F62" s="17">
        <v>0.2</v>
      </c>
      <c r="G62" s="17">
        <v>0.1</v>
      </c>
      <c r="H62" s="17">
        <v>0.15</v>
      </c>
      <c r="I62" s="17">
        <v>0.1</v>
      </c>
      <c r="J62" s="17">
        <v>0.05</v>
      </c>
    </row>
    <row r="63" spans="1:19" x14ac:dyDescent="0.25">
      <c r="A63" t="s">
        <v>323</v>
      </c>
      <c r="C63" s="17">
        <v>0.6</v>
      </c>
      <c r="D63" s="17">
        <v>0.4</v>
      </c>
      <c r="E63" s="17">
        <v>0.2</v>
      </c>
      <c r="F63" s="17">
        <v>0.3</v>
      </c>
      <c r="G63" s="17">
        <v>0.2</v>
      </c>
      <c r="H63" s="17">
        <v>0.05</v>
      </c>
      <c r="I63" s="17">
        <v>0</v>
      </c>
      <c r="J63" s="17">
        <v>0</v>
      </c>
    </row>
    <row r="64" spans="1:19" x14ac:dyDescent="0.25">
      <c r="A64" s="1" t="s">
        <v>327</v>
      </c>
    </row>
    <row r="65" spans="1:10" x14ac:dyDescent="0.25">
      <c r="A65" t="s">
        <v>325</v>
      </c>
      <c r="C65" s="2">
        <f>C57*C59*C61</f>
        <v>24637.5</v>
      </c>
      <c r="D65" s="2">
        <f>D57*D59*D61</f>
        <v>0</v>
      </c>
      <c r="E65" s="2">
        <f t="shared" ref="E65:G65" si="39">E57*E59*E61</f>
        <v>0</v>
      </c>
      <c r="F65" s="2">
        <f t="shared" si="39"/>
        <v>0</v>
      </c>
      <c r="G65" s="2">
        <f t="shared" si="39"/>
        <v>10950</v>
      </c>
      <c r="H65" s="2">
        <f>H57*H59*H61</f>
        <v>1186.25</v>
      </c>
      <c r="I65" s="2">
        <f>I57*I59*I61</f>
        <v>1241</v>
      </c>
      <c r="J65" s="2">
        <f t="shared" ref="J65" si="40">J57*J59*J61</f>
        <v>273.75</v>
      </c>
    </row>
    <row r="66" spans="1:10" x14ac:dyDescent="0.25">
      <c r="A66" t="s">
        <v>326</v>
      </c>
      <c r="C66" s="2">
        <f>C57*C59*C62</f>
        <v>8212.5</v>
      </c>
      <c r="D66" s="2">
        <f>D57*D59*D62</f>
        <v>0</v>
      </c>
      <c r="E66" s="2">
        <f t="shared" ref="E66:G66" si="41">E57*E59*E62</f>
        <v>1460</v>
      </c>
      <c r="F66" s="2">
        <f t="shared" si="41"/>
        <v>1460</v>
      </c>
      <c r="G66" s="2">
        <f t="shared" si="41"/>
        <v>10950</v>
      </c>
      <c r="H66" s="2">
        <f>H57*H59*H62</f>
        <v>3558.75</v>
      </c>
      <c r="I66" s="2">
        <f>I57*I59*I62</f>
        <v>1241</v>
      </c>
      <c r="J66" s="2">
        <f t="shared" ref="J66" si="42">J57*J59*J62</f>
        <v>273.75</v>
      </c>
    </row>
    <row r="67" spans="1:10" x14ac:dyDescent="0.25">
      <c r="A67" t="s">
        <v>323</v>
      </c>
      <c r="C67">
        <f>C57*C59*C63</f>
        <v>16425</v>
      </c>
      <c r="D67">
        <f>D57*D59*D63</f>
        <v>5840</v>
      </c>
      <c r="E67">
        <f t="shared" ref="E67:G67" si="43">E57*E59*E63</f>
        <v>2920</v>
      </c>
      <c r="F67">
        <f t="shared" si="43"/>
        <v>2190</v>
      </c>
      <c r="G67">
        <f t="shared" si="43"/>
        <v>21900</v>
      </c>
      <c r="H67" s="2">
        <f>H57*H59*H63</f>
        <v>1186.25</v>
      </c>
      <c r="I67">
        <f>I57*I59*I63</f>
        <v>0</v>
      </c>
      <c r="J67">
        <f t="shared" ref="J67" si="44">J57*J59*J63</f>
        <v>0</v>
      </c>
    </row>
    <row r="68" spans="1:10" x14ac:dyDescent="0.25">
      <c r="A68" s="1" t="s">
        <v>328</v>
      </c>
    </row>
    <row r="69" spans="1:10" x14ac:dyDescent="0.25">
      <c r="A69" t="s">
        <v>325</v>
      </c>
      <c r="B69" t="s">
        <v>509</v>
      </c>
      <c r="C69">
        <v>500</v>
      </c>
      <c r="D69">
        <v>0</v>
      </c>
      <c r="E69">
        <v>0</v>
      </c>
      <c r="F69">
        <v>0</v>
      </c>
      <c r="G69">
        <v>500</v>
      </c>
      <c r="H69">
        <v>500</v>
      </c>
      <c r="I69">
        <v>500</v>
      </c>
      <c r="J69">
        <v>500</v>
      </c>
    </row>
    <row r="70" spans="1:10" x14ac:dyDescent="0.25">
      <c r="A70" t="s">
        <v>326</v>
      </c>
      <c r="C70">
        <v>2000</v>
      </c>
      <c r="D70">
        <v>0</v>
      </c>
      <c r="E70">
        <v>1000</v>
      </c>
      <c r="F70">
        <v>1000</v>
      </c>
      <c r="G70">
        <v>1400</v>
      </c>
      <c r="H70">
        <v>1500</v>
      </c>
      <c r="I70">
        <v>1500</v>
      </c>
      <c r="J70">
        <v>1500</v>
      </c>
    </row>
    <row r="71" spans="1:10" x14ac:dyDescent="0.25">
      <c r="A71" t="s">
        <v>323</v>
      </c>
      <c r="C71">
        <v>2500</v>
      </c>
      <c r="D71">
        <v>3000</v>
      </c>
      <c r="E71">
        <v>2000</v>
      </c>
      <c r="F71">
        <v>1500</v>
      </c>
      <c r="G71">
        <v>1500</v>
      </c>
      <c r="H71">
        <v>1800</v>
      </c>
      <c r="I71">
        <v>2000</v>
      </c>
      <c r="J71">
        <v>2000</v>
      </c>
    </row>
    <row r="73" spans="1:10" ht="15.75" thickBot="1" x14ac:dyDescent="0.3">
      <c r="A73" s="197" t="s">
        <v>329</v>
      </c>
      <c r="B73" s="199">
        <f>SUM(C73:J73)</f>
        <v>164122250</v>
      </c>
      <c r="C73" s="200">
        <f>(C65*C69)+(C66*C70)+(C67*C71)</f>
        <v>69806250</v>
      </c>
      <c r="D73" s="200">
        <f t="shared" ref="D73:J73" si="45">(D65*D69)+(D66*D70)+(D67*D71)</f>
        <v>17520000</v>
      </c>
      <c r="E73" s="200">
        <f t="shared" si="45"/>
        <v>7300000</v>
      </c>
      <c r="F73" s="200">
        <f t="shared" si="45"/>
        <v>4745000</v>
      </c>
      <c r="G73" s="200">
        <f t="shared" si="45"/>
        <v>53655000</v>
      </c>
      <c r="H73" s="200">
        <f t="shared" si="45"/>
        <v>8066500</v>
      </c>
      <c r="I73" s="200">
        <f t="shared" si="45"/>
        <v>2482000</v>
      </c>
      <c r="J73" s="200">
        <f t="shared" si="45"/>
        <v>547500</v>
      </c>
    </row>
    <row r="75" spans="1:10" x14ac:dyDescent="0.25">
      <c r="C75" s="71">
        <f>C73/10^7</f>
        <v>6.9806249999999999</v>
      </c>
      <c r="D75" s="71">
        <f t="shared" ref="D75:J75" si="46">D73/10^7</f>
        <v>1.752</v>
      </c>
      <c r="E75" s="71">
        <f t="shared" si="46"/>
        <v>0.73</v>
      </c>
      <c r="F75" s="71">
        <f t="shared" si="46"/>
        <v>0.47449999999999998</v>
      </c>
      <c r="G75" s="71">
        <f t="shared" si="46"/>
        <v>5.3654999999999999</v>
      </c>
      <c r="H75" s="71">
        <f t="shared" si="46"/>
        <v>0.80664999999999998</v>
      </c>
      <c r="I75" s="71">
        <f t="shared" si="46"/>
        <v>0.2482</v>
      </c>
      <c r="J75" s="71">
        <f t="shared" si="46"/>
        <v>5.475E-2</v>
      </c>
    </row>
    <row r="76" spans="1:10" x14ac:dyDescent="0.25">
      <c r="A76" s="240" t="s">
        <v>142</v>
      </c>
      <c r="B76" s="241"/>
      <c r="C76" s="241"/>
      <c r="D76" s="241"/>
      <c r="E76" s="241"/>
    </row>
    <row r="77" spans="1:10" x14ac:dyDescent="0.25">
      <c r="E77" s="28" t="s">
        <v>124</v>
      </c>
    </row>
    <row r="78" spans="1:10" x14ac:dyDescent="0.25">
      <c r="E78" s="28">
        <v>2027</v>
      </c>
    </row>
    <row r="79" spans="1:10" x14ac:dyDescent="0.25">
      <c r="A79" t="s">
        <v>123</v>
      </c>
      <c r="E79" s="16">
        <v>90</v>
      </c>
    </row>
    <row r="80" spans="1:10" x14ac:dyDescent="0.25">
      <c r="A80" t="s">
        <v>133</v>
      </c>
      <c r="E80" s="16">
        <v>365</v>
      </c>
    </row>
    <row r="81" spans="1:5" x14ac:dyDescent="0.25">
      <c r="A81" t="s">
        <v>134</v>
      </c>
      <c r="E81" s="16">
        <f>E80*E79</f>
        <v>32850</v>
      </c>
    </row>
    <row r="82" spans="1:5" x14ac:dyDescent="0.25">
      <c r="A82" t="s">
        <v>135</v>
      </c>
      <c r="D82" s="17">
        <v>0.05</v>
      </c>
      <c r="E82" s="83">
        <v>0.5</v>
      </c>
    </row>
    <row r="83" spans="1:5" x14ac:dyDescent="0.25">
      <c r="A83" t="s">
        <v>136</v>
      </c>
      <c r="E83" s="84">
        <f>E81*E82</f>
        <v>16425</v>
      </c>
    </row>
    <row r="84" spans="1:5" x14ac:dyDescent="0.25">
      <c r="A84" t="s">
        <v>359</v>
      </c>
      <c r="D84" s="239">
        <v>1.5</v>
      </c>
      <c r="E84" s="16">
        <f>E83*D84</f>
        <v>24637.5</v>
      </c>
    </row>
    <row r="85" spans="1:5" x14ac:dyDescent="0.25">
      <c r="A85" t="s">
        <v>360</v>
      </c>
      <c r="E85" s="83">
        <v>0.05</v>
      </c>
    </row>
    <row r="86" spans="1:5" x14ac:dyDescent="0.25">
      <c r="A86" t="s">
        <v>361</v>
      </c>
      <c r="B86" s="2"/>
      <c r="E86" s="84">
        <f>E84*E85</f>
        <v>1231.875</v>
      </c>
    </row>
    <row r="87" spans="1:5" x14ac:dyDescent="0.25">
      <c r="A87" t="s">
        <v>362</v>
      </c>
      <c r="E87" s="84">
        <v>4000</v>
      </c>
    </row>
    <row r="89" spans="1:5" x14ac:dyDescent="0.25">
      <c r="A89" s="1" t="s">
        <v>363</v>
      </c>
      <c r="E89" s="1">
        <f>E87*E86</f>
        <v>4927500</v>
      </c>
    </row>
    <row r="92" spans="1:5" x14ac:dyDescent="0.25">
      <c r="A92" s="240" t="s">
        <v>364</v>
      </c>
      <c r="B92" s="241"/>
      <c r="C92" s="241"/>
      <c r="D92" s="241"/>
      <c r="E92" s="241"/>
    </row>
    <row r="93" spans="1:5" x14ac:dyDescent="0.25">
      <c r="A93" t="s">
        <v>513</v>
      </c>
      <c r="E93" s="28" t="s">
        <v>124</v>
      </c>
    </row>
    <row r="94" spans="1:5" x14ac:dyDescent="0.25">
      <c r="A94" s="1"/>
      <c r="E94" s="28">
        <v>2027</v>
      </c>
    </row>
    <row r="95" spans="1:5" x14ac:dyDescent="0.25">
      <c r="A95" t="s">
        <v>365</v>
      </c>
      <c r="D95" s="17"/>
      <c r="E95" s="84">
        <v>250</v>
      </c>
    </row>
    <row r="96" spans="1:5" x14ac:dyDescent="0.25">
      <c r="A96" s="175" t="s">
        <v>136</v>
      </c>
      <c r="E96" s="84">
        <f>E83</f>
        <v>16425</v>
      </c>
    </row>
    <row r="97" spans="1:5" x14ac:dyDescent="0.25">
      <c r="A97" s="197" t="s">
        <v>366</v>
      </c>
      <c r="B97" s="1"/>
      <c r="C97" s="1"/>
      <c r="D97" s="1"/>
      <c r="E97" s="28">
        <f>E95*E96</f>
        <v>4106250</v>
      </c>
    </row>
    <row r="100" spans="1:5" x14ac:dyDescent="0.25">
      <c r="A100" s="240" t="s">
        <v>367</v>
      </c>
      <c r="B100" s="241"/>
      <c r="C100" s="241"/>
      <c r="D100" s="241"/>
      <c r="E100" s="241"/>
    </row>
    <row r="101" spans="1:5" x14ac:dyDescent="0.25">
      <c r="E101" s="28" t="s">
        <v>124</v>
      </c>
    </row>
    <row r="102" spans="1:5" x14ac:dyDescent="0.25">
      <c r="E102" s="28">
        <v>2027</v>
      </c>
    </row>
    <row r="103" spans="1:5" x14ac:dyDescent="0.25">
      <c r="A103" t="s">
        <v>514</v>
      </c>
      <c r="B103" t="s">
        <v>515</v>
      </c>
      <c r="E103" s="16">
        <v>430</v>
      </c>
    </row>
    <row r="104" spans="1:5" x14ac:dyDescent="0.25">
      <c r="A104" t="s">
        <v>369</v>
      </c>
      <c r="E104" s="16">
        <v>360</v>
      </c>
    </row>
    <row r="105" spans="1:5" x14ac:dyDescent="0.25">
      <c r="A105" s="197" t="s">
        <v>370</v>
      </c>
      <c r="B105" s="1"/>
      <c r="C105" s="1"/>
      <c r="D105" s="1"/>
      <c r="E105" s="1">
        <f>E103*E104*12</f>
        <v>1857600</v>
      </c>
    </row>
    <row r="107" spans="1:5" x14ac:dyDescent="0.25">
      <c r="A107" s="245" t="s">
        <v>526</v>
      </c>
    </row>
    <row r="109" spans="1:5" x14ac:dyDescent="0.25">
      <c r="A109" s="1" t="s">
        <v>527</v>
      </c>
      <c r="B109" s="1" t="s">
        <v>529</v>
      </c>
    </row>
    <row r="110" spans="1:5" x14ac:dyDescent="0.25">
      <c r="A110" t="s">
        <v>528</v>
      </c>
      <c r="B110" s="17">
        <v>0.02</v>
      </c>
    </row>
    <row r="111" spans="1:5" x14ac:dyDescent="0.25">
      <c r="A111" t="s">
        <v>530</v>
      </c>
      <c r="B111" s="198">
        <v>2.5000000000000001E-2</v>
      </c>
    </row>
    <row r="113" spans="1:2" x14ac:dyDescent="0.25">
      <c r="A113" s="1" t="s">
        <v>531</v>
      </c>
    </row>
    <row r="114" spans="1:2" x14ac:dyDescent="0.25">
      <c r="A114" s="1" t="s">
        <v>525</v>
      </c>
      <c r="B114" s="1" t="s">
        <v>538</v>
      </c>
    </row>
    <row r="115" spans="1:2" x14ac:dyDescent="0.25">
      <c r="A115" t="s">
        <v>532</v>
      </c>
      <c r="B115" s="83">
        <v>0.03</v>
      </c>
    </row>
    <row r="116" spans="1:2" x14ac:dyDescent="0.25">
      <c r="A116" t="s">
        <v>533</v>
      </c>
      <c r="B116" s="83">
        <v>0.04</v>
      </c>
    </row>
    <row r="117" spans="1:2" x14ac:dyDescent="0.25">
      <c r="A117" t="s">
        <v>534</v>
      </c>
      <c r="B117" s="83">
        <v>0.05</v>
      </c>
    </row>
    <row r="118" spans="1:2" x14ac:dyDescent="0.25">
      <c r="A118" t="s">
        <v>535</v>
      </c>
      <c r="B118" s="83">
        <v>0.06</v>
      </c>
    </row>
    <row r="119" spans="1:2" x14ac:dyDescent="0.25">
      <c r="A119" t="s">
        <v>536</v>
      </c>
      <c r="B119" s="83">
        <v>7.0000000000000007E-2</v>
      </c>
    </row>
    <row r="120" spans="1:2" x14ac:dyDescent="0.25">
      <c r="A120" t="s">
        <v>537</v>
      </c>
      <c r="B120" s="83">
        <v>0.08</v>
      </c>
    </row>
    <row r="122" spans="1:2" x14ac:dyDescent="0.25">
      <c r="A122" s="1" t="s">
        <v>544</v>
      </c>
      <c r="B122" s="1" t="s">
        <v>529</v>
      </c>
    </row>
    <row r="123" spans="1:2" x14ac:dyDescent="0.25">
      <c r="A123" t="s">
        <v>14</v>
      </c>
      <c r="B123" s="198">
        <v>0.01</v>
      </c>
    </row>
    <row r="124" spans="1:2" x14ac:dyDescent="0.25">
      <c r="A124" t="s">
        <v>539</v>
      </c>
      <c r="B124" s="198">
        <v>1.2500000000000001E-2</v>
      </c>
    </row>
    <row r="126" spans="1:2" x14ac:dyDescent="0.25">
      <c r="A126" s="1" t="s">
        <v>598</v>
      </c>
      <c r="B126" s="1" t="s">
        <v>529</v>
      </c>
    </row>
    <row r="127" spans="1:2" x14ac:dyDescent="0.25">
      <c r="A127" t="s">
        <v>14</v>
      </c>
      <c r="B127" s="198">
        <v>0.01</v>
      </c>
    </row>
    <row r="128" spans="1:2" x14ac:dyDescent="0.25">
      <c r="A128" t="s">
        <v>539</v>
      </c>
      <c r="B128" s="198">
        <v>1.2500000000000001E-2</v>
      </c>
    </row>
    <row r="129" spans="1:2" x14ac:dyDescent="0.25">
      <c r="B129" s="198"/>
    </row>
    <row r="130" spans="1:2" x14ac:dyDescent="0.25">
      <c r="A130" s="1" t="s">
        <v>540</v>
      </c>
      <c r="B130" s="1" t="s">
        <v>543</v>
      </c>
    </row>
    <row r="131" spans="1:2" x14ac:dyDescent="0.25">
      <c r="A131" t="s">
        <v>541</v>
      </c>
      <c r="B131" s="83">
        <v>0.01</v>
      </c>
    </row>
    <row r="132" spans="1:2" x14ac:dyDescent="0.25">
      <c r="A132" t="s">
        <v>542</v>
      </c>
      <c r="B132" s="83">
        <v>0.02</v>
      </c>
    </row>
    <row r="133" spans="1:2" x14ac:dyDescent="0.25">
      <c r="A133" t="s">
        <v>530</v>
      </c>
      <c r="B133" s="83">
        <v>0.03</v>
      </c>
    </row>
  </sheetData>
  <mergeCells count="3">
    <mergeCell ref="A1:S1"/>
    <mergeCell ref="A53:J53"/>
    <mergeCell ref="A54:J54"/>
  </mergeCells>
  <pageMargins left="0.7" right="0.7" top="0.75" bottom="0.75" header="0.3" footer="0.3"/>
  <pageSetup paperSize="9" orientation="portrait" r:id="rId1"/>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codeName="Sheet24"/>
  <dimension ref="A1:Q45"/>
  <sheetViews>
    <sheetView topLeftCell="A31" zoomScaleNormal="100" workbookViewId="0">
      <selection activeCell="B44" sqref="B44"/>
    </sheetView>
  </sheetViews>
  <sheetFormatPr defaultRowHeight="15" x14ac:dyDescent="0.25"/>
  <cols>
    <col min="1" max="1" width="45.85546875" bestFit="1" customWidth="1"/>
  </cols>
  <sheetData>
    <row r="1" spans="1:17" x14ac:dyDescent="0.25">
      <c r="E1" s="1" t="s">
        <v>381</v>
      </c>
    </row>
    <row r="2" spans="1:17" x14ac:dyDescent="0.25">
      <c r="A2" s="207" t="s">
        <v>382</v>
      </c>
      <c r="B2" s="207" t="s">
        <v>166</v>
      </c>
      <c r="C2" s="207" t="s">
        <v>167</v>
      </c>
      <c r="D2" s="207" t="s">
        <v>168</v>
      </c>
      <c r="E2" s="207" t="s">
        <v>169</v>
      </c>
      <c r="F2" s="207" t="s">
        <v>170</v>
      </c>
      <c r="G2" s="207" t="s">
        <v>171</v>
      </c>
      <c r="H2" s="207" t="s">
        <v>172</v>
      </c>
      <c r="I2" s="207" t="s">
        <v>173</v>
      </c>
      <c r="J2" s="207" t="s">
        <v>174</v>
      </c>
      <c r="K2" s="207" t="s">
        <v>175</v>
      </c>
      <c r="L2" s="207" t="s">
        <v>188</v>
      </c>
      <c r="M2" s="207" t="s">
        <v>189</v>
      </c>
      <c r="N2" s="207" t="s">
        <v>198</v>
      </c>
      <c r="O2" s="207" t="s">
        <v>199</v>
      </c>
      <c r="P2" s="207" t="s">
        <v>200</v>
      </c>
      <c r="Q2" s="208"/>
    </row>
    <row r="3" spans="1:17" x14ac:dyDescent="0.25">
      <c r="A3" s="1" t="s">
        <v>383</v>
      </c>
      <c r="B3" s="70">
        <v>496763.2</v>
      </c>
      <c r="C3" s="70">
        <v>536014.14285714284</v>
      </c>
      <c r="D3" s="70">
        <v>586243.09932499996</v>
      </c>
      <c r="E3" s="70">
        <v>676399.0692898751</v>
      </c>
      <c r="F3" s="70">
        <v>714592.61888657371</v>
      </c>
      <c r="G3" s="70">
        <v>786683.30809560139</v>
      </c>
      <c r="H3" s="70">
        <v>831156.48549101548</v>
      </c>
      <c r="I3" s="70">
        <v>894793.04794593214</v>
      </c>
      <c r="J3" s="70">
        <v>955425.24882531737</v>
      </c>
      <c r="K3" s="70">
        <v>1003188.2830165832</v>
      </c>
      <c r="L3" s="70">
        <v>1051759.9737924123</v>
      </c>
      <c r="M3" s="70">
        <v>1102760.2025695329</v>
      </c>
      <c r="N3" s="70">
        <v>1156310.3962480095</v>
      </c>
      <c r="O3" s="70">
        <v>1174356.6319512844</v>
      </c>
      <c r="P3" s="70">
        <v>1193305.1329022227</v>
      </c>
    </row>
    <row r="4" spans="1:17" x14ac:dyDescent="0.25">
      <c r="A4" t="s">
        <v>384</v>
      </c>
      <c r="B4">
        <v>84000</v>
      </c>
      <c r="C4">
        <v>84000</v>
      </c>
      <c r="D4">
        <v>84000</v>
      </c>
      <c r="E4">
        <v>84000</v>
      </c>
      <c r="F4">
        <v>84000</v>
      </c>
      <c r="G4">
        <v>84000</v>
      </c>
      <c r="H4">
        <v>84000</v>
      </c>
      <c r="I4">
        <v>84000</v>
      </c>
      <c r="J4">
        <v>84000</v>
      </c>
      <c r="K4">
        <v>84000</v>
      </c>
      <c r="L4">
        <v>84000</v>
      </c>
      <c r="M4">
        <v>84000</v>
      </c>
      <c r="N4">
        <v>84000</v>
      </c>
      <c r="O4">
        <v>84000</v>
      </c>
      <c r="P4">
        <v>84000</v>
      </c>
    </row>
    <row r="5" spans="1:17" x14ac:dyDescent="0.25">
      <c r="A5" s="175" t="s">
        <v>385</v>
      </c>
      <c r="B5" s="181">
        <v>134545.1</v>
      </c>
      <c r="C5" s="181">
        <v>144837.12142857144</v>
      </c>
      <c r="D5" s="181">
        <v>158531.11236250005</v>
      </c>
      <c r="E5" s="181">
        <v>183361.34642213752</v>
      </c>
      <c r="F5" s="181">
        <v>193184.93292711885</v>
      </c>
      <c r="G5" s="181">
        <v>211524.37042872811</v>
      </c>
      <c r="H5" s="181">
        <v>222871.19110929084</v>
      </c>
      <c r="I5" s="181">
        <v>239282.39294828544</v>
      </c>
      <c r="J5" s="181">
        <v>255501.12687783022</v>
      </c>
      <c r="K5" s="181">
        <v>268272.66159672174</v>
      </c>
      <c r="L5" s="181">
        <v>281014.61548905779</v>
      </c>
      <c r="M5" s="181">
        <v>294393.64380726073</v>
      </c>
      <c r="N5" s="181">
        <v>308441.60027262371</v>
      </c>
      <c r="O5" s="181">
        <v>317464.71812426107</v>
      </c>
      <c r="P5" s="181">
        <v>326938.96859973029</v>
      </c>
      <c r="Q5" s="181"/>
    </row>
    <row r="6" spans="1:17" x14ac:dyDescent="0.25">
      <c r="A6" t="s">
        <v>176</v>
      </c>
      <c r="B6" s="2">
        <f>B3+B4-B5</f>
        <v>446218.1</v>
      </c>
      <c r="C6" s="2">
        <f t="shared" ref="C6:P6" si="0">C3+C4-C5</f>
        <v>475177.02142857143</v>
      </c>
      <c r="D6" s="2">
        <f t="shared" si="0"/>
        <v>511711.98696249991</v>
      </c>
      <c r="E6" s="2">
        <f t="shared" si="0"/>
        <v>577037.72286773752</v>
      </c>
      <c r="F6" s="2">
        <f t="shared" si="0"/>
        <v>605407.68595945486</v>
      </c>
      <c r="G6" s="2">
        <f t="shared" si="0"/>
        <v>659158.93766687321</v>
      </c>
      <c r="H6" s="2">
        <f t="shared" si="0"/>
        <v>692285.29438172467</v>
      </c>
      <c r="I6" s="2">
        <f t="shared" si="0"/>
        <v>739510.65499764669</v>
      </c>
      <c r="J6" s="2">
        <f t="shared" si="0"/>
        <v>783924.12194748712</v>
      </c>
      <c r="K6" s="2">
        <f t="shared" si="0"/>
        <v>818915.62141986145</v>
      </c>
      <c r="L6" s="2">
        <f t="shared" si="0"/>
        <v>854745.35830335459</v>
      </c>
      <c r="M6" s="2">
        <f t="shared" si="0"/>
        <v>892366.55876227212</v>
      </c>
      <c r="N6" s="2">
        <f t="shared" si="0"/>
        <v>931868.79597538582</v>
      </c>
      <c r="O6" s="2">
        <f t="shared" si="0"/>
        <v>940891.91382702324</v>
      </c>
      <c r="P6" s="2">
        <f t="shared" si="0"/>
        <v>950366.1643024924</v>
      </c>
    </row>
    <row r="8" spans="1:17" x14ac:dyDescent="0.25">
      <c r="A8" s="175" t="s">
        <v>386</v>
      </c>
      <c r="B8" s="181">
        <v>188770.016</v>
      </c>
      <c r="C8" s="181">
        <v>198325.23285714287</v>
      </c>
      <c r="D8" s="181">
        <v>216909.94675025</v>
      </c>
      <c r="E8" s="181">
        <v>250267.65563725383</v>
      </c>
      <c r="F8" s="181">
        <v>264399.2689880323</v>
      </c>
      <c r="G8" s="181">
        <v>291072.82399537251</v>
      </c>
      <c r="H8" s="181">
        <v>307527.89963167574</v>
      </c>
      <c r="I8" s="181">
        <v>331073.42773999495</v>
      </c>
      <c r="J8" s="181">
        <v>353507.34206536744</v>
      </c>
      <c r="K8" s="181">
        <v>371179.66471613577</v>
      </c>
      <c r="L8" s="181">
        <v>389151.19030319253</v>
      </c>
      <c r="M8" s="181">
        <v>408021.27495072724</v>
      </c>
      <c r="N8" s="181">
        <v>427834.84661176353</v>
      </c>
      <c r="O8" s="181">
        <v>434511.95382197527</v>
      </c>
      <c r="P8" s="181">
        <v>441522.89917382237</v>
      </c>
    </row>
    <row r="9" spans="1:17" x14ac:dyDescent="0.25">
      <c r="A9" t="s">
        <v>177</v>
      </c>
      <c r="B9" s="2">
        <f>+B6-B8</f>
        <v>257448.08399999997</v>
      </c>
      <c r="C9" s="2">
        <f t="shared" ref="C9:P9" si="1">+C6-C8</f>
        <v>276851.78857142857</v>
      </c>
      <c r="D9" s="2">
        <f t="shared" si="1"/>
        <v>294802.04021224991</v>
      </c>
      <c r="E9" s="2">
        <f t="shared" si="1"/>
        <v>326770.06723048369</v>
      </c>
      <c r="F9" s="2">
        <f t="shared" si="1"/>
        <v>341008.41697142256</v>
      </c>
      <c r="G9" s="2">
        <f t="shared" si="1"/>
        <v>368086.1136715007</v>
      </c>
      <c r="H9" s="2">
        <f t="shared" si="1"/>
        <v>384757.39475004893</v>
      </c>
      <c r="I9" s="2">
        <f t="shared" si="1"/>
        <v>408437.22725765174</v>
      </c>
      <c r="J9" s="2">
        <f t="shared" si="1"/>
        <v>430416.77988211968</v>
      </c>
      <c r="K9" s="2">
        <f t="shared" si="1"/>
        <v>447735.95670372568</v>
      </c>
      <c r="L9" s="2">
        <f t="shared" si="1"/>
        <v>465594.16800016206</v>
      </c>
      <c r="M9" s="2">
        <f t="shared" si="1"/>
        <v>484345.28381154488</v>
      </c>
      <c r="N9" s="2">
        <f t="shared" si="1"/>
        <v>504033.94936362229</v>
      </c>
      <c r="O9" s="2">
        <f t="shared" si="1"/>
        <v>506379.96000504796</v>
      </c>
      <c r="P9" s="2">
        <f t="shared" si="1"/>
        <v>508843.26512867003</v>
      </c>
    </row>
    <row r="11" spans="1:17" x14ac:dyDescent="0.25">
      <c r="A11" s="175" t="s">
        <v>387</v>
      </c>
      <c r="B11" s="181">
        <v>30277.413039999999</v>
      </c>
      <c r="C11" s="181">
        <v>35691.743742857143</v>
      </c>
      <c r="D11" s="181">
        <v>39029.061882359994</v>
      </c>
      <c r="E11" s="181">
        <v>47431.862824178243</v>
      </c>
      <c r="F11" s="181">
        <v>57293.183226761132</v>
      </c>
      <c r="G11" s="181">
        <v>63153.609902263124</v>
      </c>
      <c r="H11" s="181">
        <v>66766.624334509281</v>
      </c>
      <c r="I11" s="181">
        <v>71924.22354506189</v>
      </c>
      <c r="J11" s="181">
        <v>76797.563277140842</v>
      </c>
      <c r="K11" s="181">
        <v>80636.872535172879</v>
      </c>
      <c r="L11" s="181">
        <v>84558.390318594029</v>
      </c>
      <c r="M11" s="181">
        <v>88675.981008132454</v>
      </c>
      <c r="N11" s="181">
        <v>92999.448249094086</v>
      </c>
      <c r="O11" s="181">
        <v>94156.211957674008</v>
      </c>
      <c r="P11" s="181">
        <v>95370.810868629138</v>
      </c>
    </row>
    <row r="12" spans="1:17" x14ac:dyDescent="0.25">
      <c r="A12" t="s">
        <v>388</v>
      </c>
      <c r="B12" s="2">
        <f>+B9-B11</f>
        <v>227170.67095999996</v>
      </c>
      <c r="C12" s="2">
        <f t="shared" ref="C12:P12" si="2">+C9-C11</f>
        <v>241160.04482857144</v>
      </c>
      <c r="D12" s="2">
        <f t="shared" si="2"/>
        <v>255772.97832988991</v>
      </c>
      <c r="E12" s="2">
        <f t="shared" si="2"/>
        <v>279338.20440630545</v>
      </c>
      <c r="F12" s="2">
        <f t="shared" si="2"/>
        <v>283715.23374466144</v>
      </c>
      <c r="G12" s="2">
        <f t="shared" si="2"/>
        <v>304932.50376923755</v>
      </c>
      <c r="H12" s="2">
        <f t="shared" si="2"/>
        <v>317990.77041553962</v>
      </c>
      <c r="I12" s="2">
        <f t="shared" si="2"/>
        <v>336513.00371258985</v>
      </c>
      <c r="J12" s="2">
        <f t="shared" si="2"/>
        <v>353619.21660497884</v>
      </c>
      <c r="K12" s="2">
        <f t="shared" si="2"/>
        <v>367099.08416855277</v>
      </c>
      <c r="L12" s="2">
        <f t="shared" si="2"/>
        <v>381035.77768156806</v>
      </c>
      <c r="M12" s="2">
        <f t="shared" si="2"/>
        <v>395669.30280341243</v>
      </c>
      <c r="N12" s="2">
        <f t="shared" si="2"/>
        <v>411034.50111452822</v>
      </c>
      <c r="O12" s="2">
        <f t="shared" si="2"/>
        <v>412223.74804737396</v>
      </c>
      <c r="P12" s="2">
        <f t="shared" si="2"/>
        <v>413472.45426004089</v>
      </c>
    </row>
    <row r="14" spans="1:17" x14ac:dyDescent="0.25">
      <c r="A14" s="175" t="s">
        <v>389</v>
      </c>
      <c r="B14" s="181">
        <v>9935.264000000001</v>
      </c>
      <c r="C14" s="181">
        <v>10720.282857142856</v>
      </c>
      <c r="D14" s="181">
        <v>11724.8619865</v>
      </c>
      <c r="E14" s="181">
        <v>13527.981385797502</v>
      </c>
      <c r="F14" s="181">
        <v>14291.852377731475</v>
      </c>
      <c r="G14" s="181">
        <v>15733.666161912028</v>
      </c>
      <c r="H14" s="181">
        <v>16623.12970982031</v>
      </c>
      <c r="I14" s="181">
        <v>17895.860958918642</v>
      </c>
      <c r="J14" s="181">
        <v>19108.504976506349</v>
      </c>
      <c r="K14" s="181">
        <v>20063.765660331665</v>
      </c>
      <c r="L14" s="181">
        <v>21035.199475848247</v>
      </c>
      <c r="M14" s="181">
        <v>22055.204051390658</v>
      </c>
      <c r="N14" s="181">
        <v>23126.207924960192</v>
      </c>
      <c r="O14" s="181">
        <v>23487.132639025687</v>
      </c>
      <c r="P14" s="181">
        <v>23866.102658044456</v>
      </c>
    </row>
    <row r="15" spans="1:17" x14ac:dyDescent="0.25">
      <c r="A15" s="1" t="s">
        <v>390</v>
      </c>
      <c r="B15" s="70">
        <f>+B12-B14</f>
        <v>217235.40695999996</v>
      </c>
      <c r="C15" s="70">
        <f t="shared" ref="C15:P15" si="3">+C12-C14</f>
        <v>230439.76197142858</v>
      </c>
      <c r="D15" s="70">
        <f t="shared" si="3"/>
        <v>244048.11634338991</v>
      </c>
      <c r="E15" s="70">
        <f t="shared" si="3"/>
        <v>265810.22302050795</v>
      </c>
      <c r="F15" s="70">
        <f t="shared" si="3"/>
        <v>269423.38136692997</v>
      </c>
      <c r="G15" s="70">
        <f t="shared" si="3"/>
        <v>289198.83760732552</v>
      </c>
      <c r="H15" s="70">
        <f t="shared" si="3"/>
        <v>301367.6407057193</v>
      </c>
      <c r="I15" s="70">
        <f t="shared" si="3"/>
        <v>318617.14275367121</v>
      </c>
      <c r="J15" s="70">
        <f t="shared" si="3"/>
        <v>334510.71162847249</v>
      </c>
      <c r="K15" s="70">
        <f t="shared" si="3"/>
        <v>347035.31850822113</v>
      </c>
      <c r="L15" s="70">
        <f t="shared" si="3"/>
        <v>360000.57820571982</v>
      </c>
      <c r="M15" s="70">
        <f t="shared" si="3"/>
        <v>373614.09875202179</v>
      </c>
      <c r="N15" s="70">
        <f t="shared" si="3"/>
        <v>387908.29318956804</v>
      </c>
      <c r="O15" s="70">
        <f t="shared" si="3"/>
        <v>388736.61540834827</v>
      </c>
      <c r="P15" s="70">
        <f t="shared" si="3"/>
        <v>389606.35160199646</v>
      </c>
    </row>
    <row r="17" spans="1:16" x14ac:dyDescent="0.25">
      <c r="A17" s="175" t="s">
        <v>391</v>
      </c>
      <c r="B17" s="175">
        <v>0</v>
      </c>
      <c r="C17" s="175">
        <v>0</v>
      </c>
      <c r="D17" s="175">
        <v>0</v>
      </c>
      <c r="E17" s="175">
        <v>0</v>
      </c>
      <c r="F17" s="175">
        <v>0</v>
      </c>
      <c r="G17" s="175">
        <v>0</v>
      </c>
      <c r="H17" s="175">
        <v>0</v>
      </c>
      <c r="I17" s="175">
        <v>0</v>
      </c>
      <c r="J17" s="175">
        <v>0</v>
      </c>
      <c r="K17" s="175">
        <v>0</v>
      </c>
      <c r="L17" s="175">
        <v>0</v>
      </c>
      <c r="M17" s="175">
        <v>0</v>
      </c>
      <c r="N17" s="175">
        <v>0</v>
      </c>
      <c r="O17" s="175">
        <v>0</v>
      </c>
      <c r="P17" s="175">
        <v>0</v>
      </c>
    </row>
    <row r="18" spans="1:16" x14ac:dyDescent="0.25">
      <c r="A18" s="197" t="s">
        <v>178</v>
      </c>
      <c r="B18" s="89">
        <f>SUM(B15:B17)</f>
        <v>217235.40695999996</v>
      </c>
      <c r="C18" s="89">
        <f t="shared" ref="C18:P18" si="4">SUM(C15:C17)</f>
        <v>230439.76197142858</v>
      </c>
      <c r="D18" s="89">
        <f t="shared" si="4"/>
        <v>244048.11634338991</v>
      </c>
      <c r="E18" s="89">
        <f t="shared" si="4"/>
        <v>265810.22302050795</v>
      </c>
      <c r="F18" s="89">
        <f t="shared" si="4"/>
        <v>269423.38136692997</v>
      </c>
      <c r="G18" s="89">
        <f t="shared" si="4"/>
        <v>289198.83760732552</v>
      </c>
      <c r="H18" s="89">
        <f t="shared" si="4"/>
        <v>301367.6407057193</v>
      </c>
      <c r="I18" s="89">
        <f t="shared" si="4"/>
        <v>318617.14275367121</v>
      </c>
      <c r="J18" s="89">
        <f t="shared" si="4"/>
        <v>334510.71162847249</v>
      </c>
      <c r="K18" s="89">
        <f t="shared" si="4"/>
        <v>347035.31850822113</v>
      </c>
      <c r="L18" s="89">
        <f t="shared" si="4"/>
        <v>360000.57820571982</v>
      </c>
      <c r="M18" s="89">
        <f t="shared" si="4"/>
        <v>373614.09875202179</v>
      </c>
      <c r="N18" s="89">
        <f t="shared" si="4"/>
        <v>387908.29318956804</v>
      </c>
      <c r="O18" s="89">
        <f t="shared" si="4"/>
        <v>388736.61540834827</v>
      </c>
      <c r="P18" s="89">
        <f t="shared" si="4"/>
        <v>389606.35160199646</v>
      </c>
    </row>
    <row r="20" spans="1:16" x14ac:dyDescent="0.25">
      <c r="A20" t="s">
        <v>392</v>
      </c>
      <c r="B20" s="2">
        <v>4967.6320000000005</v>
      </c>
      <c r="C20" s="2">
        <v>5360.1414285714282</v>
      </c>
      <c r="D20" s="2">
        <v>11724.8619865</v>
      </c>
      <c r="E20" s="2">
        <v>20291.972078696253</v>
      </c>
      <c r="F20" s="2">
        <v>21437.778566597211</v>
      </c>
      <c r="G20" s="2">
        <v>23600.499242868042</v>
      </c>
      <c r="H20" s="2">
        <v>24934.694564730464</v>
      </c>
      <c r="I20" s="2">
        <v>26843.791438377964</v>
      </c>
      <c r="J20" s="2">
        <v>28662.757464759521</v>
      </c>
      <c r="K20" s="2">
        <v>30095.648490497493</v>
      </c>
      <c r="L20" s="2">
        <v>31552.799213772367</v>
      </c>
      <c r="M20" s="2">
        <v>33082.806077085988</v>
      </c>
      <c r="N20" s="2">
        <v>34689.311887440286</v>
      </c>
      <c r="O20" s="2">
        <v>35230.698958538531</v>
      </c>
      <c r="P20" s="2">
        <v>35799.153987066682</v>
      </c>
    </row>
    <row r="21" spans="1:16" x14ac:dyDescent="0.25">
      <c r="A21" s="175" t="s">
        <v>393</v>
      </c>
      <c r="B21" s="175">
        <v>52893</v>
      </c>
      <c r="C21" s="175">
        <v>54229</v>
      </c>
      <c r="D21" s="175">
        <v>55757</v>
      </c>
      <c r="E21" s="175">
        <v>57501</v>
      </c>
      <c r="F21" s="175">
        <v>59332</v>
      </c>
      <c r="G21" s="175">
        <v>61255</v>
      </c>
      <c r="H21" s="175">
        <v>63273</v>
      </c>
      <c r="I21" s="175">
        <v>65393</v>
      </c>
      <c r="J21" s="175">
        <v>67619</v>
      </c>
      <c r="K21" s="175">
        <v>69955</v>
      </c>
      <c r="L21" s="175">
        <v>69956</v>
      </c>
      <c r="M21" s="175">
        <v>69956</v>
      </c>
      <c r="N21" s="175">
        <v>69956</v>
      </c>
      <c r="O21" s="175">
        <v>69956</v>
      </c>
      <c r="P21" s="175">
        <v>69956</v>
      </c>
    </row>
    <row r="22" spans="1:16" x14ac:dyDescent="0.25">
      <c r="A22" s="1" t="s">
        <v>180</v>
      </c>
      <c r="B22" s="70">
        <f>+B18-B20-B21</f>
        <v>159374.77495999995</v>
      </c>
      <c r="C22" s="70">
        <f t="shared" ref="C22:P22" si="5">+C18-C20-C21</f>
        <v>170850.62054285716</v>
      </c>
      <c r="D22" s="70">
        <f t="shared" si="5"/>
        <v>176566.2543568899</v>
      </c>
      <c r="E22" s="70">
        <f t="shared" si="5"/>
        <v>188017.25094181171</v>
      </c>
      <c r="F22" s="70">
        <f t="shared" si="5"/>
        <v>188653.60280033277</v>
      </c>
      <c r="G22" s="70">
        <f t="shared" si="5"/>
        <v>204343.33836445748</v>
      </c>
      <c r="H22" s="70">
        <f t="shared" si="5"/>
        <v>213159.94614098885</v>
      </c>
      <c r="I22" s="70">
        <f t="shared" si="5"/>
        <v>226380.35131529323</v>
      </c>
      <c r="J22" s="70">
        <f t="shared" si="5"/>
        <v>238228.95416371297</v>
      </c>
      <c r="K22" s="70">
        <f t="shared" si="5"/>
        <v>246984.67001772363</v>
      </c>
      <c r="L22" s="70">
        <f t="shared" si="5"/>
        <v>258491.77899194747</v>
      </c>
      <c r="M22" s="70">
        <f t="shared" si="5"/>
        <v>270575.29267493577</v>
      </c>
      <c r="N22" s="70">
        <f t="shared" si="5"/>
        <v>283262.98130212777</v>
      </c>
      <c r="O22" s="70">
        <f t="shared" si="5"/>
        <v>283549.91644980974</v>
      </c>
      <c r="P22" s="70">
        <f t="shared" si="5"/>
        <v>283851.19761492976</v>
      </c>
    </row>
    <row r="24" spans="1:16" x14ac:dyDescent="0.25">
      <c r="A24" t="s">
        <v>394</v>
      </c>
      <c r="B24" s="2">
        <v>69075.112500000003</v>
      </c>
      <c r="C24" s="2">
        <f>(800000-48000)*0.09</f>
        <v>67680</v>
      </c>
      <c r="D24" s="2">
        <f>(800000-48000-50000)*0.09</f>
        <v>63180</v>
      </c>
      <c r="E24" s="2">
        <f>(800000-48000-50000-62000)*0.09</f>
        <v>57600</v>
      </c>
      <c r="F24" s="2">
        <f>(800000-160000-64000)*0.09</f>
        <v>51840</v>
      </c>
      <c r="G24" s="2">
        <f>(800000-224000-64000)*0.09</f>
        <v>46080</v>
      </c>
      <c r="H24" s="2">
        <f>(800000-224000-64000-64000)*0.09</f>
        <v>40320</v>
      </c>
      <c r="I24" s="2">
        <f>(800000-224000-64000-64000-64000)*0.09</f>
        <v>34560</v>
      </c>
      <c r="J24" s="2">
        <f>(800000-224000-64000-64000-64000-64000)*0.09</f>
        <v>28800</v>
      </c>
      <c r="K24" s="2">
        <f>(800000-224000-64000-64000-64000-64000-64000)*0.09</f>
        <v>23040</v>
      </c>
      <c r="L24" s="2">
        <f>(800000-224000-64000-64000-64000-64000-64000-64000)*0.09</f>
        <v>17280</v>
      </c>
      <c r="M24" s="2">
        <f>(800000-224000-64000-64000-64000-64000-64000-64000-64000)*0.09</f>
        <v>11520</v>
      </c>
      <c r="N24" s="2">
        <f>(800000-224000-64000-64000-64000-64000-64000-64000-64000-64000)*0.09</f>
        <v>5760</v>
      </c>
      <c r="O24" s="2">
        <f>(800000-224000-64000-64000-64000-64000-64000-64000-64000-64000-64000)*0.09</f>
        <v>0</v>
      </c>
      <c r="P24" s="2">
        <v>0</v>
      </c>
    </row>
    <row r="25" spans="1:16" x14ac:dyDescent="0.25">
      <c r="A25" t="s">
        <v>395</v>
      </c>
      <c r="B25" s="2">
        <v>1800</v>
      </c>
      <c r="C25" s="2">
        <v>1890</v>
      </c>
      <c r="D25" s="2">
        <v>2268</v>
      </c>
      <c r="E25" s="2">
        <v>2381.4</v>
      </c>
      <c r="F25" s="2">
        <v>3095.82</v>
      </c>
      <c r="G25" s="2">
        <v>3250.6110000000003</v>
      </c>
      <c r="H25" s="2">
        <v>3413.1415500000003</v>
      </c>
      <c r="I25" s="2">
        <v>3583.7986275000003</v>
      </c>
      <c r="J25" s="2">
        <v>3762.9885588750003</v>
      </c>
      <c r="K25" s="2">
        <v>3951.1379868187505</v>
      </c>
      <c r="L25" s="2">
        <v>4148.6948861596884</v>
      </c>
      <c r="M25" s="2">
        <v>4356.1296304676735</v>
      </c>
      <c r="N25" s="2">
        <v>4573.9361119910573</v>
      </c>
      <c r="O25" s="2">
        <v>4802.6329175906103</v>
      </c>
      <c r="P25" s="2">
        <v>5042.7645634701412</v>
      </c>
    </row>
    <row r="26" spans="1:16" x14ac:dyDescent="0.25">
      <c r="A26" t="s">
        <v>396</v>
      </c>
    </row>
    <row r="27" spans="1:16" x14ac:dyDescent="0.25">
      <c r="A27" s="175" t="s">
        <v>397</v>
      </c>
      <c r="B27" s="175"/>
      <c r="C27" s="175">
        <v>0</v>
      </c>
      <c r="D27" s="175">
        <v>0</v>
      </c>
      <c r="E27" s="175">
        <v>0</v>
      </c>
      <c r="F27" s="175">
        <v>0</v>
      </c>
      <c r="G27" s="175">
        <v>0</v>
      </c>
      <c r="H27" s="175">
        <v>0</v>
      </c>
      <c r="I27" s="175">
        <v>0</v>
      </c>
      <c r="J27" s="175">
        <v>0</v>
      </c>
      <c r="K27" s="175">
        <v>0</v>
      </c>
      <c r="L27" s="175">
        <v>0</v>
      </c>
      <c r="M27" s="175">
        <v>0</v>
      </c>
      <c r="N27" s="175">
        <v>0</v>
      </c>
      <c r="O27" s="175">
        <v>0</v>
      </c>
      <c r="P27" s="175">
        <v>0</v>
      </c>
    </row>
    <row r="28" spans="1:16" x14ac:dyDescent="0.25">
      <c r="A28" s="1" t="s">
        <v>398</v>
      </c>
      <c r="B28" s="70">
        <f>+B24+B25+B26-B27</f>
        <v>70875.112500000003</v>
      </c>
      <c r="C28" s="70">
        <f t="shared" ref="C28:P28" si="6">+C24+C25+C26-C27</f>
        <v>69570</v>
      </c>
      <c r="D28" s="70">
        <f t="shared" si="6"/>
        <v>65448</v>
      </c>
      <c r="E28" s="70">
        <f t="shared" si="6"/>
        <v>59981.4</v>
      </c>
      <c r="F28" s="70">
        <f t="shared" si="6"/>
        <v>54935.82</v>
      </c>
      <c r="G28" s="70">
        <f t="shared" si="6"/>
        <v>49330.610999999997</v>
      </c>
      <c r="H28" s="70">
        <f t="shared" si="6"/>
        <v>43733.14155</v>
      </c>
      <c r="I28" s="70">
        <f t="shared" si="6"/>
        <v>38143.7986275</v>
      </c>
      <c r="J28" s="70">
        <f t="shared" si="6"/>
        <v>32562.988558875</v>
      </c>
      <c r="K28" s="70">
        <f t="shared" si="6"/>
        <v>26991.137986818751</v>
      </c>
      <c r="L28" s="70">
        <f t="shared" si="6"/>
        <v>21428.69488615969</v>
      </c>
      <c r="M28" s="70">
        <f t="shared" si="6"/>
        <v>15876.129630467673</v>
      </c>
      <c r="N28" s="70">
        <f t="shared" si="6"/>
        <v>10333.936111991057</v>
      </c>
      <c r="O28" s="70">
        <f t="shared" si="6"/>
        <v>4802.6329175906103</v>
      </c>
      <c r="P28" s="70">
        <f t="shared" si="6"/>
        <v>5042.7645634701412</v>
      </c>
    </row>
    <row r="30" spans="1:16" x14ac:dyDescent="0.25">
      <c r="A30" s="197" t="s">
        <v>399</v>
      </c>
      <c r="B30" s="89">
        <f>+B22-B28</f>
        <v>88499.662459999949</v>
      </c>
      <c r="C30" s="89">
        <f t="shared" ref="C30:P30" si="7">+C22-C28</f>
        <v>101280.62054285716</v>
      </c>
      <c r="D30" s="89">
        <f t="shared" si="7"/>
        <v>111118.2543568899</v>
      </c>
      <c r="E30" s="89">
        <f t="shared" si="7"/>
        <v>128035.85094181172</v>
      </c>
      <c r="F30" s="89">
        <f t="shared" si="7"/>
        <v>133717.78280033276</v>
      </c>
      <c r="G30" s="89">
        <f t="shared" si="7"/>
        <v>155012.72736445747</v>
      </c>
      <c r="H30" s="89">
        <f t="shared" si="7"/>
        <v>169426.80459098885</v>
      </c>
      <c r="I30" s="89">
        <f t="shared" si="7"/>
        <v>188236.55268779321</v>
      </c>
      <c r="J30" s="89">
        <f t="shared" si="7"/>
        <v>205665.96560483798</v>
      </c>
      <c r="K30" s="89">
        <f t="shared" si="7"/>
        <v>219993.5320309049</v>
      </c>
      <c r="L30" s="89">
        <f t="shared" si="7"/>
        <v>237063.0841057878</v>
      </c>
      <c r="M30" s="89">
        <f t="shared" si="7"/>
        <v>254699.16304446809</v>
      </c>
      <c r="N30" s="89">
        <f t="shared" si="7"/>
        <v>272929.04519013671</v>
      </c>
      <c r="O30" s="89">
        <f t="shared" si="7"/>
        <v>278747.28353221912</v>
      </c>
      <c r="P30" s="89">
        <f t="shared" si="7"/>
        <v>278808.43305145961</v>
      </c>
    </row>
    <row r="32" spans="1:16" x14ac:dyDescent="0.25">
      <c r="A32" s="1" t="s">
        <v>184</v>
      </c>
      <c r="B32" s="2">
        <f>B30*0.3</f>
        <v>26549.898737999985</v>
      </c>
      <c r="C32" s="2">
        <f>C30*0.3</f>
        <v>30384.186162857146</v>
      </c>
      <c r="D32" s="2">
        <f>D30*0.3</f>
        <v>33335.476307066965</v>
      </c>
      <c r="E32" s="2">
        <f t="shared" ref="E32:P32" si="8">E30*0.3</f>
        <v>38410.755282543512</v>
      </c>
      <c r="F32" s="2">
        <f t="shared" si="8"/>
        <v>40115.334840099829</v>
      </c>
      <c r="G32" s="2">
        <f t="shared" si="8"/>
        <v>46503.818209337238</v>
      </c>
      <c r="H32" s="2">
        <f t="shared" si="8"/>
        <v>50828.041377296649</v>
      </c>
      <c r="I32" s="2">
        <f t="shared" si="8"/>
        <v>56470.965806337961</v>
      </c>
      <c r="J32" s="2">
        <f t="shared" si="8"/>
        <v>61699.789681451395</v>
      </c>
      <c r="K32" s="2">
        <f t="shared" si="8"/>
        <v>65998.05960927147</v>
      </c>
      <c r="L32" s="2">
        <f t="shared" si="8"/>
        <v>71118.925231736343</v>
      </c>
      <c r="M32" s="2">
        <f t="shared" si="8"/>
        <v>76409.748913340431</v>
      </c>
      <c r="N32" s="2">
        <f t="shared" si="8"/>
        <v>81878.713557041003</v>
      </c>
      <c r="O32" s="2">
        <f t="shared" si="8"/>
        <v>83624.185059665731</v>
      </c>
      <c r="P32" s="2">
        <f t="shared" si="8"/>
        <v>83642.529915437874</v>
      </c>
    </row>
    <row r="35" spans="1:16" x14ac:dyDescent="0.25">
      <c r="A35" s="197" t="s">
        <v>400</v>
      </c>
      <c r="B35" s="89">
        <f>B30-B32</f>
        <v>61949.76372199996</v>
      </c>
      <c r="C35" s="89">
        <f>+C30-C32</f>
        <v>70896.434380000006</v>
      </c>
      <c r="D35" s="89">
        <f t="shared" ref="D35:P35" si="9">+D30-D32</f>
        <v>77782.778049822926</v>
      </c>
      <c r="E35" s="89">
        <f t="shared" si="9"/>
        <v>89625.095659268205</v>
      </c>
      <c r="F35" s="89">
        <f t="shared" si="9"/>
        <v>93602.447960232937</v>
      </c>
      <c r="G35" s="89">
        <f t="shared" si="9"/>
        <v>108508.90915512023</v>
      </c>
      <c r="H35" s="89">
        <f t="shared" si="9"/>
        <v>118598.7632136922</v>
      </c>
      <c r="I35" s="89">
        <f t="shared" si="9"/>
        <v>131765.58688145527</v>
      </c>
      <c r="J35" s="89">
        <f t="shared" si="9"/>
        <v>143966.17592338659</v>
      </c>
      <c r="K35" s="89">
        <f t="shared" si="9"/>
        <v>153995.47242163343</v>
      </c>
      <c r="L35" s="89">
        <f t="shared" si="9"/>
        <v>165944.15887405147</v>
      </c>
      <c r="M35" s="89">
        <f t="shared" si="9"/>
        <v>178289.41413112765</v>
      </c>
      <c r="N35" s="89">
        <f t="shared" si="9"/>
        <v>191050.33163309569</v>
      </c>
      <c r="O35" s="89">
        <f t="shared" si="9"/>
        <v>195123.09847255339</v>
      </c>
      <c r="P35" s="89">
        <f t="shared" si="9"/>
        <v>195165.90313602175</v>
      </c>
    </row>
    <row r="37" spans="1:16" x14ac:dyDescent="0.25">
      <c r="A37" t="s">
        <v>401</v>
      </c>
      <c r="B37">
        <f>B21</f>
        <v>52893</v>
      </c>
      <c r="C37">
        <f t="shared" ref="C37:P37" si="10">C21</f>
        <v>54229</v>
      </c>
      <c r="D37">
        <f t="shared" si="10"/>
        <v>55757</v>
      </c>
      <c r="E37">
        <f t="shared" si="10"/>
        <v>57501</v>
      </c>
      <c r="F37">
        <f t="shared" si="10"/>
        <v>59332</v>
      </c>
      <c r="G37">
        <f t="shared" si="10"/>
        <v>61255</v>
      </c>
      <c r="H37">
        <f t="shared" si="10"/>
        <v>63273</v>
      </c>
      <c r="I37">
        <f t="shared" si="10"/>
        <v>65393</v>
      </c>
      <c r="J37">
        <f t="shared" si="10"/>
        <v>67619</v>
      </c>
      <c r="K37">
        <f t="shared" si="10"/>
        <v>69955</v>
      </c>
      <c r="L37">
        <f t="shared" si="10"/>
        <v>69956</v>
      </c>
      <c r="M37">
        <f t="shared" si="10"/>
        <v>69956</v>
      </c>
      <c r="N37">
        <f t="shared" si="10"/>
        <v>69956</v>
      </c>
      <c r="O37">
        <f t="shared" si="10"/>
        <v>69956</v>
      </c>
      <c r="P37">
        <f t="shared" si="10"/>
        <v>69956</v>
      </c>
    </row>
    <row r="38" spans="1:16" x14ac:dyDescent="0.25">
      <c r="A38" t="s">
        <v>402</v>
      </c>
      <c r="B38" s="2">
        <f>B20</f>
        <v>4967.6320000000005</v>
      </c>
      <c r="C38" s="2">
        <f t="shared" ref="C38:P38" si="11">C20</f>
        <v>5360.1414285714282</v>
      </c>
      <c r="D38" s="2">
        <f t="shared" si="11"/>
        <v>11724.8619865</v>
      </c>
      <c r="E38" s="2">
        <f t="shared" si="11"/>
        <v>20291.972078696253</v>
      </c>
      <c r="F38" s="2">
        <f t="shared" si="11"/>
        <v>21437.778566597211</v>
      </c>
      <c r="G38" s="2">
        <f t="shared" si="11"/>
        <v>23600.499242868042</v>
      </c>
      <c r="H38" s="2">
        <f t="shared" si="11"/>
        <v>24934.694564730464</v>
      </c>
      <c r="I38" s="2">
        <f t="shared" si="11"/>
        <v>26843.791438377964</v>
      </c>
      <c r="J38" s="2">
        <f t="shared" si="11"/>
        <v>28662.757464759521</v>
      </c>
      <c r="K38" s="2">
        <f t="shared" si="11"/>
        <v>30095.648490497493</v>
      </c>
      <c r="L38" s="2">
        <f t="shared" si="11"/>
        <v>31552.799213772367</v>
      </c>
      <c r="M38" s="2">
        <f t="shared" si="11"/>
        <v>33082.806077085988</v>
      </c>
      <c r="N38" s="2">
        <f t="shared" si="11"/>
        <v>34689.311887440286</v>
      </c>
      <c r="O38" s="2">
        <f t="shared" si="11"/>
        <v>35230.698958538531</v>
      </c>
      <c r="P38" s="2">
        <f t="shared" si="11"/>
        <v>35799.153987066682</v>
      </c>
    </row>
    <row r="40" spans="1:16" x14ac:dyDescent="0.25">
      <c r="A40" s="197" t="s">
        <v>403</v>
      </c>
      <c r="B40" s="89">
        <f>B35+B37+B38</f>
        <v>119810.39572199996</v>
      </c>
      <c r="C40" s="89">
        <f t="shared" ref="C40:P40" si="12">C35+C37+C38</f>
        <v>130485.57580857143</v>
      </c>
      <c r="D40" s="89">
        <f t="shared" si="12"/>
        <v>145264.64003632293</v>
      </c>
      <c r="E40" s="89">
        <f t="shared" si="12"/>
        <v>167418.06773796445</v>
      </c>
      <c r="F40" s="89">
        <f t="shared" si="12"/>
        <v>174372.22652683014</v>
      </c>
      <c r="G40" s="89">
        <f t="shared" si="12"/>
        <v>193364.40839798827</v>
      </c>
      <c r="H40" s="89">
        <f t="shared" si="12"/>
        <v>206806.45777842266</v>
      </c>
      <c r="I40" s="89">
        <f t="shared" si="12"/>
        <v>224002.37831983322</v>
      </c>
      <c r="J40" s="89">
        <f t="shared" si="12"/>
        <v>240247.93338814611</v>
      </c>
      <c r="K40" s="89">
        <f t="shared" si="12"/>
        <v>254046.12091213092</v>
      </c>
      <c r="L40" s="89">
        <f t="shared" si="12"/>
        <v>267452.95808782382</v>
      </c>
      <c r="M40" s="89">
        <f t="shared" si="12"/>
        <v>281328.22020821366</v>
      </c>
      <c r="N40" s="89">
        <f t="shared" si="12"/>
        <v>295695.64352053596</v>
      </c>
      <c r="O40" s="89">
        <f t="shared" si="12"/>
        <v>300309.79743109195</v>
      </c>
      <c r="P40" s="89">
        <f t="shared" si="12"/>
        <v>300921.05712308845</v>
      </c>
    </row>
    <row r="41" spans="1:16" x14ac:dyDescent="0.25">
      <c r="A41" t="s">
        <v>404</v>
      </c>
      <c r="B41">
        <v>0</v>
      </c>
      <c r="C41">
        <v>48000</v>
      </c>
      <c r="D41">
        <v>50000</v>
      </c>
      <c r="E41">
        <v>62000</v>
      </c>
      <c r="F41">
        <v>64000</v>
      </c>
      <c r="G41">
        <v>64000</v>
      </c>
      <c r="H41">
        <v>64000</v>
      </c>
      <c r="I41">
        <v>64000</v>
      </c>
      <c r="J41">
        <v>64000</v>
      </c>
      <c r="K41">
        <v>64000</v>
      </c>
      <c r="L41">
        <v>64000</v>
      </c>
      <c r="M41">
        <v>64000</v>
      </c>
      <c r="N41">
        <v>64000</v>
      </c>
      <c r="O41">
        <v>64000</v>
      </c>
    </row>
    <row r="42" spans="1:16" x14ac:dyDescent="0.25">
      <c r="A42" t="s">
        <v>405</v>
      </c>
      <c r="B42" s="2">
        <f>B28</f>
        <v>70875.112500000003</v>
      </c>
      <c r="C42" s="2">
        <f t="shared" ref="C42:P42" si="13">C28</f>
        <v>69570</v>
      </c>
      <c r="D42" s="2">
        <f t="shared" si="13"/>
        <v>65448</v>
      </c>
      <c r="E42" s="2">
        <f t="shared" si="13"/>
        <v>59981.4</v>
      </c>
      <c r="F42" s="2">
        <f t="shared" si="13"/>
        <v>54935.82</v>
      </c>
      <c r="G42" s="2">
        <f t="shared" si="13"/>
        <v>49330.610999999997</v>
      </c>
      <c r="H42" s="2">
        <f t="shared" si="13"/>
        <v>43733.14155</v>
      </c>
      <c r="I42" s="2">
        <f t="shared" si="13"/>
        <v>38143.7986275</v>
      </c>
      <c r="J42" s="2">
        <f t="shared" si="13"/>
        <v>32562.988558875</v>
      </c>
      <c r="K42" s="2">
        <f t="shared" si="13"/>
        <v>26991.137986818751</v>
      </c>
      <c r="L42" s="2">
        <f t="shared" si="13"/>
        <v>21428.69488615969</v>
      </c>
      <c r="M42" s="2">
        <f t="shared" si="13"/>
        <v>15876.129630467673</v>
      </c>
      <c r="N42" s="2">
        <f t="shared" si="13"/>
        <v>10333.936111991057</v>
      </c>
      <c r="O42" s="2">
        <f t="shared" si="13"/>
        <v>4802.6329175906103</v>
      </c>
      <c r="P42" s="2">
        <f t="shared" si="13"/>
        <v>5042.7645634701412</v>
      </c>
    </row>
    <row r="43" spans="1:16" x14ac:dyDescent="0.25">
      <c r="A43" s="135" t="s">
        <v>406</v>
      </c>
      <c r="B43" s="89">
        <f>SUM(B41:B42)</f>
        <v>70875.112500000003</v>
      </c>
      <c r="C43" s="89">
        <f t="shared" ref="C43:P43" si="14">SUM(C41:C42)</f>
        <v>117570</v>
      </c>
      <c r="D43" s="89">
        <f t="shared" si="14"/>
        <v>115448</v>
      </c>
      <c r="E43" s="89">
        <f t="shared" si="14"/>
        <v>121981.4</v>
      </c>
      <c r="F43" s="89">
        <f t="shared" si="14"/>
        <v>118935.82</v>
      </c>
      <c r="G43" s="89">
        <f t="shared" si="14"/>
        <v>113330.611</v>
      </c>
      <c r="H43" s="89">
        <f t="shared" si="14"/>
        <v>107733.14155</v>
      </c>
      <c r="I43" s="89">
        <f t="shared" si="14"/>
        <v>102143.7986275</v>
      </c>
      <c r="J43" s="89">
        <f t="shared" si="14"/>
        <v>96562.988558875004</v>
      </c>
      <c r="K43" s="89">
        <f t="shared" si="14"/>
        <v>90991.137986818751</v>
      </c>
      <c r="L43" s="89">
        <f t="shared" si="14"/>
        <v>85428.69488615969</v>
      </c>
      <c r="M43" s="89">
        <f t="shared" si="14"/>
        <v>79876.12963046768</v>
      </c>
      <c r="N43" s="89">
        <f t="shared" si="14"/>
        <v>74333.936111991061</v>
      </c>
      <c r="O43" s="89">
        <f t="shared" si="14"/>
        <v>68802.632917590614</v>
      </c>
      <c r="P43" s="209">
        <f t="shared" si="14"/>
        <v>5042.7645634701412</v>
      </c>
    </row>
    <row r="44" spans="1:16" x14ac:dyDescent="0.25">
      <c r="A44" t="s">
        <v>95</v>
      </c>
      <c r="B44" s="210">
        <f>B40/B43</f>
        <v>1.6904438172426175</v>
      </c>
      <c r="C44" s="210">
        <f t="shared" ref="C44:O44" si="15">C40/C43</f>
        <v>1.1098543489714334</v>
      </c>
      <c r="D44" s="210">
        <f t="shared" si="15"/>
        <v>1.2582690045416371</v>
      </c>
      <c r="E44" s="210">
        <f t="shared" si="15"/>
        <v>1.3724884919993086</v>
      </c>
      <c r="F44" s="210">
        <f t="shared" si="15"/>
        <v>1.4661035382513874</v>
      </c>
      <c r="G44" s="210">
        <f t="shared" si="15"/>
        <v>1.7061975285564133</v>
      </c>
      <c r="H44" s="210">
        <f t="shared" si="15"/>
        <v>1.9196178149361938</v>
      </c>
      <c r="I44" s="210">
        <f t="shared" si="15"/>
        <v>2.1930100635549055</v>
      </c>
      <c r="J44" s="210">
        <f t="shared" si="15"/>
        <v>2.4879919001436619</v>
      </c>
      <c r="K44" s="210">
        <f t="shared" si="15"/>
        <v>2.791987511453399</v>
      </c>
      <c r="L44" s="210">
        <f t="shared" si="15"/>
        <v>3.1307157208034777</v>
      </c>
      <c r="M44" s="210">
        <f t="shared" si="15"/>
        <v>3.5220562326908835</v>
      </c>
      <c r="N44" s="210">
        <f t="shared" si="15"/>
        <v>3.9779360408823594</v>
      </c>
      <c r="O44" s="210">
        <f t="shared" si="15"/>
        <v>4.3648009486903288</v>
      </c>
      <c r="P44" s="210"/>
    </row>
    <row r="45" spans="1:16" x14ac:dyDescent="0.25">
      <c r="A45" s="211" t="s">
        <v>407</v>
      </c>
      <c r="B45" s="212">
        <v>2.36</v>
      </c>
    </row>
  </sheetData>
  <pageMargins left="0.70866141732283472" right="0.70866141732283472" top="0.74803149606299213" bottom="0.74803149606299213" header="0.31496062992125984" footer="0.31496062992125984"/>
  <pageSetup paperSize="9" scale="71" orientation="landscape" r:id="rId1"/>
  <colBreaks count="1" manualBreakCount="1">
    <brk id="16" max="1048575" man="1"/>
  </colBreaks>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codeName="Sheet25"/>
  <dimension ref="A1:P30"/>
  <sheetViews>
    <sheetView topLeftCell="A10" workbookViewId="0">
      <selection activeCell="H12" sqref="H12"/>
    </sheetView>
  </sheetViews>
  <sheetFormatPr defaultRowHeight="15" x14ac:dyDescent="0.25"/>
  <cols>
    <col min="1" max="1" width="45.140625" bestFit="1" customWidth="1"/>
    <col min="2" max="2" width="12.28515625" bestFit="1" customWidth="1"/>
    <col min="3" max="3" width="12.140625" bestFit="1" customWidth="1"/>
    <col min="4" max="4" width="11.28515625" bestFit="1" customWidth="1"/>
    <col min="5" max="8" width="9.5703125" bestFit="1" customWidth="1"/>
    <col min="9" max="9" width="9.5703125" customWidth="1"/>
    <col min="10" max="16" width="10.5703125" bestFit="1" customWidth="1"/>
  </cols>
  <sheetData>
    <row r="1" spans="1:16" x14ac:dyDescent="0.25">
      <c r="I1" s="1" t="s">
        <v>408</v>
      </c>
    </row>
    <row r="2" spans="1:16" x14ac:dyDescent="0.25">
      <c r="A2" s="248" t="s">
        <v>382</v>
      </c>
      <c r="B2" s="248" t="s">
        <v>166</v>
      </c>
      <c r="C2" s="248" t="s">
        <v>167</v>
      </c>
      <c r="D2" s="248" t="s">
        <v>168</v>
      </c>
      <c r="E2" s="248" t="s">
        <v>169</v>
      </c>
      <c r="F2" s="248" t="s">
        <v>170</v>
      </c>
      <c r="G2" s="248" t="s">
        <v>171</v>
      </c>
      <c r="H2" s="248" t="s">
        <v>172</v>
      </c>
      <c r="I2" s="248" t="s">
        <v>173</v>
      </c>
      <c r="J2" s="248" t="s">
        <v>174</v>
      </c>
      <c r="K2" s="248" t="s">
        <v>175</v>
      </c>
      <c r="L2" s="248" t="s">
        <v>188</v>
      </c>
      <c r="M2" s="248" t="s">
        <v>189</v>
      </c>
      <c r="N2" s="248" t="s">
        <v>198</v>
      </c>
      <c r="O2" s="248" t="s">
        <v>199</v>
      </c>
      <c r="P2" s="248" t="s">
        <v>200</v>
      </c>
    </row>
    <row r="3" spans="1:16" x14ac:dyDescent="0.25">
      <c r="A3" s="1" t="s">
        <v>409</v>
      </c>
    </row>
    <row r="4" spans="1:16" x14ac:dyDescent="0.25">
      <c r="A4" t="s">
        <v>410</v>
      </c>
      <c r="B4" s="198">
        <v>0.43730173040192988</v>
      </c>
      <c r="C4" s="198">
        <v>0.42991358538247526</v>
      </c>
      <c r="D4" s="198">
        <v>0.41629166573455073</v>
      </c>
      <c r="E4" s="198">
        <v>0.39297839853560368</v>
      </c>
      <c r="F4" s="198">
        <v>0.37703073645894342</v>
      </c>
      <c r="G4" s="198">
        <v>0.36761786430605281</v>
      </c>
      <c r="H4" s="198">
        <v>0.36258832839123289</v>
      </c>
      <c r="I4" s="198">
        <v>0.35607914420555897</v>
      </c>
      <c r="J4" s="198">
        <v>0.35011709397438362</v>
      </c>
      <c r="K4" s="198">
        <v>0.34593238815019578</v>
      </c>
      <c r="L4" s="198">
        <v>0.34228396894363444</v>
      </c>
      <c r="M4" s="198">
        <v>0.33879904069938915</v>
      </c>
      <c r="N4" s="198">
        <v>0.33547073039233327</v>
      </c>
      <c r="O4" s="198">
        <v>0.3310209222920914</v>
      </c>
      <c r="P4" s="198">
        <v>0.32649348507739984</v>
      </c>
    </row>
    <row r="5" spans="1:16" x14ac:dyDescent="0.25">
      <c r="A5" t="s">
        <v>411</v>
      </c>
      <c r="B5" s="198">
        <v>0.32082645203992555</v>
      </c>
      <c r="C5" s="198">
        <v>0.31874274740618519</v>
      </c>
      <c r="D5" s="198">
        <v>0.30118265709257508</v>
      </c>
      <c r="E5" s="198">
        <v>0.27796793265727532</v>
      </c>
      <c r="F5" s="198">
        <v>0.26400161128767197</v>
      </c>
      <c r="G5" s="198">
        <v>0.25975298606389746</v>
      </c>
      <c r="H5" s="198">
        <v>0.25646186952997435</v>
      </c>
      <c r="I5" s="198">
        <v>0.25299744095572396</v>
      </c>
      <c r="J5" s="198">
        <v>0.24934337297094911</v>
      </c>
      <c r="K5" s="198">
        <v>0.24619971564564302</v>
      </c>
      <c r="L5" s="198">
        <v>0.24577069429623155</v>
      </c>
      <c r="M5" s="198">
        <v>0.24536185840264313</v>
      </c>
      <c r="N5" s="198">
        <v>0.24497140406352666</v>
      </c>
      <c r="O5" s="198">
        <v>0.24145128382224881</v>
      </c>
      <c r="P5" s="198">
        <v>0.23786975333339827</v>
      </c>
    </row>
    <row r="6" spans="1:16" x14ac:dyDescent="0.25">
      <c r="A6" t="s">
        <v>412</v>
      </c>
      <c r="B6" s="198"/>
      <c r="C6" s="213">
        <v>0.18895139595197252</v>
      </c>
      <c r="D6" s="213">
        <v>0.18954296346486876</v>
      </c>
      <c r="E6" s="213">
        <v>0.18929040082244872</v>
      </c>
      <c r="F6" s="213">
        <v>0.18712449480472118</v>
      </c>
      <c r="G6" s="213">
        <v>0.19704590877835126</v>
      </c>
      <c r="H6" s="213">
        <v>0.20384465205838823</v>
      </c>
      <c r="I6" s="213">
        <v>0.21036881446486988</v>
      </c>
      <c r="J6" s="213">
        <v>0.21526117910082609</v>
      </c>
      <c r="K6" s="213">
        <v>0.21929435954872323</v>
      </c>
      <c r="L6" s="213">
        <v>0.22539656386712559</v>
      </c>
      <c r="M6" s="213">
        <v>0.23096513861399384</v>
      </c>
      <c r="N6" s="213">
        <v>0.23603441262461669</v>
      </c>
      <c r="O6" s="213">
        <v>0.23736169741644747</v>
      </c>
      <c r="P6" s="213">
        <v>0.23364387310844215</v>
      </c>
    </row>
    <row r="7" spans="1:16" x14ac:dyDescent="0.25">
      <c r="A7" t="s">
        <v>413</v>
      </c>
      <c r="B7" s="198"/>
      <c r="C7" s="213">
        <v>0.13226597716638075</v>
      </c>
      <c r="D7" s="213">
        <v>0.13268007442540813</v>
      </c>
      <c r="E7" s="213">
        <v>0.13250328057571412</v>
      </c>
      <c r="F7" s="213">
        <v>0.13098714636330483</v>
      </c>
      <c r="G7" s="213">
        <v>0.13793213614484587</v>
      </c>
      <c r="H7" s="213">
        <v>0.14269125644087177</v>
      </c>
      <c r="I7" s="213">
        <v>0.14725817012540893</v>
      </c>
      <c r="J7" s="213">
        <v>0.15068282537057828</v>
      </c>
      <c r="K7" s="213">
        <v>0.15350605168410625</v>
      </c>
      <c r="L7" s="213">
        <v>0.15777759470698793</v>
      </c>
      <c r="M7" s="213">
        <v>0.16167559702979567</v>
      </c>
      <c r="N7" s="213">
        <v>0.16522408883723166</v>
      </c>
      <c r="O7" s="213">
        <v>0.16615318819151323</v>
      </c>
      <c r="P7" s="213">
        <v>0.16355071117590952</v>
      </c>
    </row>
    <row r="8" spans="1:16" x14ac:dyDescent="0.25">
      <c r="A8" t="s">
        <v>414</v>
      </c>
      <c r="B8" s="198">
        <v>0.241182107937947</v>
      </c>
      <c r="C8" s="198">
        <v>0.24343681514267082</v>
      </c>
      <c r="D8" s="198">
        <v>0.24778908306738379</v>
      </c>
      <c r="E8" s="198">
        <v>0.24751374645404248</v>
      </c>
      <c r="F8" s="198">
        <v>0.24401627153457628</v>
      </c>
      <c r="G8" s="198">
        <v>0.24579701438700124</v>
      </c>
      <c r="H8" s="198">
        <v>0.24881771530213026</v>
      </c>
      <c r="I8" s="198">
        <v>0.25033987337524394</v>
      </c>
      <c r="J8" s="198">
        <v>0.25145654637401277</v>
      </c>
      <c r="K8" s="198">
        <v>0.253238724188659</v>
      </c>
      <c r="L8" s="198">
        <v>0.25429086935439082</v>
      </c>
      <c r="M8" s="198">
        <v>0.25511277932654169</v>
      </c>
      <c r="N8" s="198">
        <v>0.25572341516603825</v>
      </c>
      <c r="O8" s="198">
        <v>0.25572282666135582</v>
      </c>
      <c r="P8" s="198">
        <v>0.25217444291991109</v>
      </c>
    </row>
    <row r="10" spans="1:16" x14ac:dyDescent="0.25">
      <c r="A10" s="1" t="s">
        <v>415</v>
      </c>
    </row>
    <row r="11" spans="1:16" x14ac:dyDescent="0.25">
      <c r="A11" t="s">
        <v>416</v>
      </c>
      <c r="B11" s="2">
        <v>-1026.1125000000029</v>
      </c>
      <c r="C11" s="2">
        <v>25915.233749999999</v>
      </c>
      <c r="D11" s="2">
        <v>21959.122500000005</v>
      </c>
      <c r="E11" s="2">
        <v>42611.390500000001</v>
      </c>
      <c r="F11" s="2">
        <v>52124.544500000004</v>
      </c>
      <c r="G11" s="2">
        <v>66039.038799999995</v>
      </c>
      <c r="H11" s="2">
        <v>76926.215415000013</v>
      </c>
      <c r="I11" s="2">
        <v>91008.124460749998</v>
      </c>
      <c r="J11" s="2">
        <v>104183.8395087875</v>
      </c>
      <c r="K11" s="2">
        <v>115200.08290922688</v>
      </c>
      <c r="L11" s="2">
        <v>128020.64107968821</v>
      </c>
      <c r="M11" s="2">
        <v>141279.48475867262</v>
      </c>
      <c r="N11" s="2">
        <v>154916.59847160627</v>
      </c>
      <c r="O11" s="2">
        <v>156176.55695768655</v>
      </c>
      <c r="P11" s="2">
        <v>156175.0648055709</v>
      </c>
    </row>
    <row r="12" spans="1:16" x14ac:dyDescent="0.25">
      <c r="A12" t="s">
        <v>417</v>
      </c>
      <c r="B12">
        <v>1350000</v>
      </c>
      <c r="C12">
        <f>B12-48000</f>
        <v>1302000</v>
      </c>
      <c r="D12">
        <f>C12-50000</f>
        <v>1252000</v>
      </c>
      <c r="E12">
        <f>D12-62000</f>
        <v>1190000</v>
      </c>
      <c r="F12">
        <f>E12-64000</f>
        <v>1126000</v>
      </c>
      <c r="G12">
        <f t="shared" ref="G12:O12" si="0">F12-64000</f>
        <v>1062000</v>
      </c>
      <c r="H12">
        <f t="shared" si="0"/>
        <v>998000</v>
      </c>
      <c r="I12">
        <f t="shared" si="0"/>
        <v>934000</v>
      </c>
      <c r="J12">
        <f t="shared" si="0"/>
        <v>870000</v>
      </c>
      <c r="K12">
        <f t="shared" si="0"/>
        <v>806000</v>
      </c>
      <c r="L12">
        <f t="shared" si="0"/>
        <v>742000</v>
      </c>
      <c r="M12">
        <f t="shared" si="0"/>
        <v>678000</v>
      </c>
      <c r="N12">
        <f t="shared" si="0"/>
        <v>614000</v>
      </c>
      <c r="O12">
        <f t="shared" si="0"/>
        <v>550000</v>
      </c>
      <c r="P12">
        <f>O12-64000</f>
        <v>486000</v>
      </c>
    </row>
    <row r="13" spans="1:16" x14ac:dyDescent="0.25">
      <c r="A13" s="1" t="s">
        <v>418</v>
      </c>
      <c r="B13" s="214"/>
      <c r="C13" s="215">
        <f>C11/C12</f>
        <v>1.9904173387096775E-2</v>
      </c>
      <c r="D13" s="215">
        <f t="shared" ref="D13:P13" si="1">D11/D12</f>
        <v>1.7539235223642178E-2</v>
      </c>
      <c r="E13" s="215">
        <f t="shared" si="1"/>
        <v>3.580789117647059E-2</v>
      </c>
      <c r="F13" s="215">
        <f t="shared" si="1"/>
        <v>4.6291780195381889E-2</v>
      </c>
      <c r="G13" s="215">
        <f t="shared" si="1"/>
        <v>6.2183652354048963E-2</v>
      </c>
      <c r="H13" s="215">
        <f t="shared" si="1"/>
        <v>7.708037616733468E-2</v>
      </c>
      <c r="I13" s="215">
        <f t="shared" si="1"/>
        <v>9.7439105418361885E-2</v>
      </c>
      <c r="J13" s="215">
        <f t="shared" si="1"/>
        <v>0.11975153966527298</v>
      </c>
      <c r="K13" s="215">
        <f t="shared" si="1"/>
        <v>0.14292814256727901</v>
      </c>
      <c r="L13" s="215">
        <f t="shared" si="1"/>
        <v>0.1725345567111701</v>
      </c>
      <c r="M13" s="215">
        <f t="shared" si="1"/>
        <v>0.20837682117798323</v>
      </c>
      <c r="N13" s="215">
        <f t="shared" si="1"/>
        <v>0.25230716363453787</v>
      </c>
      <c r="O13" s="215">
        <f t="shared" si="1"/>
        <v>0.28395737628670281</v>
      </c>
      <c r="P13" s="215">
        <f t="shared" si="1"/>
        <v>0.32134786997031051</v>
      </c>
    </row>
    <row r="15" spans="1:16" x14ac:dyDescent="0.25">
      <c r="A15" s="1" t="s">
        <v>419</v>
      </c>
    </row>
    <row r="16" spans="1:16" x14ac:dyDescent="0.25">
      <c r="A16" t="s">
        <v>420</v>
      </c>
      <c r="C16" s="216">
        <f>C11</f>
        <v>25915.233749999999</v>
      </c>
      <c r="D16" s="216">
        <f t="shared" ref="D16:P16" si="2">D11</f>
        <v>21959.122500000005</v>
      </c>
      <c r="E16" s="216">
        <f t="shared" si="2"/>
        <v>42611.390500000001</v>
      </c>
      <c r="F16" s="216">
        <f t="shared" si="2"/>
        <v>52124.544500000004</v>
      </c>
      <c r="G16" s="216">
        <f t="shared" si="2"/>
        <v>66039.038799999995</v>
      </c>
      <c r="H16" s="216">
        <f t="shared" si="2"/>
        <v>76926.215415000013</v>
      </c>
      <c r="I16" s="216">
        <f t="shared" si="2"/>
        <v>91008.124460749998</v>
      </c>
      <c r="J16" s="216">
        <f t="shared" si="2"/>
        <v>104183.8395087875</v>
      </c>
      <c r="K16" s="216">
        <f t="shared" si="2"/>
        <v>115200.08290922688</v>
      </c>
      <c r="L16" s="216">
        <f t="shared" si="2"/>
        <v>128020.64107968821</v>
      </c>
      <c r="M16" s="216">
        <f t="shared" si="2"/>
        <v>141279.48475867262</v>
      </c>
      <c r="N16" s="216">
        <f t="shared" si="2"/>
        <v>154916.59847160627</v>
      </c>
      <c r="O16" s="216">
        <f t="shared" si="2"/>
        <v>156176.55695768655</v>
      </c>
      <c r="P16" s="216">
        <f t="shared" si="2"/>
        <v>156175.0648055709</v>
      </c>
    </row>
    <row r="17" spans="1:16" x14ac:dyDescent="0.25">
      <c r="A17" t="s">
        <v>25</v>
      </c>
      <c r="B17" s="2">
        <v>550000</v>
      </c>
      <c r="C17" s="2">
        <v>550000</v>
      </c>
      <c r="D17" s="2">
        <v>550000</v>
      </c>
      <c r="E17" s="2">
        <v>550000</v>
      </c>
      <c r="F17" s="2">
        <v>550000</v>
      </c>
      <c r="G17" s="2">
        <v>550000</v>
      </c>
      <c r="H17" s="2">
        <v>550000</v>
      </c>
      <c r="I17" s="2">
        <v>550000</v>
      </c>
      <c r="J17" s="2">
        <v>550000</v>
      </c>
      <c r="K17" s="2">
        <v>550000</v>
      </c>
      <c r="L17" s="2">
        <v>550000</v>
      </c>
      <c r="M17" s="2">
        <v>550000</v>
      </c>
      <c r="N17" s="2">
        <v>550000</v>
      </c>
      <c r="O17" s="2">
        <v>550000</v>
      </c>
      <c r="P17" s="2">
        <v>550000</v>
      </c>
    </row>
    <row r="18" spans="1:16" x14ac:dyDescent="0.25">
      <c r="A18" s="1" t="s">
        <v>421</v>
      </c>
      <c r="B18" s="214"/>
      <c r="C18" s="214">
        <f>C16/C17</f>
        <v>4.7118606818181814E-2</v>
      </c>
      <c r="D18" s="214">
        <f t="shared" ref="D18:P18" si="3">D16/D17</f>
        <v>3.9925677272727285E-2</v>
      </c>
      <c r="E18" s="214">
        <f t="shared" si="3"/>
        <v>7.7475255454545464E-2</v>
      </c>
      <c r="F18" s="214">
        <f t="shared" si="3"/>
        <v>9.4771899090909092E-2</v>
      </c>
      <c r="G18" s="214">
        <f t="shared" si="3"/>
        <v>0.12007097963636362</v>
      </c>
      <c r="H18" s="214">
        <f t="shared" si="3"/>
        <v>0.13986584620909093</v>
      </c>
      <c r="I18" s="214">
        <f t="shared" si="3"/>
        <v>0.16546931720136362</v>
      </c>
      <c r="J18" s="214">
        <f t="shared" si="3"/>
        <v>0.18942516274325</v>
      </c>
      <c r="K18" s="214">
        <f t="shared" si="3"/>
        <v>0.20945469619859433</v>
      </c>
      <c r="L18" s="214">
        <f t="shared" si="3"/>
        <v>0.23276480196306948</v>
      </c>
      <c r="M18" s="214">
        <f t="shared" si="3"/>
        <v>0.25687179047031389</v>
      </c>
      <c r="N18" s="214">
        <f t="shared" si="3"/>
        <v>0.28166654267564778</v>
      </c>
      <c r="O18" s="214">
        <f t="shared" si="3"/>
        <v>0.28395737628670281</v>
      </c>
      <c r="P18" s="214">
        <f t="shared" si="3"/>
        <v>0.28395466328285618</v>
      </c>
    </row>
    <row r="20" spans="1:16" x14ac:dyDescent="0.25">
      <c r="A20" s="1" t="s">
        <v>422</v>
      </c>
    </row>
    <row r="21" spans="1:16" x14ac:dyDescent="0.25">
      <c r="A21" t="s">
        <v>423</v>
      </c>
      <c r="B21">
        <v>800000</v>
      </c>
      <c r="C21">
        <f>B21-48000</f>
        <v>752000</v>
      </c>
      <c r="D21">
        <f>C21-50000</f>
        <v>702000</v>
      </c>
      <c r="E21">
        <f>D21-62000</f>
        <v>640000</v>
      </c>
      <c r="F21">
        <f>E21-64000</f>
        <v>576000</v>
      </c>
      <c r="G21">
        <f t="shared" ref="G21:N21" si="4">F21-64000</f>
        <v>512000</v>
      </c>
      <c r="H21">
        <f t="shared" si="4"/>
        <v>448000</v>
      </c>
      <c r="I21">
        <f t="shared" si="4"/>
        <v>384000</v>
      </c>
      <c r="J21">
        <f t="shared" si="4"/>
        <v>320000</v>
      </c>
      <c r="K21">
        <f t="shared" si="4"/>
        <v>256000</v>
      </c>
      <c r="L21">
        <f t="shared" si="4"/>
        <v>192000</v>
      </c>
      <c r="M21">
        <f t="shared" si="4"/>
        <v>128000</v>
      </c>
      <c r="N21">
        <f t="shared" si="4"/>
        <v>64000</v>
      </c>
      <c r="O21">
        <f>N21-64000</f>
        <v>0</v>
      </c>
    </row>
    <row r="22" spans="1:16" x14ac:dyDescent="0.25">
      <c r="A22" t="s">
        <v>424</v>
      </c>
      <c r="B22">
        <f>B21</f>
        <v>800000</v>
      </c>
      <c r="C22">
        <f t="shared" ref="C22:O23" si="5">C21</f>
        <v>752000</v>
      </c>
      <c r="D22">
        <f t="shared" si="5"/>
        <v>702000</v>
      </c>
      <c r="E22">
        <f t="shared" si="5"/>
        <v>640000</v>
      </c>
      <c r="F22">
        <f t="shared" si="5"/>
        <v>576000</v>
      </c>
      <c r="G22">
        <f t="shared" si="5"/>
        <v>512000</v>
      </c>
      <c r="H22">
        <f t="shared" si="5"/>
        <v>448000</v>
      </c>
      <c r="I22">
        <f t="shared" si="5"/>
        <v>384000</v>
      </c>
      <c r="J22">
        <f t="shared" si="5"/>
        <v>320000</v>
      </c>
      <c r="K22">
        <f t="shared" si="5"/>
        <v>256000</v>
      </c>
      <c r="L22">
        <f t="shared" si="5"/>
        <v>192000</v>
      </c>
      <c r="M22">
        <f t="shared" si="5"/>
        <v>128000</v>
      </c>
      <c r="N22">
        <f t="shared" si="5"/>
        <v>64000</v>
      </c>
      <c r="O22">
        <f t="shared" si="5"/>
        <v>0</v>
      </c>
    </row>
    <row r="23" spans="1:16" x14ac:dyDescent="0.25">
      <c r="A23" t="s">
        <v>425</v>
      </c>
      <c r="B23">
        <f>B22</f>
        <v>800000</v>
      </c>
      <c r="C23">
        <f t="shared" si="5"/>
        <v>752000</v>
      </c>
      <c r="D23">
        <f t="shared" si="5"/>
        <v>702000</v>
      </c>
      <c r="E23">
        <f t="shared" si="5"/>
        <v>640000</v>
      </c>
      <c r="F23">
        <f t="shared" si="5"/>
        <v>576000</v>
      </c>
      <c r="G23">
        <f t="shared" si="5"/>
        <v>512000</v>
      </c>
      <c r="H23">
        <f t="shared" si="5"/>
        <v>448000</v>
      </c>
      <c r="I23">
        <f t="shared" si="5"/>
        <v>384000</v>
      </c>
      <c r="J23">
        <f t="shared" si="5"/>
        <v>320000</v>
      </c>
      <c r="K23">
        <f t="shared" si="5"/>
        <v>256000</v>
      </c>
      <c r="L23">
        <f t="shared" si="5"/>
        <v>192000</v>
      </c>
      <c r="M23">
        <f t="shared" si="5"/>
        <v>128000</v>
      </c>
      <c r="N23">
        <f t="shared" si="5"/>
        <v>64000</v>
      </c>
      <c r="O23">
        <f>O22</f>
        <v>0</v>
      </c>
    </row>
    <row r="24" spans="1:16" x14ac:dyDescent="0.25">
      <c r="A24" t="s">
        <v>426</v>
      </c>
      <c r="B24" s="198">
        <f>B17/B12</f>
        <v>0.40740740740740738</v>
      </c>
      <c r="C24" s="198">
        <f t="shared" ref="C24:N24" si="6">C17/C12</f>
        <v>0.42242703533026116</v>
      </c>
      <c r="D24" s="198">
        <f t="shared" si="6"/>
        <v>0.43929712460063897</v>
      </c>
      <c r="E24" s="198">
        <f t="shared" si="6"/>
        <v>0.46218487394957986</v>
      </c>
      <c r="F24" s="198">
        <f t="shared" si="6"/>
        <v>0.48845470692717585</v>
      </c>
      <c r="G24" s="198">
        <f t="shared" si="6"/>
        <v>0.51789077212806023</v>
      </c>
      <c r="H24" s="198">
        <f t="shared" si="6"/>
        <v>0.55110220440881763</v>
      </c>
      <c r="I24" s="198">
        <f t="shared" si="6"/>
        <v>0.58886509635974305</v>
      </c>
      <c r="J24" s="198">
        <f t="shared" si="6"/>
        <v>0.63218390804597702</v>
      </c>
      <c r="K24" s="198">
        <f t="shared" si="6"/>
        <v>0.68238213399503722</v>
      </c>
      <c r="L24" s="198">
        <f t="shared" si="6"/>
        <v>0.74123989218328845</v>
      </c>
      <c r="M24" s="198">
        <f t="shared" si="6"/>
        <v>0.8112094395280236</v>
      </c>
      <c r="N24" s="198">
        <f t="shared" si="6"/>
        <v>0.89576547231270354</v>
      </c>
    </row>
    <row r="25" spans="1:16" x14ac:dyDescent="0.25">
      <c r="A25" t="s">
        <v>427</v>
      </c>
      <c r="B25" s="198">
        <f>B23/B12</f>
        <v>0.59259259259259256</v>
      </c>
      <c r="C25" s="198">
        <f t="shared" ref="C25:N25" si="7">C23/C12</f>
        <v>0.57757296466973884</v>
      </c>
      <c r="D25" s="198">
        <f t="shared" si="7"/>
        <v>0.56070287539936103</v>
      </c>
      <c r="E25" s="198">
        <f t="shared" si="7"/>
        <v>0.53781512605042014</v>
      </c>
      <c r="F25" s="198">
        <f t="shared" si="7"/>
        <v>0.51154529307282415</v>
      </c>
      <c r="G25" s="198">
        <f t="shared" si="7"/>
        <v>0.48210922787193972</v>
      </c>
      <c r="H25" s="198">
        <f t="shared" si="7"/>
        <v>0.44889779559118237</v>
      </c>
      <c r="I25" s="198">
        <f t="shared" si="7"/>
        <v>0.41113490364025695</v>
      </c>
      <c r="J25" s="198">
        <f t="shared" si="7"/>
        <v>0.36781609195402298</v>
      </c>
      <c r="K25" s="198">
        <f t="shared" si="7"/>
        <v>0.31761786600496278</v>
      </c>
      <c r="L25" s="198">
        <f t="shared" si="7"/>
        <v>0.2587601078167116</v>
      </c>
      <c r="M25" s="198">
        <f t="shared" si="7"/>
        <v>0.1887905604719764</v>
      </c>
      <c r="N25" s="198">
        <f t="shared" si="7"/>
        <v>0.10423452768729642</v>
      </c>
    </row>
    <row r="26" spans="1:16" x14ac:dyDescent="0.25">
      <c r="A26" t="s">
        <v>428</v>
      </c>
      <c r="B26" s="198"/>
      <c r="C26" s="198"/>
      <c r="D26" s="198"/>
      <c r="E26" s="198"/>
      <c r="F26" s="198"/>
      <c r="G26" s="198"/>
      <c r="H26" s="198"/>
      <c r="I26" s="198"/>
      <c r="J26" s="198"/>
      <c r="K26" s="198"/>
    </row>
    <row r="27" spans="1:16" x14ac:dyDescent="0.25">
      <c r="A27" t="s">
        <v>429</v>
      </c>
      <c r="B27" s="198">
        <v>0.02</v>
      </c>
      <c r="C27" s="198">
        <v>0.02</v>
      </c>
      <c r="D27" s="198">
        <v>2.1999999999999999E-2</v>
      </c>
      <c r="E27" s="198">
        <v>2.3E-2</v>
      </c>
      <c r="F27" s="198">
        <v>2.4E-2</v>
      </c>
      <c r="G27" s="198">
        <v>2.5999999999999999E-2</v>
      </c>
      <c r="H27" s="198">
        <v>2.7E-2</v>
      </c>
      <c r="I27" s="198">
        <v>2.8000000000000001E-2</v>
      </c>
      <c r="J27" s="198">
        <v>0.03</v>
      </c>
      <c r="K27" s="198">
        <v>0.03</v>
      </c>
      <c r="L27" s="198">
        <v>0.03</v>
      </c>
      <c r="M27" s="198">
        <v>0.03</v>
      </c>
      <c r="N27" s="198">
        <v>0.03</v>
      </c>
      <c r="O27" s="198">
        <v>0.03</v>
      </c>
      <c r="P27" s="198">
        <v>0.03</v>
      </c>
    </row>
    <row r="28" spans="1:16" x14ac:dyDescent="0.25">
      <c r="A28" t="s">
        <v>430</v>
      </c>
      <c r="B28" s="217">
        <f>B23/B17</f>
        <v>1.4545454545454546</v>
      </c>
      <c r="C28" s="217">
        <f t="shared" ref="C28:P28" si="8">C23/C17</f>
        <v>1.3672727272727272</v>
      </c>
      <c r="D28" s="217">
        <f t="shared" si="8"/>
        <v>1.2763636363636364</v>
      </c>
      <c r="E28" s="217">
        <f t="shared" si="8"/>
        <v>1.1636363636363636</v>
      </c>
      <c r="F28" s="217">
        <f t="shared" si="8"/>
        <v>1.0472727272727274</v>
      </c>
      <c r="G28" s="217">
        <f t="shared" si="8"/>
        <v>0.93090909090909091</v>
      </c>
      <c r="H28" s="217">
        <f t="shared" si="8"/>
        <v>0.81454545454545457</v>
      </c>
      <c r="I28" s="217">
        <f t="shared" si="8"/>
        <v>0.69818181818181824</v>
      </c>
      <c r="J28" s="217">
        <f t="shared" si="8"/>
        <v>0.58181818181818179</v>
      </c>
      <c r="K28" s="217">
        <f t="shared" si="8"/>
        <v>0.46545454545454545</v>
      </c>
      <c r="L28" s="217">
        <f t="shared" si="8"/>
        <v>0.34909090909090912</v>
      </c>
      <c r="M28" s="217">
        <f t="shared" si="8"/>
        <v>0.23272727272727273</v>
      </c>
      <c r="N28" s="217">
        <f t="shared" si="8"/>
        <v>0.11636363636363636</v>
      </c>
      <c r="O28" s="217">
        <f t="shared" si="8"/>
        <v>0</v>
      </c>
      <c r="P28" s="217">
        <f t="shared" si="8"/>
        <v>0</v>
      </c>
    </row>
    <row r="29" spans="1:16" x14ac:dyDescent="0.25">
      <c r="A29" t="s">
        <v>431</v>
      </c>
      <c r="B29" s="217">
        <v>3.6826409248622429</v>
      </c>
      <c r="C29" s="217">
        <v>3.2633257106611566</v>
      </c>
      <c r="D29" s="217">
        <v>2.876481943471529</v>
      </c>
      <c r="E29" s="217">
        <v>2.4077328280583941</v>
      </c>
      <c r="F29" s="217">
        <v>2.1378990831368889</v>
      </c>
      <c r="G29" s="217">
        <v>1.7704082223704998</v>
      </c>
      <c r="H29" s="217">
        <v>1.4865564164450717</v>
      </c>
      <c r="I29" s="217">
        <v>1.205208221633189</v>
      </c>
      <c r="J29" s="217">
        <v>0.95662108529251244</v>
      </c>
      <c r="K29" s="217">
        <v>0.73767707880699607</v>
      </c>
      <c r="L29" s="217">
        <v>0.5333324767336427</v>
      </c>
      <c r="M29" s="217">
        <v>0.34259949083173441</v>
      </c>
      <c r="N29" s="217">
        <v>0.1649874496720895</v>
      </c>
      <c r="O29" s="217">
        <v>0</v>
      </c>
      <c r="P29" s="217">
        <v>0</v>
      </c>
    </row>
    <row r="30" spans="1:16" x14ac:dyDescent="0.25">
      <c r="A30" t="s">
        <v>432</v>
      </c>
      <c r="B30" s="217">
        <f>B29</f>
        <v>3.6826409248622429</v>
      </c>
      <c r="C30" s="217">
        <f t="shared" ref="C30:P30" si="9">C29</f>
        <v>3.2633257106611566</v>
      </c>
      <c r="D30" s="217">
        <f t="shared" si="9"/>
        <v>2.876481943471529</v>
      </c>
      <c r="E30" s="217">
        <f t="shared" si="9"/>
        <v>2.4077328280583941</v>
      </c>
      <c r="F30" s="217">
        <f t="shared" si="9"/>
        <v>2.1378990831368889</v>
      </c>
      <c r="G30" s="217">
        <f t="shared" si="9"/>
        <v>1.7704082223704998</v>
      </c>
      <c r="H30" s="217">
        <f t="shared" si="9"/>
        <v>1.4865564164450717</v>
      </c>
      <c r="I30" s="217">
        <f t="shared" si="9"/>
        <v>1.205208221633189</v>
      </c>
      <c r="J30" s="217">
        <f t="shared" si="9"/>
        <v>0.95662108529251244</v>
      </c>
      <c r="K30" s="217">
        <f t="shared" si="9"/>
        <v>0.73767707880699607</v>
      </c>
      <c r="L30" s="217">
        <f t="shared" si="9"/>
        <v>0.5333324767336427</v>
      </c>
      <c r="M30" s="217">
        <f t="shared" si="9"/>
        <v>0.34259949083173441</v>
      </c>
      <c r="N30" s="217">
        <f t="shared" si="9"/>
        <v>0.1649874496720895</v>
      </c>
      <c r="O30" s="217">
        <f t="shared" si="9"/>
        <v>0</v>
      </c>
      <c r="P30" s="217">
        <f t="shared" si="9"/>
        <v>0</v>
      </c>
    </row>
  </sheetData>
  <pageMargins left="0.7" right="0.7" top="0.75" bottom="0.75" header="0.3" footer="0.3"/>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codeName="Sheet26"/>
  <dimension ref="B1:V15"/>
  <sheetViews>
    <sheetView topLeftCell="C1" workbookViewId="0">
      <selection activeCell="D23" sqref="D23"/>
    </sheetView>
  </sheetViews>
  <sheetFormatPr defaultRowHeight="15" x14ac:dyDescent="0.25"/>
  <cols>
    <col min="18" max="18" width="9.5703125" bestFit="1" customWidth="1"/>
    <col min="19" max="19" width="10.7109375" bestFit="1" customWidth="1"/>
    <col min="20" max="21" width="9.5703125" bestFit="1" customWidth="1"/>
  </cols>
  <sheetData>
    <row r="1" spans="2:22" x14ac:dyDescent="0.25">
      <c r="Q1" s="3"/>
      <c r="R1" s="23" t="s">
        <v>74</v>
      </c>
      <c r="S1" s="3"/>
      <c r="T1" s="3"/>
      <c r="U1" s="3"/>
      <c r="V1" s="3"/>
    </row>
    <row r="2" spans="2:22" x14ac:dyDescent="0.25">
      <c r="Q2" s="3"/>
      <c r="R2" s="4">
        <v>2021</v>
      </c>
      <c r="S2" s="4">
        <v>2022</v>
      </c>
      <c r="T2" s="4">
        <v>2023</v>
      </c>
      <c r="U2" s="4">
        <v>2024</v>
      </c>
      <c r="V2" s="3"/>
    </row>
    <row r="3" spans="2:22" x14ac:dyDescent="0.25">
      <c r="B3">
        <v>410653</v>
      </c>
      <c r="C3" t="s">
        <v>14</v>
      </c>
      <c r="D3" t="s">
        <v>56</v>
      </c>
      <c r="E3" t="s">
        <v>16</v>
      </c>
      <c r="F3" t="s">
        <v>17</v>
      </c>
      <c r="G3" t="s">
        <v>18</v>
      </c>
      <c r="H3" t="s">
        <v>19</v>
      </c>
      <c r="I3" t="s">
        <v>20</v>
      </c>
      <c r="J3" t="s">
        <v>21</v>
      </c>
      <c r="K3" t="s">
        <v>22</v>
      </c>
      <c r="L3" t="s">
        <v>23</v>
      </c>
      <c r="M3" t="s">
        <v>57</v>
      </c>
      <c r="N3" t="s">
        <v>58</v>
      </c>
      <c r="O3" t="s">
        <v>59</v>
      </c>
      <c r="P3" t="s">
        <v>60</v>
      </c>
      <c r="Q3" s="7" t="s">
        <v>26</v>
      </c>
      <c r="R3" s="4">
        <v>11691</v>
      </c>
      <c r="S3" s="4">
        <v>156420</v>
      </c>
      <c r="T3" s="4">
        <v>379838</v>
      </c>
      <c r="U3" s="4">
        <v>410652</v>
      </c>
      <c r="V3" s="3"/>
    </row>
    <row r="4" spans="2:22" x14ac:dyDescent="0.25">
      <c r="B4" t="s">
        <v>61</v>
      </c>
      <c r="C4" s="2"/>
      <c r="Q4" s="7" t="s">
        <v>27</v>
      </c>
      <c r="R4" s="4">
        <v>35302</v>
      </c>
      <c r="S4" s="4">
        <v>242189</v>
      </c>
      <c r="T4" s="4">
        <v>387318</v>
      </c>
      <c r="U4" s="4">
        <v>410652</v>
      </c>
      <c r="V4" s="3"/>
    </row>
    <row r="5" spans="2:22" x14ac:dyDescent="0.25">
      <c r="B5" t="s">
        <v>62</v>
      </c>
      <c r="Q5" s="7" t="s">
        <v>28</v>
      </c>
      <c r="R5" s="4">
        <v>71069</v>
      </c>
      <c r="S5" s="4">
        <v>300635</v>
      </c>
      <c r="T5" s="4">
        <v>394945</v>
      </c>
      <c r="U5" s="4">
        <v>410652</v>
      </c>
      <c r="V5" s="3"/>
    </row>
    <row r="6" spans="2:22" x14ac:dyDescent="0.25">
      <c r="B6" t="s">
        <v>63</v>
      </c>
      <c r="Q6" s="7" t="s">
        <v>29</v>
      </c>
      <c r="R6" s="4">
        <v>107540</v>
      </c>
      <c r="S6" s="4">
        <v>336850</v>
      </c>
      <c r="T6" s="4">
        <v>402722</v>
      </c>
      <c r="U6" s="4">
        <v>410652</v>
      </c>
      <c r="V6" s="3"/>
    </row>
    <row r="7" spans="2:22" x14ac:dyDescent="0.25">
      <c r="B7" t="s">
        <v>64</v>
      </c>
      <c r="Q7" s="3"/>
      <c r="R7" s="4"/>
      <c r="S7" s="4"/>
      <c r="T7" s="4"/>
      <c r="U7" s="4"/>
      <c r="V7" s="3"/>
    </row>
    <row r="8" spans="2:22" x14ac:dyDescent="0.25">
      <c r="B8" t="s">
        <v>65</v>
      </c>
      <c r="Q8" s="27"/>
      <c r="R8" s="7" t="s">
        <v>73</v>
      </c>
      <c r="S8" s="4"/>
      <c r="T8" s="4"/>
      <c r="U8" s="4"/>
      <c r="V8" s="3"/>
    </row>
    <row r="9" spans="2:22" x14ac:dyDescent="0.25">
      <c r="B9" t="s">
        <v>66</v>
      </c>
      <c r="Q9" s="3"/>
      <c r="R9" s="4">
        <v>2021</v>
      </c>
      <c r="S9" s="4">
        <v>2022</v>
      </c>
      <c r="T9" s="4">
        <v>2023</v>
      </c>
      <c r="U9" s="4">
        <v>2024</v>
      </c>
      <c r="V9" s="3"/>
    </row>
    <row r="10" spans="2:22" x14ac:dyDescent="0.25">
      <c r="B10" t="s">
        <v>67</v>
      </c>
      <c r="Q10" s="7" t="s">
        <v>26</v>
      </c>
      <c r="R10" s="4">
        <v>0</v>
      </c>
      <c r="S10" s="24">
        <f>R6*0.13/4</f>
        <v>3495.05</v>
      </c>
      <c r="T10" s="25">
        <f>S6*0.13/4</f>
        <v>10947.625</v>
      </c>
      <c r="U10" s="25">
        <f>T6*0.13/4</f>
        <v>13088.465</v>
      </c>
      <c r="V10" s="3"/>
    </row>
    <row r="11" spans="2:22" x14ac:dyDescent="0.25">
      <c r="B11" t="s">
        <v>68</v>
      </c>
      <c r="Q11" s="7" t="s">
        <v>27</v>
      </c>
      <c r="R11" s="24">
        <f>R3*0.13/4</f>
        <v>379.95750000000004</v>
      </c>
      <c r="S11" s="24">
        <f>S3*0.13/4</f>
        <v>5083.6500000000005</v>
      </c>
      <c r="T11" s="25">
        <f>T3*0.13/4</f>
        <v>12344.735000000001</v>
      </c>
      <c r="U11" s="25">
        <f>U3*0.13/4</f>
        <v>13346.19</v>
      </c>
      <c r="V11" s="3"/>
    </row>
    <row r="12" spans="2:22" x14ac:dyDescent="0.25">
      <c r="B12" t="s">
        <v>69</v>
      </c>
      <c r="Q12" s="7" t="s">
        <v>28</v>
      </c>
      <c r="R12" s="24">
        <f t="shared" ref="R12:T13" si="0">R4*0.13/4</f>
        <v>1147.3150000000001</v>
      </c>
      <c r="S12" s="24">
        <f t="shared" si="0"/>
        <v>7871.1424999999999</v>
      </c>
      <c r="T12" s="25">
        <f t="shared" si="0"/>
        <v>12587.835000000001</v>
      </c>
      <c r="U12" s="25">
        <f>U5*0.13/4</f>
        <v>13346.19</v>
      </c>
      <c r="V12" s="3"/>
    </row>
    <row r="13" spans="2:22" x14ac:dyDescent="0.25">
      <c r="B13" t="s">
        <v>70</v>
      </c>
      <c r="Q13" s="7" t="s">
        <v>29</v>
      </c>
      <c r="R13" s="24">
        <f t="shared" si="0"/>
        <v>2309.7425000000003</v>
      </c>
      <c r="S13" s="24">
        <f t="shared" si="0"/>
        <v>9770.6375000000007</v>
      </c>
      <c r="T13" s="25">
        <f t="shared" si="0"/>
        <v>12835.7125</v>
      </c>
      <c r="U13" s="25">
        <f>U6*0.13/4</f>
        <v>13346.19</v>
      </c>
      <c r="V13" s="3"/>
    </row>
    <row r="14" spans="2:22" x14ac:dyDescent="0.25">
      <c r="B14" t="s">
        <v>71</v>
      </c>
      <c r="Q14" s="3"/>
      <c r="R14" s="24">
        <f>SUM(R10:R13)</f>
        <v>3837.0150000000003</v>
      </c>
      <c r="S14" s="24">
        <f>SUM(S10:S13)</f>
        <v>26220.48</v>
      </c>
      <c r="T14" s="24">
        <f>SUM(T10:T13)</f>
        <v>48715.907500000001</v>
      </c>
      <c r="U14" s="24">
        <f>SUM(U10:U13)</f>
        <v>53127.035000000003</v>
      </c>
      <c r="V14" s="26">
        <f>SUM(R14:U14)</f>
        <v>131900.4375</v>
      </c>
    </row>
    <row r="15" spans="2:22" x14ac:dyDescent="0.25">
      <c r="B15" t="s">
        <v>72</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27</vt:i4>
      </vt:variant>
      <vt:variant>
        <vt:lpstr>Named Ranges</vt:lpstr>
      </vt:variant>
      <vt:variant>
        <vt:i4>13</vt:i4>
      </vt:variant>
    </vt:vector>
  </HeadingPairs>
  <TitlesOfParts>
    <vt:vector size="40" baseType="lpstr">
      <vt:lpstr>Cost</vt:lpstr>
      <vt:lpstr>Total Project Cost- Hotel</vt:lpstr>
      <vt:lpstr>Cost Break Up</vt:lpstr>
      <vt:lpstr>Financials</vt:lpstr>
      <vt:lpstr>Facilities Restro&amp;Bars</vt:lpstr>
      <vt:lpstr>P&amp;L Assumptions</vt:lpstr>
      <vt:lpstr>Operating Statement</vt:lpstr>
      <vt:lpstr>P&amp;L &amp; Ratio Analysis</vt:lpstr>
      <vt:lpstr>BS</vt:lpstr>
      <vt:lpstr>Sheet1</vt:lpstr>
      <vt:lpstr>CF</vt:lpstr>
      <vt:lpstr>Sheet5</vt:lpstr>
      <vt:lpstr>Loan Repay Sch</vt:lpstr>
      <vt:lpstr>Depr</vt:lpstr>
      <vt:lpstr>DSCR</vt:lpstr>
      <vt:lpstr>Payback Period</vt:lpstr>
      <vt:lpstr>NPV &amp; IRR</vt:lpstr>
      <vt:lpstr>Sheet4</vt:lpstr>
      <vt:lpstr>Breakeven &amp; Sensitivity</vt:lpstr>
      <vt:lpstr>Tax Calculations</vt:lpstr>
      <vt:lpstr>Labour Wages</vt:lpstr>
      <vt:lpstr>Power Consumption</vt:lpstr>
      <vt:lpstr>Loan Repay Sch Interest1% incre</vt:lpstr>
      <vt:lpstr>Decrease in room rent 5%</vt:lpstr>
      <vt:lpstr>Consolidated Income Stte</vt:lpstr>
      <vt:lpstr>Ratio Analysis</vt:lpstr>
      <vt:lpstr>Sheet3</vt:lpstr>
      <vt:lpstr>BS!Print_Area</vt:lpstr>
      <vt:lpstr>CF!Print_Area</vt:lpstr>
      <vt:lpstr>'Consolidated Income Stte'!Print_Area</vt:lpstr>
      <vt:lpstr>Cost!Print_Area</vt:lpstr>
      <vt:lpstr>'Cost Break Up'!Print_Area</vt:lpstr>
      <vt:lpstr>'Facilities Restro&amp;Bars'!Print_Area</vt:lpstr>
      <vt:lpstr>Financials!Print_Area</vt:lpstr>
      <vt:lpstr>'Labour Wages'!Print_Area</vt:lpstr>
      <vt:lpstr>'Loan Repay Sch'!Print_Area</vt:lpstr>
      <vt:lpstr>'Loan Repay Sch Interest1% incre'!Print_Area</vt:lpstr>
      <vt:lpstr>'P&amp;L &amp; Ratio Analysis'!Print_Area</vt:lpstr>
      <vt:lpstr>'Power Consumption'!Print_Area</vt:lpstr>
      <vt:lpstr>'Total Project Cost- Hotel'!Print_Area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welcome</dc:creator>
  <cp:lastModifiedBy>Mohammad Umair</cp:lastModifiedBy>
  <cp:lastPrinted>2024-01-25T06:56:56Z</cp:lastPrinted>
  <dcterms:created xsi:type="dcterms:W3CDTF">2020-10-29T10:02:28Z</dcterms:created>
  <dcterms:modified xsi:type="dcterms:W3CDTF">2024-12-16T13:22:05Z</dcterms:modified>
</cp:coreProperties>
</file>