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gineer1.RKASSO\Downloads\"/>
    </mc:Choice>
  </mc:AlternateContent>
  <bookViews>
    <workbookView xWindow="0" yWindow="0" windowWidth="24000" windowHeight="9735"/>
  </bookViews>
  <sheets>
    <sheet name="Sheet1" sheetId="4" r:id="rId1"/>
    <sheet name="Boundary Wall Length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" i="4" l="1"/>
  <c r="K22" i="4"/>
  <c r="AA3" i="4" l="1"/>
  <c r="W21" i="4"/>
  <c r="Y3" i="4"/>
  <c r="AE18" i="4"/>
  <c r="N4" i="4"/>
  <c r="N5" i="4"/>
  <c r="N6" i="4"/>
  <c r="Z18" i="4"/>
  <c r="X18" i="4"/>
  <c r="H6" i="4"/>
  <c r="P6" i="4" s="1"/>
  <c r="Q6" i="4" s="1"/>
  <c r="S6" i="4" s="1"/>
  <c r="T6" i="4" s="1"/>
  <c r="G5" i="4"/>
  <c r="H5" i="4" s="1"/>
  <c r="P5" i="4" s="1"/>
  <c r="Q5" i="4" s="1"/>
  <c r="S5" i="4" s="1"/>
  <c r="T5" i="4" s="1"/>
  <c r="G6" i="4"/>
  <c r="G4" i="4" l="1"/>
  <c r="H4" i="4" s="1"/>
  <c r="G7" i="4"/>
  <c r="G3" i="4"/>
  <c r="H3" i="4" s="1"/>
  <c r="P3" i="4" s="1"/>
  <c r="N3" i="4"/>
  <c r="N7" i="4"/>
  <c r="Q3" i="4" l="1"/>
  <c r="S3" i="4" s="1"/>
  <c r="T3" i="4" s="1"/>
  <c r="P4" i="4" l="1"/>
  <c r="Q4" i="4" s="1"/>
  <c r="S4" i="4" s="1"/>
  <c r="T4" i="4" s="1"/>
  <c r="H7" i="4"/>
  <c r="P7" i="4" s="1"/>
  <c r="Q7" i="4" s="1"/>
  <c r="S7" i="4" s="1"/>
  <c r="T7" i="4" s="1"/>
  <c r="H8" i="4" l="1"/>
  <c r="D9" i="5"/>
  <c r="D10" i="5" s="1"/>
  <c r="F10" i="5" s="1"/>
  <c r="I4" i="5"/>
  <c r="J4" i="5" s="1"/>
  <c r="K4" i="5" s="1"/>
  <c r="L4" i="5" s="1"/>
  <c r="I3" i="5"/>
  <c r="J3" i="5" s="1"/>
  <c r="K3" i="5" s="1"/>
  <c r="H3" i="5"/>
  <c r="K5" i="5" l="1"/>
  <c r="L3" i="5"/>
  <c r="L5" i="5" s="1"/>
  <c r="K19" i="4" l="1"/>
  <c r="M18" i="4"/>
  <c r="N18" i="4" s="1"/>
  <c r="J17" i="4"/>
  <c r="G8" i="4"/>
  <c r="N19" i="4" l="1"/>
  <c r="M19" i="4" s="1"/>
  <c r="R8" i="4"/>
  <c r="F8" i="4"/>
  <c r="P21" i="4" s="1"/>
  <c r="Z21" i="4" s="1"/>
  <c r="Y4" i="4"/>
  <c r="Y12" i="4" s="1"/>
  <c r="P8" i="4" l="1"/>
  <c r="AA11" i="4" s="1"/>
  <c r="Q8" i="4" l="1"/>
  <c r="T8" i="4"/>
  <c r="W22" i="4" s="1"/>
  <c r="S8" i="4"/>
  <c r="AA4" i="4" l="1"/>
  <c r="AA7" i="4" l="1"/>
  <c r="AA8" i="4" s="1"/>
  <c r="AA9" i="4" s="1"/>
  <c r="AA10" i="4" l="1"/>
</calcChain>
</file>

<file path=xl/sharedStrings.xml><?xml version="1.0" encoding="utf-8"?>
<sst xmlns="http://schemas.openxmlformats.org/spreadsheetml/2006/main" count="63" uniqueCount="61">
  <si>
    <t>Market Value</t>
  </si>
  <si>
    <t>Sr. No.</t>
  </si>
  <si>
    <t>Block Name</t>
  </si>
  <si>
    <t>Height 
(in ft.)</t>
  </si>
  <si>
    <t>Type of Structure</t>
  </si>
  <si>
    <t>Built-up Area 
(in sq mtr)</t>
  </si>
  <si>
    <t>Built-up area 
(in sq ft.)</t>
  </si>
  <si>
    <t xml:space="preserve">Year of Construction </t>
  </si>
  <si>
    <t xml:space="preserve">Year of Valuation </t>
  </si>
  <si>
    <t>Total Life Consumed 
(In year)</t>
  </si>
  <si>
    <t>Total Economical Life
(In year)</t>
  </si>
  <si>
    <t>Salvage value</t>
  </si>
  <si>
    <t>Depreciation Rate</t>
  </si>
  <si>
    <t>Plinth Area  Rate 
(INR per sq feet)</t>
  </si>
  <si>
    <t>Gross Replacement value
(INR)</t>
  </si>
  <si>
    <t xml:space="preserve">Depreciation
(INR) </t>
  </si>
  <si>
    <t>Deterioration</t>
  </si>
  <si>
    <t>Depreciated Replacement Cost
(INR)</t>
  </si>
  <si>
    <t>Fair Market Value         (INR)</t>
  </si>
  <si>
    <t>Land Area in Sq.mtr.</t>
  </si>
  <si>
    <t>Govt. Rate per sq.mtr.</t>
  </si>
  <si>
    <t xml:space="preserve">Govt. Value </t>
  </si>
  <si>
    <t xml:space="preserve">Total Value - </t>
  </si>
  <si>
    <t>L&amp;B</t>
  </si>
  <si>
    <t>Aesthtics</t>
  </si>
  <si>
    <t>RCC Structure</t>
  </si>
  <si>
    <t>Total</t>
  </si>
  <si>
    <t>Diff. in value</t>
  </si>
  <si>
    <t>FMV</t>
  </si>
  <si>
    <t>RV</t>
  </si>
  <si>
    <t>DV</t>
  </si>
  <si>
    <t>Insurance</t>
  </si>
  <si>
    <t>Remarks:</t>
  </si>
  <si>
    <t>1. All the details pertaining to the building area statement such as area, floor, etc has been taken from the documents provided to us.</t>
  </si>
  <si>
    <t xml:space="preserve">2.The maintenance of the building was average as per site survey observation from external. </t>
  </si>
  <si>
    <t>3. Age of construction taken from the information as per documents provided to us.</t>
  </si>
  <si>
    <t>4. The Valuation is done by considering the depreciated replacement cost and while calculating D.R.C. 10% salvage value is considered.</t>
  </si>
  <si>
    <t>Land Area in Sq.yds.</t>
  </si>
  <si>
    <t>builtup</t>
  </si>
  <si>
    <t>land</t>
  </si>
  <si>
    <t>Market Rate per sq.yds.</t>
  </si>
  <si>
    <t>S.No.</t>
  </si>
  <si>
    <t>Running   mtr.</t>
  </si>
  <si>
    <t>Height/Width (in ft.)</t>
  </si>
  <si>
    <t>CoC</t>
  </si>
  <si>
    <t>EL</t>
  </si>
  <si>
    <t>SV</t>
  </si>
  <si>
    <t>GCRC</t>
  </si>
  <si>
    <t>Dep.</t>
  </si>
  <si>
    <t>DRC</t>
  </si>
  <si>
    <t>LENGTH OF BOUNDARY WALL</t>
  </si>
  <si>
    <t>Internal Roads</t>
  </si>
  <si>
    <t>Total Floors</t>
  </si>
  <si>
    <t>Total Built-up Area</t>
  </si>
  <si>
    <t>Basement</t>
  </si>
  <si>
    <t>Ground</t>
  </si>
  <si>
    <t>1st</t>
  </si>
  <si>
    <t>2nd</t>
  </si>
  <si>
    <t>3rd</t>
  </si>
  <si>
    <t>D</t>
  </si>
  <si>
    <t>M/S PATANJALI AGRO INDIA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</si>
</sst>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₹&quot;\ #,##0;[Red]&quot;₹&quot;\ \-#,##0"/>
    <numFmt numFmtId="43" formatCode="_ * #,##0.00_ ;_ * \-#,##0.00_ ;_ * &quot;-&quot;??_ ;_ @_ "/>
    <numFmt numFmtId="164" formatCode="_ * #,##0_ ;_ * \-#,##0_ ;_ * &quot;-&quot;??_ ;_ @_ "/>
    <numFmt numFmtId="165" formatCode="_ [$₹-439]* #,##0_ ;_ [$₹-439]* \-#,##0_ ;_ [$₹-439]* &quot;-&quot;??_ ;_ @_ "/>
    <numFmt numFmtId="166" formatCode="0.0000"/>
    <numFmt numFmtId="167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1E366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4" borderId="1" xfId="3" applyFont="1" applyFill="1" applyBorder="1" applyAlignment="1">
      <alignment horizontal="center" vertical="center" wrapText="1"/>
    </xf>
    <xf numFmtId="0" fontId="2" fillId="2" borderId="1" xfId="3" applyFont="1" applyBorder="1" applyAlignment="1">
      <alignment horizontal="center" vertical="center" wrapText="1"/>
    </xf>
    <xf numFmtId="165" fontId="2" fillId="2" borderId="1" xfId="3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 wrapText="1"/>
    </xf>
    <xf numFmtId="9" fontId="5" fillId="0" borderId="1" xfId="2" applyFont="1" applyBorder="1" applyAlignment="1">
      <alignment horizontal="center" vertical="center" wrapText="1"/>
    </xf>
    <xf numFmtId="164" fontId="1" fillId="0" borderId="0" xfId="1" applyNumberFormat="1" applyFont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164" fontId="0" fillId="5" borderId="1" xfId="0" applyNumberFormat="1" applyFill="1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9" fontId="0" fillId="0" borderId="1" xfId="2" applyFont="1" applyBorder="1"/>
    <xf numFmtId="9" fontId="0" fillId="0" borderId="0" xfId="2" applyFont="1" applyBorder="1"/>
    <xf numFmtId="164" fontId="0" fillId="0" borderId="0" xfId="0" applyNumberFormat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6" fontId="0" fillId="0" borderId="0" xfId="0" applyNumberFormat="1"/>
    <xf numFmtId="0" fontId="2" fillId="0" borderId="1" xfId="0" applyFont="1" applyBorder="1" applyAlignment="1">
      <alignment vertical="center" wrapText="1"/>
    </xf>
    <xf numFmtId="2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164" fontId="0" fillId="0" borderId="1" xfId="1" applyNumberFormat="1" applyFont="1" applyBorder="1"/>
    <xf numFmtId="1" fontId="0" fillId="0" borderId="1" xfId="0" applyNumberFormat="1" applyBorder="1"/>
    <xf numFmtId="164" fontId="0" fillId="0" borderId="1" xfId="0" applyNumberFormat="1" applyBorder="1"/>
    <xf numFmtId="9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2" fillId="0" borderId="1" xfId="0" applyFont="1" applyBorder="1"/>
    <xf numFmtId="164" fontId="0" fillId="0" borderId="0" xfId="1" applyNumberFormat="1" applyFont="1" applyBorder="1" applyAlignment="1">
      <alignment horizontal="center"/>
    </xf>
    <xf numFmtId="1" fontId="0" fillId="0" borderId="0" xfId="0" applyNumberFormat="1"/>
    <xf numFmtId="9" fontId="0" fillId="0" borderId="0" xfId="2" applyFont="1"/>
    <xf numFmtId="2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right"/>
    </xf>
    <xf numFmtId="164" fontId="0" fillId="5" borderId="0" xfId="0" applyNumberFormat="1" applyFill="1"/>
    <xf numFmtId="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7" fontId="4" fillId="0" borderId="1" xfId="0" applyNumberFormat="1" applyFont="1" applyBorder="1" applyAlignment="1">
      <alignment horizontal="center" vertical="center" wrapText="1"/>
    </xf>
    <xf numFmtId="43" fontId="0" fillId="0" borderId="0" xfId="1" applyFont="1"/>
    <xf numFmtId="43" fontId="0" fillId="0" borderId="0" xfId="0" applyNumberFormat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4">
    <cellStyle name="40% - Accent1" xfId="3" builtinId="31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"/>
  <sheetViews>
    <sheetView tabSelected="1" zoomScaleNormal="100" workbookViewId="0">
      <selection activeCell="AA11" sqref="AA11:AB11"/>
    </sheetView>
  </sheetViews>
  <sheetFormatPr defaultRowHeight="15" x14ac:dyDescent="0.25"/>
  <cols>
    <col min="1" max="1" width="4.28515625" customWidth="1"/>
    <col min="2" max="2" width="12.5703125" customWidth="1"/>
    <col min="3" max="3" width="8.28515625" customWidth="1"/>
    <col min="4" max="4" width="6.7109375" customWidth="1"/>
    <col min="5" max="5" width="8.85546875" hidden="1" customWidth="1"/>
    <col min="6" max="6" width="11.140625" customWidth="1"/>
    <col min="7" max="7" width="10" hidden="1" customWidth="1"/>
    <col min="8" max="8" width="10" customWidth="1"/>
    <col min="9" max="9" width="12" customWidth="1"/>
    <col min="10" max="10" width="9.7109375" hidden="1" customWidth="1"/>
    <col min="11" max="11" width="10.140625" customWidth="1"/>
    <col min="12" max="12" width="10.7109375" customWidth="1"/>
    <col min="13" max="13" width="9" hidden="1" customWidth="1"/>
    <col min="14" max="14" width="14.28515625" hidden="1" customWidth="1"/>
    <col min="15" max="15" width="9.140625" customWidth="1"/>
    <col min="16" max="16" width="11.5703125" customWidth="1"/>
    <col min="17" max="17" width="10.85546875" hidden="1" customWidth="1"/>
    <col min="18" max="18" width="9.140625" hidden="1" customWidth="1"/>
    <col min="19" max="19" width="12.7109375" hidden="1" customWidth="1"/>
    <col min="20" max="20" width="11.5703125" customWidth="1"/>
    <col min="22" max="22" width="7.5703125" customWidth="1"/>
    <col min="23" max="23" width="11.5703125" bestFit="1" customWidth="1"/>
    <col min="24" max="24" width="12.28515625" bestFit="1" customWidth="1"/>
    <col min="25" max="25" width="12.28515625" customWidth="1"/>
    <col min="26" max="26" width="12.5703125" bestFit="1" customWidth="1"/>
    <col min="27" max="27" width="10.7109375" customWidth="1"/>
    <col min="28" max="28" width="6.140625" customWidth="1"/>
  </cols>
  <sheetData>
    <row r="1" spans="1:34" ht="15.75" x14ac:dyDescent="0.25">
      <c r="A1" s="67" t="s">
        <v>60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34" ht="75" x14ac:dyDescent="0.25">
      <c r="A2" s="5" t="s">
        <v>1</v>
      </c>
      <c r="B2" s="5" t="s">
        <v>2</v>
      </c>
      <c r="C2" s="5" t="s">
        <v>52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53</v>
      </c>
      <c r="I2" s="5" t="s">
        <v>7</v>
      </c>
      <c r="J2" s="4" t="s">
        <v>8</v>
      </c>
      <c r="K2" s="5" t="s">
        <v>9</v>
      </c>
      <c r="L2" s="5" t="s">
        <v>10</v>
      </c>
      <c r="M2" s="4" t="s">
        <v>11</v>
      </c>
      <c r="N2" s="4" t="s">
        <v>12</v>
      </c>
      <c r="O2" s="5" t="s">
        <v>13</v>
      </c>
      <c r="P2" s="6" t="s">
        <v>14</v>
      </c>
      <c r="Q2" s="6" t="s">
        <v>15</v>
      </c>
      <c r="R2" s="6" t="s">
        <v>16</v>
      </c>
      <c r="S2" s="5" t="s">
        <v>17</v>
      </c>
      <c r="T2" s="5" t="s">
        <v>18</v>
      </c>
      <c r="V2" s="30" t="s">
        <v>37</v>
      </c>
      <c r="W2" s="30" t="s">
        <v>19</v>
      </c>
      <c r="X2" s="1" t="s">
        <v>20</v>
      </c>
      <c r="Y2" s="2" t="s">
        <v>21</v>
      </c>
      <c r="Z2" s="7" t="s">
        <v>40</v>
      </c>
      <c r="AA2" s="61" t="s">
        <v>0</v>
      </c>
      <c r="AB2" s="62"/>
    </row>
    <row r="3" spans="1:34" ht="15" customHeight="1" x14ac:dyDescent="0.25">
      <c r="A3" s="8">
        <v>1</v>
      </c>
      <c r="B3" s="9" t="s">
        <v>54</v>
      </c>
      <c r="C3" s="10">
        <v>1</v>
      </c>
      <c r="D3" s="10">
        <v>10</v>
      </c>
      <c r="E3" s="65" t="s">
        <v>25</v>
      </c>
      <c r="F3" s="11">
        <v>270</v>
      </c>
      <c r="G3" s="11">
        <f>F3*10.7639</f>
        <v>2906.2529999999997</v>
      </c>
      <c r="H3" s="11">
        <f>G3*C3</f>
        <v>2906.2529999999997</v>
      </c>
      <c r="I3" s="8">
        <v>2009</v>
      </c>
      <c r="J3" s="12">
        <v>2024</v>
      </c>
      <c r="K3" s="12">
        <v>15</v>
      </c>
      <c r="L3" s="12">
        <v>70</v>
      </c>
      <c r="M3" s="46">
        <v>0.1</v>
      </c>
      <c r="N3" s="13">
        <f>(1-M3)/L3</f>
        <v>1.2857142857142857E-2</v>
      </c>
      <c r="O3" s="14">
        <v>1800</v>
      </c>
      <c r="P3" s="15">
        <f>O3*H3</f>
        <v>5231255.3999999994</v>
      </c>
      <c r="Q3" s="15">
        <f>P3*N3*IF(K3&gt;L3,L3,K3)</f>
        <v>1008884.9699999999</v>
      </c>
      <c r="R3" s="16">
        <v>0</v>
      </c>
      <c r="S3" s="15">
        <f>P3-Q3</f>
        <v>4222370.43</v>
      </c>
      <c r="T3" s="15">
        <f t="shared" ref="T3" si="0">S3-R3*S3</f>
        <v>4222370.43</v>
      </c>
      <c r="V3" s="30">
        <v>645.83460000000002</v>
      </c>
      <c r="W3" s="43">
        <v>540</v>
      </c>
      <c r="X3" s="1">
        <v>383040</v>
      </c>
      <c r="Y3" s="17">
        <f>X3*W3</f>
        <v>206841600</v>
      </c>
      <c r="Z3" s="68">
        <v>522000</v>
      </c>
      <c r="AA3" s="63">
        <f>Z3*V3</f>
        <v>337125661.19999999</v>
      </c>
      <c r="AB3" s="63"/>
    </row>
    <row r="4" spans="1:34" x14ac:dyDescent="0.25">
      <c r="A4" s="8">
        <v>2</v>
      </c>
      <c r="B4" s="18" t="s">
        <v>55</v>
      </c>
      <c r="C4" s="10">
        <v>1</v>
      </c>
      <c r="D4" s="10">
        <v>10</v>
      </c>
      <c r="E4" s="65"/>
      <c r="F4" s="11">
        <v>162</v>
      </c>
      <c r="G4" s="11">
        <f t="shared" ref="G4:G7" si="1">F4*10.7639</f>
        <v>1743.7518</v>
      </c>
      <c r="H4" s="11">
        <f>G4*C4</f>
        <v>1743.7518</v>
      </c>
      <c r="I4" s="8">
        <v>2009</v>
      </c>
      <c r="J4" s="12">
        <v>2024</v>
      </c>
      <c r="K4" s="12">
        <v>15</v>
      </c>
      <c r="L4" s="12">
        <v>70</v>
      </c>
      <c r="M4" s="46">
        <v>0.1</v>
      </c>
      <c r="N4" s="13">
        <f t="shared" ref="N4:N6" si="2">(1-M4)/L4</f>
        <v>1.2857142857142857E-2</v>
      </c>
      <c r="O4" s="14">
        <v>1600</v>
      </c>
      <c r="P4" s="15">
        <f t="shared" ref="P4:P7" si="3">O4*H4</f>
        <v>2790002.88</v>
      </c>
      <c r="Q4" s="15">
        <f t="shared" ref="Q4:Q7" si="4">P4*N4*IF(K4&gt;L4,L4,K4)</f>
        <v>538071.98399999994</v>
      </c>
      <c r="R4" s="16">
        <v>0</v>
      </c>
      <c r="S4" s="15">
        <f t="shared" ref="S4:S7" si="5">P4-Q4</f>
        <v>2251930.8959999997</v>
      </c>
      <c r="T4" s="15">
        <f t="shared" ref="T4:T7" si="6">S4-R4*S4</f>
        <v>2251930.8959999997</v>
      </c>
      <c r="V4" s="64" t="s">
        <v>22</v>
      </c>
      <c r="W4" s="64"/>
      <c r="X4" s="64"/>
      <c r="Y4" s="19">
        <f>SUM(Y3:Y3)</f>
        <v>206841600</v>
      </c>
      <c r="Z4" s="20" t="s">
        <v>23</v>
      </c>
      <c r="AA4" s="54">
        <f>T8</f>
        <v>11727416.669199999</v>
      </c>
      <c r="AB4" s="55"/>
    </row>
    <row r="5" spans="1:34" x14ac:dyDescent="0.25">
      <c r="A5" s="8">
        <v>3</v>
      </c>
      <c r="B5" s="18" t="s">
        <v>56</v>
      </c>
      <c r="C5" s="10">
        <v>1</v>
      </c>
      <c r="D5" s="10">
        <v>10</v>
      </c>
      <c r="E5" s="65"/>
      <c r="F5" s="11">
        <v>159.30000000000001</v>
      </c>
      <c r="G5" s="11">
        <f>F5*10.7639</f>
        <v>1714.6892700000001</v>
      </c>
      <c r="H5" s="11">
        <f>G5*C5</f>
        <v>1714.6892700000001</v>
      </c>
      <c r="I5" s="8">
        <v>2009</v>
      </c>
      <c r="J5" s="12">
        <v>2024</v>
      </c>
      <c r="K5" s="12">
        <v>15</v>
      </c>
      <c r="L5" s="12">
        <v>70</v>
      </c>
      <c r="M5" s="46">
        <v>0.1</v>
      </c>
      <c r="N5" s="13">
        <f t="shared" si="2"/>
        <v>1.2857142857142857E-2</v>
      </c>
      <c r="O5" s="14">
        <v>1600</v>
      </c>
      <c r="P5" s="15">
        <f t="shared" si="3"/>
        <v>2743502.8319999999</v>
      </c>
      <c r="Q5" s="15">
        <f t="shared" si="4"/>
        <v>529104.1176</v>
      </c>
      <c r="R5" s="16">
        <v>0</v>
      </c>
      <c r="S5" s="15">
        <f t="shared" si="5"/>
        <v>2214398.7143999999</v>
      </c>
      <c r="T5" s="15">
        <f t="shared" si="6"/>
        <v>2214398.7143999999</v>
      </c>
      <c r="V5" s="44"/>
      <c r="W5" s="44"/>
      <c r="X5" s="44"/>
      <c r="Y5" s="45"/>
      <c r="Z5" s="20"/>
      <c r="AA5" s="49"/>
      <c r="AB5" s="50"/>
    </row>
    <row r="6" spans="1:34" x14ac:dyDescent="0.25">
      <c r="A6" s="8">
        <v>4</v>
      </c>
      <c r="B6" s="18" t="s">
        <v>57</v>
      </c>
      <c r="C6" s="10">
        <v>1</v>
      </c>
      <c r="D6" s="10">
        <v>10</v>
      </c>
      <c r="E6" s="65"/>
      <c r="F6" s="11">
        <v>159.30000000000001</v>
      </c>
      <c r="G6" s="11">
        <f t="shared" si="1"/>
        <v>1714.6892700000001</v>
      </c>
      <c r="H6" s="11">
        <f>G6*C6</f>
        <v>1714.6892700000001</v>
      </c>
      <c r="I6" s="8">
        <v>2009</v>
      </c>
      <c r="J6" s="12">
        <v>2024</v>
      </c>
      <c r="K6" s="12">
        <v>15</v>
      </c>
      <c r="L6" s="12">
        <v>70</v>
      </c>
      <c r="M6" s="46">
        <v>0.1</v>
      </c>
      <c r="N6" s="13">
        <f t="shared" si="2"/>
        <v>1.2857142857142857E-2</v>
      </c>
      <c r="O6" s="14">
        <v>1600</v>
      </c>
      <c r="P6" s="15">
        <f t="shared" si="3"/>
        <v>2743502.8319999999</v>
      </c>
      <c r="Q6" s="15">
        <f t="shared" si="4"/>
        <v>529104.1176</v>
      </c>
      <c r="R6" s="16">
        <v>0</v>
      </c>
      <c r="S6" s="15">
        <f t="shared" si="5"/>
        <v>2214398.7143999999</v>
      </c>
      <c r="T6" s="15">
        <f t="shared" si="6"/>
        <v>2214398.7143999999</v>
      </c>
      <c r="V6" s="44"/>
      <c r="W6" s="44"/>
      <c r="X6" s="44"/>
      <c r="Y6" s="45"/>
      <c r="Z6" s="20"/>
      <c r="AA6" s="49"/>
      <c r="AB6" s="50"/>
    </row>
    <row r="7" spans="1:34" x14ac:dyDescent="0.25">
      <c r="A7" s="8">
        <v>5</v>
      </c>
      <c r="B7" s="21" t="s">
        <v>58</v>
      </c>
      <c r="C7" s="10">
        <v>1</v>
      </c>
      <c r="D7" s="10">
        <v>10</v>
      </c>
      <c r="E7" s="65"/>
      <c r="F7" s="11">
        <v>59.3</v>
      </c>
      <c r="G7" s="11">
        <f t="shared" si="1"/>
        <v>638.29926999999998</v>
      </c>
      <c r="H7" s="11">
        <f>G7*C7</f>
        <v>638.29926999999998</v>
      </c>
      <c r="I7" s="8">
        <v>2009</v>
      </c>
      <c r="J7" s="12">
        <v>2024</v>
      </c>
      <c r="K7" s="12">
        <v>15</v>
      </c>
      <c r="L7" s="12">
        <v>70</v>
      </c>
      <c r="M7" s="46">
        <v>0.1</v>
      </c>
      <c r="N7" s="13">
        <f t="shared" ref="N7" si="7">(1-M7)/L7</f>
        <v>1.2857142857142857E-2</v>
      </c>
      <c r="O7" s="14">
        <v>1600</v>
      </c>
      <c r="P7" s="15">
        <f t="shared" si="3"/>
        <v>1021278.8319999999</v>
      </c>
      <c r="Q7" s="15">
        <f t="shared" si="4"/>
        <v>196960.91759999999</v>
      </c>
      <c r="R7" s="16">
        <v>0</v>
      </c>
      <c r="S7" s="15">
        <f t="shared" si="5"/>
        <v>824317.91439999989</v>
      </c>
      <c r="T7" s="15">
        <f t="shared" si="6"/>
        <v>824317.91439999989</v>
      </c>
      <c r="V7" s="44"/>
      <c r="W7" s="44"/>
      <c r="X7" s="44"/>
      <c r="Y7" s="45"/>
      <c r="Z7" s="20" t="s">
        <v>26</v>
      </c>
      <c r="AA7" s="56">
        <f>SUM(AA3:AB4)</f>
        <v>348853077.86919999</v>
      </c>
      <c r="AB7" s="57"/>
    </row>
    <row r="8" spans="1:34" x14ac:dyDescent="0.25">
      <c r="A8" s="58" t="s">
        <v>26</v>
      </c>
      <c r="B8" s="58"/>
      <c r="C8" s="58"/>
      <c r="D8" s="58"/>
      <c r="E8" s="58"/>
      <c r="F8" s="51">
        <f>SUM(F3:F7)</f>
        <v>809.89999999999986</v>
      </c>
      <c r="G8" s="25">
        <f>SUM(G3:G7)</f>
        <v>8717.6826099999998</v>
      </c>
      <c r="H8" s="25">
        <f>SUM(H3:H7)</f>
        <v>8717.6826099999998</v>
      </c>
      <c r="I8" s="47"/>
      <c r="J8" s="47"/>
      <c r="K8" s="47"/>
      <c r="L8" s="47"/>
      <c r="M8" s="46"/>
      <c r="N8" s="13"/>
      <c r="O8" s="48"/>
      <c r="P8" s="26">
        <f>SUM(P3:P7)</f>
        <v>14529542.776000001</v>
      </c>
      <c r="Q8" s="26">
        <f>SUM(Q3:Q7)</f>
        <v>2802126.1067999997</v>
      </c>
      <c r="R8" s="26">
        <f>SUM(R3:R7)</f>
        <v>0</v>
      </c>
      <c r="S8" s="26">
        <f>SUM(S3:S7)</f>
        <v>11727416.669199999</v>
      </c>
      <c r="T8" s="26">
        <f>SUM(T3:T7)</f>
        <v>11727416.669199999</v>
      </c>
      <c r="Z8" s="3" t="s">
        <v>28</v>
      </c>
      <c r="AA8" s="54">
        <f>ROUND(AA7,-6)</f>
        <v>349000000</v>
      </c>
      <c r="AB8" s="55"/>
    </row>
    <row r="9" spans="1:34" ht="15" customHeight="1" x14ac:dyDescent="0.25">
      <c r="A9" s="59" t="s">
        <v>32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Z9" s="3" t="s">
        <v>29</v>
      </c>
      <c r="AA9" s="56">
        <f>AA8*AC10</f>
        <v>296650000</v>
      </c>
      <c r="AB9" s="57"/>
    </row>
    <row r="10" spans="1:34" x14ac:dyDescent="0.25">
      <c r="A10" s="60" t="s">
        <v>33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Z10" s="3" t="s">
        <v>30</v>
      </c>
      <c r="AA10" s="54">
        <f>AA8*AC11</f>
        <v>261750000</v>
      </c>
      <c r="AB10" s="54"/>
      <c r="AC10" s="42">
        <v>0.85</v>
      </c>
    </row>
    <row r="11" spans="1:34" ht="15" customHeight="1" x14ac:dyDescent="0.25">
      <c r="A11" s="60" t="s">
        <v>34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Z11" s="3" t="s">
        <v>31</v>
      </c>
      <c r="AA11" s="54">
        <f>P8*0.8</f>
        <v>11623634.220800001</v>
      </c>
      <c r="AB11" s="54"/>
      <c r="AC11" s="42">
        <v>0.75</v>
      </c>
    </row>
    <row r="12" spans="1:34" ht="11.25" customHeight="1" x14ac:dyDescent="0.25">
      <c r="A12" s="60" t="s">
        <v>35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X12" s="3" t="s">
        <v>27</v>
      </c>
      <c r="Y12" s="22">
        <f>(AA3-Y4)/AA3</f>
        <v>0.38645548587506928</v>
      </c>
      <c r="AA12" s="24"/>
      <c r="AB12" s="24"/>
    </row>
    <row r="13" spans="1:34" ht="24" customHeight="1" x14ac:dyDescent="0.25">
      <c r="A13" s="60" t="s">
        <v>36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Y13" s="23"/>
      <c r="AA13" s="24"/>
      <c r="AB13" s="24"/>
    </row>
    <row r="14" spans="1:34" ht="26.25" customHeight="1" x14ac:dyDescent="0.25">
      <c r="Y14" s="23"/>
    </row>
    <row r="15" spans="1:34" ht="16.5" customHeight="1" x14ac:dyDescent="0.25"/>
    <row r="16" spans="1:34" ht="15" customHeight="1" x14ac:dyDescent="0.25">
      <c r="T16" s="31">
        <v>0.42</v>
      </c>
      <c r="AB16" s="40"/>
      <c r="AH16" s="31">
        <v>0.42</v>
      </c>
    </row>
    <row r="17" spans="10:34" x14ac:dyDescent="0.25">
      <c r="J17" s="55">
        <f>220*10^7</f>
        <v>2200000000</v>
      </c>
      <c r="K17" s="55"/>
      <c r="L17" s="3"/>
      <c r="M17" s="3"/>
      <c r="N17" s="3"/>
      <c r="O17" s="27"/>
      <c r="P17" s="27"/>
      <c r="Q17" s="27"/>
      <c r="R17" s="27"/>
      <c r="T17" s="27"/>
      <c r="W17" t="s">
        <v>59</v>
      </c>
      <c r="X17" s="66">
        <v>127680</v>
      </c>
      <c r="Y17" s="66"/>
      <c r="AB17" s="40"/>
      <c r="AC17" s="40"/>
      <c r="AD17" s="27"/>
      <c r="AE17" s="27"/>
      <c r="AF17" s="27"/>
      <c r="AH17" s="27"/>
    </row>
    <row r="18" spans="10:34" x14ac:dyDescent="0.25">
      <c r="J18" s="3" t="s">
        <v>38</v>
      </c>
      <c r="K18" s="3">
        <v>18494</v>
      </c>
      <c r="L18" s="3">
        <v>1500</v>
      </c>
      <c r="M18" s="3">
        <f>L18*T16</f>
        <v>630</v>
      </c>
      <c r="N18" s="34">
        <f>M18*K18</f>
        <v>11651220</v>
      </c>
      <c r="P18" s="28"/>
      <c r="Q18" s="28"/>
      <c r="R18" s="29"/>
      <c r="S18" s="28"/>
      <c r="T18" s="28"/>
      <c r="W18" s="52"/>
      <c r="X18">
        <f>X17*3</f>
        <v>383040</v>
      </c>
      <c r="Z18">
        <f>35*10^7/600</f>
        <v>583333.33333333337</v>
      </c>
      <c r="AA18" s="33"/>
      <c r="AB18" s="24"/>
      <c r="AC18" s="40"/>
      <c r="AD18" s="28"/>
      <c r="AE18" s="28">
        <f>W3*1.19599</f>
        <v>645.83460000000002</v>
      </c>
      <c r="AF18" s="29"/>
      <c r="AG18" s="28"/>
      <c r="AH18" s="28"/>
    </row>
    <row r="19" spans="10:34" x14ac:dyDescent="0.25">
      <c r="J19" s="3" t="s">
        <v>39</v>
      </c>
      <c r="K19" s="35">
        <f>19883/9</f>
        <v>2209.2222222222222</v>
      </c>
      <c r="L19" s="3"/>
      <c r="M19" s="36">
        <f>N19/K19</f>
        <v>990551.67831816128</v>
      </c>
      <c r="N19" s="36">
        <f>J17-N18</f>
        <v>2188348780</v>
      </c>
      <c r="P19" s="28"/>
      <c r="Q19" s="28"/>
      <c r="R19" s="29"/>
      <c r="S19" s="28"/>
      <c r="T19" s="28">
        <f>580000*0.9</f>
        <v>522000</v>
      </c>
      <c r="Y19" s="41"/>
      <c r="AC19" s="24"/>
      <c r="AD19" s="28"/>
      <c r="AE19" s="28"/>
      <c r="AF19" s="29"/>
      <c r="AG19" s="28"/>
      <c r="AH19" s="28"/>
    </row>
    <row r="20" spans="10:34" x14ac:dyDescent="0.25">
      <c r="P20" s="28"/>
      <c r="Q20" s="28"/>
      <c r="R20" s="29"/>
      <c r="S20" s="28"/>
      <c r="T20" s="28"/>
      <c r="AD20" s="28"/>
      <c r="AE20" s="28"/>
      <c r="AF20" s="29"/>
      <c r="AG20" s="28"/>
      <c r="AH20" s="28"/>
    </row>
    <row r="21" spans="10:34" ht="29.25" customHeight="1" x14ac:dyDescent="0.25">
      <c r="P21" s="28">
        <f>12840*F8</f>
        <v>10399115.999999998</v>
      </c>
      <c r="Q21" s="28"/>
      <c r="R21" s="29"/>
      <c r="S21" s="28"/>
      <c r="T21" s="28"/>
      <c r="W21" s="52">
        <f>65000000/300</f>
        <v>216666.66666666666</v>
      </c>
      <c r="Z21" s="33">
        <f>P21+Y4</f>
        <v>217240716</v>
      </c>
    </row>
    <row r="22" spans="10:34" x14ac:dyDescent="0.25">
      <c r="K22">
        <f>65000000/300</f>
        <v>216666.66666666666</v>
      </c>
      <c r="P22" s="28"/>
      <c r="Q22" s="28"/>
      <c r="R22" s="29"/>
      <c r="S22" s="28"/>
      <c r="T22" s="28"/>
      <c r="W22" s="53">
        <f>T8/F8</f>
        <v>14480.079848376345</v>
      </c>
    </row>
    <row r="23" spans="10:34" x14ac:dyDescent="0.25">
      <c r="P23" s="28"/>
      <c r="Q23" s="28"/>
      <c r="R23" s="29"/>
      <c r="S23" s="28"/>
      <c r="T23" s="28"/>
    </row>
    <row r="24" spans="10:34" ht="28.5" customHeight="1" x14ac:dyDescent="0.25">
      <c r="P24" s="28"/>
      <c r="Q24" s="28"/>
      <c r="R24" s="29"/>
      <c r="S24" s="28"/>
      <c r="T24" s="28"/>
    </row>
    <row r="25" spans="10:34" ht="15" customHeight="1" x14ac:dyDescent="0.25">
      <c r="P25" s="28"/>
      <c r="Q25" s="28"/>
      <c r="R25" s="29"/>
      <c r="S25" s="28"/>
      <c r="T25" s="28"/>
    </row>
    <row r="26" spans="10:34" ht="15" customHeight="1" x14ac:dyDescent="0.25">
      <c r="Q26" s="28"/>
      <c r="R26" s="28"/>
      <c r="S26" s="28"/>
    </row>
    <row r="27" spans="10:34" ht="15" customHeight="1" x14ac:dyDescent="0.25"/>
    <row r="28" spans="10:34" ht="28.5" customHeight="1" x14ac:dyDescent="0.25"/>
    <row r="29" spans="10:34" ht="15" customHeight="1" x14ac:dyDescent="0.25"/>
    <row r="31" spans="10:34" ht="33" customHeight="1" x14ac:dyDescent="0.25"/>
  </sheetData>
  <mergeCells count="19">
    <mergeCell ref="E3:E7"/>
    <mergeCell ref="X17:Y17"/>
    <mergeCell ref="A1:T1"/>
    <mergeCell ref="J17:K17"/>
    <mergeCell ref="A13:T13"/>
    <mergeCell ref="A12:T12"/>
    <mergeCell ref="AA2:AB2"/>
    <mergeCell ref="AA3:AB3"/>
    <mergeCell ref="V4:X4"/>
    <mergeCell ref="AA4:AB4"/>
    <mergeCell ref="AA7:AB7"/>
    <mergeCell ref="AA8:AB8"/>
    <mergeCell ref="AA9:AB9"/>
    <mergeCell ref="AA10:AB10"/>
    <mergeCell ref="AA11:AB11"/>
    <mergeCell ref="A8:E8"/>
    <mergeCell ref="A9:T9"/>
    <mergeCell ref="A11:T11"/>
    <mergeCell ref="A10:T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"/>
  <sheetViews>
    <sheetView workbookViewId="0">
      <selection activeCell="K3" sqref="K3"/>
    </sheetView>
  </sheetViews>
  <sheetFormatPr defaultRowHeight="15" x14ac:dyDescent="0.25"/>
  <cols>
    <col min="2" max="2" width="27" bestFit="1" customWidth="1"/>
    <col min="3" max="3" width="8.140625" customWidth="1"/>
    <col min="4" max="4" width="13.28515625" customWidth="1"/>
    <col min="6" max="6" width="9" bestFit="1" customWidth="1"/>
    <col min="9" max="9" width="14.28515625" bestFit="1" customWidth="1"/>
    <col min="10" max="10" width="10" bestFit="1" customWidth="1"/>
    <col min="11" max="12" width="11.5703125" bestFit="1" customWidth="1"/>
  </cols>
  <sheetData>
    <row r="2" spans="1:12" ht="30" x14ac:dyDescent="0.25">
      <c r="A2" s="2" t="s">
        <v>41</v>
      </c>
      <c r="B2" s="2" t="s">
        <v>24</v>
      </c>
      <c r="C2" s="1" t="s">
        <v>42</v>
      </c>
      <c r="D2" s="1" t="s">
        <v>43</v>
      </c>
      <c r="E2" s="2" t="s">
        <v>44</v>
      </c>
      <c r="F2" s="2" t="s">
        <v>45</v>
      </c>
      <c r="G2" s="2" t="s">
        <v>46</v>
      </c>
      <c r="H2" s="2"/>
      <c r="I2" s="2" t="s">
        <v>47</v>
      </c>
      <c r="J2" s="2" t="s">
        <v>48</v>
      </c>
      <c r="K2" s="2" t="s">
        <v>49</v>
      </c>
    </row>
    <row r="3" spans="1:12" x14ac:dyDescent="0.25">
      <c r="A3" s="20">
        <v>1</v>
      </c>
      <c r="B3" s="3" t="s">
        <v>50</v>
      </c>
      <c r="C3" s="20">
        <v>165</v>
      </c>
      <c r="D3" s="20">
        <v>8</v>
      </c>
      <c r="E3" s="20">
        <v>6000</v>
      </c>
      <c r="F3" s="20">
        <v>25</v>
      </c>
      <c r="G3" s="37">
        <v>1</v>
      </c>
      <c r="H3" s="20">
        <f>2024-2023</f>
        <v>1</v>
      </c>
      <c r="I3" s="34">
        <f>E3*C3</f>
        <v>990000</v>
      </c>
      <c r="J3" s="36">
        <f>I3*(G3/F3)*H3</f>
        <v>39600</v>
      </c>
      <c r="K3" s="36">
        <f>I3-J3</f>
        <v>950400</v>
      </c>
      <c r="L3" s="33">
        <f>ROUND(K3,-5)</f>
        <v>1000000</v>
      </c>
    </row>
    <row r="4" spans="1:12" x14ac:dyDescent="0.25">
      <c r="A4" s="20">
        <v>2</v>
      </c>
      <c r="B4" s="3" t="s">
        <v>51</v>
      </c>
      <c r="C4" s="20">
        <v>80</v>
      </c>
      <c r="D4" s="38">
        <v>10</v>
      </c>
      <c r="E4" s="20">
        <v>8000</v>
      </c>
      <c r="F4" s="20">
        <v>20</v>
      </c>
      <c r="G4" s="37">
        <v>1</v>
      </c>
      <c r="H4" s="20">
        <v>1</v>
      </c>
      <c r="I4" s="34">
        <f>E4*C4</f>
        <v>640000</v>
      </c>
      <c r="J4" s="36">
        <f>I4*(G4/F4)*H4</f>
        <v>32000</v>
      </c>
      <c r="K4" s="36">
        <f>I4-J4</f>
        <v>608000</v>
      </c>
      <c r="L4" s="33">
        <f>ROUND(K4,-5)</f>
        <v>600000</v>
      </c>
    </row>
    <row r="5" spans="1:12" x14ac:dyDescent="0.25">
      <c r="A5" s="3"/>
      <c r="B5" s="3"/>
      <c r="C5" s="3"/>
      <c r="D5" s="3"/>
      <c r="E5" s="3"/>
      <c r="F5" s="3"/>
      <c r="G5" s="3"/>
      <c r="H5" s="3"/>
      <c r="I5" s="3"/>
      <c r="J5" s="39" t="s">
        <v>26</v>
      </c>
      <c r="K5" s="36">
        <f>ROUND(SUM(K3:K4),-5)</f>
        <v>1600000</v>
      </c>
      <c r="L5" s="33">
        <f>SUM(L3:L4)</f>
        <v>1600000</v>
      </c>
    </row>
    <row r="6" spans="1:12" x14ac:dyDescent="0.25">
      <c r="K6" s="33"/>
    </row>
    <row r="9" spans="1:12" x14ac:dyDescent="0.25">
      <c r="D9">
        <f>80*3.28</f>
        <v>262.39999999999998</v>
      </c>
    </row>
    <row r="10" spans="1:12" x14ac:dyDescent="0.25">
      <c r="D10">
        <f>D9*D4</f>
        <v>2624</v>
      </c>
      <c r="E10">
        <v>50</v>
      </c>
      <c r="F10" s="32">
        <f>E10*D10</f>
        <v>131200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Boundary Wall Length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Manmohan Dubey</dc:creator>
  <cp:lastModifiedBy>Anuj</cp:lastModifiedBy>
  <dcterms:created xsi:type="dcterms:W3CDTF">2015-06-05T18:17:20Z</dcterms:created>
  <dcterms:modified xsi:type="dcterms:W3CDTF">2024-12-10T11:32:56Z</dcterms:modified>
</cp:coreProperties>
</file>