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 Progress Files\Anuj Sharma\VIS(2024-25)-PL576-514-730\Working\"/>
    </mc:Choice>
  </mc:AlternateContent>
  <bookViews>
    <workbookView xWindow="0" yWindow="0" windowWidth="11955" windowHeight="7635" activeTab="1"/>
  </bookViews>
  <sheets>
    <sheet name="Sheet1" sheetId="4" r:id="rId1"/>
    <sheet name="Boundary Wall Length" sheetId="5" r:id="rId2"/>
    <sheet name="Aesthetic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6" l="1"/>
  <c r="I20" i="6"/>
  <c r="I19" i="6"/>
  <c r="I18" i="6"/>
  <c r="N9" i="5"/>
  <c r="I7" i="6"/>
  <c r="I4" i="6"/>
  <c r="I5" i="6"/>
  <c r="I6" i="6"/>
  <c r="I3" i="6"/>
  <c r="G4" i="6"/>
  <c r="G5" i="6"/>
  <c r="G6" i="6"/>
  <c r="G3" i="6"/>
  <c r="F3" i="6"/>
  <c r="D4" i="6"/>
  <c r="F4" i="6" s="1"/>
  <c r="D5" i="6"/>
  <c r="F5" i="6" s="1"/>
  <c r="D6" i="6"/>
  <c r="F6" i="6" s="1"/>
  <c r="D3" i="6"/>
  <c r="AC6" i="4" l="1"/>
  <c r="AC5" i="4"/>
  <c r="U9" i="4"/>
  <c r="V8" i="4"/>
  <c r="V7" i="4"/>
  <c r="V6" i="4"/>
  <c r="V9" i="4" s="1"/>
  <c r="U8" i="4"/>
  <c r="U7" i="4"/>
  <c r="U6" i="4"/>
  <c r="R9" i="4"/>
  <c r="R8" i="4"/>
  <c r="R7" i="4"/>
  <c r="R6" i="4"/>
  <c r="P4" i="4"/>
  <c r="P5" i="4"/>
  <c r="P6" i="4"/>
  <c r="P7" i="4"/>
  <c r="P8" i="4"/>
  <c r="M8" i="4"/>
  <c r="M5" i="4"/>
  <c r="M6" i="4"/>
  <c r="M7" i="4"/>
  <c r="J6" i="4"/>
  <c r="J7" i="4"/>
  <c r="J8" i="4"/>
  <c r="I6" i="4"/>
  <c r="I7" i="4"/>
  <c r="I8" i="4"/>
  <c r="H9" i="4"/>
  <c r="J4" i="4"/>
  <c r="J5" i="4"/>
  <c r="R5" i="4" s="1"/>
  <c r="U5" i="4" s="1"/>
  <c r="V5" i="4" s="1"/>
  <c r="J9" i="4"/>
  <c r="J3" i="4"/>
  <c r="I9" i="4"/>
  <c r="I5" i="4"/>
  <c r="AA3" i="4"/>
  <c r="AC3" i="4"/>
  <c r="M4" i="4"/>
  <c r="X3" i="4"/>
  <c r="I4" i="4" l="1"/>
  <c r="I3" i="4"/>
  <c r="R3" i="4" s="1"/>
  <c r="P3" i="4"/>
  <c r="M3" i="4"/>
  <c r="S3" i="4" l="1"/>
  <c r="U3" i="4" s="1"/>
  <c r="V3" i="4" s="1"/>
  <c r="R4" i="4" l="1"/>
  <c r="S4" i="4" s="1"/>
  <c r="U4" i="4" s="1"/>
  <c r="V4" i="4" s="1"/>
  <c r="I3" i="5" l="1"/>
  <c r="H3" i="5"/>
  <c r="J3" i="5" l="1"/>
  <c r="K3" i="5" s="1"/>
  <c r="K4" i="5" s="1"/>
  <c r="L3" i="5" l="1"/>
  <c r="L4" i="5" s="1"/>
  <c r="M20" i="4"/>
  <c r="O19" i="4"/>
  <c r="P19" i="4" s="1"/>
  <c r="L18" i="4"/>
  <c r="P20" i="4" l="1"/>
  <c r="O20" i="4" s="1"/>
  <c r="T9" i="4"/>
  <c r="AA4" i="4"/>
  <c r="AA13" i="4" s="1"/>
  <c r="AC9" i="4" l="1"/>
  <c r="S9" i="4" l="1"/>
  <c r="AC4" i="4" l="1"/>
  <c r="AC7" i="4" l="1"/>
  <c r="AC8" i="4" l="1"/>
</calcChain>
</file>

<file path=xl/sharedStrings.xml><?xml version="1.0" encoding="utf-8"?>
<sst xmlns="http://schemas.openxmlformats.org/spreadsheetml/2006/main" count="80" uniqueCount="76">
  <si>
    <t>Market Value</t>
  </si>
  <si>
    <t>Sr. No.</t>
  </si>
  <si>
    <t>Block Name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</si>
  <si>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</si>
  <si>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</si>
  <si>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</si>
  <si>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</si>
  <si>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</si>
  <si>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</si>
  <si>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</si>
  <si>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</si>
  <si>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</si>
  <si>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</si>
  <si>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</si>
  <si>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</si>
  <si>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</si>
  <si>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</si>
  <si>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</si>
  <si>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Fair Market Value         (INR)</t>
  </si>
  <si>
    <t>Land Area in Sq.mtr.</t>
  </si>
  <si>
    <t>Govt. Rate per sq.mtr.</t>
  </si>
  <si>
    <t xml:space="preserve">Govt. Value </t>
  </si>
  <si>
    <t xml:space="preserve">Total Value - </t>
  </si>
  <si>
    <t>L&amp;B</t>
  </si>
  <si>
    <t>Aesthtics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</si>
  <si>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</si>
  <si>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</si>
  <si>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</si>
  <si>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</si>
  <si>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</si>
  <si>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</si>
  <si>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</si>
  <si>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</si>
  <si>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</si>
  <si>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</si>
  <si>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</si>
  <si>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</si>
  <si>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</si>
  <si>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builtup</t>
  </si>
  <si>
    <t>land</t>
  </si>
  <si>
    <t>S.No.</t>
  </si>
  <si>
    <t>Running   mtr.</t>
  </si>
  <si>
    <t>CoC</t>
  </si>
  <si>
    <t>EL</t>
  </si>
  <si>
    <t>SV</t>
  </si>
  <si>
    <t>GCRC</t>
  </si>
  <si>
    <t>Dep.</t>
  </si>
  <si>
    <t>DRC</t>
  </si>
  <si>
    <t>LENGTH OF BOUNDARY WALL</t>
  </si>
  <si>
    <t>Total Floors</t>
  </si>
  <si>
    <t>Total Built-up Area</t>
  </si>
  <si>
    <t>1st Villa</t>
  </si>
  <si>
    <t>2nd Villa</t>
  </si>
  <si>
    <t>Swimming Pool</t>
  </si>
  <si>
    <t>Balancing Tank</t>
  </si>
  <si>
    <t>Height/Width (in mt.)</t>
  </si>
  <si>
    <t>Market Rate per sq.mt.</t>
  </si>
  <si>
    <t>Floor Name</t>
  </si>
  <si>
    <t>Lower Ground Floor</t>
  </si>
  <si>
    <t>Upper Ground Floor</t>
  </si>
  <si>
    <t>First Floor</t>
  </si>
  <si>
    <t>Seftic Tank</t>
  </si>
  <si>
    <t>Filtration Plant</t>
  </si>
  <si>
    <t>Area in Sq. mt.</t>
  </si>
  <si>
    <t>M/S JM Holdings Pvt. Ltd</t>
  </si>
  <si>
    <t xml:space="preserve">RCC Boundary Wall </t>
  </si>
  <si>
    <t>Depth(Ft)</t>
  </si>
  <si>
    <t>Volume(cubic feet)</t>
  </si>
  <si>
    <t>Volume(Litre)</t>
  </si>
  <si>
    <t>Aesthetic</t>
  </si>
  <si>
    <t>Rate/litre</t>
  </si>
  <si>
    <t>Value</t>
  </si>
  <si>
    <t>Aesthetic in Villa</t>
  </si>
  <si>
    <t>Total Value</t>
  </si>
  <si>
    <t>Area in sq. ft.</t>
  </si>
  <si>
    <t>Total 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</si>
</sst>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3" applyFont="1" applyFill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165" fontId="2" fillId="2" borderId="1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164" fontId="0" fillId="5" borderId="0" xfId="0" applyNumberFormat="1" applyFill="1" applyBorder="1"/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0" xfId="0" applyNumberFormat="1"/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AC9" sqref="AC9:AD9"/>
    </sheetView>
  </sheetViews>
  <sheetFormatPr defaultRowHeight="15" x14ac:dyDescent="0.25"/>
  <cols>
    <col min="1" max="1" width="4.28515625" customWidth="1"/>
    <col min="2" max="3" width="12.5703125" customWidth="1"/>
    <col min="4" max="4" width="8.28515625" hidden="1" customWidth="1"/>
    <col min="5" max="5" width="7" hidden="1" customWidth="1"/>
    <col min="6" max="6" width="6.7109375" hidden="1" customWidth="1"/>
    <col min="7" max="7" width="8.85546875" hidden="1" customWidth="1"/>
    <col min="8" max="8" width="11.140625" customWidth="1"/>
    <col min="9" max="10" width="10" hidden="1" customWidth="1"/>
    <col min="11" max="11" width="12" customWidth="1"/>
    <col min="12" max="12" width="9.7109375" hidden="1" customWidth="1"/>
    <col min="13" max="13" width="10.140625" hidden="1" customWidth="1"/>
    <col min="14" max="14" width="10.7109375" hidden="1" customWidth="1"/>
    <col min="15" max="15" width="9" hidden="1" customWidth="1"/>
    <col min="16" max="16" width="14.28515625" hidden="1" customWidth="1"/>
    <col min="17" max="17" width="9.140625" customWidth="1"/>
    <col min="18" max="18" width="11.5703125" customWidth="1"/>
    <col min="19" max="19" width="10.85546875" hidden="1" customWidth="1"/>
    <col min="20" max="20" width="9.140625" hidden="1" customWidth="1"/>
    <col min="21" max="21" width="12.7109375" customWidth="1"/>
    <col min="22" max="22" width="11.5703125" customWidth="1"/>
    <col min="24" max="24" width="7.5703125" customWidth="1"/>
    <col min="25" max="25" width="9.7109375" customWidth="1"/>
    <col min="26" max="26" width="12.28515625" bestFit="1" customWidth="1"/>
    <col min="27" max="27" width="12.28515625" customWidth="1"/>
    <col min="28" max="28" width="11.85546875" bestFit="1" customWidth="1"/>
    <col min="29" max="29" width="12.5703125" bestFit="1" customWidth="1"/>
    <col min="30" max="30" width="6.140625" customWidth="1"/>
  </cols>
  <sheetData>
    <row r="1" spans="1:31" ht="15.75" customHeight="1" x14ac:dyDescent="0.25">
      <c r="A1" s="53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</row>
    <row r="2" spans="1:31" ht="75" x14ac:dyDescent="0.25">
      <c r="A2" s="5" t="s">
        <v>1</v>
      </c>
      <c r="B2" s="5" t="s">
        <v>2</v>
      </c>
      <c r="C2" s="5" t="s">
        <v>57</v>
      </c>
      <c r="D2" s="5" t="s">
        <v>49</v>
      </c>
      <c r="E2" s="5"/>
      <c r="F2" s="5" t="s">
        <v>3</v>
      </c>
      <c r="G2" s="5" t="s">
        <v>4</v>
      </c>
      <c r="H2" s="5" t="s">
        <v>5</v>
      </c>
      <c r="I2" s="5" t="s">
        <v>6</v>
      </c>
      <c r="J2" s="5" t="s">
        <v>50</v>
      </c>
      <c r="K2" s="5" t="s">
        <v>7</v>
      </c>
      <c r="L2" s="4" t="s">
        <v>8</v>
      </c>
      <c r="M2" s="5" t="s">
        <v>9</v>
      </c>
      <c r="N2" s="5" t="s">
        <v>10</v>
      </c>
      <c r="O2" s="4" t="s">
        <v>11</v>
      </c>
      <c r="P2" s="4" t="s">
        <v>12</v>
      </c>
      <c r="Q2" s="5" t="s">
        <v>13</v>
      </c>
      <c r="R2" s="6" t="s">
        <v>14</v>
      </c>
      <c r="S2" s="6" t="s">
        <v>15</v>
      </c>
      <c r="T2" s="6" t="s">
        <v>16</v>
      </c>
      <c r="U2" s="5" t="s">
        <v>17</v>
      </c>
      <c r="V2" s="5" t="s">
        <v>18</v>
      </c>
      <c r="X2" s="29" t="s">
        <v>37</v>
      </c>
      <c r="Y2" s="29" t="s">
        <v>19</v>
      </c>
      <c r="Z2" s="1" t="s">
        <v>20</v>
      </c>
      <c r="AA2" s="2" t="s">
        <v>21</v>
      </c>
      <c r="AB2" s="7" t="s">
        <v>56</v>
      </c>
      <c r="AC2" s="70" t="s">
        <v>0</v>
      </c>
      <c r="AD2" s="71"/>
    </row>
    <row r="3" spans="1:31" ht="24" x14ac:dyDescent="0.25">
      <c r="A3" s="8">
        <v>1</v>
      </c>
      <c r="B3" s="56" t="s">
        <v>51</v>
      </c>
      <c r="C3" s="9" t="s">
        <v>58</v>
      </c>
      <c r="D3" s="10">
        <v>1</v>
      </c>
      <c r="E3" s="10"/>
      <c r="F3" s="10">
        <v>20</v>
      </c>
      <c r="G3" s="59" t="s">
        <v>25</v>
      </c>
      <c r="H3" s="11">
        <v>75</v>
      </c>
      <c r="I3" s="11">
        <f>H3*10.7639</f>
        <v>807.29250000000002</v>
      </c>
      <c r="J3" s="11">
        <f>I3</f>
        <v>807.29250000000002</v>
      </c>
      <c r="K3" s="8">
        <v>2024</v>
      </c>
      <c r="L3" s="12">
        <v>2024</v>
      </c>
      <c r="M3" s="12">
        <f t="shared" ref="M3:M4" si="0">L3-K3</f>
        <v>0</v>
      </c>
      <c r="N3" s="12">
        <v>70</v>
      </c>
      <c r="O3" s="48">
        <v>0</v>
      </c>
      <c r="P3" s="13">
        <f>(1-O3)/N3</f>
        <v>1.4285714285714285E-2</v>
      </c>
      <c r="Q3" s="14">
        <v>600</v>
      </c>
      <c r="R3" s="15">
        <f>Q3*J3</f>
        <v>484375.5</v>
      </c>
      <c r="S3" s="15">
        <f>R3*P3*IF(M3&gt;N3,N3,M3)</f>
        <v>0</v>
      </c>
      <c r="T3" s="16">
        <v>0</v>
      </c>
      <c r="U3" s="15">
        <f>R3-S3</f>
        <v>484375.5</v>
      </c>
      <c r="V3" s="15">
        <f t="shared" ref="V3" si="1">U3-T3*U3</f>
        <v>484375.5</v>
      </c>
      <c r="X3" s="29">
        <f>Y3*1.19599</f>
        <v>4594.9935800000003</v>
      </c>
      <c r="Y3" s="45">
        <v>3842</v>
      </c>
      <c r="Z3" s="1">
        <v>23500</v>
      </c>
      <c r="AA3" s="17">
        <f>Z3*Y3</f>
        <v>90287000</v>
      </c>
      <c r="AB3" s="7">
        <v>28000</v>
      </c>
      <c r="AC3" s="72">
        <f>AB3*Y3</f>
        <v>107576000</v>
      </c>
      <c r="AD3" s="72"/>
    </row>
    <row r="4" spans="1:31" ht="24.75" x14ac:dyDescent="0.25">
      <c r="A4" s="8">
        <v>2</v>
      </c>
      <c r="B4" s="57"/>
      <c r="C4" s="18" t="s">
        <v>59</v>
      </c>
      <c r="D4" s="10">
        <v>1</v>
      </c>
      <c r="E4" s="10"/>
      <c r="F4" s="10">
        <v>20</v>
      </c>
      <c r="G4" s="60"/>
      <c r="H4" s="11">
        <v>570</v>
      </c>
      <c r="I4" s="11">
        <f t="shared" ref="I4:I8" si="2">H4*10.7639</f>
        <v>6135.4229999999998</v>
      </c>
      <c r="J4" s="11">
        <f t="shared" ref="J4:J9" si="3">I4</f>
        <v>6135.4229999999998</v>
      </c>
      <c r="K4" s="51">
        <v>2024</v>
      </c>
      <c r="L4" s="12">
        <v>2024</v>
      </c>
      <c r="M4" s="12">
        <f t="shared" si="0"/>
        <v>0</v>
      </c>
      <c r="N4" s="12">
        <v>70</v>
      </c>
      <c r="O4" s="48">
        <v>0</v>
      </c>
      <c r="P4" s="13">
        <f t="shared" ref="P4:P8" si="4">(1-O4)/N4</f>
        <v>1.4285714285714285E-2</v>
      </c>
      <c r="Q4" s="14">
        <v>500</v>
      </c>
      <c r="R4" s="15">
        <f t="shared" ref="R4:R8" si="5">Q4*J4</f>
        <v>3067711.5</v>
      </c>
      <c r="S4" s="15">
        <f t="shared" ref="S4" si="6">R4*P4*IF(M4&gt;N4,N4,M4)</f>
        <v>0</v>
      </c>
      <c r="T4" s="16">
        <v>0</v>
      </c>
      <c r="U4" s="15">
        <f t="shared" ref="U4" si="7">R4-S4</f>
        <v>3067711.5</v>
      </c>
      <c r="V4" s="15">
        <f t="shared" ref="V4" si="8">U4-T4*U4</f>
        <v>3067711.5</v>
      </c>
      <c r="X4" s="73" t="s">
        <v>22</v>
      </c>
      <c r="Y4" s="73"/>
      <c r="Z4" s="73"/>
      <c r="AA4" s="19">
        <f>SUM(AA3:AA3)</f>
        <v>90287000</v>
      </c>
      <c r="AB4" s="20" t="s">
        <v>23</v>
      </c>
      <c r="AC4" s="63">
        <f>V9</f>
        <v>9321537.3999999985</v>
      </c>
      <c r="AD4" s="64"/>
    </row>
    <row r="5" spans="1:31" x14ac:dyDescent="0.25">
      <c r="A5" s="51">
        <v>3</v>
      </c>
      <c r="B5" s="58"/>
      <c r="C5" s="18" t="s">
        <v>60</v>
      </c>
      <c r="D5" s="10">
        <v>1</v>
      </c>
      <c r="E5" s="10"/>
      <c r="F5" s="10">
        <v>20</v>
      </c>
      <c r="G5" s="60"/>
      <c r="H5" s="11">
        <v>390</v>
      </c>
      <c r="I5" s="11">
        <f t="shared" si="2"/>
        <v>4197.9210000000003</v>
      </c>
      <c r="J5" s="11">
        <f t="shared" si="3"/>
        <v>4197.9210000000003</v>
      </c>
      <c r="K5" s="51">
        <v>2024</v>
      </c>
      <c r="L5" s="12">
        <v>2024</v>
      </c>
      <c r="M5" s="12">
        <f t="shared" ref="M5:M8" si="9">L5-K5</f>
        <v>0</v>
      </c>
      <c r="N5" s="12">
        <v>70</v>
      </c>
      <c r="O5" s="48">
        <v>0</v>
      </c>
      <c r="P5" s="13">
        <f t="shared" si="4"/>
        <v>1.4285714285714285E-2</v>
      </c>
      <c r="Q5" s="14">
        <v>200</v>
      </c>
      <c r="R5" s="15">
        <f t="shared" si="5"/>
        <v>839584.20000000007</v>
      </c>
      <c r="S5" s="15"/>
      <c r="T5" s="16">
        <v>0</v>
      </c>
      <c r="U5" s="15">
        <f t="shared" ref="U5" si="10">R5-S5</f>
        <v>839584.20000000007</v>
      </c>
      <c r="V5" s="15">
        <f t="shared" ref="V5:V8" si="11">U5-T5*U5</f>
        <v>839584.20000000007</v>
      </c>
      <c r="X5" s="46"/>
      <c r="Y5" s="46"/>
      <c r="Z5" s="46"/>
      <c r="AA5" s="47"/>
      <c r="AB5" s="3" t="s">
        <v>28</v>
      </c>
      <c r="AC5" s="63">
        <f>AC4+AC3</f>
        <v>116897537.40000001</v>
      </c>
      <c r="AD5" s="64"/>
    </row>
    <row r="6" spans="1:31" ht="24" x14ac:dyDescent="0.25">
      <c r="A6" s="51"/>
      <c r="B6" s="56" t="s">
        <v>52</v>
      </c>
      <c r="C6" s="9" t="s">
        <v>58</v>
      </c>
      <c r="D6" s="10">
        <v>1</v>
      </c>
      <c r="E6" s="10"/>
      <c r="F6" s="10">
        <v>20</v>
      </c>
      <c r="G6" s="60"/>
      <c r="H6" s="11">
        <v>75</v>
      </c>
      <c r="I6" s="11">
        <f>H6*10.7639</f>
        <v>807.29250000000002</v>
      </c>
      <c r="J6" s="11">
        <f>I6</f>
        <v>807.29250000000002</v>
      </c>
      <c r="K6" s="51">
        <v>2024</v>
      </c>
      <c r="L6" s="12">
        <v>2024</v>
      </c>
      <c r="M6" s="12">
        <f t="shared" si="9"/>
        <v>0</v>
      </c>
      <c r="N6" s="12">
        <v>70</v>
      </c>
      <c r="O6" s="48">
        <v>0</v>
      </c>
      <c r="P6" s="13">
        <f t="shared" si="4"/>
        <v>1.4285714285714285E-2</v>
      </c>
      <c r="Q6" s="14">
        <v>600</v>
      </c>
      <c r="R6" s="15">
        <f>Q6*J6</f>
        <v>484375.5</v>
      </c>
      <c r="S6" s="15"/>
      <c r="T6" s="16">
        <v>0</v>
      </c>
      <c r="U6" s="15">
        <f>R6-S6</f>
        <v>484375.5</v>
      </c>
      <c r="V6" s="15">
        <f t="shared" si="11"/>
        <v>484375.5</v>
      </c>
      <c r="X6" s="46"/>
      <c r="Y6" s="46"/>
      <c r="Z6" s="46"/>
      <c r="AA6" s="47"/>
      <c r="AC6" s="62">
        <f>ROUND(AC5,-6)</f>
        <v>117000000</v>
      </c>
      <c r="AD6" s="62"/>
    </row>
    <row r="7" spans="1:31" ht="24.75" x14ac:dyDescent="0.25">
      <c r="A7" s="51"/>
      <c r="B7" s="57"/>
      <c r="C7" s="18" t="s">
        <v>59</v>
      </c>
      <c r="D7" s="10">
        <v>1</v>
      </c>
      <c r="E7" s="10"/>
      <c r="F7" s="10">
        <v>20</v>
      </c>
      <c r="G7" s="60"/>
      <c r="H7" s="11">
        <v>670</v>
      </c>
      <c r="I7" s="11">
        <f t="shared" si="2"/>
        <v>7211.8130000000001</v>
      </c>
      <c r="J7" s="11">
        <f t="shared" si="3"/>
        <v>7211.8130000000001</v>
      </c>
      <c r="K7" s="51">
        <v>2024</v>
      </c>
      <c r="L7" s="12">
        <v>2024</v>
      </c>
      <c r="M7" s="12">
        <f t="shared" si="9"/>
        <v>0</v>
      </c>
      <c r="N7" s="12">
        <v>70</v>
      </c>
      <c r="O7" s="48">
        <v>0</v>
      </c>
      <c r="P7" s="13">
        <f t="shared" si="4"/>
        <v>1.4285714285714285E-2</v>
      </c>
      <c r="Q7" s="14">
        <v>500</v>
      </c>
      <c r="R7" s="15">
        <f t="shared" si="5"/>
        <v>3605906.5</v>
      </c>
      <c r="S7" s="15"/>
      <c r="T7" s="16">
        <v>0</v>
      </c>
      <c r="U7" s="15">
        <f t="shared" ref="U7:U8" si="12">R7-S7</f>
        <v>3605906.5</v>
      </c>
      <c r="V7" s="15">
        <f t="shared" si="11"/>
        <v>3605906.5</v>
      </c>
      <c r="X7" s="46"/>
      <c r="Y7" s="46"/>
      <c r="Z7" s="46"/>
      <c r="AA7" s="47"/>
      <c r="AB7" s="3" t="s">
        <v>29</v>
      </c>
      <c r="AC7" s="65">
        <f>AC5*AE11</f>
        <v>99362906.790000007</v>
      </c>
      <c r="AD7" s="66"/>
    </row>
    <row r="8" spans="1:31" x14ac:dyDescent="0.25">
      <c r="A8" s="51"/>
      <c r="B8" s="58"/>
      <c r="C8" s="18" t="s">
        <v>60</v>
      </c>
      <c r="D8" s="10">
        <v>1</v>
      </c>
      <c r="E8" s="10"/>
      <c r="F8" s="10">
        <v>20</v>
      </c>
      <c r="G8" s="61"/>
      <c r="H8" s="11">
        <v>390</v>
      </c>
      <c r="I8" s="11">
        <f t="shared" si="2"/>
        <v>4197.9210000000003</v>
      </c>
      <c r="J8" s="11">
        <f t="shared" si="3"/>
        <v>4197.9210000000003</v>
      </c>
      <c r="K8" s="51">
        <v>2024</v>
      </c>
      <c r="L8" s="12">
        <v>2024</v>
      </c>
      <c r="M8" s="12">
        <f t="shared" si="9"/>
        <v>0</v>
      </c>
      <c r="N8" s="12">
        <v>70</v>
      </c>
      <c r="O8" s="48">
        <v>0</v>
      </c>
      <c r="P8" s="13">
        <f t="shared" si="4"/>
        <v>1.4285714285714285E-2</v>
      </c>
      <c r="Q8" s="14">
        <v>200</v>
      </c>
      <c r="R8" s="15">
        <f t="shared" si="5"/>
        <v>839584.20000000007</v>
      </c>
      <c r="S8" s="15"/>
      <c r="T8" s="16">
        <v>0</v>
      </c>
      <c r="U8" s="15">
        <f t="shared" si="12"/>
        <v>839584.20000000007</v>
      </c>
      <c r="V8" s="15">
        <f t="shared" si="11"/>
        <v>839584.20000000007</v>
      </c>
      <c r="X8" s="46"/>
      <c r="Y8" s="46"/>
      <c r="Z8" s="46"/>
      <c r="AA8" s="47"/>
      <c r="AB8" s="3" t="s">
        <v>30</v>
      </c>
      <c r="AC8" s="65">
        <f>AC5*AE12</f>
        <v>87673153.050000012</v>
      </c>
      <c r="AD8" s="66"/>
    </row>
    <row r="9" spans="1:31" x14ac:dyDescent="0.25">
      <c r="A9" s="67" t="s">
        <v>26</v>
      </c>
      <c r="B9" s="67"/>
      <c r="C9" s="67"/>
      <c r="D9" s="67"/>
      <c r="E9" s="67"/>
      <c r="F9" s="67"/>
      <c r="G9" s="67"/>
      <c r="H9" s="24">
        <f>SUM(H3:H8)</f>
        <v>2170</v>
      </c>
      <c r="I9" s="24">
        <f>SUM(I3:I5)</f>
        <v>11140.636500000001</v>
      </c>
      <c r="J9" s="11">
        <f t="shared" si="3"/>
        <v>11140.636500000001</v>
      </c>
      <c r="K9" s="51"/>
      <c r="L9" s="49"/>
      <c r="M9" s="49"/>
      <c r="N9" s="49"/>
      <c r="O9" s="48"/>
      <c r="P9" s="13"/>
      <c r="Q9" s="50"/>
      <c r="R9" s="25">
        <f>SUM(R3:R8)</f>
        <v>9321537.3999999985</v>
      </c>
      <c r="S9" s="25">
        <f>SUM(S3:S4)</f>
        <v>0</v>
      </c>
      <c r="T9" s="25">
        <f>SUM(T3:T4)</f>
        <v>0</v>
      </c>
      <c r="U9" s="25">
        <f>SUM(U3:U8)</f>
        <v>9321537.3999999985</v>
      </c>
      <c r="V9" s="25">
        <f>SUM(V3:V8)</f>
        <v>9321537.3999999985</v>
      </c>
      <c r="AB9" s="3" t="s">
        <v>31</v>
      </c>
      <c r="AC9" s="65">
        <f>R9*0.8</f>
        <v>7457229.919999999</v>
      </c>
      <c r="AD9" s="66"/>
    </row>
    <row r="10" spans="1:31" ht="15" customHeight="1" x14ac:dyDescent="0.25">
      <c r="A10" s="68" t="s">
        <v>32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31" x14ac:dyDescent="0.25">
      <c r="A11" s="69" t="s">
        <v>33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AE11" s="44">
        <v>0.85</v>
      </c>
    </row>
    <row r="12" spans="1:31" ht="15" customHeight="1" x14ac:dyDescent="0.25">
      <c r="A12" s="69" t="s">
        <v>34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AE12" s="44">
        <v>0.75</v>
      </c>
    </row>
    <row r="13" spans="1:31" ht="11.25" customHeight="1" x14ac:dyDescent="0.25">
      <c r="A13" s="69" t="s">
        <v>35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Z13" s="3" t="s">
        <v>27</v>
      </c>
      <c r="AA13" s="21">
        <f>(AC3-AA4)/AC3</f>
        <v>0.16071428571428573</v>
      </c>
      <c r="AC13" s="23"/>
      <c r="AD13" s="23"/>
    </row>
    <row r="14" spans="1:31" ht="24" customHeight="1" x14ac:dyDescent="0.25">
      <c r="A14" s="69" t="s">
        <v>36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AA14" s="22"/>
      <c r="AB14" s="38"/>
      <c r="AC14" s="39"/>
      <c r="AD14" s="39"/>
    </row>
    <row r="15" spans="1:31" ht="26.25" customHeight="1" x14ac:dyDescent="0.25">
      <c r="AA15" s="22"/>
      <c r="AB15" s="38"/>
      <c r="AC15" s="38"/>
      <c r="AD15" s="38"/>
    </row>
    <row r="16" spans="1:31" ht="16.5" customHeight="1" x14ac:dyDescent="0.25">
      <c r="Z16" s="38"/>
      <c r="AA16" s="38"/>
      <c r="AB16" s="38"/>
      <c r="AC16" s="38"/>
      <c r="AD16" s="38"/>
      <c r="AE16" s="38"/>
    </row>
    <row r="17" spans="12:36" ht="15" customHeight="1" x14ac:dyDescent="0.25">
      <c r="V17" s="30">
        <v>0.42</v>
      </c>
      <c r="Z17" s="38"/>
      <c r="AA17" s="38"/>
      <c r="AB17" s="38"/>
      <c r="AC17" s="38"/>
      <c r="AD17" s="41"/>
      <c r="AE17" s="38"/>
      <c r="AJ17" s="30">
        <v>0.42</v>
      </c>
    </row>
    <row r="18" spans="12:36" x14ac:dyDescent="0.25">
      <c r="L18" s="64">
        <f>220*10^7</f>
        <v>2200000000</v>
      </c>
      <c r="M18" s="64"/>
      <c r="N18" s="3"/>
      <c r="O18" s="3"/>
      <c r="P18" s="3"/>
      <c r="Q18" s="26"/>
      <c r="R18" s="26"/>
      <c r="S18" s="26"/>
      <c r="T18" s="26"/>
      <c r="V18" s="26"/>
      <c r="Z18" s="74"/>
      <c r="AA18" s="74"/>
      <c r="AB18" s="38"/>
      <c r="AC18" s="38"/>
      <c r="AD18" s="41"/>
      <c r="AE18" s="41"/>
      <c r="AF18" s="26"/>
      <c r="AG18" s="26"/>
      <c r="AH18" s="26"/>
      <c r="AJ18" s="26"/>
    </row>
    <row r="19" spans="12:36" x14ac:dyDescent="0.25">
      <c r="L19" s="3" t="s">
        <v>38</v>
      </c>
      <c r="M19" s="3">
        <v>18494</v>
      </c>
      <c r="N19" s="3">
        <v>1500</v>
      </c>
      <c r="O19" s="3">
        <f>N19*V17</f>
        <v>630</v>
      </c>
      <c r="P19" s="33">
        <f>O19*M19</f>
        <v>11651220</v>
      </c>
      <c r="R19" s="27"/>
      <c r="S19" s="27"/>
      <c r="T19" s="28"/>
      <c r="U19" s="27"/>
      <c r="V19" s="27"/>
      <c r="Z19" s="38"/>
      <c r="AA19" s="38"/>
      <c r="AB19" s="38"/>
      <c r="AC19" s="43"/>
      <c r="AD19" s="40"/>
      <c r="AE19" s="41"/>
      <c r="AF19" s="27"/>
      <c r="AG19" s="27"/>
      <c r="AH19" s="28"/>
      <c r="AI19" s="27"/>
      <c r="AJ19" s="27"/>
    </row>
    <row r="20" spans="12:36" x14ac:dyDescent="0.25">
      <c r="L20" s="3" t="s">
        <v>39</v>
      </c>
      <c r="M20" s="34">
        <f>19883/9</f>
        <v>2209.2222222222222</v>
      </c>
      <c r="N20" s="3"/>
      <c r="O20" s="35">
        <f>P20/M20</f>
        <v>990551.67831816128</v>
      </c>
      <c r="P20" s="35">
        <f>L18-P19</f>
        <v>2188348780</v>
      </c>
      <c r="R20" s="27"/>
      <c r="S20" s="27"/>
      <c r="T20" s="28"/>
      <c r="U20" s="27"/>
      <c r="V20" s="27"/>
      <c r="Z20" s="38"/>
      <c r="AA20" s="42"/>
      <c r="AB20" s="38"/>
      <c r="AC20" s="38"/>
      <c r="AD20" s="38"/>
      <c r="AE20" s="40"/>
      <c r="AF20" s="27"/>
      <c r="AG20" s="27"/>
      <c r="AH20" s="28"/>
      <c r="AI20" s="27"/>
      <c r="AJ20" s="27"/>
    </row>
    <row r="21" spans="12:36" x14ac:dyDescent="0.25">
      <c r="R21" s="27"/>
      <c r="S21" s="27"/>
      <c r="T21" s="28"/>
      <c r="U21" s="27"/>
      <c r="V21" s="27"/>
      <c r="Z21" s="38"/>
      <c r="AA21" s="38"/>
      <c r="AE21" s="38"/>
      <c r="AF21" s="27"/>
      <c r="AG21" s="27"/>
      <c r="AH21" s="28"/>
      <c r="AI21" s="27"/>
      <c r="AJ21" s="27"/>
    </row>
    <row r="22" spans="12:36" ht="29.25" customHeight="1" x14ac:dyDescent="0.25">
      <c r="R22" s="27"/>
      <c r="S22" s="27"/>
      <c r="T22" s="28"/>
      <c r="U22" s="27"/>
      <c r="V22" s="27"/>
    </row>
    <row r="23" spans="12:36" x14ac:dyDescent="0.25">
      <c r="R23" s="27"/>
      <c r="S23" s="27"/>
      <c r="T23" s="28"/>
      <c r="U23" s="27"/>
      <c r="V23" s="27"/>
    </row>
    <row r="24" spans="12:36" x14ac:dyDescent="0.25">
      <c r="R24" s="27"/>
      <c r="S24" s="27"/>
      <c r="T24" s="28"/>
      <c r="U24" s="27"/>
      <c r="V24" s="27"/>
    </row>
    <row r="25" spans="12:36" ht="28.5" customHeight="1" x14ac:dyDescent="0.25">
      <c r="R25" s="27"/>
      <c r="S25" s="27"/>
      <c r="T25" s="28"/>
      <c r="U25" s="27"/>
      <c r="V25" s="27"/>
    </row>
    <row r="26" spans="12:36" ht="15" customHeight="1" x14ac:dyDescent="0.25">
      <c r="R26" s="27"/>
      <c r="S26" s="27"/>
      <c r="T26" s="28"/>
      <c r="U26" s="27"/>
      <c r="V26" s="27"/>
    </row>
    <row r="27" spans="12:36" ht="15" customHeight="1" x14ac:dyDescent="0.25">
      <c r="S27" s="27"/>
      <c r="T27" s="27"/>
      <c r="U27" s="27"/>
    </row>
    <row r="28" spans="12:36" ht="15" customHeight="1" x14ac:dyDescent="0.25"/>
    <row r="29" spans="12:36" ht="28.5" customHeight="1" x14ac:dyDescent="0.25"/>
    <row r="30" spans="12:36" ht="15" customHeight="1" x14ac:dyDescent="0.25"/>
    <row r="32" spans="12:36" ht="33" customHeight="1" x14ac:dyDescent="0.25"/>
  </sheetData>
  <mergeCells count="21">
    <mergeCell ref="Z18:AA18"/>
    <mergeCell ref="L18:M18"/>
    <mergeCell ref="A14:V14"/>
    <mergeCell ref="A13:V13"/>
    <mergeCell ref="A9:G9"/>
    <mergeCell ref="A10:V10"/>
    <mergeCell ref="A12:V12"/>
    <mergeCell ref="A11:V11"/>
    <mergeCell ref="AC9:AD9"/>
    <mergeCell ref="A1:V1"/>
    <mergeCell ref="B3:B5"/>
    <mergeCell ref="B6:B8"/>
    <mergeCell ref="G3:G8"/>
    <mergeCell ref="AC6:AD6"/>
    <mergeCell ref="AC5:AD5"/>
    <mergeCell ref="AC7:AD7"/>
    <mergeCell ref="AC8:AD8"/>
    <mergeCell ref="AC2:AD2"/>
    <mergeCell ref="AC3:AD3"/>
    <mergeCell ref="X4:Z4"/>
    <mergeCell ref="AC4:A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N9" sqref="N9"/>
    </sheetView>
  </sheetViews>
  <sheetFormatPr defaultRowHeight="15" x14ac:dyDescent="0.25"/>
  <cols>
    <col min="2" max="2" width="27" bestFit="1" customWidth="1"/>
    <col min="3" max="3" width="8.140625" customWidth="1"/>
    <col min="4" max="4" width="13.28515625" customWidth="1"/>
    <col min="6" max="6" width="9" bestFit="1" customWidth="1"/>
    <col min="7" max="8" width="0" hidden="1" customWidth="1"/>
    <col min="9" max="9" width="14.28515625" bestFit="1" customWidth="1"/>
    <col min="10" max="10" width="10" hidden="1" customWidth="1"/>
    <col min="11" max="12" width="11.5703125" bestFit="1" customWidth="1"/>
    <col min="14" max="14" width="11.5703125" bestFit="1" customWidth="1"/>
  </cols>
  <sheetData>
    <row r="1" spans="1:14" x14ac:dyDescent="0.25">
      <c r="A1" s="75" t="s">
        <v>65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 ht="30" x14ac:dyDescent="0.25">
      <c r="A2" s="2" t="s">
        <v>40</v>
      </c>
      <c r="B2" s="2" t="s">
        <v>24</v>
      </c>
      <c r="C2" s="1" t="s">
        <v>41</v>
      </c>
      <c r="D2" s="1" t="s">
        <v>55</v>
      </c>
      <c r="E2" s="2" t="s">
        <v>42</v>
      </c>
      <c r="F2" s="2" t="s">
        <v>43</v>
      </c>
      <c r="G2" s="2" t="s">
        <v>44</v>
      </c>
      <c r="H2" s="2"/>
      <c r="I2" s="2" t="s">
        <v>45</v>
      </c>
      <c r="J2" s="2" t="s">
        <v>46</v>
      </c>
      <c r="K2" s="2" t="s">
        <v>47</v>
      </c>
    </row>
    <row r="3" spans="1:14" x14ac:dyDescent="0.25">
      <c r="A3" s="20">
        <v>1</v>
      </c>
      <c r="B3" s="3" t="s">
        <v>48</v>
      </c>
      <c r="C3" s="20">
        <v>210</v>
      </c>
      <c r="D3" s="20">
        <v>5</v>
      </c>
      <c r="E3" s="20">
        <v>8000</v>
      </c>
      <c r="F3" s="20">
        <v>25</v>
      </c>
      <c r="G3" s="36">
        <v>0</v>
      </c>
      <c r="H3" s="20">
        <f>2024-2023</f>
        <v>1</v>
      </c>
      <c r="I3" s="33">
        <f>E3*C3</f>
        <v>1680000</v>
      </c>
      <c r="J3" s="35">
        <f>I3*(G3/F3)*H3</f>
        <v>0</v>
      </c>
      <c r="K3" s="35">
        <f>I3-J3</f>
        <v>1680000</v>
      </c>
      <c r="L3" s="32">
        <f>ROUND(K3,-5)</f>
        <v>1700000</v>
      </c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7" t="s">
        <v>26</v>
      </c>
      <c r="K4" s="35">
        <f>ROUND(SUM(K3:K3),-5)</f>
        <v>1700000</v>
      </c>
      <c r="L4" s="32">
        <f>SUM(L3:L3)</f>
        <v>1700000</v>
      </c>
    </row>
    <row r="5" spans="1:14" x14ac:dyDescent="0.25">
      <c r="K5" s="32"/>
    </row>
    <row r="8" spans="1:14" x14ac:dyDescent="0.25">
      <c r="N8" s="32"/>
    </row>
    <row r="9" spans="1:14" x14ac:dyDescent="0.25">
      <c r="F9" s="31"/>
      <c r="N9" s="32">
        <f>K4+1375267+Sheet1!V9</f>
        <v>12396804.399999999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I21" sqref="I21"/>
    </sheetView>
  </sheetViews>
  <sheetFormatPr defaultRowHeight="15" x14ac:dyDescent="0.25"/>
  <cols>
    <col min="2" max="2" width="14.85546875" style="52" bestFit="1" customWidth="1"/>
    <col min="3" max="3" width="14" style="52" hidden="1" customWidth="1"/>
    <col min="4" max="4" width="12.7109375" bestFit="1" customWidth="1"/>
    <col min="5" max="5" width="10.28515625" bestFit="1" customWidth="1"/>
    <col min="6" max="6" width="18.42578125" bestFit="1" customWidth="1"/>
    <col min="7" max="7" width="14.42578125" bestFit="1" customWidth="1"/>
    <col min="8" max="8" width="9.5703125" bestFit="1" customWidth="1"/>
    <col min="9" max="9" width="20.85546875" bestFit="1" customWidth="1"/>
  </cols>
  <sheetData>
    <row r="1" spans="2:9" ht="15.75" x14ac:dyDescent="0.25">
      <c r="B1" s="76" t="s">
        <v>72</v>
      </c>
      <c r="C1" s="76"/>
      <c r="D1" s="76"/>
      <c r="E1" s="76"/>
      <c r="F1" s="76"/>
      <c r="G1" s="76"/>
      <c r="H1" s="76"/>
      <c r="I1" s="76"/>
    </row>
    <row r="2" spans="2:9" x14ac:dyDescent="0.25">
      <c r="B2" s="5" t="s">
        <v>69</v>
      </c>
      <c r="C2" s="5" t="s">
        <v>63</v>
      </c>
      <c r="D2" s="5" t="s">
        <v>74</v>
      </c>
      <c r="E2" s="5" t="s">
        <v>66</v>
      </c>
      <c r="F2" s="5" t="s">
        <v>67</v>
      </c>
      <c r="G2" s="5" t="s">
        <v>68</v>
      </c>
      <c r="H2" s="5" t="s">
        <v>70</v>
      </c>
      <c r="I2" s="5" t="s">
        <v>71</v>
      </c>
    </row>
    <row r="3" spans="2:9" x14ac:dyDescent="0.25">
      <c r="B3" s="20" t="s">
        <v>53</v>
      </c>
      <c r="C3" s="20">
        <v>200</v>
      </c>
      <c r="D3" s="20">
        <f>C3*10.764</f>
        <v>2152.7999999999997</v>
      </c>
      <c r="E3" s="20">
        <v>6</v>
      </c>
      <c r="F3" s="20">
        <f t="shared" ref="F3:F6" si="0">E3*D3</f>
        <v>12916.8</v>
      </c>
      <c r="G3" s="77">
        <f>F3*28.3168</f>
        <v>365762.44224</v>
      </c>
      <c r="H3" s="20">
        <v>7</v>
      </c>
      <c r="I3" s="80">
        <f>G3*H3</f>
        <v>2560337.0956800003</v>
      </c>
    </row>
    <row r="4" spans="2:9" x14ac:dyDescent="0.25">
      <c r="B4" s="20" t="s">
        <v>61</v>
      </c>
      <c r="C4" s="20">
        <v>48</v>
      </c>
      <c r="D4" s="20">
        <f t="shared" ref="D4:D6" si="1">C4*10.764</f>
        <v>516.67200000000003</v>
      </c>
      <c r="E4" s="20">
        <v>10</v>
      </c>
      <c r="F4" s="20">
        <f t="shared" si="0"/>
        <v>5166.72</v>
      </c>
      <c r="G4" s="77">
        <f t="shared" ref="G4:G6" si="2">F4*28.3168</f>
        <v>146304.97689600001</v>
      </c>
      <c r="H4" s="20">
        <v>6</v>
      </c>
      <c r="I4" s="80">
        <f t="shared" ref="I4:I6" si="3">G4*H4</f>
        <v>877829.8613760001</v>
      </c>
    </row>
    <row r="5" spans="2:9" x14ac:dyDescent="0.25">
      <c r="B5" s="20" t="s">
        <v>62</v>
      </c>
      <c r="C5" s="20">
        <v>8</v>
      </c>
      <c r="D5" s="20">
        <f t="shared" si="1"/>
        <v>86.111999999999995</v>
      </c>
      <c r="E5" s="20">
        <v>8</v>
      </c>
      <c r="F5" s="20">
        <f t="shared" si="0"/>
        <v>688.89599999999996</v>
      </c>
      <c r="G5" s="77">
        <f t="shared" si="2"/>
        <v>19507.330252799999</v>
      </c>
      <c r="H5" s="20">
        <v>6</v>
      </c>
      <c r="I5" s="80">
        <f t="shared" si="3"/>
        <v>117043.98151679999</v>
      </c>
    </row>
    <row r="6" spans="2:9" x14ac:dyDescent="0.25">
      <c r="B6" s="20" t="s">
        <v>54</v>
      </c>
      <c r="C6" s="20">
        <v>32</v>
      </c>
      <c r="D6" s="20">
        <f t="shared" si="1"/>
        <v>344.44799999999998</v>
      </c>
      <c r="E6" s="20">
        <v>6.5</v>
      </c>
      <c r="F6" s="20">
        <f t="shared" si="0"/>
        <v>2238.9119999999998</v>
      </c>
      <c r="G6" s="77">
        <f t="shared" si="2"/>
        <v>63398.823321599994</v>
      </c>
      <c r="H6" s="20">
        <v>6</v>
      </c>
      <c r="I6" s="80">
        <f t="shared" si="3"/>
        <v>380392.93992959999</v>
      </c>
    </row>
    <row r="7" spans="2:9" ht="15.75" x14ac:dyDescent="0.25">
      <c r="B7" s="78" t="s">
        <v>73</v>
      </c>
      <c r="C7" s="78"/>
      <c r="D7" s="78"/>
      <c r="E7" s="78"/>
      <c r="F7" s="78"/>
      <c r="G7" s="78"/>
      <c r="H7" s="78"/>
      <c r="I7" s="79">
        <f>SUM(I3:I6)</f>
        <v>3935603.8785024001</v>
      </c>
    </row>
    <row r="18" spans="8:9" x14ac:dyDescent="0.25">
      <c r="H18" t="s">
        <v>75</v>
      </c>
      <c r="I18" s="31">
        <f>I7+'Boundary Wall Length'!K4+Sheet1!AC5</f>
        <v>122533141.2785024</v>
      </c>
    </row>
    <row r="19" spans="8:9" x14ac:dyDescent="0.25">
      <c r="I19" s="32">
        <f>ROUND(I18,-6)</f>
        <v>123000000</v>
      </c>
    </row>
    <row r="20" spans="8:9" x14ac:dyDescent="0.25">
      <c r="H20" s="81">
        <v>0.85</v>
      </c>
      <c r="I20" s="32">
        <f>I19*H20</f>
        <v>104550000</v>
      </c>
    </row>
    <row r="21" spans="8:9" x14ac:dyDescent="0.25">
      <c r="H21" s="81">
        <v>0.75</v>
      </c>
      <c r="I21" s="32">
        <f>I19*H21</f>
        <v>92250000</v>
      </c>
    </row>
  </sheetData>
  <mergeCells count="2">
    <mergeCell ref="B1:I1"/>
    <mergeCell ref="B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Boundary Wall Length</vt:lpstr>
      <vt:lpstr>Aesthetic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Anuj</cp:lastModifiedBy>
  <dcterms:created xsi:type="dcterms:W3CDTF">2015-06-05T18:17:20Z</dcterms:created>
  <dcterms:modified xsi:type="dcterms:W3CDTF">2024-12-23T06:51:49Z</dcterms:modified>
</cp:coreProperties>
</file>