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activeTab="1"/>
  </bookViews>
  <sheets>
    <sheet name="Deed Details" sheetId="7" r:id="rId1"/>
    <sheet name="Circle rate" sheetId="9" r:id="rId2"/>
    <sheet name="land Area Details" sheetId="6" r:id="rId3"/>
    <sheet name="Building Sheet" sheetId="3" r:id="rId4"/>
    <sheet name="Boundary Wall" sheetId="5" r:id="rId5"/>
    <sheet name="Sheet1" sheetId="10" r:id="rId6"/>
  </sheets>
  <calcPr calcId="152511"/>
</workbook>
</file>

<file path=xl/calcChain.xml><?xml version="1.0" encoding="utf-8"?>
<calcChain xmlns="http://schemas.openxmlformats.org/spreadsheetml/2006/main">
  <c r="J4" i="6" l="1"/>
  <c r="J5" i="6"/>
  <c r="J6" i="6"/>
  <c r="J7" i="6"/>
  <c r="K7" i="6" s="1"/>
  <c r="J8" i="6"/>
  <c r="J3" i="6"/>
  <c r="K3" i="6" s="1"/>
  <c r="E7" i="6"/>
  <c r="M3" i="6"/>
  <c r="M7" i="6"/>
  <c r="G108" i="6" l="1"/>
  <c r="E114" i="6"/>
  <c r="R9" i="6" l="1"/>
  <c r="Q9" i="6"/>
  <c r="K99" i="7"/>
  <c r="B10" i="5" l="1"/>
  <c r="B11" i="5"/>
  <c r="O5" i="3"/>
  <c r="D15" i="6" l="1"/>
  <c r="D19" i="6" s="1"/>
  <c r="D20" i="6" s="1"/>
  <c r="L28" i="3" l="1"/>
  <c r="O28" i="3"/>
  <c r="L29" i="3"/>
  <c r="O29" i="3"/>
  <c r="I54" i="3"/>
  <c r="I55" i="3"/>
  <c r="I56" i="3"/>
  <c r="I57" i="3"/>
  <c r="I58" i="3"/>
  <c r="I59" i="3"/>
  <c r="I60" i="3"/>
  <c r="I61" i="3"/>
  <c r="I47" i="3"/>
  <c r="I48" i="3"/>
  <c r="I49" i="3"/>
  <c r="I50" i="3"/>
  <c r="I51" i="3"/>
  <c r="I52" i="3"/>
  <c r="I53" i="3"/>
  <c r="I28" i="3"/>
  <c r="I29" i="3"/>
  <c r="I22" i="3"/>
  <c r="L22" i="3"/>
  <c r="O22" i="3"/>
  <c r="L61" i="3"/>
  <c r="O61" i="3"/>
  <c r="F61" i="3"/>
  <c r="G61" i="3" s="1"/>
  <c r="Q61" i="3" s="1"/>
  <c r="G21" i="3"/>
  <c r="Q21" i="3" s="1"/>
  <c r="F24" i="3"/>
  <c r="G24" i="3" s="1"/>
  <c r="Q24" i="3" s="1"/>
  <c r="F23" i="3"/>
  <c r="G23" i="3" s="1"/>
  <c r="Q23" i="3" s="1"/>
  <c r="F20" i="3"/>
  <c r="G20" i="3" s="1"/>
  <c r="Q20" i="3" s="1"/>
  <c r="F19" i="3"/>
  <c r="G19" i="3" s="1"/>
  <c r="Q19" i="3" s="1"/>
  <c r="F18" i="3"/>
  <c r="G18" i="3" s="1"/>
  <c r="Q18" i="3" s="1"/>
  <c r="F17" i="3"/>
  <c r="G17" i="3" s="1"/>
  <c r="Q17" i="3" s="1"/>
  <c r="F16" i="3"/>
  <c r="G16" i="3" s="1"/>
  <c r="Q16" i="3" s="1"/>
  <c r="F15" i="3"/>
  <c r="G15" i="3" s="1"/>
  <c r="Q15" i="3" s="1"/>
  <c r="G60" i="3"/>
  <c r="Q60" i="3" s="1"/>
  <c r="L47" i="3"/>
  <c r="O47" i="3"/>
  <c r="L48" i="3"/>
  <c r="O48" i="3"/>
  <c r="L49" i="3"/>
  <c r="O49" i="3"/>
  <c r="L50" i="3"/>
  <c r="O50" i="3"/>
  <c r="L51" i="3"/>
  <c r="O51" i="3"/>
  <c r="L52" i="3"/>
  <c r="O52" i="3"/>
  <c r="L53" i="3"/>
  <c r="O53" i="3"/>
  <c r="L54" i="3"/>
  <c r="O54" i="3"/>
  <c r="L55" i="3"/>
  <c r="O55" i="3"/>
  <c r="L56" i="3"/>
  <c r="O56" i="3"/>
  <c r="L57" i="3"/>
  <c r="O57" i="3"/>
  <c r="L58" i="3"/>
  <c r="O58" i="3"/>
  <c r="L59" i="3"/>
  <c r="O59" i="3"/>
  <c r="L60" i="3"/>
  <c r="O60" i="3"/>
  <c r="L31" i="3"/>
  <c r="O31" i="3"/>
  <c r="L32" i="3"/>
  <c r="O32" i="3"/>
  <c r="L33" i="3"/>
  <c r="O33" i="3"/>
  <c r="L34" i="3"/>
  <c r="O34" i="3"/>
  <c r="L35" i="3"/>
  <c r="O35" i="3"/>
  <c r="L36" i="3"/>
  <c r="O36" i="3"/>
  <c r="L37" i="3"/>
  <c r="O37" i="3"/>
  <c r="L38" i="3"/>
  <c r="O38" i="3"/>
  <c r="L39" i="3"/>
  <c r="O39" i="3"/>
  <c r="L40" i="3"/>
  <c r="O40" i="3"/>
  <c r="L41" i="3"/>
  <c r="O41" i="3"/>
  <c r="L42" i="3"/>
  <c r="O42" i="3"/>
  <c r="L43" i="3"/>
  <c r="O43" i="3"/>
  <c r="L44" i="3"/>
  <c r="O44" i="3"/>
  <c r="L45" i="3"/>
  <c r="O45" i="3"/>
  <c r="L46" i="3"/>
  <c r="O46" i="3"/>
  <c r="G22" i="3"/>
  <c r="Q22" i="3" s="1"/>
  <c r="G28" i="3"/>
  <c r="Q28" i="3" s="1"/>
  <c r="G29" i="3"/>
  <c r="Q29" i="3" s="1"/>
  <c r="G25" i="3"/>
  <c r="Q25" i="3" s="1"/>
  <c r="G26" i="3"/>
  <c r="Q26" i="3" s="1"/>
  <c r="G27" i="3"/>
  <c r="Q27" i="3" s="1"/>
  <c r="G30" i="3"/>
  <c r="Q30" i="3" s="1"/>
  <c r="G31" i="3"/>
  <c r="Q31" i="3" s="1"/>
  <c r="G32" i="3"/>
  <c r="Q32" i="3" s="1"/>
  <c r="G33" i="3"/>
  <c r="Q33" i="3" s="1"/>
  <c r="G34" i="3"/>
  <c r="Q34" i="3" s="1"/>
  <c r="G35" i="3"/>
  <c r="Q35" i="3" s="1"/>
  <c r="G36" i="3"/>
  <c r="Q36" i="3" s="1"/>
  <c r="G37" i="3"/>
  <c r="Q37" i="3" s="1"/>
  <c r="G38" i="3"/>
  <c r="Q38" i="3" s="1"/>
  <c r="G39" i="3"/>
  <c r="Q39" i="3" s="1"/>
  <c r="G40" i="3"/>
  <c r="Q40" i="3" s="1"/>
  <c r="G41" i="3"/>
  <c r="Q41" i="3" s="1"/>
  <c r="G42" i="3"/>
  <c r="Q42" i="3" s="1"/>
  <c r="G43" i="3"/>
  <c r="Q43" i="3" s="1"/>
  <c r="G44" i="3"/>
  <c r="Q44" i="3" s="1"/>
  <c r="G45" i="3"/>
  <c r="Q45" i="3" s="1"/>
  <c r="G46" i="3"/>
  <c r="Q46" i="3" s="1"/>
  <c r="G47" i="3"/>
  <c r="Q47" i="3" s="1"/>
  <c r="G48" i="3"/>
  <c r="Q48" i="3" s="1"/>
  <c r="G49" i="3"/>
  <c r="Q49" i="3" s="1"/>
  <c r="G50" i="3"/>
  <c r="Q50" i="3" s="1"/>
  <c r="G51" i="3"/>
  <c r="Q51" i="3" s="1"/>
  <c r="G52" i="3"/>
  <c r="Q52" i="3" s="1"/>
  <c r="G53" i="3"/>
  <c r="Q53" i="3" s="1"/>
  <c r="G54" i="3"/>
  <c r="Q54" i="3" s="1"/>
  <c r="G55" i="3"/>
  <c r="Q55" i="3" s="1"/>
  <c r="G56" i="3"/>
  <c r="Q56" i="3" s="1"/>
  <c r="G57" i="3"/>
  <c r="Q57" i="3" s="1"/>
  <c r="G58" i="3"/>
  <c r="Q58" i="3" s="1"/>
  <c r="G59" i="3"/>
  <c r="Q59" i="3" s="1"/>
  <c r="I31" i="3"/>
  <c r="I32" i="3"/>
  <c r="I33" i="3"/>
  <c r="I34" i="3"/>
  <c r="I35" i="3"/>
  <c r="I37" i="3"/>
  <c r="I38" i="3"/>
  <c r="I39" i="3"/>
  <c r="I40" i="3"/>
  <c r="I42" i="3"/>
  <c r="I43" i="3"/>
  <c r="I45" i="3"/>
  <c r="F5" i="3"/>
  <c r="F7" i="3"/>
  <c r="R61" i="3" l="1"/>
  <c r="S61" i="3" s="1"/>
  <c r="U61" i="3" s="1"/>
  <c r="R45" i="3"/>
  <c r="S45" i="3" s="1"/>
  <c r="U45" i="3" s="1"/>
  <c r="R41" i="3"/>
  <c r="S41" i="3" s="1"/>
  <c r="U41" i="3" s="1"/>
  <c r="R22" i="3"/>
  <c r="S22" i="3" s="1"/>
  <c r="U22" i="3" s="1"/>
  <c r="R46" i="3"/>
  <c r="S46" i="3" s="1"/>
  <c r="U46" i="3" s="1"/>
  <c r="R44" i="3"/>
  <c r="S44" i="3" s="1"/>
  <c r="U44" i="3" s="1"/>
  <c r="R42" i="3"/>
  <c r="S42" i="3" s="1"/>
  <c r="U42" i="3" s="1"/>
  <c r="R40" i="3"/>
  <c r="S40" i="3" s="1"/>
  <c r="U40" i="3" s="1"/>
  <c r="R38" i="3"/>
  <c r="S38" i="3" s="1"/>
  <c r="U38" i="3" s="1"/>
  <c r="R36" i="3"/>
  <c r="S36" i="3" s="1"/>
  <c r="U36" i="3" s="1"/>
  <c r="R34" i="3"/>
  <c r="S34" i="3" s="1"/>
  <c r="U34" i="3" s="1"/>
  <c r="R32" i="3"/>
  <c r="S32" i="3" s="1"/>
  <c r="U32" i="3" s="1"/>
  <c r="R60" i="3"/>
  <c r="S60" i="3" s="1"/>
  <c r="U60" i="3" s="1"/>
  <c r="R58" i="3"/>
  <c r="S58" i="3" s="1"/>
  <c r="U58" i="3" s="1"/>
  <c r="R56" i="3"/>
  <c r="S56" i="3" s="1"/>
  <c r="U56" i="3" s="1"/>
  <c r="R54" i="3"/>
  <c r="S54" i="3" s="1"/>
  <c r="U54" i="3" s="1"/>
  <c r="R52" i="3"/>
  <c r="S52" i="3" s="1"/>
  <c r="U52" i="3" s="1"/>
  <c r="R50" i="3"/>
  <c r="S50" i="3" s="1"/>
  <c r="U50" i="3" s="1"/>
  <c r="R49" i="3"/>
  <c r="S49" i="3" s="1"/>
  <c r="U49" i="3" s="1"/>
  <c r="R47" i="3"/>
  <c r="S47" i="3" s="1"/>
  <c r="U47" i="3" s="1"/>
  <c r="R29" i="3"/>
  <c r="S29" i="3" s="1"/>
  <c r="U29" i="3" s="1"/>
  <c r="R43" i="3"/>
  <c r="S43" i="3" s="1"/>
  <c r="U43" i="3" s="1"/>
  <c r="R39" i="3"/>
  <c r="S39" i="3" s="1"/>
  <c r="U39" i="3" s="1"/>
  <c r="R37" i="3"/>
  <c r="S37" i="3" s="1"/>
  <c r="U37" i="3" s="1"/>
  <c r="R35" i="3"/>
  <c r="S35" i="3" s="1"/>
  <c r="U35" i="3" s="1"/>
  <c r="R33" i="3"/>
  <c r="S33" i="3" s="1"/>
  <c r="U33" i="3" s="1"/>
  <c r="R31" i="3"/>
  <c r="S31" i="3" s="1"/>
  <c r="U31" i="3" s="1"/>
  <c r="R59" i="3"/>
  <c r="S59" i="3" s="1"/>
  <c r="U59" i="3" s="1"/>
  <c r="R57" i="3"/>
  <c r="S57" i="3" s="1"/>
  <c r="U57" i="3" s="1"/>
  <c r="R55" i="3"/>
  <c r="S55" i="3" s="1"/>
  <c r="U55" i="3" s="1"/>
  <c r="R53" i="3"/>
  <c r="S53" i="3" s="1"/>
  <c r="U53" i="3" s="1"/>
  <c r="R51" i="3"/>
  <c r="S51" i="3" s="1"/>
  <c r="U51" i="3" s="1"/>
  <c r="R48" i="3"/>
  <c r="S48" i="3" s="1"/>
  <c r="U48" i="3" s="1"/>
  <c r="R28" i="3"/>
  <c r="S28" i="3" s="1"/>
  <c r="U28" i="3" s="1"/>
  <c r="E11" i="5"/>
  <c r="H11" i="5"/>
  <c r="J11" i="5"/>
  <c r="K11" i="5" l="1"/>
  <c r="L11" i="5" s="1"/>
  <c r="E7" i="5"/>
  <c r="H7" i="5"/>
  <c r="J7" i="5"/>
  <c r="E8" i="5"/>
  <c r="H8" i="5"/>
  <c r="J8" i="5"/>
  <c r="E9" i="5"/>
  <c r="H9" i="5"/>
  <c r="J9" i="5"/>
  <c r="E10" i="5"/>
  <c r="H10" i="5"/>
  <c r="J10" i="5"/>
  <c r="F14" i="3"/>
  <c r="F12" i="3"/>
  <c r="E6" i="5"/>
  <c r="H6" i="5"/>
  <c r="J6" i="5"/>
  <c r="E4" i="6"/>
  <c r="E5" i="6"/>
  <c r="E6" i="6"/>
  <c r="K4" i="6"/>
  <c r="K5" i="6"/>
  <c r="K6" i="6"/>
  <c r="K8" i="6"/>
  <c r="M4" i="6"/>
  <c r="M5" i="6"/>
  <c r="M6" i="6"/>
  <c r="M8" i="6"/>
  <c r="D9" i="6"/>
  <c r="E9" i="6" l="1"/>
  <c r="M9" i="6"/>
  <c r="K8" i="5"/>
  <c r="L8" i="5" s="1"/>
  <c r="N8" i="5" s="1"/>
  <c r="K7" i="5"/>
  <c r="L7" i="5" s="1"/>
  <c r="N7" i="5" s="1"/>
  <c r="K6" i="5"/>
  <c r="K9" i="5"/>
  <c r="L9" i="5"/>
  <c r="N9" i="5" s="1"/>
  <c r="K10" i="5"/>
  <c r="L10" i="5" s="1"/>
  <c r="N10" i="5" s="1"/>
  <c r="N11" i="5"/>
  <c r="L6" i="5"/>
  <c r="N6" i="5" s="1"/>
  <c r="K9" i="6"/>
  <c r="L12" i="6" s="1"/>
  <c r="L6" i="3"/>
  <c r="O6" i="3"/>
  <c r="L7" i="3"/>
  <c r="O7" i="3"/>
  <c r="L8" i="3"/>
  <c r="O8" i="3"/>
  <c r="L9" i="3"/>
  <c r="O9" i="3"/>
  <c r="L10" i="3"/>
  <c r="O10" i="3"/>
  <c r="L11" i="3"/>
  <c r="O11" i="3"/>
  <c r="L12" i="3"/>
  <c r="O12" i="3"/>
  <c r="L13" i="3"/>
  <c r="O13" i="3"/>
  <c r="L14" i="3"/>
  <c r="O14" i="3"/>
  <c r="L15" i="3"/>
  <c r="O15" i="3"/>
  <c r="L16" i="3"/>
  <c r="O16" i="3"/>
  <c r="L17" i="3"/>
  <c r="O17" i="3"/>
  <c r="L18" i="3"/>
  <c r="O18" i="3"/>
  <c r="L19" i="3"/>
  <c r="O19" i="3"/>
  <c r="L20" i="3"/>
  <c r="O20" i="3"/>
  <c r="L21" i="3"/>
  <c r="O21" i="3"/>
  <c r="L23" i="3"/>
  <c r="O23" i="3"/>
  <c r="L24" i="3"/>
  <c r="O24" i="3"/>
  <c r="L25" i="3"/>
  <c r="O25" i="3"/>
  <c r="L26" i="3"/>
  <c r="O26" i="3"/>
  <c r="L27" i="3"/>
  <c r="O27" i="3"/>
  <c r="L30" i="3"/>
  <c r="O30" i="3"/>
  <c r="F10" i="3"/>
  <c r="G10" i="3" s="1"/>
  <c r="Q10" i="3" s="1"/>
  <c r="F9" i="3"/>
  <c r="G9" i="3" s="1"/>
  <c r="Q9" i="3" s="1"/>
  <c r="F8" i="3"/>
  <c r="G8" i="3" s="1"/>
  <c r="Q8" i="3" s="1"/>
  <c r="G7" i="3"/>
  <c r="Q7" i="3" s="1"/>
  <c r="F6" i="3"/>
  <c r="I6" i="3"/>
  <c r="I7" i="3"/>
  <c r="I8" i="3"/>
  <c r="I9" i="3"/>
  <c r="I11" i="3"/>
  <c r="I12" i="3"/>
  <c r="I13" i="3"/>
  <c r="I14" i="3"/>
  <c r="I15" i="3"/>
  <c r="I16" i="3"/>
  <c r="I17" i="3"/>
  <c r="I18" i="3"/>
  <c r="I19" i="3"/>
  <c r="I20" i="3"/>
  <c r="I21" i="3"/>
  <c r="I23" i="3"/>
  <c r="I24" i="3"/>
  <c r="I25" i="3"/>
  <c r="I26" i="3"/>
  <c r="I27" i="3"/>
  <c r="I46" i="3"/>
  <c r="G11" i="3"/>
  <c r="Q11" i="3" s="1"/>
  <c r="G12" i="3"/>
  <c r="Q12" i="3" s="1"/>
  <c r="G13" i="3"/>
  <c r="Q13" i="3" s="1"/>
  <c r="G14" i="3"/>
  <c r="Q14" i="3" s="1"/>
  <c r="R26" i="3" l="1"/>
  <c r="S26" i="3" s="1"/>
  <c r="U26" i="3" s="1"/>
  <c r="R21" i="3"/>
  <c r="S21" i="3" s="1"/>
  <c r="U21" i="3" s="1"/>
  <c r="F62" i="3"/>
  <c r="R30" i="3"/>
  <c r="S30" i="3" s="1"/>
  <c r="U30" i="3" s="1"/>
  <c r="R24" i="3"/>
  <c r="S24" i="3" s="1"/>
  <c r="U24" i="3" s="1"/>
  <c r="R19" i="3"/>
  <c r="S19" i="3" s="1"/>
  <c r="U19" i="3" s="1"/>
  <c r="R17" i="3"/>
  <c r="S17" i="3" s="1"/>
  <c r="U17" i="3" s="1"/>
  <c r="R15" i="3"/>
  <c r="S15" i="3" s="1"/>
  <c r="U15" i="3" s="1"/>
  <c r="R13" i="3"/>
  <c r="S13" i="3" s="1"/>
  <c r="U13" i="3" s="1"/>
  <c r="R9" i="3"/>
  <c r="S9" i="3" s="1"/>
  <c r="U9" i="3" s="1"/>
  <c r="R7" i="3"/>
  <c r="S7" i="3" s="1"/>
  <c r="U7" i="3" s="1"/>
  <c r="R11" i="3"/>
  <c r="S11" i="3" s="1"/>
  <c r="U11" i="3" s="1"/>
  <c r="R27" i="3"/>
  <c r="S27" i="3" s="1"/>
  <c r="U27" i="3" s="1"/>
  <c r="R25" i="3"/>
  <c r="S25" i="3" s="1"/>
  <c r="U25" i="3" s="1"/>
  <c r="R23" i="3"/>
  <c r="S23" i="3" s="1"/>
  <c r="U23" i="3" s="1"/>
  <c r="R20" i="3"/>
  <c r="S20" i="3" s="1"/>
  <c r="U20" i="3" s="1"/>
  <c r="R18" i="3"/>
  <c r="S18" i="3" s="1"/>
  <c r="U18" i="3" s="1"/>
  <c r="R16" i="3"/>
  <c r="S16" i="3" s="1"/>
  <c r="U16" i="3" s="1"/>
  <c r="R14" i="3"/>
  <c r="S14" i="3" s="1"/>
  <c r="U14" i="3" s="1"/>
  <c r="R12" i="3"/>
  <c r="S12" i="3" s="1"/>
  <c r="U12" i="3" s="1"/>
  <c r="R10" i="3"/>
  <c r="S10" i="3" s="1"/>
  <c r="U10" i="3" s="1"/>
  <c r="R8" i="3"/>
  <c r="S8" i="3" s="1"/>
  <c r="U8" i="3" s="1"/>
  <c r="G6" i="3"/>
  <c r="Q6" i="3" s="1"/>
  <c r="R6" i="3" s="1"/>
  <c r="S6" i="3" l="1"/>
  <c r="U6" i="3" s="1"/>
  <c r="I5" i="3"/>
  <c r="L5" i="3" l="1"/>
  <c r="G5" i="3"/>
  <c r="Q5" i="3" l="1"/>
  <c r="G62" i="3"/>
  <c r="R5" i="3"/>
  <c r="S5" i="3" s="1"/>
  <c r="U5" i="3" s="1"/>
  <c r="J5" i="5"/>
  <c r="J12" i="5" s="1"/>
  <c r="H5" i="5"/>
  <c r="E5" i="5"/>
  <c r="S62" i="3" l="1"/>
  <c r="R62" i="3"/>
  <c r="K5" i="5"/>
  <c r="L5" i="5" l="1"/>
  <c r="K12" i="5"/>
  <c r="Q62" i="3"/>
  <c r="U62" i="3"/>
  <c r="L13" i="6" s="1"/>
  <c r="O17" i="6" l="1"/>
  <c r="O15" i="6"/>
  <c r="O16" i="6"/>
  <c r="N5" i="5"/>
  <c r="N12" i="5" s="1"/>
  <c r="N14" i="5" s="1"/>
  <c r="L14" i="6" s="1"/>
  <c r="L12" i="5"/>
  <c r="O18" i="6" l="1"/>
  <c r="O19" i="6" s="1"/>
  <c r="M14" i="6" s="1"/>
  <c r="L16" i="6" l="1"/>
  <c r="L17" i="6" s="1"/>
  <c r="L19" i="6" s="1"/>
  <c r="L18" i="6" l="1"/>
</calcChain>
</file>

<file path=xl/sharedStrings.xml><?xml version="1.0" encoding="utf-8"?>
<sst xmlns="http://schemas.openxmlformats.org/spreadsheetml/2006/main" count="350" uniqueCount="190">
  <si>
    <t>Discription</t>
  </si>
  <si>
    <t>Total</t>
  </si>
  <si>
    <t>Rate Range</t>
  </si>
  <si>
    <t>Discount</t>
  </si>
  <si>
    <t>Remarks:</t>
  </si>
  <si>
    <t>SR. No.</t>
  </si>
  <si>
    <t>Particulars</t>
  </si>
  <si>
    <t>Type of Structure</t>
  </si>
  <si>
    <r>
      <t xml:space="preserve">Area 
</t>
    </r>
    <r>
      <rPr>
        <b/>
        <i/>
        <sz val="10"/>
        <rFont val="Calibri"/>
        <family val="2"/>
        <scheme val="minor"/>
      </rPr>
      <t>(in sq.mt.)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</si>
  <si>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</si>
  <si>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</si>
  <si>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t>Year of Construction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</si>
  <si>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</si>
  <si>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</si>
  <si>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</si>
  <si>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</si>
  <si>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</si>
  <si>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</si>
  <si>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</si>
  <si>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>Depreciation amount
(INR)</t>
  </si>
  <si>
    <t>Discounting Factor</t>
  </si>
  <si>
    <t>Depreciated Replacement Market Value
(INR)</t>
  </si>
  <si>
    <t>2. Construction year of the building is taken as per the details mentioned by the owner's representative.</t>
  </si>
  <si>
    <r>
      <t>4.</t>
    </r>
    <r>
      <rPr>
        <b/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</si>
  <si>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</si>
  <si>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</si>
  <si>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</si>
  <si>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 xml:space="preserve">Depreciation
(INR) </t>
  </si>
  <si>
    <t>Depreciated Value
(INR)</t>
  </si>
  <si>
    <r>
      <t xml:space="preserve">3. </t>
    </r>
    <r>
      <rPr>
        <b/>
        <i/>
        <sz val="10"/>
        <color theme="1"/>
        <rFont val="Calibri"/>
        <family val="2"/>
        <scheme val="minor"/>
      </rPr>
      <t>All the structure that has been taken as per site survey measurment and approved map.</t>
    </r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</si>
  <si>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pertaining to the building area statement such as area, floor,type of structure, age of the building etc. has been taken as per the Site Survey.</t>
    </r>
  </si>
  <si>
    <t>Floor</t>
  </si>
  <si>
    <r>
      <t xml:space="preserve">Height </t>
    </r>
    <r>
      <rPr>
        <b/>
        <i/>
        <sz val="10"/>
        <rFont val="Calibri"/>
        <family val="2"/>
        <scheme val="minor"/>
      </rPr>
      <t>(in mtr.)</t>
    </r>
  </si>
  <si>
    <t>RCC + Shed</t>
  </si>
  <si>
    <t>Premium</t>
  </si>
  <si>
    <t>Token Room</t>
  </si>
  <si>
    <t>RCC</t>
  </si>
  <si>
    <t>Storage Yard</t>
  </si>
  <si>
    <t>Security Room</t>
  </si>
  <si>
    <t>Shed</t>
  </si>
  <si>
    <t>Flooring</t>
  </si>
  <si>
    <t>RCC and Bricks</t>
  </si>
  <si>
    <t>Cane Yard 1</t>
  </si>
  <si>
    <t>Cane Yard 2</t>
  </si>
  <si>
    <t>BUILDING VALUATION FOR M/S. TIRUPATI SUGAR LIMITED</t>
  </si>
  <si>
    <t xml:space="preserve">1 Khatha </t>
  </si>
  <si>
    <t>20 Dhoor</t>
  </si>
  <si>
    <t>1 acre</t>
  </si>
  <si>
    <t>12 Katha</t>
  </si>
  <si>
    <t>1 katha</t>
  </si>
  <si>
    <t>1 Dhoor</t>
  </si>
  <si>
    <t>165.54 Sq. ft.</t>
  </si>
  <si>
    <t>3250 sq.ft.</t>
  </si>
  <si>
    <t>7.5 bismil</t>
  </si>
  <si>
    <t>Mauza</t>
  </si>
  <si>
    <t>Type of land</t>
  </si>
  <si>
    <t>Area of land(Decimal)</t>
  </si>
  <si>
    <t>Govt. rate of land in Decimal</t>
  </si>
  <si>
    <t>Value of land As. Per govt. rate in Rs.</t>
  </si>
  <si>
    <t>Adopted rate of valuation As per Market Rate in Rs.</t>
  </si>
  <si>
    <t>Market Value of land in Rs.</t>
  </si>
  <si>
    <t>Naraipur</t>
  </si>
  <si>
    <t>Naurangia</t>
  </si>
  <si>
    <t>Sidhaw</t>
  </si>
  <si>
    <t>Sirauna</t>
  </si>
  <si>
    <t>Rampur</t>
  </si>
  <si>
    <t>Residential</t>
  </si>
  <si>
    <t>Residential Prime Road</t>
  </si>
  <si>
    <t>commercial</t>
  </si>
  <si>
    <t>Agriculture</t>
  </si>
  <si>
    <t>commercial Branch Road</t>
  </si>
  <si>
    <t xml:space="preserve">Basic rate </t>
  </si>
  <si>
    <t>Area of land(Acre)</t>
  </si>
  <si>
    <t>Cane Yard 3</t>
  </si>
  <si>
    <t>Colony</t>
  </si>
  <si>
    <t>Cane Office</t>
  </si>
  <si>
    <t>Block C</t>
  </si>
  <si>
    <t>Block A</t>
  </si>
  <si>
    <t>Mill Building</t>
  </si>
  <si>
    <t>ETP</t>
  </si>
  <si>
    <t>plant</t>
  </si>
  <si>
    <t>Jamabandi No.</t>
  </si>
  <si>
    <t>Kata No.</t>
  </si>
  <si>
    <t>Khesra No.</t>
  </si>
  <si>
    <t>Area of Land (Dicimal)</t>
  </si>
  <si>
    <t>Remark</t>
  </si>
  <si>
    <t>328, 329, 330</t>
  </si>
  <si>
    <t>07</t>
  </si>
  <si>
    <t>04</t>
  </si>
  <si>
    <t>02</t>
  </si>
  <si>
    <t>474, 450, 473</t>
  </si>
  <si>
    <t>462, 464</t>
  </si>
  <si>
    <t>468, 469</t>
  </si>
  <si>
    <t>447, 449</t>
  </si>
  <si>
    <t>946, 967</t>
  </si>
  <si>
    <t>364, 496</t>
  </si>
  <si>
    <t>Total Area of Land-6061 Decimal</t>
  </si>
  <si>
    <t>Details of Land Survey/ Gatta/ Khatta/ Khesra No. &amp; Area (Sugar Mill Area)</t>
  </si>
  <si>
    <t>Details of Land Survey/ Gatta / Khatta/ Khesra No. &amp; Area (Other than Sugar Mill Area)</t>
  </si>
  <si>
    <t>Deed No./ Date</t>
  </si>
  <si>
    <t>Khata No.</t>
  </si>
  <si>
    <t>312/ 20</t>
  </si>
  <si>
    <t>Cane Centre</t>
  </si>
  <si>
    <t>125, 126, 127</t>
  </si>
  <si>
    <t>156/ 17</t>
  </si>
  <si>
    <t>98/2/17, 98/2/16</t>
  </si>
  <si>
    <t>Agriculture Land</t>
  </si>
  <si>
    <t>24/3</t>
  </si>
  <si>
    <t>Farm house &amp; Orchard</t>
  </si>
  <si>
    <t>Details Of Purchased Land in 2011</t>
  </si>
  <si>
    <t>647/ 02-02-2011</t>
  </si>
  <si>
    <t>2336/10-02-2011</t>
  </si>
  <si>
    <t>2339/10-02-2011</t>
  </si>
  <si>
    <t>9828/14-02-2011</t>
  </si>
  <si>
    <t>2765/17-02-2011</t>
  </si>
  <si>
    <t>5/493</t>
  </si>
  <si>
    <t>1001/21-02/2011</t>
  </si>
  <si>
    <t>900, 901</t>
  </si>
  <si>
    <t>1519/11-03-2011</t>
  </si>
  <si>
    <t>1610/15-03-2011</t>
  </si>
  <si>
    <t>Total Purchased Land</t>
  </si>
  <si>
    <t>Decimal</t>
  </si>
  <si>
    <t>Cane Carrier</t>
  </si>
  <si>
    <t>Mill House</t>
  </si>
  <si>
    <t>Panel Room (Gf+Ff+Sf)</t>
  </si>
  <si>
    <t>Power House (Rcc)</t>
  </si>
  <si>
    <t>Power House (Shed)</t>
  </si>
  <si>
    <t>Boiler House</t>
  </si>
  <si>
    <t>DM water plant</t>
  </si>
  <si>
    <t>Boiling House</t>
  </si>
  <si>
    <t>Sugar House</t>
  </si>
  <si>
    <t>Lime House &amp; Lime Sulphur Godown</t>
  </si>
  <si>
    <t>Sugar Godown</t>
  </si>
  <si>
    <t>Flooring in bagas area</t>
  </si>
  <si>
    <t>Cooling tower &amp; room</t>
  </si>
  <si>
    <t>Weight Bridges Room</t>
  </si>
  <si>
    <t>Spray Tank</t>
  </si>
  <si>
    <t>Pump Room</t>
  </si>
  <si>
    <t>Generator Room</t>
  </si>
  <si>
    <t>Token Room (Gf + ff)</t>
  </si>
  <si>
    <t>Colony Paper Plant(Gf + ff)</t>
  </si>
  <si>
    <t>Tank</t>
  </si>
  <si>
    <t>-</t>
  </si>
  <si>
    <t>Sugar Godown-1</t>
  </si>
  <si>
    <t>Sugar Godown-2</t>
  </si>
  <si>
    <t>Sugar Godown-3</t>
  </si>
  <si>
    <t>Switch Yard</t>
  </si>
  <si>
    <t>Sugar Sale Office</t>
  </si>
  <si>
    <t>Mill House (Shed after Fibrizor)</t>
  </si>
  <si>
    <t>Canteen</t>
  </si>
  <si>
    <t>MD Kothi (Gf+Ff)</t>
  </si>
  <si>
    <t>Security Room (Gf+Ff+Sf)</t>
  </si>
  <si>
    <t>Administrative Office (Gf+Ff+Sf)</t>
  </si>
  <si>
    <t>Hall (Gf+Ff+Sf)</t>
  </si>
  <si>
    <t>Hall (Gf+Ff+Sf+Tf)</t>
  </si>
  <si>
    <t>IT Office (Gf+Ff)</t>
  </si>
  <si>
    <t>Guest House &amp; Other VIP Rooms</t>
  </si>
  <si>
    <t>Labour Qtr. Block - D</t>
  </si>
  <si>
    <t>Single Stories Qtrs.</t>
  </si>
  <si>
    <t>New Double Storied Qtrs.</t>
  </si>
  <si>
    <t>1 BHK Building(G+3)</t>
  </si>
  <si>
    <t>1 BHK Building(G+1)</t>
  </si>
  <si>
    <t>1 Room Set Building</t>
  </si>
  <si>
    <t>Colony Cane office</t>
  </si>
  <si>
    <t>Huts Near Cane yard</t>
  </si>
  <si>
    <t>Huts opp. Cane yard</t>
  </si>
  <si>
    <t>Office Complex, Work Shop &amp; Account Office</t>
  </si>
  <si>
    <t>7.7 Dismil</t>
  </si>
  <si>
    <t>Dhoor</t>
  </si>
  <si>
    <t>Babli ji</t>
  </si>
  <si>
    <t>1-1.25 lakh per dhoor</t>
  </si>
  <si>
    <t>on road Commercial land</t>
  </si>
  <si>
    <t>2,00,000-3,00,000</t>
  </si>
  <si>
    <t>Depreciation</t>
  </si>
  <si>
    <t>Land</t>
  </si>
  <si>
    <t>Building</t>
  </si>
  <si>
    <t>Buoubdary wall</t>
  </si>
  <si>
    <t>Asthetic</t>
  </si>
  <si>
    <t>Round</t>
  </si>
  <si>
    <t>Dis</t>
  </si>
  <si>
    <t>Ria</t>
  </si>
  <si>
    <t>Roundoff</t>
  </si>
  <si>
    <t>1 Room Set Bldg(Semi complete)</t>
  </si>
  <si>
    <t>Brick</t>
  </si>
  <si>
    <t>Brick + Shed</t>
  </si>
  <si>
    <t xml:space="preserve">Brick </t>
  </si>
  <si>
    <t>Kotaraha</t>
  </si>
  <si>
    <t>Naurangai</t>
  </si>
  <si>
    <t>Deed</t>
  </si>
  <si>
    <t>As per the TIR, the total land area is 86.29 acre purchased through 18 nos. sale deed. However, only 8 sale deeds have been provided covering total area of xcxxxxx acre. Total area, however has been given in TIR is considered for the valuation purpose.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</si>
</sst>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0.000"/>
    <numFmt numFmtId="167" formatCode="0.0000"/>
    <numFmt numFmtId="168" formatCode="_ &quot;₹&quot;\ * #,##0_ ;_ &quot;₹&quot;\ * \-#,##0_ ;_ &quot;₹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CE6F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43" fontId="0" fillId="0" borderId="0" xfId="0" applyNumberFormat="1"/>
    <xf numFmtId="165" fontId="1" fillId="0" borderId="1" xfId="1" applyNumberFormat="1" applyFont="1" applyBorder="1" applyAlignment="1">
      <alignment horizontal="center" vertical="center"/>
    </xf>
    <xf numFmtId="10" fontId="1" fillId="0" borderId="1" xfId="2" applyNumberFormat="1" applyBorder="1" applyAlignment="1">
      <alignment horizontal="center" vertical="center"/>
    </xf>
    <xf numFmtId="164" fontId="0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Continuous" vertical="center" wrapText="1"/>
    </xf>
    <xf numFmtId="0" fontId="5" fillId="6" borderId="3" xfId="0" applyFont="1" applyFill="1" applyBorder="1" applyAlignment="1">
      <alignment horizontal="centerContinuous" vertical="center" wrapText="1"/>
    </xf>
    <xf numFmtId="0" fontId="5" fillId="6" borderId="4" xfId="0" applyFont="1" applyFill="1" applyBorder="1" applyAlignment="1">
      <alignment horizontal="centerContinuous" vertical="center" wrapText="1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8" fontId="0" fillId="0" borderId="1" xfId="5" applyNumberFormat="1" applyFont="1" applyBorder="1" applyAlignment="1">
      <alignment horizontal="center" vertical="center"/>
    </xf>
    <xf numFmtId="9" fontId="0" fillId="0" borderId="1" xfId="4" applyFont="1" applyBorder="1" applyAlignment="1">
      <alignment horizontal="center" vertical="center"/>
    </xf>
    <xf numFmtId="0" fontId="2" fillId="0" borderId="1" xfId="0" applyFont="1" applyBorder="1"/>
    <xf numFmtId="168" fontId="2" fillId="0" borderId="1" xfId="0" applyNumberFormat="1" applyFont="1" applyBorder="1"/>
    <xf numFmtId="43" fontId="0" fillId="0" borderId="1" xfId="1" applyFont="1" applyBorder="1"/>
    <xf numFmtId="164" fontId="0" fillId="0" borderId="0" xfId="1" applyNumberFormat="1" applyFont="1"/>
    <xf numFmtId="1" fontId="8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/>
    <xf numFmtId="0" fontId="0" fillId="4" borderId="1" xfId="0" applyFill="1" applyBorder="1"/>
    <xf numFmtId="164" fontId="2" fillId="4" borderId="1" xfId="1" applyNumberFormat="1" applyFont="1" applyFill="1" applyBorder="1"/>
    <xf numFmtId="43" fontId="2" fillId="4" borderId="1" xfId="1" applyFont="1" applyFill="1" applyBorder="1"/>
    <xf numFmtId="0" fontId="0" fillId="2" borderId="1" xfId="0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quotePrefix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left"/>
    </xf>
    <xf numFmtId="16" fontId="0" fillId="0" borderId="1" xfId="0" quotePrefix="1" applyNumberFormat="1" applyBorder="1"/>
    <xf numFmtId="2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166" fontId="2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9" fontId="8" fillId="2" borderId="1" xfId="0" applyNumberFormat="1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43" fontId="0" fillId="0" borderId="0" xfId="1" applyFont="1"/>
    <xf numFmtId="164" fontId="0" fillId="0" borderId="1" xfId="0" applyNumberFormat="1" applyBorder="1"/>
    <xf numFmtId="1" fontId="0" fillId="2" borderId="1" xfId="0" applyNumberFormat="1" applyFill="1" applyBorder="1" applyAlignment="1">
      <alignment horizontal="center" vertical="center"/>
    </xf>
    <xf numFmtId="168" fontId="0" fillId="0" borderId="0" xfId="0" applyNumberFormat="1"/>
    <xf numFmtId="0" fontId="2" fillId="5" borderId="1" xfId="0" applyFont="1" applyFill="1" applyBorder="1"/>
    <xf numFmtId="164" fontId="2" fillId="8" borderId="1" xfId="0" applyNumberFormat="1" applyFont="1" applyFill="1" applyBorder="1"/>
    <xf numFmtId="164" fontId="2" fillId="8" borderId="1" xfId="1" applyNumberFormat="1" applyFont="1" applyFill="1" applyBorder="1"/>
    <xf numFmtId="164" fontId="0" fillId="0" borderId="0" xfId="0" applyNumberFormat="1"/>
    <xf numFmtId="164" fontId="2" fillId="5" borderId="1" xfId="1" applyNumberFormat="1" applyFont="1" applyFill="1" applyBorder="1"/>
    <xf numFmtId="168" fontId="0" fillId="5" borderId="1" xfId="5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164" fontId="0" fillId="0" borderId="1" xfId="1" applyNumberFormat="1" applyFont="1" applyFill="1" applyBorder="1"/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4" fontId="12" fillId="9" borderId="10" xfId="0" applyNumberFormat="1" applyFont="1" applyFill="1" applyBorder="1" applyAlignment="1">
      <alignment horizontal="center" vertical="center"/>
    </xf>
    <xf numFmtId="43" fontId="11" fillId="0" borderId="10" xfId="1" applyFont="1" applyBorder="1" applyAlignment="1">
      <alignment horizontal="center" vertical="center"/>
    </xf>
    <xf numFmtId="43" fontId="12" fillId="9" borderId="10" xfId="1" applyFont="1" applyFill="1" applyBorder="1" applyAlignment="1">
      <alignment horizontal="center" vertical="center"/>
    </xf>
    <xf numFmtId="0" fontId="0" fillId="5" borderId="0" xfId="0" applyFill="1"/>
    <xf numFmtId="164" fontId="1" fillId="2" borderId="1" xfId="3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/>
    <xf numFmtId="9" fontId="0" fillId="0" borderId="1" xfId="4" applyFont="1" applyBorder="1"/>
    <xf numFmtId="0" fontId="13" fillId="0" borderId="0" xfId="0" applyFont="1" applyAlignment="1">
      <alignment horizontal="justify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</cellXfs>
  <cellStyles count="6">
    <cellStyle name="Comma" xfId="1" builtinId="3"/>
    <cellStyle name="Comma 3" xfId="3"/>
    <cellStyle name="Currency" xfId="5" builtinId="4"/>
    <cellStyle name="Normal" xfId="0" builtinId="0"/>
    <cellStyle name="Normal 2 2" xfId="2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38099</xdr:rowOff>
    </xdr:from>
    <xdr:to>
      <xdr:col>8</xdr:col>
      <xdr:colOff>410850</xdr:colOff>
      <xdr:row>13</xdr:row>
      <xdr:rowOff>40421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28599"/>
          <a:ext cx="5040000" cy="22883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247650</xdr:colOff>
      <xdr:row>13</xdr:row>
      <xdr:rowOff>161925</xdr:rowOff>
    </xdr:from>
    <xdr:to>
      <xdr:col>8</xdr:col>
      <xdr:colOff>410850</xdr:colOff>
      <xdr:row>25</xdr:row>
      <xdr:rowOff>15089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638425"/>
          <a:ext cx="5040000" cy="21391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133350</xdr:colOff>
      <xdr:row>1</xdr:row>
      <xdr:rowOff>19050</xdr:rowOff>
    </xdr:from>
    <xdr:to>
      <xdr:col>17</xdr:col>
      <xdr:colOff>296550</xdr:colOff>
      <xdr:row>13</xdr:row>
      <xdr:rowOff>22117</xdr:rowOff>
    </xdr:to>
    <xdr:pic>
      <xdr:nvPicPr>
        <xdr:cNvPr id="4" name="Picture 3" descr="Screen Clippi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09550"/>
          <a:ext cx="5040000" cy="228906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2"/>
  <sheetViews>
    <sheetView topLeftCell="A88" workbookViewId="0">
      <selection activeCell="F97" sqref="F97"/>
    </sheetView>
  </sheetViews>
  <sheetFormatPr defaultRowHeight="15" x14ac:dyDescent="0.25"/>
  <cols>
    <col min="2" max="2" width="8.7109375" bestFit="1" customWidth="1"/>
    <col min="3" max="3" width="15.5703125" bestFit="1" customWidth="1"/>
    <col min="4" max="4" width="8.42578125" bestFit="1" customWidth="1"/>
    <col min="5" max="5" width="29.85546875" bestFit="1" customWidth="1"/>
    <col min="6" max="6" width="9" bestFit="1" customWidth="1"/>
    <col min="7" max="7" width="22" bestFit="1" customWidth="1"/>
  </cols>
  <sheetData>
    <row r="2" spans="2:7" x14ac:dyDescent="0.25">
      <c r="B2" s="40" t="s">
        <v>97</v>
      </c>
      <c r="C2" s="41"/>
      <c r="D2" s="40"/>
      <c r="E2" s="40"/>
      <c r="F2" s="42"/>
    </row>
    <row r="4" spans="2:7" ht="45" x14ac:dyDescent="0.25">
      <c r="B4" s="29" t="s">
        <v>54</v>
      </c>
      <c r="C4" s="29" t="s">
        <v>81</v>
      </c>
      <c r="D4" s="29" t="s">
        <v>82</v>
      </c>
      <c r="E4" s="29" t="s">
        <v>83</v>
      </c>
      <c r="F4" s="29" t="s">
        <v>84</v>
      </c>
      <c r="G4" s="29" t="s">
        <v>85</v>
      </c>
    </row>
    <row r="5" spans="2:7" x14ac:dyDescent="0.25">
      <c r="B5" s="30" t="s">
        <v>61</v>
      </c>
      <c r="C5" s="30">
        <v>1559</v>
      </c>
      <c r="D5" s="31">
        <v>405</v>
      </c>
      <c r="E5" s="31">
        <v>267</v>
      </c>
      <c r="F5" s="31">
        <v>2971</v>
      </c>
      <c r="G5" s="31" t="s">
        <v>67</v>
      </c>
    </row>
    <row r="6" spans="2:7" x14ac:dyDescent="0.25">
      <c r="B6" s="30"/>
      <c r="C6" s="30"/>
      <c r="D6" s="31">
        <v>417</v>
      </c>
      <c r="E6" s="31">
        <v>268</v>
      </c>
      <c r="F6" s="31"/>
      <c r="G6" s="31"/>
    </row>
    <row r="7" spans="2:7" x14ac:dyDescent="0.25">
      <c r="B7" s="30"/>
      <c r="C7" s="30"/>
      <c r="D7" s="31">
        <v>409</v>
      </c>
      <c r="E7" s="31">
        <v>269</v>
      </c>
      <c r="F7" s="31"/>
      <c r="G7" s="31"/>
    </row>
    <row r="8" spans="2:7" x14ac:dyDescent="0.25">
      <c r="B8" s="30"/>
      <c r="C8" s="30"/>
      <c r="D8" s="31">
        <v>433</v>
      </c>
      <c r="E8" s="31">
        <v>292</v>
      </c>
      <c r="F8" s="31"/>
      <c r="G8" s="31"/>
    </row>
    <row r="9" spans="2:7" x14ac:dyDescent="0.25">
      <c r="B9" s="30"/>
      <c r="C9" s="30"/>
      <c r="D9" s="31">
        <v>412</v>
      </c>
      <c r="E9" s="31">
        <v>293</v>
      </c>
      <c r="F9" s="31"/>
      <c r="G9" s="31"/>
    </row>
    <row r="10" spans="2:7" x14ac:dyDescent="0.25">
      <c r="B10" s="30"/>
      <c r="C10" s="30"/>
      <c r="D10" s="31">
        <v>397</v>
      </c>
      <c r="E10" s="31">
        <v>294</v>
      </c>
      <c r="F10" s="31"/>
      <c r="G10" s="31"/>
    </row>
    <row r="11" spans="2:7" x14ac:dyDescent="0.25">
      <c r="B11" s="30"/>
      <c r="C11" s="30"/>
      <c r="D11" s="31">
        <v>420</v>
      </c>
      <c r="E11" s="31">
        <v>295</v>
      </c>
      <c r="F11" s="31"/>
      <c r="G11" s="31"/>
    </row>
    <row r="12" spans="2:7" x14ac:dyDescent="0.25">
      <c r="B12" s="30"/>
      <c r="C12" s="30"/>
      <c r="D12" s="31">
        <v>399</v>
      </c>
      <c r="E12" s="31">
        <v>296</v>
      </c>
      <c r="F12" s="31"/>
      <c r="G12" s="31"/>
    </row>
    <row r="13" spans="2:7" x14ac:dyDescent="0.25">
      <c r="B13" s="30"/>
      <c r="C13" s="30"/>
      <c r="D13" s="31">
        <v>400</v>
      </c>
      <c r="E13" s="31">
        <v>297</v>
      </c>
      <c r="F13" s="31"/>
      <c r="G13" s="31"/>
    </row>
    <row r="14" spans="2:7" x14ac:dyDescent="0.25">
      <c r="B14" s="30"/>
      <c r="C14" s="30"/>
      <c r="D14" s="31">
        <v>413</v>
      </c>
      <c r="E14" s="31">
        <v>298</v>
      </c>
      <c r="F14" s="31"/>
      <c r="G14" s="31"/>
    </row>
    <row r="15" spans="2:7" x14ac:dyDescent="0.25">
      <c r="B15" s="30"/>
      <c r="C15" s="30"/>
      <c r="D15" s="31">
        <v>397</v>
      </c>
      <c r="E15" s="31">
        <v>299</v>
      </c>
      <c r="F15" s="31"/>
      <c r="G15" s="31"/>
    </row>
    <row r="16" spans="2:7" x14ac:dyDescent="0.25">
      <c r="B16" s="30"/>
      <c r="C16" s="30"/>
      <c r="D16" s="31">
        <v>411</v>
      </c>
      <c r="E16" s="31">
        <v>300</v>
      </c>
      <c r="F16" s="31"/>
      <c r="G16" s="31"/>
    </row>
    <row r="17" spans="2:7" x14ac:dyDescent="0.25">
      <c r="B17" s="30"/>
      <c r="C17" s="30"/>
      <c r="D17" s="31">
        <v>423</v>
      </c>
      <c r="E17" s="31">
        <v>301</v>
      </c>
      <c r="F17" s="31"/>
      <c r="G17" s="31"/>
    </row>
    <row r="18" spans="2:7" x14ac:dyDescent="0.25">
      <c r="B18" s="30"/>
      <c r="C18" s="30"/>
      <c r="D18" s="31">
        <v>408</v>
      </c>
      <c r="E18" s="31">
        <v>302</v>
      </c>
      <c r="F18" s="31"/>
      <c r="G18" s="31"/>
    </row>
    <row r="19" spans="2:7" x14ac:dyDescent="0.25">
      <c r="B19" s="30"/>
      <c r="C19" s="30"/>
      <c r="D19" s="31">
        <v>397</v>
      </c>
      <c r="E19" s="31">
        <v>303</v>
      </c>
      <c r="F19" s="31"/>
      <c r="G19" s="31"/>
    </row>
    <row r="20" spans="2:7" x14ac:dyDescent="0.25">
      <c r="B20" s="30"/>
      <c r="C20" s="30"/>
      <c r="D20" s="31">
        <v>401</v>
      </c>
      <c r="E20" s="31">
        <v>304</v>
      </c>
      <c r="F20" s="31"/>
      <c r="G20" s="31"/>
    </row>
    <row r="21" spans="2:7" x14ac:dyDescent="0.25">
      <c r="B21" s="30"/>
      <c r="C21" s="30"/>
      <c r="D21" s="31">
        <v>402</v>
      </c>
      <c r="E21" s="31">
        <v>305</v>
      </c>
      <c r="F21" s="31"/>
      <c r="G21" s="31"/>
    </row>
    <row r="22" spans="2:7" x14ac:dyDescent="0.25">
      <c r="B22" s="30"/>
      <c r="C22" s="30"/>
      <c r="D22" s="31">
        <v>412</v>
      </c>
      <c r="E22" s="31">
        <v>306</v>
      </c>
      <c r="F22" s="31"/>
      <c r="G22" s="31"/>
    </row>
    <row r="23" spans="2:7" x14ac:dyDescent="0.25">
      <c r="B23" s="30"/>
      <c r="C23" s="30"/>
      <c r="D23" s="31">
        <v>430</v>
      </c>
      <c r="E23" s="31">
        <v>307</v>
      </c>
      <c r="F23" s="31"/>
      <c r="G23" s="31"/>
    </row>
    <row r="24" spans="2:7" x14ac:dyDescent="0.25">
      <c r="B24" s="30"/>
      <c r="C24" s="30"/>
      <c r="D24" s="31">
        <v>429</v>
      </c>
      <c r="E24" s="31">
        <v>308</v>
      </c>
      <c r="F24" s="31"/>
      <c r="G24" s="31"/>
    </row>
    <row r="25" spans="2:7" x14ac:dyDescent="0.25">
      <c r="B25" s="30"/>
      <c r="C25" s="30"/>
      <c r="D25" s="31">
        <v>425</v>
      </c>
      <c r="E25" s="31">
        <v>309</v>
      </c>
      <c r="F25" s="31"/>
      <c r="G25" s="31"/>
    </row>
    <row r="26" spans="2:7" x14ac:dyDescent="0.25">
      <c r="B26" s="30"/>
      <c r="C26" s="30"/>
      <c r="D26" s="31">
        <v>429</v>
      </c>
      <c r="E26" s="31">
        <v>310</v>
      </c>
      <c r="F26" s="31"/>
      <c r="G26" s="31"/>
    </row>
    <row r="27" spans="2:7" x14ac:dyDescent="0.25">
      <c r="B27" s="30"/>
      <c r="C27" s="30"/>
      <c r="D27" s="31">
        <v>405</v>
      </c>
      <c r="E27" s="31">
        <v>311</v>
      </c>
      <c r="F27" s="31"/>
      <c r="G27" s="31"/>
    </row>
    <row r="28" spans="2:7" x14ac:dyDescent="0.25">
      <c r="B28" s="30"/>
      <c r="C28" s="30"/>
      <c r="D28" s="31">
        <v>418</v>
      </c>
      <c r="E28" s="31">
        <v>312</v>
      </c>
      <c r="F28" s="31"/>
      <c r="G28" s="31"/>
    </row>
    <row r="29" spans="2:7" x14ac:dyDescent="0.25">
      <c r="B29" s="30"/>
      <c r="C29" s="30"/>
      <c r="D29" s="31">
        <v>416</v>
      </c>
      <c r="E29" s="31">
        <v>313</v>
      </c>
      <c r="F29" s="31"/>
      <c r="G29" s="31"/>
    </row>
    <row r="30" spans="2:7" x14ac:dyDescent="0.25">
      <c r="B30" s="30"/>
      <c r="C30" s="30"/>
      <c r="D30" s="31">
        <v>39</v>
      </c>
      <c r="E30" s="31">
        <v>314</v>
      </c>
      <c r="F30" s="31"/>
      <c r="G30" s="31"/>
    </row>
    <row r="31" spans="2:7" x14ac:dyDescent="0.25">
      <c r="B31" s="30"/>
      <c r="C31" s="30"/>
      <c r="D31" s="31">
        <v>70</v>
      </c>
      <c r="E31" s="31">
        <v>315</v>
      </c>
      <c r="F31" s="31"/>
      <c r="G31" s="31"/>
    </row>
    <row r="32" spans="2:7" x14ac:dyDescent="0.25">
      <c r="B32" s="30"/>
      <c r="C32" s="30"/>
      <c r="D32" s="31">
        <v>403</v>
      </c>
      <c r="E32" s="31">
        <v>318</v>
      </c>
      <c r="F32" s="31"/>
      <c r="G32" s="31"/>
    </row>
    <row r="33" spans="2:7" x14ac:dyDescent="0.25">
      <c r="B33" s="30"/>
      <c r="C33" s="30"/>
      <c r="D33" s="31">
        <v>415</v>
      </c>
      <c r="E33" s="31">
        <v>319</v>
      </c>
      <c r="F33" s="31"/>
      <c r="G33" s="31"/>
    </row>
    <row r="34" spans="2:7" x14ac:dyDescent="0.25">
      <c r="B34" s="30"/>
      <c r="C34" s="30"/>
      <c r="D34" s="31">
        <v>410</v>
      </c>
      <c r="E34" s="31">
        <v>320</v>
      </c>
      <c r="F34" s="31"/>
      <c r="G34" s="31"/>
    </row>
    <row r="35" spans="2:7" x14ac:dyDescent="0.25">
      <c r="B35" s="30"/>
      <c r="C35" s="30"/>
      <c r="D35" s="31">
        <v>414</v>
      </c>
      <c r="E35" s="31">
        <v>321</v>
      </c>
      <c r="F35" s="31"/>
      <c r="G35" s="31"/>
    </row>
    <row r="36" spans="2:7" x14ac:dyDescent="0.25">
      <c r="B36" s="30"/>
      <c r="C36" s="30"/>
      <c r="D36" s="31">
        <v>432</v>
      </c>
      <c r="E36" s="31" t="s">
        <v>86</v>
      </c>
      <c r="F36" s="31"/>
      <c r="G36" s="31"/>
    </row>
    <row r="37" spans="2:7" x14ac:dyDescent="0.25">
      <c r="B37" s="30"/>
      <c r="C37" s="30"/>
      <c r="D37" s="31">
        <v>105</v>
      </c>
      <c r="E37" s="31">
        <v>336</v>
      </c>
      <c r="F37" s="31"/>
      <c r="G37" s="31"/>
    </row>
    <row r="38" spans="2:7" x14ac:dyDescent="0.25">
      <c r="B38" s="30"/>
      <c r="C38" s="30"/>
      <c r="D38" s="31">
        <v>135</v>
      </c>
      <c r="E38" s="31">
        <v>337</v>
      </c>
      <c r="F38" s="31"/>
      <c r="G38" s="31"/>
    </row>
    <row r="39" spans="2:7" x14ac:dyDescent="0.25">
      <c r="B39" s="30"/>
      <c r="C39" s="30"/>
      <c r="D39" s="31">
        <v>29</v>
      </c>
      <c r="E39" s="31">
        <v>338</v>
      </c>
      <c r="F39" s="31"/>
      <c r="G39" s="31"/>
    </row>
    <row r="40" spans="2:7" x14ac:dyDescent="0.25">
      <c r="B40" s="30"/>
      <c r="C40" s="30"/>
      <c r="D40" s="32" t="s">
        <v>87</v>
      </c>
      <c r="E40" s="31">
        <v>339</v>
      </c>
      <c r="F40" s="31"/>
      <c r="G40" s="31"/>
    </row>
    <row r="41" spans="2:7" x14ac:dyDescent="0.25">
      <c r="B41" s="30"/>
      <c r="C41" s="30"/>
      <c r="D41" s="31">
        <v>52</v>
      </c>
      <c r="E41" s="31">
        <v>340</v>
      </c>
      <c r="F41" s="31"/>
      <c r="G41" s="31"/>
    </row>
    <row r="42" spans="2:7" x14ac:dyDescent="0.25">
      <c r="B42" s="30"/>
      <c r="C42" s="30"/>
      <c r="D42" s="31">
        <v>105</v>
      </c>
      <c r="E42" s="31">
        <v>341</v>
      </c>
      <c r="F42" s="31"/>
      <c r="G42" s="31"/>
    </row>
    <row r="43" spans="2:7" x14ac:dyDescent="0.25">
      <c r="B43" s="30"/>
      <c r="C43" s="30"/>
      <c r="D43" s="31">
        <v>316</v>
      </c>
      <c r="E43" s="31">
        <v>342</v>
      </c>
      <c r="F43" s="31"/>
      <c r="G43" s="31"/>
    </row>
    <row r="44" spans="2:7" x14ac:dyDescent="0.25">
      <c r="B44" s="30"/>
      <c r="C44" s="30"/>
      <c r="D44" s="31">
        <v>43</v>
      </c>
      <c r="E44" s="31">
        <v>343</v>
      </c>
      <c r="F44" s="31"/>
      <c r="G44" s="31"/>
    </row>
    <row r="45" spans="2:7" x14ac:dyDescent="0.25">
      <c r="B45" s="30"/>
      <c r="C45" s="30"/>
      <c r="D45" s="32" t="s">
        <v>88</v>
      </c>
      <c r="E45" s="31">
        <v>335</v>
      </c>
      <c r="F45" s="31"/>
      <c r="G45" s="31"/>
    </row>
    <row r="46" spans="2:7" x14ac:dyDescent="0.25">
      <c r="B46" s="30"/>
      <c r="C46" s="30"/>
      <c r="D46" s="31">
        <v>199</v>
      </c>
      <c r="E46" s="31">
        <v>500</v>
      </c>
      <c r="F46" s="31"/>
      <c r="G46" s="31"/>
    </row>
    <row r="47" spans="2:7" x14ac:dyDescent="0.25">
      <c r="B47" s="30"/>
      <c r="C47" s="30"/>
      <c r="D47" s="31">
        <v>49</v>
      </c>
      <c r="E47" s="31">
        <v>501</v>
      </c>
      <c r="F47" s="31"/>
      <c r="G47" s="31"/>
    </row>
    <row r="48" spans="2:7" x14ac:dyDescent="0.25">
      <c r="B48" s="30"/>
      <c r="C48" s="30"/>
      <c r="D48" s="31">
        <v>62</v>
      </c>
      <c r="E48" s="31">
        <v>502</v>
      </c>
      <c r="F48" s="31"/>
      <c r="G48" s="31"/>
    </row>
    <row r="49" spans="2:7" x14ac:dyDescent="0.25">
      <c r="B49" s="30"/>
      <c r="C49" s="30"/>
      <c r="D49" s="32" t="s">
        <v>87</v>
      </c>
      <c r="E49" s="31">
        <v>510</v>
      </c>
      <c r="F49" s="31"/>
      <c r="G49" s="31"/>
    </row>
    <row r="50" spans="2:7" x14ac:dyDescent="0.25">
      <c r="B50" s="30"/>
      <c r="C50" s="30"/>
      <c r="D50" s="31">
        <v>397</v>
      </c>
      <c r="E50" s="31">
        <v>511</v>
      </c>
      <c r="F50" s="31"/>
      <c r="G50" s="31"/>
    </row>
    <row r="51" spans="2:7" x14ac:dyDescent="0.25">
      <c r="B51" s="33" t="s">
        <v>61</v>
      </c>
      <c r="C51" s="33">
        <v>5</v>
      </c>
      <c r="D51" s="34">
        <v>135</v>
      </c>
      <c r="E51" s="34">
        <v>461</v>
      </c>
      <c r="F51" s="34">
        <v>1654</v>
      </c>
      <c r="G51" s="34" t="s">
        <v>67</v>
      </c>
    </row>
    <row r="52" spans="2:7" x14ac:dyDescent="0.25">
      <c r="B52" s="30"/>
      <c r="C52" s="30"/>
      <c r="D52" s="32" t="s">
        <v>87</v>
      </c>
      <c r="E52" s="31">
        <v>466</v>
      </c>
      <c r="F52" s="31"/>
      <c r="G52" s="31"/>
    </row>
    <row r="53" spans="2:7" x14ac:dyDescent="0.25">
      <c r="B53" s="30"/>
      <c r="C53" s="30"/>
      <c r="D53" s="32" t="s">
        <v>89</v>
      </c>
      <c r="E53" s="31" t="s">
        <v>90</v>
      </c>
      <c r="F53" s="31"/>
      <c r="G53" s="31"/>
    </row>
    <row r="54" spans="2:7" x14ac:dyDescent="0.25">
      <c r="B54" s="30"/>
      <c r="C54" s="30"/>
      <c r="D54" s="31">
        <v>100</v>
      </c>
      <c r="E54" s="31">
        <v>451</v>
      </c>
      <c r="F54" s="31"/>
      <c r="G54" s="31"/>
    </row>
    <row r="55" spans="2:7" x14ac:dyDescent="0.25">
      <c r="B55" s="30"/>
      <c r="C55" s="30"/>
      <c r="D55" s="31">
        <v>8</v>
      </c>
      <c r="E55" s="31">
        <v>453</v>
      </c>
      <c r="F55" s="31"/>
      <c r="G55" s="31"/>
    </row>
    <row r="56" spans="2:7" x14ac:dyDescent="0.25">
      <c r="B56" s="30"/>
      <c r="C56" s="30"/>
      <c r="D56" s="31">
        <v>76</v>
      </c>
      <c r="E56" s="31">
        <v>455</v>
      </c>
      <c r="F56" s="31"/>
      <c r="G56" s="31"/>
    </row>
    <row r="57" spans="2:7" x14ac:dyDescent="0.25">
      <c r="B57" s="30"/>
      <c r="C57" s="30"/>
      <c r="D57" s="31">
        <v>75</v>
      </c>
      <c r="E57" s="31">
        <v>454</v>
      </c>
      <c r="F57" s="31"/>
      <c r="G57" s="31"/>
    </row>
    <row r="58" spans="2:7" x14ac:dyDescent="0.25">
      <c r="B58" s="30"/>
      <c r="C58" s="30"/>
      <c r="D58" s="31">
        <v>37</v>
      </c>
      <c r="E58" s="31">
        <v>457</v>
      </c>
      <c r="F58" s="31"/>
      <c r="G58" s="31"/>
    </row>
    <row r="59" spans="2:7" x14ac:dyDescent="0.25">
      <c r="B59" s="30"/>
      <c r="C59" s="30"/>
      <c r="D59" s="31">
        <v>27</v>
      </c>
      <c r="E59" s="31">
        <v>451</v>
      </c>
      <c r="F59" s="31"/>
      <c r="G59" s="31"/>
    </row>
    <row r="60" spans="2:7" x14ac:dyDescent="0.25">
      <c r="B60" s="30"/>
      <c r="C60" s="30"/>
      <c r="D60" s="31">
        <v>37</v>
      </c>
      <c r="E60" s="31">
        <v>465</v>
      </c>
      <c r="F60" s="31"/>
      <c r="G60" s="31"/>
    </row>
    <row r="61" spans="2:7" x14ac:dyDescent="0.25">
      <c r="B61" s="30"/>
      <c r="C61" s="30"/>
      <c r="D61" s="31">
        <v>66</v>
      </c>
      <c r="E61" s="31">
        <v>456</v>
      </c>
      <c r="F61" s="31"/>
      <c r="G61" s="31"/>
    </row>
    <row r="62" spans="2:7" x14ac:dyDescent="0.25">
      <c r="B62" s="30"/>
      <c r="C62" s="30"/>
      <c r="D62" s="31">
        <v>88</v>
      </c>
      <c r="E62" s="31">
        <v>460</v>
      </c>
      <c r="F62" s="31"/>
      <c r="G62" s="31"/>
    </row>
    <row r="63" spans="2:7" x14ac:dyDescent="0.25">
      <c r="B63" s="30"/>
      <c r="C63" s="30"/>
      <c r="D63" s="31">
        <v>92</v>
      </c>
      <c r="E63" s="31" t="s">
        <v>91</v>
      </c>
      <c r="F63" s="31"/>
      <c r="G63" s="31"/>
    </row>
    <row r="64" spans="2:7" x14ac:dyDescent="0.25">
      <c r="B64" s="30"/>
      <c r="C64" s="30"/>
      <c r="D64" s="31">
        <v>110</v>
      </c>
      <c r="E64" s="31">
        <v>467</v>
      </c>
      <c r="F64" s="31"/>
      <c r="G64" s="31"/>
    </row>
    <row r="65" spans="2:7" x14ac:dyDescent="0.25">
      <c r="B65" s="30"/>
      <c r="C65" s="30"/>
      <c r="D65" s="31">
        <v>117</v>
      </c>
      <c r="E65" s="31" t="s">
        <v>92</v>
      </c>
      <c r="F65" s="31"/>
      <c r="G65" s="31"/>
    </row>
    <row r="66" spans="2:7" x14ac:dyDescent="0.25">
      <c r="B66" s="30"/>
      <c r="C66" s="30"/>
      <c r="D66" s="31">
        <v>71</v>
      </c>
      <c r="E66" s="31">
        <v>489</v>
      </c>
      <c r="F66" s="31"/>
      <c r="G66" s="31"/>
    </row>
    <row r="67" spans="2:7" x14ac:dyDescent="0.25">
      <c r="B67" s="30"/>
      <c r="C67" s="30"/>
      <c r="D67" s="31">
        <v>9</v>
      </c>
      <c r="E67" s="31">
        <v>459</v>
      </c>
      <c r="F67" s="31"/>
      <c r="G67" s="31"/>
    </row>
    <row r="68" spans="2:7" x14ac:dyDescent="0.25">
      <c r="B68" s="30"/>
      <c r="C68" s="30"/>
      <c r="D68" s="31">
        <v>28</v>
      </c>
      <c r="E68" s="31">
        <v>471</v>
      </c>
      <c r="F68" s="31"/>
      <c r="G68" s="31"/>
    </row>
    <row r="69" spans="2:7" x14ac:dyDescent="0.25">
      <c r="B69" s="35"/>
      <c r="C69" s="35"/>
      <c r="D69" s="36">
        <v>164</v>
      </c>
      <c r="E69" s="36">
        <v>476</v>
      </c>
      <c r="F69" s="36"/>
      <c r="G69" s="36"/>
    </row>
    <row r="70" spans="2:7" x14ac:dyDescent="0.25">
      <c r="B70" s="33" t="s">
        <v>61</v>
      </c>
      <c r="C70" s="33">
        <v>1245</v>
      </c>
      <c r="D70" s="34">
        <v>0</v>
      </c>
      <c r="E70" s="34">
        <v>492</v>
      </c>
      <c r="F70" s="34">
        <v>43</v>
      </c>
      <c r="G70" s="34" t="s">
        <v>67</v>
      </c>
    </row>
    <row r="71" spans="2:7" x14ac:dyDescent="0.25">
      <c r="B71" s="35"/>
      <c r="C71" s="35"/>
      <c r="D71" s="36">
        <v>178</v>
      </c>
      <c r="E71" s="36">
        <v>359</v>
      </c>
      <c r="F71" s="36"/>
      <c r="G71" s="36"/>
    </row>
    <row r="72" spans="2:7" x14ac:dyDescent="0.25">
      <c r="B72" s="37" t="s">
        <v>61</v>
      </c>
      <c r="C72" s="37">
        <v>926</v>
      </c>
      <c r="D72" s="38">
        <v>120</v>
      </c>
      <c r="E72" s="38">
        <v>360</v>
      </c>
      <c r="F72" s="38">
        <v>125</v>
      </c>
      <c r="G72" s="38" t="s">
        <v>67</v>
      </c>
    </row>
    <row r="73" spans="2:7" x14ac:dyDescent="0.25">
      <c r="B73" s="37" t="s">
        <v>61</v>
      </c>
      <c r="C73" s="37">
        <v>707</v>
      </c>
      <c r="D73" s="38">
        <v>120</v>
      </c>
      <c r="E73" s="38">
        <v>361</v>
      </c>
      <c r="F73" s="38">
        <v>22</v>
      </c>
      <c r="G73" s="38" t="s">
        <v>67</v>
      </c>
    </row>
    <row r="74" spans="2:7" x14ac:dyDescent="0.25">
      <c r="B74" s="37" t="s">
        <v>61</v>
      </c>
      <c r="C74" s="37">
        <v>933</v>
      </c>
      <c r="D74" s="38">
        <v>120</v>
      </c>
      <c r="E74" s="38">
        <v>491</v>
      </c>
      <c r="F74" s="38">
        <v>50</v>
      </c>
      <c r="G74" s="38" t="s">
        <v>67</v>
      </c>
    </row>
    <row r="75" spans="2:7" x14ac:dyDescent="0.25">
      <c r="B75" s="33" t="s">
        <v>61</v>
      </c>
      <c r="C75" s="33">
        <v>1518</v>
      </c>
      <c r="D75" s="34">
        <v>29</v>
      </c>
      <c r="E75" s="34" t="s">
        <v>93</v>
      </c>
      <c r="F75" s="34">
        <v>261</v>
      </c>
      <c r="G75" s="34" t="s">
        <v>67</v>
      </c>
    </row>
    <row r="76" spans="2:7" x14ac:dyDescent="0.25">
      <c r="B76" s="35"/>
      <c r="C76" s="35"/>
      <c r="D76" s="36">
        <v>180</v>
      </c>
      <c r="E76" s="36">
        <v>560</v>
      </c>
      <c r="F76" s="36"/>
      <c r="G76" s="36"/>
    </row>
    <row r="77" spans="2:7" x14ac:dyDescent="0.25">
      <c r="B77" s="33" t="s">
        <v>61</v>
      </c>
      <c r="C77" s="33">
        <v>160</v>
      </c>
      <c r="D77" s="34">
        <v>164</v>
      </c>
      <c r="E77" s="34" t="s">
        <v>94</v>
      </c>
      <c r="F77" s="34">
        <v>489</v>
      </c>
      <c r="G77" s="34" t="s">
        <v>67</v>
      </c>
    </row>
    <row r="78" spans="2:7" x14ac:dyDescent="0.25">
      <c r="B78" s="30"/>
      <c r="C78" s="30"/>
      <c r="D78" s="31">
        <v>59</v>
      </c>
      <c r="E78" s="31">
        <v>930</v>
      </c>
      <c r="F78" s="31"/>
      <c r="G78" s="31"/>
    </row>
    <row r="79" spans="2:7" x14ac:dyDescent="0.25">
      <c r="B79" s="30"/>
      <c r="C79" s="30"/>
      <c r="D79" s="31">
        <v>316</v>
      </c>
      <c r="E79" s="31">
        <v>346</v>
      </c>
      <c r="F79" s="31"/>
      <c r="G79" s="31"/>
    </row>
    <row r="80" spans="2:7" x14ac:dyDescent="0.25">
      <c r="B80" s="30"/>
      <c r="C80" s="30"/>
      <c r="D80" s="31">
        <v>324</v>
      </c>
      <c r="E80" s="31">
        <v>426</v>
      </c>
      <c r="F80" s="31"/>
      <c r="G80" s="31"/>
    </row>
    <row r="81" spans="2:7" x14ac:dyDescent="0.25">
      <c r="B81" s="30"/>
      <c r="C81" s="30"/>
      <c r="D81" s="31">
        <v>151</v>
      </c>
      <c r="E81" s="31">
        <v>899</v>
      </c>
      <c r="F81" s="31"/>
      <c r="G81" s="31"/>
    </row>
    <row r="82" spans="2:7" x14ac:dyDescent="0.25">
      <c r="B82" s="30"/>
      <c r="C82" s="30"/>
      <c r="D82" s="31">
        <v>242</v>
      </c>
      <c r="E82" s="31">
        <v>345</v>
      </c>
      <c r="F82" s="31"/>
      <c r="G82" s="31"/>
    </row>
    <row r="83" spans="2:7" x14ac:dyDescent="0.25">
      <c r="B83" s="35"/>
      <c r="C83" s="35"/>
      <c r="D83" s="36">
        <v>433</v>
      </c>
      <c r="E83" s="36">
        <v>382</v>
      </c>
      <c r="F83" s="36"/>
      <c r="G83" s="36"/>
    </row>
    <row r="84" spans="2:7" x14ac:dyDescent="0.25">
      <c r="B84" s="33" t="s">
        <v>61</v>
      </c>
      <c r="C84" s="33">
        <v>389</v>
      </c>
      <c r="D84" s="34">
        <v>324</v>
      </c>
      <c r="E84" s="34">
        <v>370</v>
      </c>
      <c r="F84" s="34">
        <v>386</v>
      </c>
      <c r="G84" s="34" t="s">
        <v>67</v>
      </c>
    </row>
    <row r="85" spans="2:7" x14ac:dyDescent="0.25">
      <c r="B85" s="30"/>
      <c r="C85" s="30"/>
      <c r="D85" s="31">
        <v>96</v>
      </c>
      <c r="E85" s="31" t="s">
        <v>95</v>
      </c>
      <c r="F85" s="31"/>
      <c r="G85" s="31"/>
    </row>
    <row r="86" spans="2:7" x14ac:dyDescent="0.25">
      <c r="B86" s="35"/>
      <c r="C86" s="35"/>
      <c r="D86" s="36">
        <v>316</v>
      </c>
      <c r="E86" s="36">
        <v>356</v>
      </c>
      <c r="F86" s="36"/>
      <c r="G86" s="36"/>
    </row>
    <row r="87" spans="2:7" x14ac:dyDescent="0.25">
      <c r="B87" s="33" t="s">
        <v>61</v>
      </c>
      <c r="C87" s="33">
        <v>6</v>
      </c>
      <c r="D87" s="34">
        <v>107</v>
      </c>
      <c r="E87" s="34">
        <v>928</v>
      </c>
      <c r="F87" s="34">
        <v>60</v>
      </c>
      <c r="G87" s="34" t="s">
        <v>67</v>
      </c>
    </row>
    <row r="88" spans="2:7" x14ac:dyDescent="0.25">
      <c r="B88" s="35"/>
      <c r="C88" s="35"/>
      <c r="D88" s="36">
        <v>371</v>
      </c>
      <c r="E88" s="36">
        <v>354</v>
      </c>
      <c r="F88" s="36"/>
      <c r="G88" s="36"/>
    </row>
    <row r="89" spans="2:7" x14ac:dyDescent="0.25">
      <c r="B89" s="35" t="s">
        <v>61</v>
      </c>
      <c r="C89" s="35"/>
      <c r="D89" s="36"/>
      <c r="E89" s="39" t="s">
        <v>96</v>
      </c>
      <c r="F89" s="36"/>
      <c r="G89" s="36" t="s">
        <v>67</v>
      </c>
    </row>
    <row r="92" spans="2:7" x14ac:dyDescent="0.25">
      <c r="B92" s="43" t="s">
        <v>98</v>
      </c>
    </row>
    <row r="94" spans="2:7" ht="45" x14ac:dyDescent="0.25">
      <c r="B94" s="29" t="s">
        <v>54</v>
      </c>
      <c r="C94" s="29" t="s">
        <v>99</v>
      </c>
      <c r="D94" s="29" t="s">
        <v>100</v>
      </c>
      <c r="E94" s="29" t="s">
        <v>83</v>
      </c>
      <c r="F94" s="44" t="s">
        <v>84</v>
      </c>
      <c r="G94" s="29" t="s">
        <v>85</v>
      </c>
    </row>
    <row r="95" spans="2:7" x14ac:dyDescent="0.25">
      <c r="B95" s="1" t="s">
        <v>62</v>
      </c>
      <c r="C95" s="1"/>
      <c r="D95" s="38">
        <v>95</v>
      </c>
      <c r="E95" s="1" t="s">
        <v>101</v>
      </c>
      <c r="F95" s="45">
        <v>389</v>
      </c>
      <c r="G95" s="1" t="s">
        <v>102</v>
      </c>
    </row>
    <row r="96" spans="2:7" x14ac:dyDescent="0.25">
      <c r="B96" s="1" t="s">
        <v>63</v>
      </c>
      <c r="C96" s="1"/>
      <c r="D96" s="38">
        <v>5</v>
      </c>
      <c r="E96" s="1" t="s">
        <v>103</v>
      </c>
      <c r="F96" s="45">
        <v>260</v>
      </c>
      <c r="G96" s="1" t="s">
        <v>102</v>
      </c>
    </row>
    <row r="97" spans="2:11" x14ac:dyDescent="0.25">
      <c r="B97" s="1" t="s">
        <v>64</v>
      </c>
      <c r="C97" s="1"/>
      <c r="D97" s="38">
        <v>62</v>
      </c>
      <c r="E97" s="1" t="s">
        <v>104</v>
      </c>
      <c r="F97" s="45">
        <v>895</v>
      </c>
      <c r="G97" s="1" t="s">
        <v>102</v>
      </c>
    </row>
    <row r="98" spans="2:11" x14ac:dyDescent="0.25">
      <c r="B98" s="1" t="s">
        <v>64</v>
      </c>
      <c r="C98" s="1"/>
      <c r="D98" s="38">
        <v>65</v>
      </c>
      <c r="E98" s="1" t="s">
        <v>105</v>
      </c>
      <c r="F98" s="45">
        <v>189</v>
      </c>
      <c r="G98" s="1" t="s">
        <v>106</v>
      </c>
    </row>
    <row r="99" spans="2:11" x14ac:dyDescent="0.25">
      <c r="B99" s="1" t="s">
        <v>65</v>
      </c>
      <c r="C99" s="1"/>
      <c r="D99" s="38">
        <v>97</v>
      </c>
      <c r="E99" s="46" t="s">
        <v>107</v>
      </c>
      <c r="F99" s="45">
        <v>585</v>
      </c>
      <c r="G99" s="1" t="s">
        <v>108</v>
      </c>
      <c r="K99">
        <f>1.31*100</f>
        <v>131</v>
      </c>
    </row>
    <row r="101" spans="2:11" x14ac:dyDescent="0.25">
      <c r="B101" s="43" t="s">
        <v>109</v>
      </c>
    </row>
    <row r="103" spans="2:11" ht="45" x14ac:dyDescent="0.25">
      <c r="B103" s="29" t="s">
        <v>54</v>
      </c>
      <c r="C103" s="29" t="s">
        <v>99</v>
      </c>
      <c r="D103" s="29" t="s">
        <v>100</v>
      </c>
      <c r="E103" s="29" t="s">
        <v>83</v>
      </c>
      <c r="F103" s="44" t="s">
        <v>84</v>
      </c>
      <c r="G103" s="29" t="s">
        <v>85</v>
      </c>
    </row>
    <row r="104" spans="2:11" x14ac:dyDescent="0.25">
      <c r="B104" s="1" t="s">
        <v>61</v>
      </c>
      <c r="C104" s="1" t="s">
        <v>110</v>
      </c>
      <c r="D104" s="1">
        <v>207</v>
      </c>
      <c r="E104" s="38">
        <v>898</v>
      </c>
      <c r="F104" s="47">
        <v>48</v>
      </c>
      <c r="G104" s="1"/>
    </row>
    <row r="105" spans="2:11" x14ac:dyDescent="0.25">
      <c r="B105" s="1" t="s">
        <v>61</v>
      </c>
      <c r="C105" s="1" t="s">
        <v>111</v>
      </c>
      <c r="D105" s="1">
        <v>234</v>
      </c>
      <c r="E105" s="38">
        <v>349</v>
      </c>
      <c r="F105" s="47">
        <v>68</v>
      </c>
      <c r="G105" s="1"/>
    </row>
    <row r="106" spans="2:11" x14ac:dyDescent="0.25">
      <c r="B106" s="1" t="s">
        <v>61</v>
      </c>
      <c r="C106" s="1" t="s">
        <v>112</v>
      </c>
      <c r="D106" s="1">
        <v>236</v>
      </c>
      <c r="E106" s="38">
        <v>487</v>
      </c>
      <c r="F106" s="47">
        <v>57.5</v>
      </c>
      <c r="G106" s="1"/>
    </row>
    <row r="107" spans="2:11" x14ac:dyDescent="0.25">
      <c r="B107" s="1" t="s">
        <v>61</v>
      </c>
      <c r="C107" s="1" t="s">
        <v>113</v>
      </c>
      <c r="D107" s="1">
        <v>235</v>
      </c>
      <c r="E107" s="38">
        <v>347</v>
      </c>
      <c r="F107" s="47">
        <v>3.75</v>
      </c>
      <c r="G107" s="1"/>
    </row>
    <row r="108" spans="2:11" x14ac:dyDescent="0.25">
      <c r="B108" s="1" t="s">
        <v>61</v>
      </c>
      <c r="C108" s="1" t="s">
        <v>114</v>
      </c>
      <c r="D108" s="1">
        <v>178</v>
      </c>
      <c r="E108" s="38" t="s">
        <v>115</v>
      </c>
      <c r="F108" s="47">
        <v>149</v>
      </c>
      <c r="G108" s="1"/>
    </row>
    <row r="109" spans="2:11" x14ac:dyDescent="0.25">
      <c r="B109" s="1" t="s">
        <v>61</v>
      </c>
      <c r="C109" s="1" t="s">
        <v>116</v>
      </c>
      <c r="D109" s="1">
        <v>139</v>
      </c>
      <c r="E109" s="38" t="s">
        <v>117</v>
      </c>
      <c r="F109" s="48">
        <v>77.375</v>
      </c>
      <c r="G109" s="1"/>
    </row>
    <row r="110" spans="2:11" x14ac:dyDescent="0.25">
      <c r="B110" s="1" t="s">
        <v>61</v>
      </c>
      <c r="C110" s="1" t="s">
        <v>118</v>
      </c>
      <c r="D110" s="1">
        <v>139</v>
      </c>
      <c r="E110" s="38">
        <v>900</v>
      </c>
      <c r="F110" s="47">
        <v>3.75</v>
      </c>
      <c r="G110" s="1"/>
    </row>
    <row r="111" spans="2:11" x14ac:dyDescent="0.25">
      <c r="B111" s="1" t="s">
        <v>61</v>
      </c>
      <c r="C111" s="1" t="s">
        <v>119</v>
      </c>
      <c r="D111" s="1">
        <v>236</v>
      </c>
      <c r="E111" s="38">
        <v>348</v>
      </c>
      <c r="F111" s="47">
        <v>7</v>
      </c>
      <c r="G111" s="1"/>
    </row>
    <row r="112" spans="2:11" x14ac:dyDescent="0.25">
      <c r="B112" s="1"/>
      <c r="C112" s="1"/>
      <c r="D112" s="18" t="s">
        <v>120</v>
      </c>
      <c r="E112" s="1"/>
      <c r="F112" s="49">
        <v>414.375</v>
      </c>
      <c r="G112" s="18" t="s">
        <v>121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5" sqref="N1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14"/>
  <sheetViews>
    <sheetView topLeftCell="A7" zoomScaleNormal="100" workbookViewId="0">
      <selection activeCell="L13" sqref="L13"/>
    </sheetView>
  </sheetViews>
  <sheetFormatPr defaultRowHeight="15" x14ac:dyDescent="0.25"/>
  <cols>
    <col min="2" max="2" width="10" bestFit="1" customWidth="1"/>
    <col min="3" max="3" width="23" bestFit="1" customWidth="1"/>
    <col min="4" max="4" width="14.28515625" bestFit="1" customWidth="1"/>
    <col min="5" max="5" width="10.28515625" bestFit="1" customWidth="1"/>
    <col min="6" max="6" width="17" hidden="1" customWidth="1"/>
    <col min="7" max="7" width="23.42578125" hidden="1" customWidth="1"/>
    <col min="8" max="8" width="8.7109375" hidden="1" customWidth="1"/>
    <col min="9" max="9" width="9.140625" hidden="1" customWidth="1"/>
    <col min="10" max="10" width="17.28515625" bestFit="1" customWidth="1"/>
    <col min="11" max="11" width="14.85546875" bestFit="1" customWidth="1"/>
    <col min="12" max="12" width="16.5703125" bestFit="1" customWidth="1"/>
    <col min="13" max="13" width="14.28515625" bestFit="1" customWidth="1"/>
    <col min="14" max="14" width="9.28515625" bestFit="1" customWidth="1"/>
    <col min="15" max="15" width="12.5703125" bestFit="1" customWidth="1"/>
    <col min="16" max="16" width="20.42578125" bestFit="1" customWidth="1"/>
    <col min="18" max="18" width="8.28515625" customWidth="1"/>
  </cols>
  <sheetData>
    <row r="2" spans="2:18" ht="45.75" thickBot="1" x14ac:dyDescent="0.3">
      <c r="B2" s="8" t="s">
        <v>54</v>
      </c>
      <c r="C2" s="8" t="s">
        <v>55</v>
      </c>
      <c r="D2" s="8" t="s">
        <v>56</v>
      </c>
      <c r="E2" s="8" t="s">
        <v>72</v>
      </c>
      <c r="F2" s="8" t="s">
        <v>2</v>
      </c>
      <c r="G2" s="8" t="s">
        <v>71</v>
      </c>
      <c r="H2" s="8" t="s">
        <v>3</v>
      </c>
      <c r="I2" s="8" t="s">
        <v>34</v>
      </c>
      <c r="J2" s="8" t="s">
        <v>59</v>
      </c>
      <c r="K2" s="8" t="s">
        <v>60</v>
      </c>
      <c r="L2" s="8" t="s">
        <v>57</v>
      </c>
      <c r="M2" s="8" t="s">
        <v>58</v>
      </c>
      <c r="O2" s="78" t="s">
        <v>54</v>
      </c>
      <c r="P2" s="79" t="s">
        <v>55</v>
      </c>
      <c r="Q2" s="79" t="s">
        <v>56</v>
      </c>
      <c r="R2" s="79" t="s">
        <v>72</v>
      </c>
    </row>
    <row r="3" spans="2:18" ht="15.75" thickBot="1" x14ac:dyDescent="0.3">
      <c r="B3" s="1" t="s">
        <v>61</v>
      </c>
      <c r="C3" s="1" t="s">
        <v>66</v>
      </c>
      <c r="D3" s="20">
        <v>414.375</v>
      </c>
      <c r="E3" s="20">
        <v>4.3899999999999997</v>
      </c>
      <c r="F3" s="6" t="s">
        <v>172</v>
      </c>
      <c r="G3" s="4">
        <v>250000</v>
      </c>
      <c r="H3" s="5">
        <v>0</v>
      </c>
      <c r="I3" s="5">
        <v>0</v>
      </c>
      <c r="J3" s="86">
        <f>L3+L3*0.15</f>
        <v>287500</v>
      </c>
      <c r="K3" s="2">
        <f t="shared" ref="K3:K8" si="0">J3*D3</f>
        <v>119132812.5</v>
      </c>
      <c r="L3" s="87">
        <v>250000</v>
      </c>
      <c r="M3" s="2">
        <f t="shared" ref="M3:M8" si="1">D3*L3</f>
        <v>103593750</v>
      </c>
      <c r="O3" s="80" t="s">
        <v>61</v>
      </c>
      <c r="P3" s="81" t="s">
        <v>66</v>
      </c>
      <c r="Q3" s="83">
        <v>414.38</v>
      </c>
      <c r="R3" s="81">
        <v>4.1399999999999997</v>
      </c>
    </row>
    <row r="4" spans="2:18" ht="15.75" thickBot="1" x14ac:dyDescent="0.3">
      <c r="B4" s="1" t="s">
        <v>61</v>
      </c>
      <c r="C4" s="1" t="s">
        <v>67</v>
      </c>
      <c r="D4" s="20">
        <v>6061</v>
      </c>
      <c r="E4" s="20">
        <f t="shared" ref="E4:E7" si="2">D4/100.01</f>
        <v>60.60393960603939</v>
      </c>
      <c r="F4" s="6" t="s">
        <v>172</v>
      </c>
      <c r="G4" s="4">
        <v>250000</v>
      </c>
      <c r="H4" s="5">
        <v>0</v>
      </c>
      <c r="I4" s="5">
        <v>0</v>
      </c>
      <c r="J4" s="86">
        <f t="shared" ref="J4:J8" si="3">L4+L4*0.15</f>
        <v>362250</v>
      </c>
      <c r="K4" s="2">
        <f t="shared" si="0"/>
        <v>2195597250</v>
      </c>
      <c r="L4" s="87">
        <v>315000</v>
      </c>
      <c r="M4" s="2">
        <f t="shared" si="1"/>
        <v>1909215000</v>
      </c>
      <c r="O4" s="80" t="s">
        <v>61</v>
      </c>
      <c r="P4" s="81" t="s">
        <v>67</v>
      </c>
      <c r="Q4" s="83">
        <v>6061</v>
      </c>
      <c r="R4" s="81">
        <v>60.6</v>
      </c>
    </row>
    <row r="5" spans="2:18" ht="15.75" thickBot="1" x14ac:dyDescent="0.3">
      <c r="B5" s="1" t="s">
        <v>62</v>
      </c>
      <c r="C5" s="1" t="s">
        <v>66</v>
      </c>
      <c r="D5" s="20">
        <v>389</v>
      </c>
      <c r="E5" s="20">
        <f t="shared" si="2"/>
        <v>3.8896110388961103</v>
      </c>
      <c r="F5" s="6" t="s">
        <v>172</v>
      </c>
      <c r="G5" s="4">
        <v>250000</v>
      </c>
      <c r="H5" s="5">
        <v>0</v>
      </c>
      <c r="I5" s="5">
        <v>0</v>
      </c>
      <c r="J5" s="86">
        <f t="shared" si="3"/>
        <v>287500</v>
      </c>
      <c r="K5" s="2">
        <f t="shared" si="0"/>
        <v>111837500</v>
      </c>
      <c r="L5" s="87">
        <v>250000</v>
      </c>
      <c r="M5" s="2">
        <f t="shared" si="1"/>
        <v>97250000</v>
      </c>
      <c r="O5" s="80" t="s">
        <v>62</v>
      </c>
      <c r="P5" s="81" t="s">
        <v>66</v>
      </c>
      <c r="Q5" s="83">
        <v>389</v>
      </c>
      <c r="R5" s="81">
        <v>3.89</v>
      </c>
    </row>
    <row r="6" spans="2:18" ht="15.75" thickBot="1" x14ac:dyDescent="0.3">
      <c r="B6" s="1" t="s">
        <v>63</v>
      </c>
      <c r="C6" s="1" t="s">
        <v>68</v>
      </c>
      <c r="D6" s="20">
        <v>260</v>
      </c>
      <c r="E6" s="20">
        <f t="shared" si="2"/>
        <v>2.5997400259974</v>
      </c>
      <c r="F6" s="6" t="s">
        <v>172</v>
      </c>
      <c r="G6" s="4">
        <v>250000</v>
      </c>
      <c r="H6" s="5">
        <v>0</v>
      </c>
      <c r="I6" s="5">
        <v>0</v>
      </c>
      <c r="J6" s="86">
        <f t="shared" si="3"/>
        <v>264500</v>
      </c>
      <c r="K6" s="2">
        <f t="shared" si="0"/>
        <v>68770000</v>
      </c>
      <c r="L6" s="87">
        <v>230000</v>
      </c>
      <c r="M6" s="2">
        <f t="shared" si="1"/>
        <v>59800000</v>
      </c>
      <c r="O6" s="80" t="s">
        <v>63</v>
      </c>
      <c r="P6" s="81" t="s">
        <v>68</v>
      </c>
      <c r="Q6" s="83">
        <v>260</v>
      </c>
      <c r="R6" s="81">
        <v>2.6</v>
      </c>
    </row>
    <row r="7" spans="2:18" ht="15.75" thickBot="1" x14ac:dyDescent="0.3">
      <c r="B7" s="1" t="s">
        <v>64</v>
      </c>
      <c r="C7" s="1" t="s">
        <v>68</v>
      </c>
      <c r="D7" s="20">
        <v>895</v>
      </c>
      <c r="E7" s="20">
        <f t="shared" si="2"/>
        <v>8.9491050894910504</v>
      </c>
      <c r="F7" s="6" t="s">
        <v>172</v>
      </c>
      <c r="G7" s="4">
        <v>250000</v>
      </c>
      <c r="H7" s="5">
        <v>0</v>
      </c>
      <c r="I7" s="5">
        <v>0</v>
      </c>
      <c r="J7" s="86">
        <f t="shared" si="3"/>
        <v>333500</v>
      </c>
      <c r="K7" s="2">
        <f t="shared" si="0"/>
        <v>298482500</v>
      </c>
      <c r="L7" s="87">
        <v>290000</v>
      </c>
      <c r="M7" s="2">
        <f t="shared" si="1"/>
        <v>259550000</v>
      </c>
      <c r="O7" s="80" t="s">
        <v>64</v>
      </c>
      <c r="P7" s="81" t="s">
        <v>68</v>
      </c>
      <c r="Q7" s="83">
        <v>895</v>
      </c>
      <c r="R7" s="81">
        <v>8.9499999999999993</v>
      </c>
    </row>
    <row r="8" spans="2:18" ht="15.75" thickBot="1" x14ac:dyDescent="0.3">
      <c r="B8" s="1" t="s">
        <v>65</v>
      </c>
      <c r="C8" s="1" t="s">
        <v>70</v>
      </c>
      <c r="D8" s="20">
        <v>585</v>
      </c>
      <c r="E8" s="20">
        <v>5.86</v>
      </c>
      <c r="F8" s="6" t="s">
        <v>172</v>
      </c>
      <c r="G8" s="4">
        <v>250000</v>
      </c>
      <c r="H8" s="5">
        <v>0</v>
      </c>
      <c r="I8" s="5">
        <v>0</v>
      </c>
      <c r="J8" s="86">
        <f t="shared" si="3"/>
        <v>333500</v>
      </c>
      <c r="K8" s="2">
        <f t="shared" si="0"/>
        <v>195097500</v>
      </c>
      <c r="L8" s="87">
        <v>290000</v>
      </c>
      <c r="M8" s="2">
        <f t="shared" si="1"/>
        <v>169650000</v>
      </c>
      <c r="O8" s="80" t="s">
        <v>186</v>
      </c>
      <c r="P8" s="81" t="s">
        <v>69</v>
      </c>
      <c r="Q8" s="83">
        <v>131</v>
      </c>
      <c r="R8" s="81">
        <v>1.31</v>
      </c>
    </row>
    <row r="9" spans="2:18" ht="15.75" thickBot="1" x14ac:dyDescent="0.3">
      <c r="B9" s="23" t="s">
        <v>1</v>
      </c>
      <c r="C9" s="23"/>
      <c r="D9" s="26">
        <f>SUM(D3:D8)</f>
        <v>8604.375</v>
      </c>
      <c r="E9" s="26">
        <f>SUM(E3:E8)</f>
        <v>86.292395760423958</v>
      </c>
      <c r="F9" s="24"/>
      <c r="G9" s="24"/>
      <c r="H9" s="24"/>
      <c r="I9" s="24"/>
      <c r="J9" s="25"/>
      <c r="K9" s="25">
        <f>SUM(K3:K8)</f>
        <v>2988917562.5</v>
      </c>
      <c r="L9" s="23"/>
      <c r="M9" s="25">
        <f>SUM(M3:M8)</f>
        <v>2599058750</v>
      </c>
      <c r="O9" s="90" t="s">
        <v>1</v>
      </c>
      <c r="P9" s="91"/>
      <c r="Q9" s="84">
        <f>SUM(Q3:Q8)</f>
        <v>8150.38</v>
      </c>
      <c r="R9" s="82">
        <f>SUM(R3:R8)</f>
        <v>81.489999999999995</v>
      </c>
    </row>
    <row r="12" spans="2:18" x14ac:dyDescent="0.25">
      <c r="B12" t="s">
        <v>45</v>
      </c>
      <c r="C12" t="s">
        <v>46</v>
      </c>
      <c r="K12" s="67" t="s">
        <v>174</v>
      </c>
      <c r="L12" s="68">
        <f>K9</f>
        <v>2988917562.5</v>
      </c>
    </row>
    <row r="13" spans="2:18" x14ac:dyDescent="0.25">
      <c r="B13" t="s">
        <v>47</v>
      </c>
      <c r="C13" t="s">
        <v>48</v>
      </c>
      <c r="E13" s="3"/>
      <c r="G13" t="s">
        <v>169</v>
      </c>
      <c r="I13" t="s">
        <v>187</v>
      </c>
      <c r="K13" s="67" t="s">
        <v>175</v>
      </c>
      <c r="L13" s="69">
        <f>'Building Sheet'!U62</f>
        <v>1218439285.5713191</v>
      </c>
    </row>
    <row r="14" spans="2:18" x14ac:dyDescent="0.25">
      <c r="B14" t="s">
        <v>49</v>
      </c>
      <c r="C14" t="s">
        <v>167</v>
      </c>
      <c r="E14" s="3"/>
      <c r="F14" s="3"/>
      <c r="G14">
        <v>8210286769</v>
      </c>
      <c r="I14" t="s">
        <v>186</v>
      </c>
      <c r="K14" s="67" t="s">
        <v>176</v>
      </c>
      <c r="L14" s="69">
        <f>'Boundary Wall'!N14</f>
        <v>20000000</v>
      </c>
      <c r="M14" s="70">
        <f>L14+L15</f>
        <v>20000000</v>
      </c>
      <c r="N14" s="67" t="s">
        <v>177</v>
      </c>
    </row>
    <row r="15" spans="2:18" x14ac:dyDescent="0.25">
      <c r="B15" t="s">
        <v>50</v>
      </c>
      <c r="C15" t="s">
        <v>51</v>
      </c>
      <c r="D15" s="63">
        <f>43560/166</f>
        <v>262.40963855421688</v>
      </c>
      <c r="E15" t="s">
        <v>168</v>
      </c>
      <c r="G15" t="s">
        <v>170</v>
      </c>
      <c r="I15" t="s">
        <v>63</v>
      </c>
      <c r="K15" s="67" t="s">
        <v>177</v>
      </c>
      <c r="L15" s="68">
        <v>0</v>
      </c>
      <c r="N15" s="67">
        <v>7</v>
      </c>
      <c r="O15" s="68">
        <f>L13*0.09</f>
        <v>109659535.70141871</v>
      </c>
    </row>
    <row r="16" spans="2:18" x14ac:dyDescent="0.25">
      <c r="B16" t="s">
        <v>53</v>
      </c>
      <c r="C16" t="s">
        <v>52</v>
      </c>
      <c r="G16" t="s">
        <v>171</v>
      </c>
      <c r="I16" t="s">
        <v>64</v>
      </c>
      <c r="K16" s="67" t="s">
        <v>1</v>
      </c>
      <c r="L16" s="68">
        <f>SUM(L12:L15)</f>
        <v>4227356848.0713191</v>
      </c>
      <c r="N16" s="67">
        <v>5</v>
      </c>
      <c r="O16" s="68">
        <f>L13*0.05</f>
        <v>60921964.278565958</v>
      </c>
    </row>
    <row r="17" spans="4:15" x14ac:dyDescent="0.25">
      <c r="I17" t="s">
        <v>65</v>
      </c>
      <c r="K17" s="67" t="s">
        <v>178</v>
      </c>
      <c r="L17" s="68">
        <f>ROUND(L16,-7)</f>
        <v>4230000000</v>
      </c>
      <c r="N17" s="67">
        <v>9</v>
      </c>
      <c r="O17" s="68">
        <f>L13*0.07</f>
        <v>85290749.98999235</v>
      </c>
    </row>
    <row r="18" spans="4:15" x14ac:dyDescent="0.25">
      <c r="D18">
        <v>100000</v>
      </c>
      <c r="K18" s="67" t="s">
        <v>180</v>
      </c>
      <c r="L18" s="69">
        <f>L17*0.85</f>
        <v>3595500000</v>
      </c>
      <c r="N18" s="67" t="s">
        <v>1</v>
      </c>
      <c r="O18" s="68">
        <f>SUM(O15:O17)</f>
        <v>255872249.96997702</v>
      </c>
    </row>
    <row r="19" spans="4:15" x14ac:dyDescent="0.25">
      <c r="D19" s="3">
        <f>D18*D15</f>
        <v>26240963.855421688</v>
      </c>
      <c r="K19" s="67" t="s">
        <v>179</v>
      </c>
      <c r="L19" s="69">
        <f>L17*0.75</f>
        <v>3172500000</v>
      </c>
      <c r="N19" s="67" t="s">
        <v>181</v>
      </c>
      <c r="O19" s="71">
        <f>ROUND(O18,-7)</f>
        <v>260000000</v>
      </c>
    </row>
    <row r="20" spans="4:15" x14ac:dyDescent="0.25">
      <c r="D20" s="3">
        <f>D19/100</f>
        <v>262409.63855421689</v>
      </c>
    </row>
    <row r="24" spans="4:15" x14ac:dyDescent="0.25">
      <c r="E24" s="85">
        <v>0.82</v>
      </c>
    </row>
    <row r="25" spans="4:15" x14ac:dyDescent="0.25">
      <c r="E25" s="85">
        <v>0.39</v>
      </c>
    </row>
    <row r="26" spans="4:15" x14ac:dyDescent="0.25">
      <c r="E26" s="85">
        <v>0.25</v>
      </c>
    </row>
    <row r="27" spans="4:15" x14ac:dyDescent="0.25">
      <c r="E27" s="85">
        <v>0.98</v>
      </c>
    </row>
    <row r="28" spans="4:15" x14ac:dyDescent="0.25">
      <c r="E28" s="85">
        <v>0.46</v>
      </c>
    </row>
    <row r="29" spans="4:15" x14ac:dyDescent="0.25">
      <c r="E29" s="85">
        <v>0.06</v>
      </c>
    </row>
    <row r="30" spans="4:15" x14ac:dyDescent="0.25">
      <c r="E30" s="85">
        <v>0.51</v>
      </c>
    </row>
    <row r="31" spans="4:15" x14ac:dyDescent="0.25">
      <c r="E31" s="85">
        <v>0.99</v>
      </c>
    </row>
    <row r="32" spans="4:15" x14ac:dyDescent="0.25">
      <c r="E32" s="85">
        <v>0.83</v>
      </c>
    </row>
    <row r="33" spans="5:5" x14ac:dyDescent="0.25">
      <c r="E33" s="85">
        <v>0.63</v>
      </c>
    </row>
    <row r="34" spans="5:5" x14ac:dyDescent="0.25">
      <c r="E34" s="85">
        <v>0.63</v>
      </c>
    </row>
    <row r="35" spans="5:5" x14ac:dyDescent="0.25">
      <c r="E35" s="85">
        <v>0.6</v>
      </c>
    </row>
    <row r="36" spans="5:5" x14ac:dyDescent="0.25">
      <c r="E36" s="85">
        <v>0.24</v>
      </c>
    </row>
    <row r="37" spans="5:5" x14ac:dyDescent="0.25">
      <c r="E37" s="85">
        <v>0.72</v>
      </c>
    </row>
    <row r="38" spans="5:5" x14ac:dyDescent="0.25">
      <c r="E38" s="85">
        <v>0.38</v>
      </c>
    </row>
    <row r="39" spans="5:5" x14ac:dyDescent="0.25">
      <c r="E39" s="85">
        <v>0.28999999999999998</v>
      </c>
    </row>
    <row r="40" spans="5:5" x14ac:dyDescent="0.25">
      <c r="E40" s="85">
        <v>0.38</v>
      </c>
    </row>
    <row r="41" spans="5:5" x14ac:dyDescent="0.25">
      <c r="E41" s="85">
        <v>0.52</v>
      </c>
    </row>
    <row r="42" spans="5:5" x14ac:dyDescent="0.25">
      <c r="E42" s="85">
        <v>0.51</v>
      </c>
    </row>
    <row r="43" spans="5:5" x14ac:dyDescent="0.25">
      <c r="E43" s="85">
        <v>0.27</v>
      </c>
    </row>
    <row r="44" spans="5:5" x14ac:dyDescent="0.25">
      <c r="E44" s="85">
        <v>1</v>
      </c>
    </row>
    <row r="45" spans="5:5" x14ac:dyDescent="0.25">
      <c r="E45" s="85">
        <v>0.98</v>
      </c>
    </row>
    <row r="46" spans="5:5" x14ac:dyDescent="0.25">
      <c r="E46" s="85">
        <v>0.42</v>
      </c>
    </row>
    <row r="47" spans="5:5" x14ac:dyDescent="0.25">
      <c r="E47" s="85">
        <v>1.38</v>
      </c>
    </row>
    <row r="48" spans="5:5" x14ac:dyDescent="0.25">
      <c r="E48" s="85">
        <v>0.52</v>
      </c>
    </row>
    <row r="49" spans="5:5" x14ac:dyDescent="0.25">
      <c r="E49" s="85">
        <v>0.53</v>
      </c>
    </row>
    <row r="50" spans="5:5" x14ac:dyDescent="0.25">
      <c r="E50" s="85">
        <v>0.48</v>
      </c>
    </row>
    <row r="51" spans="5:5" x14ac:dyDescent="0.25">
      <c r="E51" s="85">
        <v>0.46</v>
      </c>
    </row>
    <row r="52" spans="5:5" x14ac:dyDescent="0.25">
      <c r="E52" s="85">
        <v>1.1100000000000001</v>
      </c>
    </row>
    <row r="53" spans="5:5" x14ac:dyDescent="0.25">
      <c r="E53" s="85">
        <v>0.6</v>
      </c>
    </row>
    <row r="54" spans="5:5" x14ac:dyDescent="0.25">
      <c r="E54" s="85">
        <v>0.05</v>
      </c>
    </row>
    <row r="55" spans="5:5" x14ac:dyDescent="0.25">
      <c r="E55" s="85">
        <v>2.98</v>
      </c>
    </row>
    <row r="56" spans="5:5" x14ac:dyDescent="0.25">
      <c r="E56" s="85">
        <v>0.12</v>
      </c>
    </row>
    <row r="57" spans="5:5" x14ac:dyDescent="0.25">
      <c r="E57" s="85">
        <v>0.65</v>
      </c>
    </row>
    <row r="58" spans="5:5" x14ac:dyDescent="0.25">
      <c r="E58" s="85">
        <v>0.97</v>
      </c>
    </row>
    <row r="59" spans="5:5" x14ac:dyDescent="0.25">
      <c r="E59" s="85">
        <v>0.57999999999999996</v>
      </c>
    </row>
    <row r="60" spans="5:5" x14ac:dyDescent="0.25">
      <c r="E60" s="85">
        <v>0.35</v>
      </c>
    </row>
    <row r="61" spans="5:5" x14ac:dyDescent="0.25">
      <c r="E61" s="85">
        <v>0.72</v>
      </c>
    </row>
    <row r="62" spans="5:5" x14ac:dyDescent="0.25">
      <c r="E62" s="85">
        <v>0.35</v>
      </c>
    </row>
    <row r="63" spans="5:5" x14ac:dyDescent="0.25">
      <c r="E63" s="85">
        <v>1.1200000000000001</v>
      </c>
    </row>
    <row r="64" spans="5:5" x14ac:dyDescent="0.25">
      <c r="E64" s="85">
        <v>0.68</v>
      </c>
    </row>
    <row r="65" spans="5:5" x14ac:dyDescent="0.25">
      <c r="E65" s="85">
        <v>1.82</v>
      </c>
    </row>
    <row r="66" spans="5:5" x14ac:dyDescent="0.25">
      <c r="E66" s="85">
        <v>0.57999999999999996</v>
      </c>
    </row>
    <row r="67" spans="5:5" x14ac:dyDescent="0.25">
      <c r="E67" s="85">
        <v>0.97</v>
      </c>
    </row>
    <row r="68" spans="5:5" x14ac:dyDescent="0.25">
      <c r="E68" s="85">
        <v>0.85</v>
      </c>
    </row>
    <row r="69" spans="5:5" x14ac:dyDescent="0.25">
      <c r="E69" s="85">
        <v>0.64</v>
      </c>
    </row>
    <row r="70" spans="5:5" x14ac:dyDescent="0.25">
      <c r="E70" s="85">
        <v>1.31</v>
      </c>
    </row>
    <row r="71" spans="5:5" x14ac:dyDescent="0.25">
      <c r="E71" s="85">
        <v>0.59</v>
      </c>
    </row>
    <row r="72" spans="5:5" x14ac:dyDescent="0.25">
      <c r="E72" s="85">
        <v>0.41</v>
      </c>
    </row>
    <row r="73" spans="5:5" x14ac:dyDescent="0.25">
      <c r="E73" s="85">
        <v>0.35</v>
      </c>
    </row>
    <row r="74" spans="5:5" x14ac:dyDescent="0.25">
      <c r="E74" s="85">
        <v>1.1200000000000001</v>
      </c>
    </row>
    <row r="75" spans="5:5" x14ac:dyDescent="0.25">
      <c r="E75" s="85">
        <v>1.06</v>
      </c>
    </row>
    <row r="76" spans="5:5" x14ac:dyDescent="0.25">
      <c r="E76" s="85">
        <v>0.36</v>
      </c>
    </row>
    <row r="77" spans="5:5" x14ac:dyDescent="0.25">
      <c r="E77" s="85">
        <v>0.21</v>
      </c>
    </row>
    <row r="78" spans="5:5" x14ac:dyDescent="0.25">
      <c r="E78" s="85">
        <v>0.27</v>
      </c>
    </row>
    <row r="79" spans="5:5" x14ac:dyDescent="0.25">
      <c r="E79" s="85">
        <v>0.68</v>
      </c>
    </row>
    <row r="80" spans="5:5" x14ac:dyDescent="0.25">
      <c r="E80" s="85">
        <v>0.53</v>
      </c>
    </row>
    <row r="81" spans="5:5" x14ac:dyDescent="0.25">
      <c r="E81" s="85">
        <v>0.67</v>
      </c>
    </row>
    <row r="82" spans="5:5" x14ac:dyDescent="0.25">
      <c r="E82" s="85">
        <v>0.62</v>
      </c>
    </row>
    <row r="83" spans="5:5" x14ac:dyDescent="0.25">
      <c r="E83" s="85">
        <v>0.57999999999999996</v>
      </c>
    </row>
    <row r="84" spans="5:5" x14ac:dyDescent="0.25">
      <c r="E84" s="85">
        <v>0.48</v>
      </c>
    </row>
    <row r="85" spans="5:5" x14ac:dyDescent="0.25">
      <c r="E85" s="85">
        <v>0.28999999999999998</v>
      </c>
    </row>
    <row r="86" spans="5:5" x14ac:dyDescent="0.25">
      <c r="E86" s="85">
        <v>0.4</v>
      </c>
    </row>
    <row r="87" spans="5:5" x14ac:dyDescent="0.25">
      <c r="E87" s="85">
        <v>0.03</v>
      </c>
    </row>
    <row r="88" spans="5:5" x14ac:dyDescent="0.25">
      <c r="E88" s="85">
        <v>1.25</v>
      </c>
    </row>
    <row r="89" spans="5:5" x14ac:dyDescent="0.25">
      <c r="E89" s="85">
        <v>0.22</v>
      </c>
    </row>
    <row r="90" spans="5:5" x14ac:dyDescent="0.25">
      <c r="E90" s="85">
        <v>0.5</v>
      </c>
    </row>
    <row r="91" spans="5:5" x14ac:dyDescent="0.25">
      <c r="E91" s="85">
        <v>2.04</v>
      </c>
    </row>
    <row r="92" spans="5:5" x14ac:dyDescent="0.25">
      <c r="E92" s="85">
        <v>0.48</v>
      </c>
    </row>
    <row r="93" spans="5:5" x14ac:dyDescent="0.25">
      <c r="E93" s="85">
        <v>0.09</v>
      </c>
    </row>
    <row r="94" spans="5:5" x14ac:dyDescent="0.25">
      <c r="E94" s="85">
        <v>0.6</v>
      </c>
    </row>
    <row r="95" spans="5:5" x14ac:dyDescent="0.25">
      <c r="E95" s="85">
        <v>1.1299999999999999</v>
      </c>
    </row>
    <row r="96" spans="5:5" x14ac:dyDescent="0.25">
      <c r="E96" s="85">
        <v>0.53</v>
      </c>
    </row>
    <row r="97" spans="5:7" x14ac:dyDescent="0.25">
      <c r="E97" s="85">
        <v>0.47</v>
      </c>
    </row>
    <row r="98" spans="5:7" x14ac:dyDescent="0.25">
      <c r="E98" s="85">
        <v>0.81</v>
      </c>
    </row>
    <row r="99" spans="5:7" x14ac:dyDescent="0.25">
      <c r="E99" s="85">
        <v>0.72</v>
      </c>
    </row>
    <row r="100" spans="5:7" x14ac:dyDescent="0.25">
      <c r="E100" s="85">
        <v>0.25</v>
      </c>
    </row>
    <row r="101" spans="5:7" x14ac:dyDescent="0.25">
      <c r="E101" s="85">
        <v>0.38</v>
      </c>
    </row>
    <row r="102" spans="5:7" x14ac:dyDescent="0.25">
      <c r="E102" s="85">
        <v>0.28999999999999998</v>
      </c>
      <c r="F102" t="s">
        <v>61</v>
      </c>
      <c r="G102">
        <v>59.32</v>
      </c>
    </row>
    <row r="103" spans="5:7" x14ac:dyDescent="0.25">
      <c r="E103" s="85">
        <v>0.82</v>
      </c>
    </row>
    <row r="104" spans="5:7" x14ac:dyDescent="0.25">
      <c r="E104" s="85">
        <v>2.4900000000000002</v>
      </c>
    </row>
    <row r="105" spans="5:7" x14ac:dyDescent="0.25">
      <c r="E105" s="85">
        <v>0.26</v>
      </c>
    </row>
    <row r="106" spans="5:7" x14ac:dyDescent="0.25">
      <c r="E106">
        <v>0.34</v>
      </c>
    </row>
    <row r="107" spans="5:7" x14ac:dyDescent="0.25">
      <c r="E107">
        <v>0.26</v>
      </c>
    </row>
    <row r="108" spans="5:7" x14ac:dyDescent="0.25">
      <c r="E108">
        <v>0.48</v>
      </c>
      <c r="F108" t="s">
        <v>1</v>
      </c>
      <c r="G108">
        <f>SUM(G102:G107)</f>
        <v>59.32</v>
      </c>
    </row>
    <row r="109" spans="5:7" x14ac:dyDescent="0.25">
      <c r="E109">
        <v>0.56999999999999995</v>
      </c>
    </row>
    <row r="110" spans="5:7" x14ac:dyDescent="0.25">
      <c r="E110">
        <v>0.67</v>
      </c>
    </row>
    <row r="111" spans="5:7" x14ac:dyDescent="0.25">
      <c r="E111">
        <v>0.42</v>
      </c>
    </row>
    <row r="112" spans="5:7" x14ac:dyDescent="0.25">
      <c r="E112">
        <v>0.44</v>
      </c>
    </row>
    <row r="113" spans="4:5" x14ac:dyDescent="0.25">
      <c r="E113">
        <v>1.48</v>
      </c>
    </row>
    <row r="114" spans="4:5" x14ac:dyDescent="0.25">
      <c r="D114" t="s">
        <v>1</v>
      </c>
      <c r="E114">
        <f>SUM(E24:E113)</f>
        <v>59.32</v>
      </c>
    </row>
  </sheetData>
  <mergeCells count="1">
    <mergeCell ref="O9:P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69"/>
  <sheetViews>
    <sheetView zoomScale="85" zoomScaleNormal="85" workbookViewId="0">
      <selection activeCell="U62" sqref="U62"/>
    </sheetView>
  </sheetViews>
  <sheetFormatPr defaultRowHeight="15" x14ac:dyDescent="0.25"/>
  <cols>
    <col min="2" max="2" width="4.140625" bestFit="1" customWidth="1"/>
    <col min="3" max="3" width="12.28515625" bestFit="1" customWidth="1"/>
    <col min="4" max="4" width="34.140625" customWidth="1"/>
    <col min="5" max="5" width="16.28515625" customWidth="1"/>
    <col min="6" max="6" width="9.28515625" customWidth="1"/>
    <col min="7" max="7" width="10.28515625" customWidth="1"/>
    <col min="8" max="8" width="7.7109375" hidden="1" customWidth="1"/>
    <col min="9" max="9" width="9.5703125" customWidth="1"/>
    <col min="10" max="10" width="10.42578125" bestFit="1" customWidth="1"/>
    <col min="11" max="11" width="9.5703125" hidden="1" customWidth="1"/>
    <col min="12" max="12" width="10.42578125" hidden="1" customWidth="1"/>
    <col min="13" max="13" width="11" bestFit="1" customWidth="1"/>
    <col min="14" max="14" width="7.7109375" hidden="1" customWidth="1"/>
    <col min="15" max="15" width="12.42578125" hidden="1" customWidth="1"/>
    <col min="16" max="16" width="10.85546875" bestFit="1" customWidth="1"/>
    <col min="17" max="17" width="17.5703125" bestFit="1" customWidth="1"/>
    <col min="18" max="18" width="12.42578125" customWidth="1"/>
    <col min="19" max="19" width="15.42578125" customWidth="1"/>
    <col min="20" max="20" width="11.42578125" customWidth="1"/>
    <col min="21" max="21" width="19" bestFit="1" customWidth="1"/>
    <col min="23" max="23" width="15.28515625" bestFit="1" customWidth="1"/>
  </cols>
  <sheetData>
    <row r="3" spans="2:21" ht="15.6" customHeight="1" x14ac:dyDescent="0.25">
      <c r="B3" s="10" t="s">
        <v>44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</row>
    <row r="4" spans="2:21" ht="60" x14ac:dyDescent="0.25">
      <c r="B4" s="9" t="s">
        <v>5</v>
      </c>
      <c r="C4" s="9" t="s">
        <v>0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32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173</v>
      </c>
      <c r="S4" s="9" t="s">
        <v>19</v>
      </c>
      <c r="T4" s="9" t="s">
        <v>20</v>
      </c>
      <c r="U4" s="9" t="s">
        <v>21</v>
      </c>
    </row>
    <row r="5" spans="2:21" x14ac:dyDescent="0.25">
      <c r="B5" s="92">
        <v>1</v>
      </c>
      <c r="C5" s="95" t="s">
        <v>42</v>
      </c>
      <c r="D5" s="27" t="s">
        <v>139</v>
      </c>
      <c r="E5" s="27" t="s">
        <v>36</v>
      </c>
      <c r="F5" s="52">
        <f>40*2</f>
        <v>80</v>
      </c>
      <c r="G5" s="52">
        <f t="shared" ref="G5:G61" si="0">F5*10.7639</f>
        <v>861.11199999999997</v>
      </c>
      <c r="H5" s="52">
        <v>3.5</v>
      </c>
      <c r="I5" s="52">
        <f t="shared" ref="I5:I43" si="1">H5*3.28</f>
        <v>11.479999999999999</v>
      </c>
      <c r="J5" s="27">
        <v>2023</v>
      </c>
      <c r="K5" s="53">
        <v>2025</v>
      </c>
      <c r="L5" s="53">
        <f t="shared" ref="L5" si="2">K5-J5</f>
        <v>2</v>
      </c>
      <c r="M5" s="53">
        <v>60</v>
      </c>
      <c r="N5" s="54">
        <v>0.1</v>
      </c>
      <c r="O5" s="55">
        <f t="shared" ref="O5" si="3">(1-N5)/M5</f>
        <v>1.5000000000000001E-2</v>
      </c>
      <c r="P5" s="73">
        <v>1500</v>
      </c>
      <c r="Q5" s="2">
        <f>P5*G5</f>
        <v>1291668</v>
      </c>
      <c r="R5" s="64">
        <f>Q5*((1-O5)/L5*IF(N5&gt;M5,M5,N5))</f>
        <v>63614.649000000005</v>
      </c>
      <c r="S5" s="2">
        <f>Q5-R5</f>
        <v>1228053.351</v>
      </c>
      <c r="T5" s="88">
        <v>0</v>
      </c>
      <c r="U5" s="2">
        <f>S5*(1-T5)</f>
        <v>1228053.351</v>
      </c>
    </row>
    <row r="6" spans="2:21" x14ac:dyDescent="0.25">
      <c r="B6" s="93"/>
      <c r="C6" s="95"/>
      <c r="D6" s="27" t="s">
        <v>37</v>
      </c>
      <c r="E6" s="27" t="s">
        <v>33</v>
      </c>
      <c r="F6" s="52">
        <f>20*12</f>
        <v>240</v>
      </c>
      <c r="G6" s="52">
        <f t="shared" si="0"/>
        <v>2583.3359999999998</v>
      </c>
      <c r="H6" s="52">
        <v>12</v>
      </c>
      <c r="I6" s="52">
        <f t="shared" si="1"/>
        <v>39.36</v>
      </c>
      <c r="J6" s="27">
        <v>2023</v>
      </c>
      <c r="K6" s="53">
        <v>2025</v>
      </c>
      <c r="L6" s="53">
        <f t="shared" ref="L6:L30" si="4">K6-J6</f>
        <v>2</v>
      </c>
      <c r="M6" s="53">
        <v>40</v>
      </c>
      <c r="N6" s="54">
        <v>0.1</v>
      </c>
      <c r="O6" s="55">
        <f t="shared" ref="O6:O30" si="5">(1-N6)/M6</f>
        <v>2.2499999999999999E-2</v>
      </c>
      <c r="P6" s="73">
        <v>1200</v>
      </c>
      <c r="Q6" s="2">
        <f t="shared" ref="Q6:Q61" si="6">P6*G6</f>
        <v>3100003.1999999997</v>
      </c>
      <c r="R6" s="64">
        <f t="shared" ref="R6:R61" si="7">Q6*((1-O6)/L6*IF(N6&gt;M6,M6,N6))</f>
        <v>151512.65639999998</v>
      </c>
      <c r="S6" s="2">
        <f t="shared" ref="S6:S61" si="8">Q6-R6</f>
        <v>2948490.5435999995</v>
      </c>
      <c r="T6" s="88">
        <v>0</v>
      </c>
      <c r="U6" s="2">
        <f t="shared" ref="U6:U61" si="9">S6*(1-T6)</f>
        <v>2948490.5435999995</v>
      </c>
    </row>
    <row r="7" spans="2:21" x14ac:dyDescent="0.25">
      <c r="B7" s="93"/>
      <c r="C7" s="95"/>
      <c r="D7" s="27" t="s">
        <v>140</v>
      </c>
      <c r="E7" s="27" t="s">
        <v>36</v>
      </c>
      <c r="F7" s="52">
        <f>80*10*2</f>
        <v>1600</v>
      </c>
      <c r="G7" s="52">
        <f t="shared" si="0"/>
        <v>17222.239999999998</v>
      </c>
      <c r="H7" s="52">
        <v>3.5</v>
      </c>
      <c r="I7" s="52">
        <f t="shared" si="1"/>
        <v>11.479999999999999</v>
      </c>
      <c r="J7" s="27">
        <v>2023</v>
      </c>
      <c r="K7" s="53">
        <v>2025</v>
      </c>
      <c r="L7" s="53">
        <f t="shared" si="4"/>
        <v>2</v>
      </c>
      <c r="M7" s="53">
        <v>60</v>
      </c>
      <c r="N7" s="54">
        <v>0.1</v>
      </c>
      <c r="O7" s="55">
        <f t="shared" si="5"/>
        <v>1.5000000000000001E-2</v>
      </c>
      <c r="P7" s="73">
        <v>1500</v>
      </c>
      <c r="Q7" s="2">
        <f t="shared" si="6"/>
        <v>25833359.999999996</v>
      </c>
      <c r="R7" s="64">
        <f t="shared" si="7"/>
        <v>1272292.98</v>
      </c>
      <c r="S7" s="2">
        <f t="shared" si="8"/>
        <v>24561067.019999996</v>
      </c>
      <c r="T7" s="88">
        <v>0</v>
      </c>
      <c r="U7" s="2">
        <f t="shared" si="9"/>
        <v>24561067.019999996</v>
      </c>
    </row>
    <row r="8" spans="2:21" x14ac:dyDescent="0.25">
      <c r="B8" s="93"/>
      <c r="C8" s="95"/>
      <c r="D8" s="56" t="s">
        <v>38</v>
      </c>
      <c r="E8" s="27" t="s">
        <v>36</v>
      </c>
      <c r="F8" s="52">
        <f>4*4</f>
        <v>16</v>
      </c>
      <c r="G8" s="52">
        <f t="shared" si="0"/>
        <v>172.22239999999999</v>
      </c>
      <c r="H8" s="52">
        <v>3</v>
      </c>
      <c r="I8" s="52">
        <f t="shared" si="1"/>
        <v>9.84</v>
      </c>
      <c r="J8" s="27">
        <v>2023</v>
      </c>
      <c r="K8" s="53">
        <v>2025</v>
      </c>
      <c r="L8" s="53">
        <f t="shared" si="4"/>
        <v>2</v>
      </c>
      <c r="M8" s="53">
        <v>60</v>
      </c>
      <c r="N8" s="54">
        <v>0.1</v>
      </c>
      <c r="O8" s="55">
        <f t="shared" si="5"/>
        <v>1.5000000000000001E-2</v>
      </c>
      <c r="P8" s="73">
        <v>1100</v>
      </c>
      <c r="Q8" s="2">
        <f t="shared" si="6"/>
        <v>189444.63999999998</v>
      </c>
      <c r="R8" s="64">
        <f t="shared" si="7"/>
        <v>9330.1485199999988</v>
      </c>
      <c r="S8" s="2">
        <f t="shared" si="8"/>
        <v>180114.49148</v>
      </c>
      <c r="T8" s="88">
        <v>0</v>
      </c>
      <c r="U8" s="2">
        <f t="shared" si="9"/>
        <v>180114.49148</v>
      </c>
    </row>
    <row r="9" spans="2:21" x14ac:dyDescent="0.25">
      <c r="B9" s="93"/>
      <c r="C9" s="95"/>
      <c r="D9" s="56" t="s">
        <v>38</v>
      </c>
      <c r="E9" s="27" t="s">
        <v>39</v>
      </c>
      <c r="F9" s="52">
        <f>4*5</f>
        <v>20</v>
      </c>
      <c r="G9" s="52">
        <f t="shared" si="0"/>
        <v>215.27799999999999</v>
      </c>
      <c r="H9" s="52">
        <v>2.5</v>
      </c>
      <c r="I9" s="52">
        <f t="shared" si="1"/>
        <v>8.1999999999999993</v>
      </c>
      <c r="J9" s="27">
        <v>2023</v>
      </c>
      <c r="K9" s="53">
        <v>2025</v>
      </c>
      <c r="L9" s="53">
        <f t="shared" si="4"/>
        <v>2</v>
      </c>
      <c r="M9" s="53">
        <v>60</v>
      </c>
      <c r="N9" s="54">
        <v>0.1</v>
      </c>
      <c r="O9" s="55">
        <f t="shared" si="5"/>
        <v>1.5000000000000001E-2</v>
      </c>
      <c r="P9" s="73">
        <v>800</v>
      </c>
      <c r="Q9" s="2">
        <f t="shared" si="6"/>
        <v>172222.4</v>
      </c>
      <c r="R9" s="64">
        <f t="shared" si="7"/>
        <v>8481.9531999999999</v>
      </c>
      <c r="S9" s="2">
        <f t="shared" si="8"/>
        <v>163740.44680000001</v>
      </c>
      <c r="T9" s="88">
        <v>0</v>
      </c>
      <c r="U9" s="2">
        <f t="shared" si="9"/>
        <v>163740.44680000001</v>
      </c>
    </row>
    <row r="10" spans="2:21" x14ac:dyDescent="0.25">
      <c r="B10" s="94"/>
      <c r="C10" s="95"/>
      <c r="D10" s="7" t="s">
        <v>40</v>
      </c>
      <c r="E10" s="7" t="s">
        <v>41</v>
      </c>
      <c r="F10" s="74">
        <f>276*200</f>
        <v>55200</v>
      </c>
      <c r="G10" s="74">
        <f t="shared" si="0"/>
        <v>594167.28</v>
      </c>
      <c r="H10" s="74">
        <v>0</v>
      </c>
      <c r="I10" s="74">
        <v>0</v>
      </c>
      <c r="J10" s="27">
        <v>2023</v>
      </c>
      <c r="K10" s="73">
        <v>2025</v>
      </c>
      <c r="L10" s="73">
        <f t="shared" si="4"/>
        <v>2</v>
      </c>
      <c r="M10" s="73">
        <v>40</v>
      </c>
      <c r="N10" s="75">
        <v>0.1</v>
      </c>
      <c r="O10" s="76">
        <f t="shared" si="5"/>
        <v>2.2499999999999999E-2</v>
      </c>
      <c r="P10" s="73">
        <v>80</v>
      </c>
      <c r="Q10" s="2">
        <f t="shared" si="6"/>
        <v>47533382.400000006</v>
      </c>
      <c r="R10" s="64">
        <f t="shared" si="7"/>
        <v>2323194.0648000003</v>
      </c>
      <c r="S10" s="2">
        <f t="shared" si="8"/>
        <v>45210188.335200004</v>
      </c>
      <c r="T10" s="88">
        <v>0</v>
      </c>
      <c r="U10" s="2">
        <f t="shared" si="9"/>
        <v>45210188.335200004</v>
      </c>
    </row>
    <row r="11" spans="2:21" x14ac:dyDescent="0.25">
      <c r="B11" s="92">
        <v>2</v>
      </c>
      <c r="C11" s="95" t="s">
        <v>43</v>
      </c>
      <c r="D11" s="27" t="s">
        <v>35</v>
      </c>
      <c r="E11" s="27" t="s">
        <v>36</v>
      </c>
      <c r="F11" s="52">
        <v>40</v>
      </c>
      <c r="G11" s="52">
        <f t="shared" si="0"/>
        <v>430.55599999999998</v>
      </c>
      <c r="H11" s="52">
        <v>4</v>
      </c>
      <c r="I11" s="52">
        <f t="shared" si="1"/>
        <v>13.12</v>
      </c>
      <c r="J11" s="27">
        <v>2023</v>
      </c>
      <c r="K11" s="53">
        <v>2025</v>
      </c>
      <c r="L11" s="53">
        <f t="shared" si="4"/>
        <v>2</v>
      </c>
      <c r="M11" s="53">
        <v>60</v>
      </c>
      <c r="N11" s="54">
        <v>0.1</v>
      </c>
      <c r="O11" s="55">
        <f t="shared" si="5"/>
        <v>1.5000000000000001E-2</v>
      </c>
      <c r="P11" s="73">
        <v>1500</v>
      </c>
      <c r="Q11" s="2">
        <f t="shared" si="6"/>
        <v>645834</v>
      </c>
      <c r="R11" s="64">
        <f t="shared" si="7"/>
        <v>31807.324500000002</v>
      </c>
      <c r="S11" s="2">
        <f t="shared" si="8"/>
        <v>614026.67550000001</v>
      </c>
      <c r="T11" s="88">
        <v>0</v>
      </c>
      <c r="U11" s="2">
        <f t="shared" si="9"/>
        <v>614026.67550000001</v>
      </c>
    </row>
    <row r="12" spans="2:21" x14ac:dyDescent="0.25">
      <c r="B12" s="94"/>
      <c r="C12" s="95"/>
      <c r="D12" s="27" t="s">
        <v>40</v>
      </c>
      <c r="E12" s="27" t="s">
        <v>41</v>
      </c>
      <c r="F12" s="52">
        <f>247.5*58</f>
        <v>14355</v>
      </c>
      <c r="G12" s="52">
        <f t="shared" si="0"/>
        <v>154515.78449999998</v>
      </c>
      <c r="H12" s="52">
        <v>0</v>
      </c>
      <c r="I12" s="52">
        <f t="shared" si="1"/>
        <v>0</v>
      </c>
      <c r="J12" s="27">
        <v>2023</v>
      </c>
      <c r="K12" s="53">
        <v>2025</v>
      </c>
      <c r="L12" s="53">
        <f t="shared" si="4"/>
        <v>2</v>
      </c>
      <c r="M12" s="53">
        <v>40</v>
      </c>
      <c r="N12" s="54">
        <v>0.1</v>
      </c>
      <c r="O12" s="55">
        <f t="shared" si="5"/>
        <v>2.2499999999999999E-2</v>
      </c>
      <c r="P12" s="73">
        <v>80</v>
      </c>
      <c r="Q12" s="2">
        <f t="shared" si="6"/>
        <v>12361262.759999998</v>
      </c>
      <c r="R12" s="64">
        <f t="shared" si="7"/>
        <v>604156.71739499993</v>
      </c>
      <c r="S12" s="2">
        <f t="shared" si="8"/>
        <v>11757106.042604998</v>
      </c>
      <c r="T12" s="88">
        <v>0</v>
      </c>
      <c r="U12" s="2">
        <f t="shared" si="9"/>
        <v>11757106.042604998</v>
      </c>
    </row>
    <row r="13" spans="2:21" x14ac:dyDescent="0.25">
      <c r="B13" s="95">
        <v>3</v>
      </c>
      <c r="C13" s="95" t="s">
        <v>73</v>
      </c>
      <c r="D13" s="27" t="s">
        <v>35</v>
      </c>
      <c r="E13" s="27" t="s">
        <v>36</v>
      </c>
      <c r="F13" s="52">
        <v>40</v>
      </c>
      <c r="G13" s="52">
        <f t="shared" si="0"/>
        <v>430.55599999999998</v>
      </c>
      <c r="H13" s="52">
        <v>4</v>
      </c>
      <c r="I13" s="52">
        <f t="shared" si="1"/>
        <v>13.12</v>
      </c>
      <c r="J13" s="27">
        <v>2023</v>
      </c>
      <c r="K13" s="53">
        <v>2025</v>
      </c>
      <c r="L13" s="53">
        <f t="shared" si="4"/>
        <v>2</v>
      </c>
      <c r="M13" s="53">
        <v>60</v>
      </c>
      <c r="N13" s="54">
        <v>0.1</v>
      </c>
      <c r="O13" s="55">
        <f t="shared" si="5"/>
        <v>1.5000000000000001E-2</v>
      </c>
      <c r="P13" s="73">
        <v>1500</v>
      </c>
      <c r="Q13" s="2">
        <f t="shared" si="6"/>
        <v>645834</v>
      </c>
      <c r="R13" s="64">
        <f t="shared" si="7"/>
        <v>31807.324500000002</v>
      </c>
      <c r="S13" s="2">
        <f t="shared" si="8"/>
        <v>614026.67550000001</v>
      </c>
      <c r="T13" s="88">
        <v>0</v>
      </c>
      <c r="U13" s="2">
        <f t="shared" si="9"/>
        <v>614026.67550000001</v>
      </c>
    </row>
    <row r="14" spans="2:21" x14ac:dyDescent="0.25">
      <c r="B14" s="95"/>
      <c r="C14" s="95"/>
      <c r="D14" s="27" t="s">
        <v>40</v>
      </c>
      <c r="E14" s="27" t="s">
        <v>41</v>
      </c>
      <c r="F14" s="52">
        <f>200*56</f>
        <v>11200</v>
      </c>
      <c r="G14" s="52">
        <f t="shared" si="0"/>
        <v>120555.68</v>
      </c>
      <c r="H14" s="52">
        <v>0</v>
      </c>
      <c r="I14" s="52">
        <f t="shared" si="1"/>
        <v>0</v>
      </c>
      <c r="J14" s="27">
        <v>2023</v>
      </c>
      <c r="K14" s="53">
        <v>2025</v>
      </c>
      <c r="L14" s="53">
        <f t="shared" si="4"/>
        <v>2</v>
      </c>
      <c r="M14" s="53">
        <v>40</v>
      </c>
      <c r="N14" s="54">
        <v>0.1</v>
      </c>
      <c r="O14" s="55">
        <f t="shared" si="5"/>
        <v>2.2499999999999999E-2</v>
      </c>
      <c r="P14" s="53">
        <v>80</v>
      </c>
      <c r="Q14" s="2">
        <f t="shared" si="6"/>
        <v>9644454.3999999985</v>
      </c>
      <c r="R14" s="64">
        <f t="shared" si="7"/>
        <v>471372.70879999996</v>
      </c>
      <c r="S14" s="2">
        <f t="shared" si="8"/>
        <v>9173081.6911999993</v>
      </c>
      <c r="T14" s="88">
        <v>0</v>
      </c>
      <c r="U14" s="2">
        <f t="shared" si="9"/>
        <v>9173081.6911999993</v>
      </c>
    </row>
    <row r="15" spans="2:21" x14ac:dyDescent="0.25">
      <c r="B15" s="92">
        <v>4</v>
      </c>
      <c r="C15" s="92" t="s">
        <v>74</v>
      </c>
      <c r="D15" s="57" t="s">
        <v>160</v>
      </c>
      <c r="E15" s="27" t="s">
        <v>36</v>
      </c>
      <c r="F15" s="52">
        <f>245*15*4</f>
        <v>14700</v>
      </c>
      <c r="G15" s="52">
        <f t="shared" si="0"/>
        <v>158229.32999999999</v>
      </c>
      <c r="H15" s="52">
        <v>4</v>
      </c>
      <c r="I15" s="52">
        <f t="shared" si="1"/>
        <v>13.12</v>
      </c>
      <c r="J15" s="27">
        <v>2024</v>
      </c>
      <c r="K15" s="53">
        <v>2025</v>
      </c>
      <c r="L15" s="53">
        <f t="shared" si="4"/>
        <v>1</v>
      </c>
      <c r="M15" s="53">
        <v>60</v>
      </c>
      <c r="N15" s="54">
        <v>0.1</v>
      </c>
      <c r="O15" s="55">
        <f t="shared" si="5"/>
        <v>1.5000000000000001E-2</v>
      </c>
      <c r="P15" s="73">
        <v>1500</v>
      </c>
      <c r="Q15" s="2">
        <f t="shared" si="6"/>
        <v>237343994.99999997</v>
      </c>
      <c r="R15" s="64">
        <f t="shared" si="7"/>
        <v>23378383.507499997</v>
      </c>
      <c r="S15" s="2">
        <f t="shared" si="8"/>
        <v>213965611.49249998</v>
      </c>
      <c r="T15" s="88">
        <v>0.15</v>
      </c>
      <c r="U15" s="2">
        <f t="shared" si="9"/>
        <v>181870769.76862496</v>
      </c>
    </row>
    <row r="16" spans="2:21" x14ac:dyDescent="0.25">
      <c r="B16" s="93"/>
      <c r="C16" s="93"/>
      <c r="D16" s="57" t="s">
        <v>161</v>
      </c>
      <c r="E16" s="27" t="s">
        <v>36</v>
      </c>
      <c r="F16" s="52">
        <f>101.5*10*2</f>
        <v>2030</v>
      </c>
      <c r="G16" s="52">
        <f t="shared" si="0"/>
        <v>21850.717000000001</v>
      </c>
      <c r="H16" s="52">
        <v>4</v>
      </c>
      <c r="I16" s="52">
        <f t="shared" si="1"/>
        <v>13.12</v>
      </c>
      <c r="J16" s="27">
        <v>2019</v>
      </c>
      <c r="K16" s="53">
        <v>2025</v>
      </c>
      <c r="L16" s="53">
        <f t="shared" si="4"/>
        <v>6</v>
      </c>
      <c r="M16" s="53">
        <v>60</v>
      </c>
      <c r="N16" s="54">
        <v>0.1</v>
      </c>
      <c r="O16" s="55">
        <f t="shared" si="5"/>
        <v>1.5000000000000001E-2</v>
      </c>
      <c r="P16" s="73">
        <v>1500</v>
      </c>
      <c r="Q16" s="2">
        <f t="shared" si="6"/>
        <v>32776075.5</v>
      </c>
      <c r="R16" s="64">
        <f t="shared" si="7"/>
        <v>538073.90612499998</v>
      </c>
      <c r="S16" s="2">
        <f t="shared" si="8"/>
        <v>32238001.593874998</v>
      </c>
      <c r="T16" s="88">
        <v>0.15</v>
      </c>
      <c r="U16" s="2">
        <f t="shared" si="9"/>
        <v>27402301.35479375</v>
      </c>
    </row>
    <row r="17" spans="2:21" x14ac:dyDescent="0.25">
      <c r="B17" s="93"/>
      <c r="C17" s="93"/>
      <c r="D17" s="57" t="s">
        <v>162</v>
      </c>
      <c r="E17" s="27" t="s">
        <v>36</v>
      </c>
      <c r="F17" s="52">
        <f>6.8*67*4</f>
        <v>1822.3999999999999</v>
      </c>
      <c r="G17" s="52">
        <f t="shared" si="0"/>
        <v>19616.131359999999</v>
      </c>
      <c r="H17" s="52">
        <v>4</v>
      </c>
      <c r="I17" s="52">
        <f t="shared" si="1"/>
        <v>13.12</v>
      </c>
      <c r="J17" s="27">
        <v>2019</v>
      </c>
      <c r="K17" s="53">
        <v>2025</v>
      </c>
      <c r="L17" s="53">
        <f t="shared" si="4"/>
        <v>6</v>
      </c>
      <c r="M17" s="53">
        <v>60</v>
      </c>
      <c r="N17" s="54">
        <v>0.1</v>
      </c>
      <c r="O17" s="55">
        <f t="shared" si="5"/>
        <v>1.5000000000000001E-2</v>
      </c>
      <c r="P17" s="73">
        <v>1500</v>
      </c>
      <c r="Q17" s="2">
        <f t="shared" si="6"/>
        <v>29424197.039999999</v>
      </c>
      <c r="R17" s="64">
        <f t="shared" si="7"/>
        <v>483047.23473999999</v>
      </c>
      <c r="S17" s="2">
        <f t="shared" si="8"/>
        <v>28941149.805259999</v>
      </c>
      <c r="T17" s="88">
        <v>0.15</v>
      </c>
      <c r="U17" s="2">
        <f t="shared" si="9"/>
        <v>24599977.334470998</v>
      </c>
    </row>
    <row r="18" spans="2:21" x14ac:dyDescent="0.25">
      <c r="B18" s="93"/>
      <c r="C18" s="93"/>
      <c r="D18" s="57" t="s">
        <v>162</v>
      </c>
      <c r="E18" s="27" t="s">
        <v>36</v>
      </c>
      <c r="F18" s="52">
        <f>67*6.2*4</f>
        <v>1661.6000000000001</v>
      </c>
      <c r="G18" s="52">
        <f t="shared" si="0"/>
        <v>17885.29624</v>
      </c>
      <c r="H18" s="52">
        <v>4</v>
      </c>
      <c r="I18" s="52">
        <f t="shared" si="1"/>
        <v>13.12</v>
      </c>
      <c r="J18" s="27">
        <v>2013</v>
      </c>
      <c r="K18" s="53">
        <v>2025</v>
      </c>
      <c r="L18" s="53">
        <f t="shared" si="4"/>
        <v>12</v>
      </c>
      <c r="M18" s="53">
        <v>60</v>
      </c>
      <c r="N18" s="54">
        <v>0.1</v>
      </c>
      <c r="O18" s="55">
        <f t="shared" si="5"/>
        <v>1.5000000000000001E-2</v>
      </c>
      <c r="P18" s="73">
        <v>1500</v>
      </c>
      <c r="Q18" s="2">
        <f t="shared" si="6"/>
        <v>26827944.359999999</v>
      </c>
      <c r="R18" s="64">
        <f t="shared" si="7"/>
        <v>220212.709955</v>
      </c>
      <c r="S18" s="2">
        <f t="shared" si="8"/>
        <v>26607731.650045</v>
      </c>
      <c r="T18" s="88">
        <v>0.15</v>
      </c>
      <c r="U18" s="2">
        <f t="shared" si="9"/>
        <v>22616571.902538251</v>
      </c>
    </row>
    <row r="19" spans="2:21" x14ac:dyDescent="0.25">
      <c r="B19" s="93"/>
      <c r="C19" s="93"/>
      <c r="D19" s="57" t="s">
        <v>162</v>
      </c>
      <c r="E19" s="27" t="s">
        <v>36</v>
      </c>
      <c r="F19" s="59">
        <f>39.62*6*8</f>
        <v>1901.7599999999998</v>
      </c>
      <c r="G19" s="52">
        <f t="shared" si="0"/>
        <v>20470.354463999996</v>
      </c>
      <c r="H19" s="52">
        <v>4</v>
      </c>
      <c r="I19" s="52">
        <f t="shared" si="1"/>
        <v>13.12</v>
      </c>
      <c r="J19" s="27">
        <v>2013</v>
      </c>
      <c r="K19" s="53">
        <v>2025</v>
      </c>
      <c r="L19" s="53">
        <f t="shared" si="4"/>
        <v>12</v>
      </c>
      <c r="M19" s="53">
        <v>60</v>
      </c>
      <c r="N19" s="54">
        <v>0.1</v>
      </c>
      <c r="O19" s="55">
        <f t="shared" si="5"/>
        <v>1.5000000000000001E-2</v>
      </c>
      <c r="P19" s="73">
        <v>1500</v>
      </c>
      <c r="Q19" s="2">
        <f t="shared" si="6"/>
        <v>30705531.695999995</v>
      </c>
      <c r="R19" s="64">
        <f t="shared" si="7"/>
        <v>252041.23933799996</v>
      </c>
      <c r="S19" s="2">
        <f t="shared" si="8"/>
        <v>30453490.456661996</v>
      </c>
      <c r="T19" s="88">
        <v>0.15</v>
      </c>
      <c r="U19" s="2">
        <f t="shared" si="9"/>
        <v>25885466.888162695</v>
      </c>
    </row>
    <row r="20" spans="2:21" x14ac:dyDescent="0.25">
      <c r="B20" s="93"/>
      <c r="C20" s="93"/>
      <c r="D20" s="57" t="s">
        <v>182</v>
      </c>
      <c r="E20" s="27" t="s">
        <v>36</v>
      </c>
      <c r="F20" s="59">
        <f>61*6.22*3</f>
        <v>1138.2599999999998</v>
      </c>
      <c r="G20" s="52">
        <f t="shared" si="0"/>
        <v>12252.116813999997</v>
      </c>
      <c r="H20" s="52">
        <v>4</v>
      </c>
      <c r="I20" s="52">
        <f t="shared" si="1"/>
        <v>13.12</v>
      </c>
      <c r="J20" s="27">
        <v>2010</v>
      </c>
      <c r="K20" s="53">
        <v>2025</v>
      </c>
      <c r="L20" s="53">
        <f t="shared" si="4"/>
        <v>15</v>
      </c>
      <c r="M20" s="53">
        <v>60</v>
      </c>
      <c r="N20" s="54">
        <v>0.1</v>
      </c>
      <c r="O20" s="55">
        <f t="shared" si="5"/>
        <v>1.5000000000000001E-2</v>
      </c>
      <c r="P20" s="73">
        <v>1000</v>
      </c>
      <c r="Q20" s="2">
        <f t="shared" si="6"/>
        <v>12252116.813999997</v>
      </c>
      <c r="R20" s="64">
        <f t="shared" si="7"/>
        <v>80455.567078599983</v>
      </c>
      <c r="S20" s="2">
        <f t="shared" si="8"/>
        <v>12171661.246921398</v>
      </c>
      <c r="T20" s="88">
        <v>0</v>
      </c>
      <c r="U20" s="2">
        <f t="shared" si="9"/>
        <v>12171661.246921398</v>
      </c>
    </row>
    <row r="21" spans="2:21" x14ac:dyDescent="0.25">
      <c r="B21" s="93"/>
      <c r="C21" s="93"/>
      <c r="D21" s="27" t="s">
        <v>163</v>
      </c>
      <c r="E21" s="7" t="s">
        <v>183</v>
      </c>
      <c r="F21" s="74">
        <v>200</v>
      </c>
      <c r="G21" s="74">
        <f t="shared" si="0"/>
        <v>2152.7799999999997</v>
      </c>
      <c r="H21" s="74">
        <v>4</v>
      </c>
      <c r="I21" s="74">
        <f t="shared" si="1"/>
        <v>13.12</v>
      </c>
      <c r="J21" s="27">
        <v>1998</v>
      </c>
      <c r="K21" s="73">
        <v>2025</v>
      </c>
      <c r="L21" s="73">
        <f t="shared" si="4"/>
        <v>27</v>
      </c>
      <c r="M21" s="73">
        <v>60</v>
      </c>
      <c r="N21" s="75">
        <v>0.1</v>
      </c>
      <c r="O21" s="76">
        <f t="shared" si="5"/>
        <v>1.5000000000000001E-2</v>
      </c>
      <c r="P21" s="73">
        <v>800</v>
      </c>
      <c r="Q21" s="2">
        <f t="shared" si="6"/>
        <v>1722223.9999999998</v>
      </c>
      <c r="R21" s="64">
        <f t="shared" si="7"/>
        <v>6282.9282962962961</v>
      </c>
      <c r="S21" s="2">
        <f t="shared" si="8"/>
        <v>1715941.0717037034</v>
      </c>
      <c r="T21" s="88">
        <v>0.2</v>
      </c>
      <c r="U21" s="2">
        <f t="shared" si="9"/>
        <v>1372752.8573629628</v>
      </c>
    </row>
    <row r="22" spans="2:21" x14ac:dyDescent="0.25">
      <c r="B22" s="93"/>
      <c r="C22" s="93"/>
      <c r="D22" s="57" t="s">
        <v>157</v>
      </c>
      <c r="E22" s="7" t="s">
        <v>184</v>
      </c>
      <c r="F22" s="74">
        <v>3847.86</v>
      </c>
      <c r="G22" s="74">
        <f>F22*10.7639</f>
        <v>41417.980254000002</v>
      </c>
      <c r="H22" s="74">
        <v>4</v>
      </c>
      <c r="I22" s="74">
        <f t="shared" ref="I22" si="10">H22*3.28</f>
        <v>13.12</v>
      </c>
      <c r="J22" s="27">
        <v>2009</v>
      </c>
      <c r="K22" s="73">
        <v>2025</v>
      </c>
      <c r="L22" s="73">
        <f t="shared" ref="L22" si="11">K22-J22</f>
        <v>16</v>
      </c>
      <c r="M22" s="73">
        <v>60</v>
      </c>
      <c r="N22" s="75">
        <v>0.1</v>
      </c>
      <c r="O22" s="76">
        <f t="shared" ref="O22" si="12">(1-N22)/M22</f>
        <v>1.5000000000000001E-2</v>
      </c>
      <c r="P22" s="73">
        <v>500</v>
      </c>
      <c r="Q22" s="2">
        <f t="shared" si="6"/>
        <v>20708990.127</v>
      </c>
      <c r="R22" s="64">
        <f t="shared" si="7"/>
        <v>127489.72046934375</v>
      </c>
      <c r="S22" s="2">
        <f t="shared" si="8"/>
        <v>20581500.406530656</v>
      </c>
      <c r="T22" s="88">
        <v>0.2</v>
      </c>
      <c r="U22" s="2">
        <f t="shared" si="9"/>
        <v>16465200.325224526</v>
      </c>
    </row>
    <row r="23" spans="2:21" x14ac:dyDescent="0.25">
      <c r="B23" s="93"/>
      <c r="C23" s="93"/>
      <c r="D23" s="57" t="s">
        <v>164</v>
      </c>
      <c r="E23" s="7" t="s">
        <v>184</v>
      </c>
      <c r="F23" s="74">
        <f>56264/10.7639</f>
        <v>5227.1017010563091</v>
      </c>
      <c r="G23" s="74">
        <f t="shared" ref="G23:G24" si="13">F23*10.7639</f>
        <v>56264.000000000007</v>
      </c>
      <c r="H23" s="74">
        <v>4</v>
      </c>
      <c r="I23" s="74">
        <f t="shared" si="1"/>
        <v>13.12</v>
      </c>
      <c r="J23" s="27">
        <v>1998</v>
      </c>
      <c r="K23" s="73">
        <v>2025</v>
      </c>
      <c r="L23" s="73">
        <f t="shared" si="4"/>
        <v>27</v>
      </c>
      <c r="M23" s="73">
        <v>40</v>
      </c>
      <c r="N23" s="75">
        <v>0.1</v>
      </c>
      <c r="O23" s="76">
        <f t="shared" si="5"/>
        <v>2.2499999999999999E-2</v>
      </c>
      <c r="P23" s="73">
        <v>500</v>
      </c>
      <c r="Q23" s="2">
        <f t="shared" si="6"/>
        <v>28132000.000000004</v>
      </c>
      <c r="R23" s="64">
        <f t="shared" si="7"/>
        <v>101848.25925925928</v>
      </c>
      <c r="S23" s="2">
        <f t="shared" si="8"/>
        <v>28030151.740740746</v>
      </c>
      <c r="T23" s="88">
        <v>0.2</v>
      </c>
      <c r="U23" s="2">
        <f t="shared" si="9"/>
        <v>22424121.392592598</v>
      </c>
    </row>
    <row r="24" spans="2:21" x14ac:dyDescent="0.25">
      <c r="B24" s="94"/>
      <c r="C24" s="94"/>
      <c r="D24" s="60" t="s">
        <v>165</v>
      </c>
      <c r="E24" s="7" t="s">
        <v>184</v>
      </c>
      <c r="F24" s="74">
        <f>59541/10.7639</f>
        <v>5531.5452577597343</v>
      </c>
      <c r="G24" s="74">
        <f t="shared" si="13"/>
        <v>59541</v>
      </c>
      <c r="H24" s="74">
        <v>4</v>
      </c>
      <c r="I24" s="74">
        <f t="shared" si="1"/>
        <v>13.12</v>
      </c>
      <c r="J24" s="27">
        <v>1998</v>
      </c>
      <c r="K24" s="73">
        <v>2025</v>
      </c>
      <c r="L24" s="73">
        <f t="shared" si="4"/>
        <v>27</v>
      </c>
      <c r="M24" s="73">
        <v>40</v>
      </c>
      <c r="N24" s="75">
        <v>0.1</v>
      </c>
      <c r="O24" s="76">
        <f t="shared" si="5"/>
        <v>2.2499999999999999E-2</v>
      </c>
      <c r="P24" s="73">
        <v>500</v>
      </c>
      <c r="Q24" s="2">
        <f t="shared" si="6"/>
        <v>29770500</v>
      </c>
      <c r="R24" s="64">
        <f t="shared" si="7"/>
        <v>107780.23611111112</v>
      </c>
      <c r="S24" s="2">
        <f t="shared" si="8"/>
        <v>29662719.763888888</v>
      </c>
      <c r="T24" s="88">
        <v>0.2</v>
      </c>
      <c r="U24" s="2">
        <f t="shared" si="9"/>
        <v>23730175.811111111</v>
      </c>
    </row>
    <row r="25" spans="2:21" x14ac:dyDescent="0.25">
      <c r="B25" s="51">
        <v>5</v>
      </c>
      <c r="C25" s="51" t="s">
        <v>75</v>
      </c>
      <c r="D25" s="56" t="s">
        <v>75</v>
      </c>
      <c r="E25" s="7" t="s">
        <v>185</v>
      </c>
      <c r="F25" s="74">
        <v>325</v>
      </c>
      <c r="G25" s="74">
        <f t="shared" si="0"/>
        <v>3498.2674999999999</v>
      </c>
      <c r="H25" s="74">
        <v>4</v>
      </c>
      <c r="I25" s="74">
        <f t="shared" si="1"/>
        <v>13.12</v>
      </c>
      <c r="J25" s="27">
        <v>1998</v>
      </c>
      <c r="K25" s="73">
        <v>2025</v>
      </c>
      <c r="L25" s="73">
        <f t="shared" si="4"/>
        <v>27</v>
      </c>
      <c r="M25" s="73">
        <v>60</v>
      </c>
      <c r="N25" s="75">
        <v>0.1</v>
      </c>
      <c r="O25" s="76">
        <f t="shared" si="5"/>
        <v>1.5000000000000001E-2</v>
      </c>
      <c r="P25" s="73">
        <v>1200</v>
      </c>
      <c r="Q25" s="2">
        <f t="shared" si="6"/>
        <v>4197921</v>
      </c>
      <c r="R25" s="64">
        <f t="shared" si="7"/>
        <v>15314.637722222224</v>
      </c>
      <c r="S25" s="2">
        <f t="shared" si="8"/>
        <v>4182606.3622777779</v>
      </c>
      <c r="T25" s="88">
        <v>0.15</v>
      </c>
      <c r="U25" s="2">
        <f t="shared" si="9"/>
        <v>3555215.4079361111</v>
      </c>
    </row>
    <row r="26" spans="2:21" x14ac:dyDescent="0.25">
      <c r="B26" s="51">
        <v>6</v>
      </c>
      <c r="C26" s="51" t="s">
        <v>76</v>
      </c>
      <c r="D26" s="56" t="s">
        <v>76</v>
      </c>
      <c r="E26" s="7" t="s">
        <v>185</v>
      </c>
      <c r="F26" s="74">
        <v>1318.21</v>
      </c>
      <c r="G26" s="74">
        <f t="shared" si="0"/>
        <v>14189.080619</v>
      </c>
      <c r="H26" s="74">
        <v>4</v>
      </c>
      <c r="I26" s="74">
        <f t="shared" si="1"/>
        <v>13.12</v>
      </c>
      <c r="J26" s="27">
        <v>2000</v>
      </c>
      <c r="K26" s="73">
        <v>2025</v>
      </c>
      <c r="L26" s="73">
        <f t="shared" si="4"/>
        <v>25</v>
      </c>
      <c r="M26" s="73">
        <v>60</v>
      </c>
      <c r="N26" s="75">
        <v>0.1</v>
      </c>
      <c r="O26" s="76">
        <f t="shared" si="5"/>
        <v>1.5000000000000001E-2</v>
      </c>
      <c r="P26" s="73">
        <v>1200</v>
      </c>
      <c r="Q26" s="2">
        <f t="shared" si="6"/>
        <v>17026896.742800001</v>
      </c>
      <c r="R26" s="64">
        <f t="shared" si="7"/>
        <v>67085.973166632</v>
      </c>
      <c r="S26" s="2">
        <f t="shared" si="8"/>
        <v>16959810.769633368</v>
      </c>
      <c r="T26" s="88">
        <v>0.15</v>
      </c>
      <c r="U26" s="2">
        <f t="shared" si="9"/>
        <v>14415839.154188363</v>
      </c>
    </row>
    <row r="27" spans="2:21" x14ac:dyDescent="0.25">
      <c r="B27" s="51">
        <v>7</v>
      </c>
      <c r="C27" s="51" t="s">
        <v>77</v>
      </c>
      <c r="D27" s="56" t="s">
        <v>77</v>
      </c>
      <c r="E27" s="7" t="s">
        <v>185</v>
      </c>
      <c r="F27" s="74">
        <v>1071.46</v>
      </c>
      <c r="G27" s="74">
        <f t="shared" si="0"/>
        <v>11533.088293999999</v>
      </c>
      <c r="H27" s="74">
        <v>4</v>
      </c>
      <c r="I27" s="74">
        <f t="shared" si="1"/>
        <v>13.12</v>
      </c>
      <c r="J27" s="27">
        <v>1998</v>
      </c>
      <c r="K27" s="73">
        <v>2025</v>
      </c>
      <c r="L27" s="73">
        <f t="shared" si="4"/>
        <v>27</v>
      </c>
      <c r="M27" s="73">
        <v>60</v>
      </c>
      <c r="N27" s="75">
        <v>0.1</v>
      </c>
      <c r="O27" s="76">
        <f t="shared" si="5"/>
        <v>1.5000000000000001E-2</v>
      </c>
      <c r="P27" s="73">
        <v>1200</v>
      </c>
      <c r="Q27" s="2">
        <f t="shared" si="6"/>
        <v>13839705.952799998</v>
      </c>
      <c r="R27" s="64">
        <f t="shared" si="7"/>
        <v>50489.297642622223</v>
      </c>
      <c r="S27" s="2">
        <f t="shared" si="8"/>
        <v>13789216.655157376</v>
      </c>
      <c r="T27" s="88">
        <v>0.15</v>
      </c>
      <c r="U27" s="2">
        <f t="shared" si="9"/>
        <v>11720834.156883769</v>
      </c>
    </row>
    <row r="28" spans="2:21" ht="15" customHeight="1" x14ac:dyDescent="0.25">
      <c r="B28" s="92">
        <v>8</v>
      </c>
      <c r="C28" s="92" t="s">
        <v>78</v>
      </c>
      <c r="D28" s="57" t="s">
        <v>158</v>
      </c>
      <c r="E28" s="27" t="s">
        <v>36</v>
      </c>
      <c r="F28" s="52">
        <v>140.52000000000001</v>
      </c>
      <c r="G28" s="52">
        <f>F28*10.7639</f>
        <v>1512.543228</v>
      </c>
      <c r="H28" s="52">
        <v>4</v>
      </c>
      <c r="I28" s="52">
        <f t="shared" si="1"/>
        <v>13.12</v>
      </c>
      <c r="J28" s="27">
        <v>1998</v>
      </c>
      <c r="K28" s="53">
        <v>2025</v>
      </c>
      <c r="L28" s="53">
        <f t="shared" ref="L28:L29" si="14">K28-J28</f>
        <v>27</v>
      </c>
      <c r="M28" s="53">
        <v>60</v>
      </c>
      <c r="N28" s="54">
        <v>0.1</v>
      </c>
      <c r="O28" s="55">
        <f t="shared" ref="O28:O29" si="15">(1-N28)/M28</f>
        <v>1.5000000000000001E-2</v>
      </c>
      <c r="P28" s="73">
        <v>1400</v>
      </c>
      <c r="Q28" s="2">
        <f t="shared" si="6"/>
        <v>2117560.5192</v>
      </c>
      <c r="R28" s="64">
        <f t="shared" si="7"/>
        <v>7725.174486711112</v>
      </c>
      <c r="S28" s="2">
        <f t="shared" si="8"/>
        <v>2109835.3447132888</v>
      </c>
      <c r="T28" s="88">
        <v>0</v>
      </c>
      <c r="U28" s="2">
        <f t="shared" si="9"/>
        <v>2109835.3447132888</v>
      </c>
    </row>
    <row r="29" spans="2:21" x14ac:dyDescent="0.25">
      <c r="B29" s="93"/>
      <c r="C29" s="93"/>
      <c r="D29" s="57" t="s">
        <v>159</v>
      </c>
      <c r="E29" s="27" t="s">
        <v>36</v>
      </c>
      <c r="F29" s="52">
        <v>4136.8</v>
      </c>
      <c r="G29" s="52">
        <f>F29*10.7639</f>
        <v>44528.101520000004</v>
      </c>
      <c r="H29" s="52">
        <v>4</v>
      </c>
      <c r="I29" s="52">
        <f t="shared" si="1"/>
        <v>13.12</v>
      </c>
      <c r="J29" s="27">
        <v>2017</v>
      </c>
      <c r="K29" s="53">
        <v>2025</v>
      </c>
      <c r="L29" s="53">
        <f t="shared" si="14"/>
        <v>8</v>
      </c>
      <c r="M29" s="53">
        <v>60</v>
      </c>
      <c r="N29" s="54">
        <v>0.1</v>
      </c>
      <c r="O29" s="55">
        <f t="shared" si="15"/>
        <v>1.5000000000000001E-2</v>
      </c>
      <c r="P29" s="73">
        <v>1400</v>
      </c>
      <c r="Q29" s="2">
        <f t="shared" si="6"/>
        <v>62339342.128000006</v>
      </c>
      <c r="R29" s="64">
        <f t="shared" si="7"/>
        <v>767553.14995100012</v>
      </c>
      <c r="S29" s="2">
        <f t="shared" si="8"/>
        <v>61571788.978049003</v>
      </c>
      <c r="T29" s="88">
        <v>0</v>
      </c>
      <c r="U29" s="2">
        <f t="shared" si="9"/>
        <v>61571788.978049003</v>
      </c>
    </row>
    <row r="30" spans="2:21" x14ac:dyDescent="0.25">
      <c r="B30" s="93"/>
      <c r="C30" s="93"/>
      <c r="D30" s="57" t="s">
        <v>122</v>
      </c>
      <c r="E30" s="27" t="s">
        <v>36</v>
      </c>
      <c r="F30" s="52">
        <v>2007.43</v>
      </c>
      <c r="G30" s="52">
        <f t="shared" si="0"/>
        <v>21607.775776999999</v>
      </c>
      <c r="H30" s="58" t="s">
        <v>31</v>
      </c>
      <c r="I30" s="58" t="s">
        <v>31</v>
      </c>
      <c r="J30" s="27">
        <v>2011</v>
      </c>
      <c r="K30" s="53">
        <v>2025</v>
      </c>
      <c r="L30" s="53">
        <f t="shared" si="4"/>
        <v>14</v>
      </c>
      <c r="M30" s="53">
        <v>60</v>
      </c>
      <c r="N30" s="54">
        <v>0.1</v>
      </c>
      <c r="O30" s="55">
        <f t="shared" si="5"/>
        <v>1.5000000000000001E-2</v>
      </c>
      <c r="P30" s="53">
        <v>100</v>
      </c>
      <c r="Q30" s="2">
        <f t="shared" si="6"/>
        <v>2160777.5776999998</v>
      </c>
      <c r="R30" s="64">
        <f t="shared" si="7"/>
        <v>15202.613671674999</v>
      </c>
      <c r="S30" s="2">
        <f t="shared" si="8"/>
        <v>2145574.9640283249</v>
      </c>
      <c r="T30" s="88">
        <v>0</v>
      </c>
      <c r="U30" s="2">
        <f t="shared" si="9"/>
        <v>2145574.9640283249</v>
      </c>
    </row>
    <row r="31" spans="2:21" x14ac:dyDescent="0.25">
      <c r="B31" s="93"/>
      <c r="C31" s="93"/>
      <c r="D31" s="57" t="s">
        <v>123</v>
      </c>
      <c r="E31" s="7" t="s">
        <v>185</v>
      </c>
      <c r="F31" s="74">
        <v>1710.03</v>
      </c>
      <c r="G31" s="74">
        <f t="shared" si="0"/>
        <v>18406.591916999998</v>
      </c>
      <c r="H31" s="50">
        <v>24</v>
      </c>
      <c r="I31" s="74">
        <f t="shared" si="1"/>
        <v>78.72</v>
      </c>
      <c r="J31" s="27">
        <v>2008</v>
      </c>
      <c r="K31" s="73">
        <v>2025</v>
      </c>
      <c r="L31" s="73">
        <f t="shared" ref="L31:L46" si="16">K31-J31</f>
        <v>17</v>
      </c>
      <c r="M31" s="73">
        <v>60</v>
      </c>
      <c r="N31" s="75">
        <v>0.1</v>
      </c>
      <c r="O31" s="76">
        <f t="shared" ref="O31:O46" si="17">(1-N31)/M31</f>
        <v>1.5000000000000001E-2</v>
      </c>
      <c r="P31" s="73">
        <v>1200</v>
      </c>
      <c r="Q31" s="77">
        <f t="shared" si="6"/>
        <v>22087910.300399996</v>
      </c>
      <c r="R31" s="64">
        <f t="shared" si="7"/>
        <v>127979.95085819998</v>
      </c>
      <c r="S31" s="2">
        <f t="shared" si="8"/>
        <v>21959930.349541795</v>
      </c>
      <c r="T31" s="88">
        <v>0</v>
      </c>
      <c r="U31" s="2">
        <f t="shared" si="9"/>
        <v>21959930.349541795</v>
      </c>
    </row>
    <row r="32" spans="2:21" x14ac:dyDescent="0.25">
      <c r="B32" s="93"/>
      <c r="C32" s="93"/>
      <c r="D32" s="27" t="s">
        <v>124</v>
      </c>
      <c r="E32" s="27" t="s">
        <v>36</v>
      </c>
      <c r="F32" s="52">
        <v>289.95999999999998</v>
      </c>
      <c r="G32" s="74">
        <f t="shared" si="0"/>
        <v>3121.1004439999997</v>
      </c>
      <c r="H32" s="50">
        <v>3.04</v>
      </c>
      <c r="I32" s="74">
        <f t="shared" si="1"/>
        <v>9.9711999999999996</v>
      </c>
      <c r="J32" s="27">
        <v>2018</v>
      </c>
      <c r="K32" s="73">
        <v>2025</v>
      </c>
      <c r="L32" s="73">
        <f t="shared" si="16"/>
        <v>7</v>
      </c>
      <c r="M32" s="73">
        <v>60</v>
      </c>
      <c r="N32" s="75">
        <v>0.1</v>
      </c>
      <c r="O32" s="76">
        <f t="shared" si="17"/>
        <v>1.5000000000000001E-2</v>
      </c>
      <c r="P32" s="73">
        <v>1500</v>
      </c>
      <c r="Q32" s="2">
        <f t="shared" si="6"/>
        <v>4681650.6659999993</v>
      </c>
      <c r="R32" s="64">
        <f t="shared" si="7"/>
        <v>65877.512942999994</v>
      </c>
      <c r="S32" s="2">
        <f t="shared" si="8"/>
        <v>4615773.1530569997</v>
      </c>
      <c r="T32" s="88">
        <v>0</v>
      </c>
      <c r="U32" s="2">
        <f t="shared" si="9"/>
        <v>4615773.1530569997</v>
      </c>
    </row>
    <row r="33" spans="2:21" x14ac:dyDescent="0.25">
      <c r="B33" s="93"/>
      <c r="C33" s="93"/>
      <c r="D33" s="57" t="s">
        <v>125</v>
      </c>
      <c r="E33" s="27" t="s">
        <v>36</v>
      </c>
      <c r="F33" s="52">
        <v>250.92</v>
      </c>
      <c r="G33" s="74">
        <f t="shared" si="0"/>
        <v>2700.8777879999998</v>
      </c>
      <c r="H33" s="50">
        <v>10</v>
      </c>
      <c r="I33" s="74">
        <f t="shared" si="1"/>
        <v>32.799999999999997</v>
      </c>
      <c r="J33" s="27">
        <v>2008</v>
      </c>
      <c r="K33" s="73">
        <v>2025</v>
      </c>
      <c r="L33" s="73">
        <f t="shared" si="16"/>
        <v>17</v>
      </c>
      <c r="M33" s="73">
        <v>60</v>
      </c>
      <c r="N33" s="75">
        <v>0.1</v>
      </c>
      <c r="O33" s="76">
        <f t="shared" si="17"/>
        <v>1.5000000000000001E-2</v>
      </c>
      <c r="P33" s="73">
        <v>1400</v>
      </c>
      <c r="Q33" s="2">
        <f t="shared" si="6"/>
        <v>3781228.9031999996</v>
      </c>
      <c r="R33" s="64">
        <f t="shared" si="7"/>
        <v>21908.885115599998</v>
      </c>
      <c r="S33" s="2">
        <f t="shared" si="8"/>
        <v>3759320.0180843994</v>
      </c>
      <c r="T33" s="88">
        <v>0</v>
      </c>
      <c r="U33" s="2">
        <f t="shared" si="9"/>
        <v>3759320.0180843994</v>
      </c>
    </row>
    <row r="34" spans="2:21" x14ac:dyDescent="0.25">
      <c r="B34" s="93"/>
      <c r="C34" s="93"/>
      <c r="D34" s="57" t="s">
        <v>126</v>
      </c>
      <c r="E34" s="27" t="s">
        <v>36</v>
      </c>
      <c r="F34" s="52">
        <v>95.72</v>
      </c>
      <c r="G34" s="74">
        <f t="shared" si="0"/>
        <v>1030.320508</v>
      </c>
      <c r="H34" s="50">
        <v>10</v>
      </c>
      <c r="I34" s="74">
        <f t="shared" si="1"/>
        <v>32.799999999999997</v>
      </c>
      <c r="J34" s="27">
        <v>2008</v>
      </c>
      <c r="K34" s="73">
        <v>2025</v>
      </c>
      <c r="L34" s="73">
        <f t="shared" si="16"/>
        <v>17</v>
      </c>
      <c r="M34" s="73">
        <v>60</v>
      </c>
      <c r="N34" s="75">
        <v>0.1</v>
      </c>
      <c r="O34" s="76">
        <f t="shared" si="17"/>
        <v>1.5000000000000001E-2</v>
      </c>
      <c r="P34" s="73">
        <v>1400</v>
      </c>
      <c r="Q34" s="2">
        <f t="shared" si="6"/>
        <v>1442448.7112</v>
      </c>
      <c r="R34" s="64">
        <f t="shared" si="7"/>
        <v>8357.7175325411772</v>
      </c>
      <c r="S34" s="2">
        <f t="shared" si="8"/>
        <v>1434090.9936674589</v>
      </c>
      <c r="T34" s="88">
        <v>0</v>
      </c>
      <c r="U34" s="2">
        <f t="shared" si="9"/>
        <v>1434090.9936674589</v>
      </c>
    </row>
    <row r="35" spans="2:21" x14ac:dyDescent="0.25">
      <c r="B35" s="93"/>
      <c r="C35" s="93"/>
      <c r="D35" s="57" t="s">
        <v>127</v>
      </c>
      <c r="E35" s="7" t="s">
        <v>185</v>
      </c>
      <c r="F35" s="52">
        <v>1672.86</v>
      </c>
      <c r="G35" s="74">
        <f t="shared" si="0"/>
        <v>18006.497754</v>
      </c>
      <c r="H35" s="50">
        <v>24</v>
      </c>
      <c r="I35" s="74">
        <f t="shared" si="1"/>
        <v>78.72</v>
      </c>
      <c r="J35" s="27">
        <v>2010</v>
      </c>
      <c r="K35" s="73">
        <v>2025</v>
      </c>
      <c r="L35" s="73">
        <f t="shared" si="16"/>
        <v>15</v>
      </c>
      <c r="M35" s="73">
        <v>40</v>
      </c>
      <c r="N35" s="75">
        <v>0.1</v>
      </c>
      <c r="O35" s="76">
        <f t="shared" si="17"/>
        <v>2.2499999999999999E-2</v>
      </c>
      <c r="P35" s="73">
        <v>1200</v>
      </c>
      <c r="Q35" s="2">
        <f t="shared" si="6"/>
        <v>21607797.3048</v>
      </c>
      <c r="R35" s="64">
        <f t="shared" si="7"/>
        <v>140810.81243628002</v>
      </c>
      <c r="S35" s="2">
        <f t="shared" si="8"/>
        <v>21466986.492363721</v>
      </c>
      <c r="T35" s="88">
        <v>0</v>
      </c>
      <c r="U35" s="2">
        <f t="shared" si="9"/>
        <v>21466986.492363721</v>
      </c>
    </row>
    <row r="36" spans="2:21" x14ac:dyDescent="0.25">
      <c r="B36" s="93"/>
      <c r="C36" s="93"/>
      <c r="D36" s="57" t="s">
        <v>128</v>
      </c>
      <c r="E36" s="27" t="s">
        <v>36</v>
      </c>
      <c r="F36" s="52">
        <v>289.95999999999998</v>
      </c>
      <c r="G36" s="74">
        <f t="shared" si="0"/>
        <v>3121.1004439999997</v>
      </c>
      <c r="H36" s="50" t="s">
        <v>141</v>
      </c>
      <c r="I36" s="50" t="s">
        <v>141</v>
      </c>
      <c r="J36" s="27">
        <v>2011</v>
      </c>
      <c r="K36" s="73">
        <v>2025</v>
      </c>
      <c r="L36" s="73">
        <f t="shared" si="16"/>
        <v>14</v>
      </c>
      <c r="M36" s="73">
        <v>40</v>
      </c>
      <c r="N36" s="75">
        <v>0.1</v>
      </c>
      <c r="O36" s="76">
        <f t="shared" si="17"/>
        <v>2.2499999999999999E-2</v>
      </c>
      <c r="P36" s="73">
        <v>1400</v>
      </c>
      <c r="Q36" s="2">
        <f t="shared" si="6"/>
        <v>4369540.6215999993</v>
      </c>
      <c r="R36" s="64">
        <f t="shared" si="7"/>
        <v>30508.756840099999</v>
      </c>
      <c r="S36" s="2">
        <f t="shared" si="8"/>
        <v>4339031.8647598997</v>
      </c>
      <c r="T36" s="88">
        <v>0</v>
      </c>
      <c r="U36" s="2">
        <f t="shared" si="9"/>
        <v>4339031.8647598997</v>
      </c>
    </row>
    <row r="37" spans="2:21" x14ac:dyDescent="0.25">
      <c r="B37" s="93"/>
      <c r="C37" s="93"/>
      <c r="D37" s="57" t="s">
        <v>129</v>
      </c>
      <c r="E37" s="27" t="s">
        <v>36</v>
      </c>
      <c r="F37" s="52">
        <v>4460.96</v>
      </c>
      <c r="G37" s="74">
        <f t="shared" si="0"/>
        <v>48017.327343999998</v>
      </c>
      <c r="H37" s="50">
        <v>24</v>
      </c>
      <c r="I37" s="74">
        <f t="shared" si="1"/>
        <v>78.72</v>
      </c>
      <c r="J37" s="27">
        <v>2008</v>
      </c>
      <c r="K37" s="73">
        <v>2025</v>
      </c>
      <c r="L37" s="73">
        <f t="shared" si="16"/>
        <v>17</v>
      </c>
      <c r="M37" s="73">
        <v>40</v>
      </c>
      <c r="N37" s="75">
        <v>0.1</v>
      </c>
      <c r="O37" s="76">
        <f t="shared" si="17"/>
        <v>2.2499999999999999E-2</v>
      </c>
      <c r="P37" s="73">
        <v>1400</v>
      </c>
      <c r="Q37" s="2">
        <f t="shared" si="6"/>
        <v>67224258.281599998</v>
      </c>
      <c r="R37" s="64">
        <f t="shared" si="7"/>
        <v>386539.48511920002</v>
      </c>
      <c r="S37" s="2">
        <f t="shared" si="8"/>
        <v>66837718.796480797</v>
      </c>
      <c r="T37" s="88">
        <v>0</v>
      </c>
      <c r="U37" s="2">
        <f t="shared" si="9"/>
        <v>66837718.796480797</v>
      </c>
    </row>
    <row r="38" spans="2:21" x14ac:dyDescent="0.25">
      <c r="B38" s="93"/>
      <c r="C38" s="93"/>
      <c r="D38" s="57" t="s">
        <v>130</v>
      </c>
      <c r="E38" s="27" t="s">
        <v>36</v>
      </c>
      <c r="F38" s="52">
        <v>1728.62</v>
      </c>
      <c r="G38" s="74">
        <f t="shared" si="0"/>
        <v>18606.692818</v>
      </c>
      <c r="H38" s="50">
        <v>12</v>
      </c>
      <c r="I38" s="74">
        <f t="shared" si="1"/>
        <v>39.36</v>
      </c>
      <c r="J38" s="27">
        <v>1998</v>
      </c>
      <c r="K38" s="73">
        <v>2025</v>
      </c>
      <c r="L38" s="73">
        <f t="shared" si="16"/>
        <v>27</v>
      </c>
      <c r="M38" s="73">
        <v>40</v>
      </c>
      <c r="N38" s="75">
        <v>0.1</v>
      </c>
      <c r="O38" s="76">
        <f t="shared" si="17"/>
        <v>2.2499999999999999E-2</v>
      </c>
      <c r="P38" s="73">
        <v>1400</v>
      </c>
      <c r="Q38" s="2">
        <f t="shared" si="6"/>
        <v>26049369.9452</v>
      </c>
      <c r="R38" s="64">
        <f t="shared" si="7"/>
        <v>94308.367116418522</v>
      </c>
      <c r="S38" s="2">
        <f t="shared" si="8"/>
        <v>25955061.578083582</v>
      </c>
      <c r="T38" s="88">
        <v>0</v>
      </c>
      <c r="U38" s="2">
        <f t="shared" si="9"/>
        <v>25955061.578083582</v>
      </c>
    </row>
    <row r="39" spans="2:21" x14ac:dyDescent="0.25">
      <c r="B39" s="93"/>
      <c r="C39" s="93"/>
      <c r="D39" s="57" t="s">
        <v>131</v>
      </c>
      <c r="E39" s="27" t="s">
        <v>33</v>
      </c>
      <c r="F39" s="52">
        <v>611.98</v>
      </c>
      <c r="G39" s="52">
        <f t="shared" si="0"/>
        <v>6587.2915219999995</v>
      </c>
      <c r="H39" s="58">
        <v>9</v>
      </c>
      <c r="I39" s="52">
        <f t="shared" si="1"/>
        <v>29.52</v>
      </c>
      <c r="J39" s="27">
        <v>2024</v>
      </c>
      <c r="K39" s="53">
        <v>2025</v>
      </c>
      <c r="L39" s="53">
        <f t="shared" si="16"/>
        <v>1</v>
      </c>
      <c r="M39" s="73">
        <v>40</v>
      </c>
      <c r="N39" s="54">
        <v>0.1</v>
      </c>
      <c r="O39" s="55">
        <f t="shared" si="17"/>
        <v>2.2499999999999999E-2</v>
      </c>
      <c r="P39" s="53">
        <v>1200</v>
      </c>
      <c r="Q39" s="2">
        <f t="shared" si="6"/>
        <v>7904749.8263999997</v>
      </c>
      <c r="R39" s="64">
        <f t="shared" si="7"/>
        <v>772689.29553060001</v>
      </c>
      <c r="S39" s="2">
        <f t="shared" si="8"/>
        <v>7132060.5308694001</v>
      </c>
      <c r="T39" s="88">
        <v>0</v>
      </c>
      <c r="U39" s="2">
        <f t="shared" si="9"/>
        <v>7132060.5308694001</v>
      </c>
    </row>
    <row r="40" spans="2:21" x14ac:dyDescent="0.25">
      <c r="B40" s="93"/>
      <c r="C40" s="93"/>
      <c r="D40" s="57" t="s">
        <v>132</v>
      </c>
      <c r="E40" s="27" t="s">
        <v>33</v>
      </c>
      <c r="F40" s="52">
        <v>2509.29</v>
      </c>
      <c r="G40" s="74">
        <f t="shared" si="0"/>
        <v>27009.746630999998</v>
      </c>
      <c r="H40" s="50">
        <v>12</v>
      </c>
      <c r="I40" s="74">
        <f t="shared" si="1"/>
        <v>39.36</v>
      </c>
      <c r="J40" s="27">
        <v>1998</v>
      </c>
      <c r="K40" s="53">
        <v>2025</v>
      </c>
      <c r="L40" s="53">
        <f t="shared" si="16"/>
        <v>27</v>
      </c>
      <c r="M40" s="73">
        <v>40</v>
      </c>
      <c r="N40" s="54">
        <v>0.1</v>
      </c>
      <c r="O40" s="55">
        <f t="shared" si="17"/>
        <v>2.2499999999999999E-2</v>
      </c>
      <c r="P40" s="53">
        <v>1200</v>
      </c>
      <c r="Q40" s="2">
        <f t="shared" si="6"/>
        <v>32411695.957199998</v>
      </c>
      <c r="R40" s="64">
        <f t="shared" si="7"/>
        <v>117342.3436969</v>
      </c>
      <c r="S40" s="2">
        <f t="shared" si="8"/>
        <v>32294353.613503098</v>
      </c>
      <c r="T40" s="88">
        <v>0</v>
      </c>
      <c r="U40" s="2">
        <f t="shared" si="9"/>
        <v>32294353.613503098</v>
      </c>
    </row>
    <row r="41" spans="2:21" x14ac:dyDescent="0.25">
      <c r="B41" s="93"/>
      <c r="C41" s="93"/>
      <c r="D41" s="57" t="s">
        <v>133</v>
      </c>
      <c r="E41" s="27" t="s">
        <v>36</v>
      </c>
      <c r="F41" s="52">
        <v>4758.3599999999997</v>
      </c>
      <c r="G41" s="52">
        <f t="shared" si="0"/>
        <v>51218.511203999995</v>
      </c>
      <c r="H41" s="58" t="s">
        <v>142</v>
      </c>
      <c r="I41" s="52">
        <v>0</v>
      </c>
      <c r="J41" s="27">
        <v>2018</v>
      </c>
      <c r="K41" s="53">
        <v>2025</v>
      </c>
      <c r="L41" s="53">
        <f t="shared" si="16"/>
        <v>7</v>
      </c>
      <c r="M41" s="73">
        <v>40</v>
      </c>
      <c r="N41" s="54">
        <v>0.1</v>
      </c>
      <c r="O41" s="55">
        <f t="shared" si="17"/>
        <v>2.2499999999999999E-2</v>
      </c>
      <c r="P41" s="53">
        <v>80</v>
      </c>
      <c r="Q41" s="2">
        <f t="shared" si="6"/>
        <v>4097480.8963199994</v>
      </c>
      <c r="R41" s="64">
        <f t="shared" si="7"/>
        <v>57218.393945039999</v>
      </c>
      <c r="S41" s="2">
        <f t="shared" si="8"/>
        <v>4040262.5023749592</v>
      </c>
      <c r="T41" s="88">
        <v>0</v>
      </c>
      <c r="U41" s="2">
        <f t="shared" si="9"/>
        <v>4040262.5023749592</v>
      </c>
    </row>
    <row r="42" spans="2:21" x14ac:dyDescent="0.25">
      <c r="B42" s="93"/>
      <c r="C42" s="93"/>
      <c r="D42" s="57" t="s">
        <v>134</v>
      </c>
      <c r="E42" s="27" t="s">
        <v>36</v>
      </c>
      <c r="F42" s="52">
        <v>139.4</v>
      </c>
      <c r="G42" s="52">
        <f t="shared" si="0"/>
        <v>1500.48766</v>
      </c>
      <c r="H42" s="58">
        <v>3</v>
      </c>
      <c r="I42" s="52">
        <f t="shared" si="1"/>
        <v>9.84</v>
      </c>
      <c r="J42" s="27">
        <v>2015</v>
      </c>
      <c r="K42" s="53">
        <v>2025</v>
      </c>
      <c r="L42" s="53">
        <f t="shared" si="16"/>
        <v>10</v>
      </c>
      <c r="M42" s="73">
        <v>40</v>
      </c>
      <c r="N42" s="54">
        <v>0.1</v>
      </c>
      <c r="O42" s="55">
        <f t="shared" si="17"/>
        <v>2.2499999999999999E-2</v>
      </c>
      <c r="P42" s="53">
        <v>1400</v>
      </c>
      <c r="Q42" s="2">
        <f t="shared" si="6"/>
        <v>2100682.7239999999</v>
      </c>
      <c r="R42" s="64">
        <f t="shared" si="7"/>
        <v>20534.173627100001</v>
      </c>
      <c r="S42" s="2">
        <f t="shared" si="8"/>
        <v>2080148.5503729</v>
      </c>
      <c r="T42" s="88">
        <v>0</v>
      </c>
      <c r="U42" s="2">
        <f t="shared" si="9"/>
        <v>2080148.5503729</v>
      </c>
    </row>
    <row r="43" spans="2:21" x14ac:dyDescent="0.25">
      <c r="B43" s="93"/>
      <c r="C43" s="93"/>
      <c r="D43" s="57" t="s">
        <v>135</v>
      </c>
      <c r="E43" s="27" t="s">
        <v>36</v>
      </c>
      <c r="F43" s="52">
        <v>27.88</v>
      </c>
      <c r="G43" s="52">
        <f t="shared" si="0"/>
        <v>300.097532</v>
      </c>
      <c r="H43" s="58">
        <v>3</v>
      </c>
      <c r="I43" s="52">
        <f t="shared" si="1"/>
        <v>9.84</v>
      </c>
      <c r="J43" s="27">
        <v>2024</v>
      </c>
      <c r="K43" s="53">
        <v>2025</v>
      </c>
      <c r="L43" s="53">
        <f t="shared" si="16"/>
        <v>1</v>
      </c>
      <c r="M43" s="53">
        <v>60</v>
      </c>
      <c r="N43" s="54">
        <v>0.1</v>
      </c>
      <c r="O43" s="55">
        <f t="shared" si="17"/>
        <v>1.5000000000000001E-2</v>
      </c>
      <c r="P43" s="53">
        <v>1200</v>
      </c>
      <c r="Q43" s="2">
        <f t="shared" si="6"/>
        <v>360117.03840000002</v>
      </c>
      <c r="R43" s="64">
        <f t="shared" si="7"/>
        <v>35471.528282400002</v>
      </c>
      <c r="S43" s="2">
        <f t="shared" si="8"/>
        <v>324645.51011760003</v>
      </c>
      <c r="T43" s="88">
        <v>0</v>
      </c>
      <c r="U43" s="2">
        <f t="shared" si="9"/>
        <v>324645.51011760003</v>
      </c>
    </row>
    <row r="44" spans="2:21" x14ac:dyDescent="0.25">
      <c r="B44" s="93"/>
      <c r="C44" s="93"/>
      <c r="D44" s="57" t="s">
        <v>136</v>
      </c>
      <c r="E44" s="27" t="s">
        <v>36</v>
      </c>
      <c r="F44" s="52">
        <v>3345.72</v>
      </c>
      <c r="G44" s="52">
        <f t="shared" si="0"/>
        <v>36012.995508</v>
      </c>
      <c r="H44" s="58">
        <v>0</v>
      </c>
      <c r="I44" s="52">
        <v>0</v>
      </c>
      <c r="J44" s="27">
        <v>2021</v>
      </c>
      <c r="K44" s="53">
        <v>2025</v>
      </c>
      <c r="L44" s="53">
        <f t="shared" si="16"/>
        <v>4</v>
      </c>
      <c r="M44" s="53">
        <v>40</v>
      </c>
      <c r="N44" s="54">
        <v>0.1</v>
      </c>
      <c r="O44" s="55">
        <f t="shared" si="17"/>
        <v>2.2499999999999999E-2</v>
      </c>
      <c r="P44" s="53">
        <v>600</v>
      </c>
      <c r="Q44" s="2">
        <f t="shared" si="6"/>
        <v>21607797.3048</v>
      </c>
      <c r="R44" s="64">
        <f t="shared" si="7"/>
        <v>528040.54663604998</v>
      </c>
      <c r="S44" s="2">
        <f t="shared" si="8"/>
        <v>21079756.758163951</v>
      </c>
      <c r="T44" s="88">
        <v>0</v>
      </c>
      <c r="U44" s="2">
        <f t="shared" si="9"/>
        <v>21079756.758163951</v>
      </c>
    </row>
    <row r="45" spans="2:21" x14ac:dyDescent="0.25">
      <c r="B45" s="93"/>
      <c r="C45" s="93"/>
      <c r="D45" s="57" t="s">
        <v>137</v>
      </c>
      <c r="E45" s="27" t="s">
        <v>36</v>
      </c>
      <c r="F45" s="52">
        <v>278.81</v>
      </c>
      <c r="G45" s="52">
        <f t="shared" si="0"/>
        <v>3001.0829589999998</v>
      </c>
      <c r="H45" s="58">
        <v>3</v>
      </c>
      <c r="I45" s="52">
        <f>H45*3.28</f>
        <v>9.84</v>
      </c>
      <c r="J45" s="27">
        <v>2021</v>
      </c>
      <c r="K45" s="53">
        <v>2025</v>
      </c>
      <c r="L45" s="53">
        <f t="shared" si="16"/>
        <v>4</v>
      </c>
      <c r="M45" s="53">
        <v>60</v>
      </c>
      <c r="N45" s="54">
        <v>0.1</v>
      </c>
      <c r="O45" s="55">
        <f t="shared" si="17"/>
        <v>1.5000000000000001E-2</v>
      </c>
      <c r="P45" s="53">
        <v>1400</v>
      </c>
      <c r="Q45" s="2">
        <f t="shared" si="6"/>
        <v>4201516.1425999999</v>
      </c>
      <c r="R45" s="64">
        <f t="shared" si="7"/>
        <v>103462.33501152501</v>
      </c>
      <c r="S45" s="2">
        <f t="shared" si="8"/>
        <v>4098053.8075884748</v>
      </c>
      <c r="T45" s="88">
        <v>0</v>
      </c>
      <c r="U45" s="2">
        <f t="shared" si="9"/>
        <v>4098053.8075884748</v>
      </c>
    </row>
    <row r="46" spans="2:21" x14ac:dyDescent="0.25">
      <c r="B46" s="93"/>
      <c r="C46" s="93"/>
      <c r="D46" s="57" t="s">
        <v>138</v>
      </c>
      <c r="E46" s="27" t="s">
        <v>36</v>
      </c>
      <c r="F46" s="52">
        <v>139.4</v>
      </c>
      <c r="G46" s="52">
        <f t="shared" si="0"/>
        <v>1500.48766</v>
      </c>
      <c r="H46" s="58">
        <v>3</v>
      </c>
      <c r="I46" s="52">
        <f>H46*3.28</f>
        <v>9.84</v>
      </c>
      <c r="J46" s="27">
        <v>2008</v>
      </c>
      <c r="K46" s="53">
        <v>2025</v>
      </c>
      <c r="L46" s="53">
        <f t="shared" si="16"/>
        <v>17</v>
      </c>
      <c r="M46" s="53">
        <v>60</v>
      </c>
      <c r="N46" s="54">
        <v>0.1</v>
      </c>
      <c r="O46" s="55">
        <f t="shared" si="17"/>
        <v>1.5000000000000001E-2</v>
      </c>
      <c r="P46" s="53">
        <v>1400</v>
      </c>
      <c r="Q46" s="2">
        <f t="shared" si="6"/>
        <v>2100682.7239999999</v>
      </c>
      <c r="R46" s="64">
        <f t="shared" si="7"/>
        <v>12171.602842</v>
      </c>
      <c r="S46" s="2">
        <f t="shared" si="8"/>
        <v>2088511.1211579998</v>
      </c>
      <c r="T46" s="88">
        <v>0</v>
      </c>
      <c r="U46" s="2">
        <f t="shared" si="9"/>
        <v>2088511.1211579998</v>
      </c>
    </row>
    <row r="47" spans="2:21" x14ac:dyDescent="0.25">
      <c r="B47" s="93"/>
      <c r="C47" s="93"/>
      <c r="D47" s="57" t="s">
        <v>143</v>
      </c>
      <c r="E47" s="27" t="s">
        <v>33</v>
      </c>
      <c r="F47" s="52">
        <v>11250</v>
      </c>
      <c r="G47" s="52">
        <f t="shared" si="0"/>
        <v>121093.875</v>
      </c>
      <c r="H47" s="50">
        <v>15</v>
      </c>
      <c r="I47" s="52">
        <f t="shared" ref="I47:I61" si="18">H47*3.28</f>
        <v>49.199999999999996</v>
      </c>
      <c r="J47" s="27">
        <v>2015</v>
      </c>
      <c r="K47" s="53">
        <v>2025</v>
      </c>
      <c r="L47" s="53">
        <f t="shared" ref="L47:L60" si="19">K47-J47</f>
        <v>10</v>
      </c>
      <c r="M47" s="53">
        <v>40</v>
      </c>
      <c r="N47" s="54">
        <v>0.1</v>
      </c>
      <c r="O47" s="55">
        <f t="shared" ref="O47:O60" si="20">(1-N47)/M47</f>
        <v>2.2499999999999999E-2</v>
      </c>
      <c r="P47" s="53">
        <v>1200</v>
      </c>
      <c r="Q47" s="2">
        <f t="shared" si="6"/>
        <v>145312650</v>
      </c>
      <c r="R47" s="64">
        <f t="shared" si="7"/>
        <v>1420431.1537500001</v>
      </c>
      <c r="S47" s="2">
        <f t="shared" si="8"/>
        <v>143892218.84625</v>
      </c>
      <c r="T47" s="88">
        <v>0</v>
      </c>
      <c r="U47" s="2">
        <f t="shared" si="9"/>
        <v>143892218.84625</v>
      </c>
    </row>
    <row r="48" spans="2:21" x14ac:dyDescent="0.25">
      <c r="B48" s="93"/>
      <c r="C48" s="93"/>
      <c r="D48" s="57" t="s">
        <v>144</v>
      </c>
      <c r="E48" s="27" t="s">
        <v>33</v>
      </c>
      <c r="F48" s="52">
        <v>9000</v>
      </c>
      <c r="G48" s="52">
        <f t="shared" si="0"/>
        <v>96875.099999999991</v>
      </c>
      <c r="H48" s="50">
        <v>15</v>
      </c>
      <c r="I48" s="52">
        <f t="shared" si="18"/>
        <v>49.199999999999996</v>
      </c>
      <c r="J48" s="27">
        <v>2017</v>
      </c>
      <c r="K48" s="53">
        <v>2025</v>
      </c>
      <c r="L48" s="53">
        <f t="shared" si="19"/>
        <v>8</v>
      </c>
      <c r="M48" s="53">
        <v>40</v>
      </c>
      <c r="N48" s="54">
        <v>0.1</v>
      </c>
      <c r="O48" s="55">
        <f t="shared" si="20"/>
        <v>2.2499999999999999E-2</v>
      </c>
      <c r="P48" s="53">
        <v>1200</v>
      </c>
      <c r="Q48" s="2">
        <f t="shared" si="6"/>
        <v>116250119.99999999</v>
      </c>
      <c r="R48" s="64">
        <f t="shared" si="7"/>
        <v>1420431.1537499998</v>
      </c>
      <c r="S48" s="2">
        <f t="shared" si="8"/>
        <v>114829688.84624998</v>
      </c>
      <c r="T48" s="88">
        <v>0</v>
      </c>
      <c r="U48" s="2">
        <f t="shared" si="9"/>
        <v>114829688.84624998</v>
      </c>
    </row>
    <row r="49" spans="2:23" x14ac:dyDescent="0.25">
      <c r="B49" s="93"/>
      <c r="C49" s="93"/>
      <c r="D49" s="57" t="s">
        <v>145</v>
      </c>
      <c r="E49" s="27" t="s">
        <v>33</v>
      </c>
      <c r="F49" s="52">
        <v>4968.0200000000004</v>
      </c>
      <c r="G49" s="52">
        <f t="shared" si="0"/>
        <v>53475.270478000006</v>
      </c>
      <c r="H49" s="50">
        <v>15</v>
      </c>
      <c r="I49" s="52">
        <f t="shared" si="18"/>
        <v>49.199999999999996</v>
      </c>
      <c r="J49" s="27">
        <v>2019</v>
      </c>
      <c r="K49" s="53">
        <v>2025</v>
      </c>
      <c r="L49" s="53">
        <f t="shared" si="19"/>
        <v>6</v>
      </c>
      <c r="M49" s="53">
        <v>40</v>
      </c>
      <c r="N49" s="54">
        <v>0.1</v>
      </c>
      <c r="O49" s="55">
        <f t="shared" si="20"/>
        <v>2.2499999999999999E-2</v>
      </c>
      <c r="P49" s="53">
        <v>1200</v>
      </c>
      <c r="Q49" s="2">
        <f t="shared" si="6"/>
        <v>64170324.573600009</v>
      </c>
      <c r="R49" s="64">
        <f t="shared" si="7"/>
        <v>1045441.5378449004</v>
      </c>
      <c r="S49" s="2">
        <f t="shared" si="8"/>
        <v>63124883.035755105</v>
      </c>
      <c r="T49" s="88">
        <v>0</v>
      </c>
      <c r="U49" s="2">
        <f t="shared" si="9"/>
        <v>63124883.035755105</v>
      </c>
    </row>
    <row r="50" spans="2:23" x14ac:dyDescent="0.25">
      <c r="B50" s="93"/>
      <c r="C50" s="93"/>
      <c r="D50" s="57" t="s">
        <v>146</v>
      </c>
      <c r="E50" s="27" t="s">
        <v>39</v>
      </c>
      <c r="F50" s="52">
        <v>2100</v>
      </c>
      <c r="G50" s="52">
        <f t="shared" si="0"/>
        <v>22604.19</v>
      </c>
      <c r="H50" s="50">
        <v>5</v>
      </c>
      <c r="I50" s="52">
        <f t="shared" si="18"/>
        <v>16.399999999999999</v>
      </c>
      <c r="J50" s="27">
        <v>2016</v>
      </c>
      <c r="K50" s="53">
        <v>2025</v>
      </c>
      <c r="L50" s="53">
        <f t="shared" si="19"/>
        <v>9</v>
      </c>
      <c r="M50" s="53">
        <v>40</v>
      </c>
      <c r="N50" s="54">
        <v>0.1</v>
      </c>
      <c r="O50" s="55">
        <f t="shared" si="20"/>
        <v>2.2499999999999999E-2</v>
      </c>
      <c r="P50" s="53">
        <v>1000</v>
      </c>
      <c r="Q50" s="2">
        <f t="shared" si="6"/>
        <v>22604190</v>
      </c>
      <c r="R50" s="64">
        <f t="shared" si="7"/>
        <v>245506.6191666667</v>
      </c>
      <c r="S50" s="2">
        <f t="shared" si="8"/>
        <v>22358683.380833331</v>
      </c>
      <c r="T50" s="88">
        <v>0</v>
      </c>
      <c r="U50" s="2">
        <f t="shared" si="9"/>
        <v>22358683.380833331</v>
      </c>
    </row>
    <row r="51" spans="2:23" x14ac:dyDescent="0.25">
      <c r="B51" s="93"/>
      <c r="C51" s="93"/>
      <c r="D51" s="57" t="s">
        <v>147</v>
      </c>
      <c r="E51" s="27" t="s">
        <v>36</v>
      </c>
      <c r="F51" s="52">
        <v>85.03</v>
      </c>
      <c r="G51" s="52">
        <f t="shared" si="0"/>
        <v>915.25441699999999</v>
      </c>
      <c r="H51" s="50">
        <v>3.04</v>
      </c>
      <c r="I51" s="52">
        <f t="shared" si="18"/>
        <v>9.9711999999999996</v>
      </c>
      <c r="J51" s="27">
        <v>2019</v>
      </c>
      <c r="K51" s="53">
        <v>2025</v>
      </c>
      <c r="L51" s="53">
        <f t="shared" si="19"/>
        <v>6</v>
      </c>
      <c r="M51" s="53">
        <v>40</v>
      </c>
      <c r="N51" s="54">
        <v>0.1</v>
      </c>
      <c r="O51" s="55">
        <f t="shared" si="20"/>
        <v>2.2499999999999999E-2</v>
      </c>
      <c r="P51" s="53">
        <v>1400</v>
      </c>
      <c r="Q51" s="2">
        <f t="shared" si="6"/>
        <v>1281356.1838</v>
      </c>
      <c r="R51" s="64">
        <f t="shared" si="7"/>
        <v>20875.427827741671</v>
      </c>
      <c r="S51" s="2">
        <f t="shared" si="8"/>
        <v>1260480.7559722583</v>
      </c>
      <c r="T51" s="88">
        <v>0</v>
      </c>
      <c r="U51" s="2">
        <f t="shared" si="9"/>
        <v>1260480.7559722583</v>
      </c>
    </row>
    <row r="52" spans="2:23" x14ac:dyDescent="0.25">
      <c r="B52" s="93"/>
      <c r="C52" s="93"/>
      <c r="D52" s="57" t="s">
        <v>148</v>
      </c>
      <c r="E52" s="27" t="s">
        <v>33</v>
      </c>
      <c r="F52" s="52">
        <v>750</v>
      </c>
      <c r="G52" s="52">
        <f t="shared" si="0"/>
        <v>8072.9249999999993</v>
      </c>
      <c r="H52" s="50">
        <v>7.23</v>
      </c>
      <c r="I52" s="52">
        <f t="shared" si="18"/>
        <v>23.714400000000001</v>
      </c>
      <c r="J52" s="27">
        <v>2017</v>
      </c>
      <c r="K52" s="53">
        <v>2025</v>
      </c>
      <c r="L52" s="53">
        <f t="shared" si="19"/>
        <v>8</v>
      </c>
      <c r="M52" s="53">
        <v>40</v>
      </c>
      <c r="N52" s="54">
        <v>0.1</v>
      </c>
      <c r="O52" s="55">
        <f t="shared" si="20"/>
        <v>2.2499999999999999E-2</v>
      </c>
      <c r="P52" s="53">
        <v>1200</v>
      </c>
      <c r="Q52" s="2">
        <f t="shared" si="6"/>
        <v>9687510</v>
      </c>
      <c r="R52" s="64">
        <f t="shared" si="7"/>
        <v>118369.2628125</v>
      </c>
      <c r="S52" s="2">
        <f t="shared" si="8"/>
        <v>9569140.7371874992</v>
      </c>
      <c r="T52" s="88">
        <v>0</v>
      </c>
      <c r="U52" s="2">
        <f t="shared" si="9"/>
        <v>9569140.7371874992</v>
      </c>
    </row>
    <row r="53" spans="2:23" x14ac:dyDescent="0.25">
      <c r="B53" s="93"/>
      <c r="C53" s="93"/>
      <c r="D53" s="57" t="s">
        <v>149</v>
      </c>
      <c r="E53" s="27" t="s">
        <v>33</v>
      </c>
      <c r="F53" s="52">
        <v>69.98</v>
      </c>
      <c r="G53" s="52">
        <f t="shared" si="0"/>
        <v>753.25772200000006</v>
      </c>
      <c r="H53" s="50">
        <v>3.35</v>
      </c>
      <c r="I53" s="52">
        <f t="shared" si="18"/>
        <v>10.988</v>
      </c>
      <c r="J53" s="27">
        <v>2018</v>
      </c>
      <c r="K53" s="53">
        <v>2025</v>
      </c>
      <c r="L53" s="53">
        <f t="shared" si="19"/>
        <v>7</v>
      </c>
      <c r="M53" s="53">
        <v>60</v>
      </c>
      <c r="N53" s="54">
        <v>0.1</v>
      </c>
      <c r="O53" s="55">
        <f t="shared" si="20"/>
        <v>1.5000000000000001E-2</v>
      </c>
      <c r="P53" s="53">
        <v>1000</v>
      </c>
      <c r="Q53" s="2">
        <f t="shared" si="6"/>
        <v>753257.72200000007</v>
      </c>
      <c r="R53" s="64">
        <f t="shared" si="7"/>
        <v>10599.412231</v>
      </c>
      <c r="S53" s="2">
        <f t="shared" si="8"/>
        <v>742658.30976900004</v>
      </c>
      <c r="T53" s="88">
        <v>0</v>
      </c>
      <c r="U53" s="2">
        <f t="shared" si="9"/>
        <v>742658.30976900004</v>
      </c>
    </row>
    <row r="54" spans="2:23" x14ac:dyDescent="0.25">
      <c r="B54" s="93"/>
      <c r="C54" s="93"/>
      <c r="D54" s="57" t="s">
        <v>150</v>
      </c>
      <c r="E54" s="27" t="s">
        <v>36</v>
      </c>
      <c r="F54" s="52">
        <v>398.97</v>
      </c>
      <c r="G54" s="52">
        <f t="shared" si="0"/>
        <v>4294.4731830000001</v>
      </c>
      <c r="H54" s="50">
        <v>3.35</v>
      </c>
      <c r="I54" s="52">
        <f t="shared" si="18"/>
        <v>10.988</v>
      </c>
      <c r="J54" s="27">
        <v>2017</v>
      </c>
      <c r="K54" s="53">
        <v>2025</v>
      </c>
      <c r="L54" s="53">
        <f t="shared" si="19"/>
        <v>8</v>
      </c>
      <c r="M54" s="53">
        <v>60</v>
      </c>
      <c r="N54" s="54">
        <v>0.1</v>
      </c>
      <c r="O54" s="55">
        <f t="shared" si="20"/>
        <v>1.5000000000000001E-2</v>
      </c>
      <c r="P54" s="53">
        <v>1500</v>
      </c>
      <c r="Q54" s="2">
        <f t="shared" si="6"/>
        <v>6441709.7745000003</v>
      </c>
      <c r="R54" s="64">
        <f t="shared" si="7"/>
        <v>79313.551598531252</v>
      </c>
      <c r="S54" s="2">
        <f t="shared" si="8"/>
        <v>6362396.2229014691</v>
      </c>
      <c r="T54" s="88">
        <v>0</v>
      </c>
      <c r="U54" s="2">
        <f t="shared" si="9"/>
        <v>6362396.2229014691</v>
      </c>
    </row>
    <row r="55" spans="2:23" x14ac:dyDescent="0.25">
      <c r="B55" s="93"/>
      <c r="C55" s="93"/>
      <c r="D55" s="57" t="s">
        <v>151</v>
      </c>
      <c r="E55" s="27" t="s">
        <v>36</v>
      </c>
      <c r="F55" s="52">
        <v>398.97</v>
      </c>
      <c r="G55" s="52">
        <f t="shared" si="0"/>
        <v>4294.4731830000001</v>
      </c>
      <c r="H55" s="50">
        <v>3.04</v>
      </c>
      <c r="I55" s="52">
        <f t="shared" si="18"/>
        <v>9.9711999999999996</v>
      </c>
      <c r="J55" s="27">
        <v>2017</v>
      </c>
      <c r="K55" s="53">
        <v>2025</v>
      </c>
      <c r="L55" s="53">
        <f t="shared" si="19"/>
        <v>8</v>
      </c>
      <c r="M55" s="53">
        <v>60</v>
      </c>
      <c r="N55" s="54">
        <v>0.1</v>
      </c>
      <c r="O55" s="55">
        <f t="shared" si="20"/>
        <v>1.5000000000000001E-2</v>
      </c>
      <c r="P55" s="53">
        <v>1500</v>
      </c>
      <c r="Q55" s="2">
        <f t="shared" si="6"/>
        <v>6441709.7745000003</v>
      </c>
      <c r="R55" s="64">
        <f t="shared" si="7"/>
        <v>79313.551598531252</v>
      </c>
      <c r="S55" s="2">
        <f t="shared" si="8"/>
        <v>6362396.2229014691</v>
      </c>
      <c r="T55" s="88">
        <v>0</v>
      </c>
      <c r="U55" s="2">
        <f t="shared" si="9"/>
        <v>6362396.2229014691</v>
      </c>
    </row>
    <row r="56" spans="2:23" x14ac:dyDescent="0.25">
      <c r="B56" s="93"/>
      <c r="C56" s="93"/>
      <c r="D56" s="57" t="s">
        <v>152</v>
      </c>
      <c r="E56" s="27" t="s">
        <v>36</v>
      </c>
      <c r="F56" s="52">
        <v>622.49</v>
      </c>
      <c r="G56" s="52">
        <f t="shared" si="0"/>
        <v>6700.4201109999995</v>
      </c>
      <c r="H56" s="50">
        <v>3.35</v>
      </c>
      <c r="I56" s="52">
        <f t="shared" si="18"/>
        <v>10.988</v>
      </c>
      <c r="J56" s="27">
        <v>2017</v>
      </c>
      <c r="K56" s="53">
        <v>2025</v>
      </c>
      <c r="L56" s="53">
        <f t="shared" si="19"/>
        <v>8</v>
      </c>
      <c r="M56" s="53">
        <v>60</v>
      </c>
      <c r="N56" s="54">
        <v>0.1</v>
      </c>
      <c r="O56" s="55">
        <f t="shared" si="20"/>
        <v>1.5000000000000001E-2</v>
      </c>
      <c r="P56" s="53">
        <v>1500</v>
      </c>
      <c r="Q56" s="2">
        <f t="shared" si="6"/>
        <v>10050630.166499998</v>
      </c>
      <c r="R56" s="64">
        <f t="shared" si="7"/>
        <v>123748.38392503123</v>
      </c>
      <c r="S56" s="2">
        <f t="shared" si="8"/>
        <v>9926881.7825749665</v>
      </c>
      <c r="T56" s="88">
        <v>0</v>
      </c>
      <c r="U56" s="2">
        <f t="shared" si="9"/>
        <v>9926881.7825749665</v>
      </c>
    </row>
    <row r="57" spans="2:23" x14ac:dyDescent="0.25">
      <c r="B57" s="93"/>
      <c r="C57" s="93"/>
      <c r="D57" s="57" t="s">
        <v>153</v>
      </c>
      <c r="E57" s="27" t="s">
        <v>36</v>
      </c>
      <c r="F57" s="52">
        <v>398.97</v>
      </c>
      <c r="G57" s="52">
        <f t="shared" si="0"/>
        <v>4294.4731830000001</v>
      </c>
      <c r="H57" s="50">
        <v>3.04</v>
      </c>
      <c r="I57" s="52">
        <f t="shared" si="18"/>
        <v>9.9711999999999996</v>
      </c>
      <c r="J57" s="27">
        <v>2017</v>
      </c>
      <c r="K57" s="53">
        <v>2025</v>
      </c>
      <c r="L57" s="53">
        <f t="shared" si="19"/>
        <v>8</v>
      </c>
      <c r="M57" s="53">
        <v>60</v>
      </c>
      <c r="N57" s="54">
        <v>0.1</v>
      </c>
      <c r="O57" s="55">
        <f t="shared" si="20"/>
        <v>1.5000000000000001E-2</v>
      </c>
      <c r="P57" s="53">
        <v>1500</v>
      </c>
      <c r="Q57" s="2">
        <f t="shared" si="6"/>
        <v>6441709.7745000003</v>
      </c>
      <c r="R57" s="64">
        <f t="shared" si="7"/>
        <v>79313.551598531252</v>
      </c>
      <c r="S57" s="2">
        <f t="shared" si="8"/>
        <v>6362396.2229014691</v>
      </c>
      <c r="T57" s="88">
        <v>0</v>
      </c>
      <c r="U57" s="2">
        <f t="shared" si="9"/>
        <v>6362396.2229014691</v>
      </c>
    </row>
    <row r="58" spans="2:23" x14ac:dyDescent="0.25">
      <c r="B58" s="93"/>
      <c r="C58" s="93"/>
      <c r="D58" s="57" t="s">
        <v>154</v>
      </c>
      <c r="E58" s="27" t="s">
        <v>36</v>
      </c>
      <c r="F58" s="52">
        <v>285.95999999999998</v>
      </c>
      <c r="G58" s="52">
        <f t="shared" si="0"/>
        <v>3078.0448439999996</v>
      </c>
      <c r="H58" s="50">
        <v>3.04</v>
      </c>
      <c r="I58" s="52">
        <f t="shared" si="18"/>
        <v>9.9711999999999996</v>
      </c>
      <c r="J58" s="27">
        <v>2017</v>
      </c>
      <c r="K58" s="53">
        <v>2025</v>
      </c>
      <c r="L58" s="53">
        <f t="shared" si="19"/>
        <v>8</v>
      </c>
      <c r="M58" s="53">
        <v>60</v>
      </c>
      <c r="N58" s="54">
        <v>0.1</v>
      </c>
      <c r="O58" s="55">
        <f t="shared" si="20"/>
        <v>1.5000000000000001E-2</v>
      </c>
      <c r="P58" s="53">
        <v>1500</v>
      </c>
      <c r="Q58" s="2">
        <f t="shared" si="6"/>
        <v>4617067.2659999989</v>
      </c>
      <c r="R58" s="64">
        <f t="shared" si="7"/>
        <v>56847.640712624991</v>
      </c>
      <c r="S58" s="2">
        <f t="shared" si="8"/>
        <v>4560219.6252873736</v>
      </c>
      <c r="T58" s="88">
        <v>0</v>
      </c>
      <c r="U58" s="2">
        <f t="shared" si="9"/>
        <v>4560219.6252873736</v>
      </c>
    </row>
    <row r="59" spans="2:23" x14ac:dyDescent="0.25">
      <c r="B59" s="93"/>
      <c r="C59" s="93"/>
      <c r="D59" s="57" t="s">
        <v>155</v>
      </c>
      <c r="E59" s="27" t="s">
        <v>36</v>
      </c>
      <c r="F59" s="52">
        <v>142.47</v>
      </c>
      <c r="G59" s="52">
        <f t="shared" si="0"/>
        <v>1533.532833</v>
      </c>
      <c r="H59" s="50">
        <v>3.04</v>
      </c>
      <c r="I59" s="52">
        <f t="shared" si="18"/>
        <v>9.9711999999999996</v>
      </c>
      <c r="J59" s="27">
        <v>2016</v>
      </c>
      <c r="K59" s="53">
        <v>2025</v>
      </c>
      <c r="L59" s="53">
        <f t="shared" si="19"/>
        <v>9</v>
      </c>
      <c r="M59" s="53">
        <v>60</v>
      </c>
      <c r="N59" s="54">
        <v>0.1</v>
      </c>
      <c r="O59" s="55">
        <f t="shared" si="20"/>
        <v>1.5000000000000001E-2</v>
      </c>
      <c r="P59" s="53">
        <v>1500</v>
      </c>
      <c r="Q59" s="2">
        <f t="shared" si="6"/>
        <v>2300299.2494999999</v>
      </c>
      <c r="R59" s="64">
        <f t="shared" si="7"/>
        <v>25175.497341749997</v>
      </c>
      <c r="S59" s="2">
        <f t="shared" si="8"/>
        <v>2275123.7521582497</v>
      </c>
      <c r="T59" s="88">
        <v>0</v>
      </c>
      <c r="U59" s="2">
        <f t="shared" si="9"/>
        <v>2275123.7521582497</v>
      </c>
    </row>
    <row r="60" spans="2:23" x14ac:dyDescent="0.25">
      <c r="B60" s="93"/>
      <c r="C60" s="93"/>
      <c r="D60" s="57" t="s">
        <v>156</v>
      </c>
      <c r="E60" s="27" t="s">
        <v>36</v>
      </c>
      <c r="F60" s="52">
        <v>509.94</v>
      </c>
      <c r="G60" s="52">
        <f t="shared" si="0"/>
        <v>5488.943166</v>
      </c>
      <c r="H60" s="50">
        <v>3.04</v>
      </c>
      <c r="I60" s="52">
        <f t="shared" si="18"/>
        <v>9.9711999999999996</v>
      </c>
      <c r="J60" s="27">
        <v>2017</v>
      </c>
      <c r="K60" s="53">
        <v>2025</v>
      </c>
      <c r="L60" s="53">
        <f t="shared" si="19"/>
        <v>8</v>
      </c>
      <c r="M60" s="53">
        <v>60</v>
      </c>
      <c r="N60" s="54">
        <v>0.1</v>
      </c>
      <c r="O60" s="55">
        <f t="shared" si="20"/>
        <v>1.5000000000000001E-2</v>
      </c>
      <c r="P60" s="53">
        <v>1500</v>
      </c>
      <c r="Q60" s="2">
        <f t="shared" si="6"/>
        <v>8233414.7489999998</v>
      </c>
      <c r="R60" s="64">
        <f t="shared" si="7"/>
        <v>101373.91909706251</v>
      </c>
      <c r="S60" s="2">
        <f t="shared" si="8"/>
        <v>8132040.8299029376</v>
      </c>
      <c r="T60" s="88">
        <v>0</v>
      </c>
      <c r="U60" s="2">
        <f t="shared" si="9"/>
        <v>8132040.8299029376</v>
      </c>
    </row>
    <row r="61" spans="2:23" ht="30" x14ac:dyDescent="0.25">
      <c r="B61" s="94"/>
      <c r="C61" s="94"/>
      <c r="D61" s="57" t="s">
        <v>166</v>
      </c>
      <c r="E61" s="27" t="s">
        <v>36</v>
      </c>
      <c r="F61" s="52">
        <f>30376/10.7639</f>
        <v>2822.0254740382206</v>
      </c>
      <c r="G61" s="52">
        <f t="shared" si="0"/>
        <v>30376.000000000004</v>
      </c>
      <c r="H61" s="50">
        <v>3.04</v>
      </c>
      <c r="I61" s="52">
        <f t="shared" si="18"/>
        <v>9.9711999999999996</v>
      </c>
      <c r="J61" s="27">
        <v>2020</v>
      </c>
      <c r="K61" s="53">
        <v>2025</v>
      </c>
      <c r="L61" s="53">
        <f t="shared" ref="L61" si="21">K61-J61</f>
        <v>5</v>
      </c>
      <c r="M61" s="53">
        <v>60</v>
      </c>
      <c r="N61" s="54">
        <v>0.1</v>
      </c>
      <c r="O61" s="55">
        <f t="shared" ref="O61" si="22">(1-N61)/M61</f>
        <v>1.5000000000000001E-2</v>
      </c>
      <c r="P61" s="53">
        <v>1500</v>
      </c>
      <c r="Q61" s="2">
        <f t="shared" si="6"/>
        <v>45564000.000000007</v>
      </c>
      <c r="R61" s="64">
        <f t="shared" si="7"/>
        <v>897610.80000000028</v>
      </c>
      <c r="S61" s="2">
        <f t="shared" si="8"/>
        <v>44666389.20000001</v>
      </c>
      <c r="T61" s="88">
        <v>0</v>
      </c>
      <c r="U61" s="2">
        <f t="shared" si="9"/>
        <v>44666389.20000001</v>
      </c>
    </row>
    <row r="62" spans="2:23" x14ac:dyDescent="0.25">
      <c r="B62" s="106"/>
      <c r="C62" s="107"/>
      <c r="D62" s="107"/>
      <c r="E62" s="108"/>
      <c r="F62" s="61">
        <f>SUM(F5:F61)</f>
        <v>185963.64243285422</v>
      </c>
      <c r="G62" s="61">
        <f>SUM(G5:G61)</f>
        <v>2001694.0507830002</v>
      </c>
      <c r="H62" s="109"/>
      <c r="I62" s="110"/>
      <c r="J62" s="110"/>
      <c r="K62" s="110"/>
      <c r="L62" s="110"/>
      <c r="M62" s="110"/>
      <c r="N62" s="110"/>
      <c r="O62" s="110"/>
      <c r="P62" s="111"/>
      <c r="Q62" s="62">
        <f>SUM(Q5:Q61)</f>
        <v>1328942120.8391199</v>
      </c>
      <c r="R62" s="62">
        <f>SUM(R5:R61)</f>
        <v>39434129.853416316</v>
      </c>
      <c r="S62" s="62">
        <f>SUM(S5:S61)</f>
        <v>1289507990.9857039</v>
      </c>
      <c r="T62" s="88">
        <v>0</v>
      </c>
      <c r="U62" s="62">
        <f>SUM(U5:U61)</f>
        <v>1218439285.5713191</v>
      </c>
    </row>
    <row r="63" spans="2:23" x14ac:dyDescent="0.25">
      <c r="B63" s="99" t="s">
        <v>4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W63" s="21"/>
    </row>
    <row r="64" spans="2:23" x14ac:dyDescent="0.25">
      <c r="B64" s="100" t="s">
        <v>30</v>
      </c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2"/>
    </row>
    <row r="65" spans="2:21" x14ac:dyDescent="0.25">
      <c r="B65" s="103" t="s">
        <v>22</v>
      </c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5"/>
    </row>
    <row r="66" spans="2:21" x14ac:dyDescent="0.25">
      <c r="B66" s="100" t="s">
        <v>29</v>
      </c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2"/>
    </row>
    <row r="67" spans="2:21" x14ac:dyDescent="0.25">
      <c r="B67" s="96" t="s">
        <v>23</v>
      </c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8"/>
    </row>
    <row r="69" spans="2:21" x14ac:dyDescent="0.25">
      <c r="S69" s="3"/>
    </row>
  </sheetData>
  <mergeCells count="17">
    <mergeCell ref="B67:U67"/>
    <mergeCell ref="C11:C12"/>
    <mergeCell ref="B11:B12"/>
    <mergeCell ref="C13:C14"/>
    <mergeCell ref="B13:B14"/>
    <mergeCell ref="B63:U63"/>
    <mergeCell ref="B64:U64"/>
    <mergeCell ref="B65:U65"/>
    <mergeCell ref="B66:U66"/>
    <mergeCell ref="B62:E62"/>
    <mergeCell ref="H62:P62"/>
    <mergeCell ref="C28:C61"/>
    <mergeCell ref="B28:B61"/>
    <mergeCell ref="C5:C10"/>
    <mergeCell ref="C15:C24"/>
    <mergeCell ref="B5:B10"/>
    <mergeCell ref="B15:B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F5" sqref="F5:F11"/>
    </sheetView>
  </sheetViews>
  <sheetFormatPr defaultRowHeight="15" x14ac:dyDescent="0.25"/>
  <cols>
    <col min="1" max="1" width="15" customWidth="1"/>
    <col min="2" max="2" width="12.42578125" customWidth="1"/>
    <col min="4" max="4" width="11.7109375" customWidth="1"/>
    <col min="5" max="5" width="10.85546875" customWidth="1"/>
    <col min="6" max="6" width="16.140625" customWidth="1"/>
    <col min="7" max="7" width="11.42578125" customWidth="1"/>
    <col min="8" max="8" width="13.5703125" customWidth="1"/>
    <col min="9" max="9" width="11.140625" customWidth="1"/>
    <col min="10" max="10" width="14" customWidth="1"/>
    <col min="11" max="11" width="12.85546875" customWidth="1"/>
    <col min="12" max="12" width="14.28515625" bestFit="1" customWidth="1"/>
    <col min="13" max="13" width="13.7109375" customWidth="1"/>
    <col min="14" max="14" width="16" customWidth="1"/>
  </cols>
  <sheetData>
    <row r="3" spans="1:14" ht="15.75" customHeight="1" x14ac:dyDescent="0.25">
      <c r="A3" s="28"/>
      <c r="B3" s="28" t="s">
        <v>24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79.5" customHeight="1" x14ac:dyDescent="0.25">
      <c r="A4" s="9" t="s">
        <v>0</v>
      </c>
      <c r="B4" s="9" t="s">
        <v>25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26</v>
      </c>
      <c r="J4" s="9" t="s">
        <v>18</v>
      </c>
      <c r="K4" s="9" t="s">
        <v>27</v>
      </c>
      <c r="L4" s="9" t="s">
        <v>28</v>
      </c>
      <c r="M4" s="9" t="s">
        <v>20</v>
      </c>
      <c r="N4" s="9" t="s">
        <v>21</v>
      </c>
    </row>
    <row r="5" spans="1:14" x14ac:dyDescent="0.25">
      <c r="A5" s="22" t="s">
        <v>42</v>
      </c>
      <c r="B5" s="13">
        <v>1000</v>
      </c>
      <c r="C5" s="7">
        <v>2020</v>
      </c>
      <c r="D5" s="7">
        <v>2024</v>
      </c>
      <c r="E5" s="7">
        <f>D5-C5</f>
        <v>4</v>
      </c>
      <c r="F5" s="7">
        <v>40</v>
      </c>
      <c r="G5" s="14">
        <v>0.1</v>
      </c>
      <c r="H5" s="15">
        <f>(1-G5)/F5</f>
        <v>2.2499999999999999E-2</v>
      </c>
      <c r="I5" s="72">
        <v>4500</v>
      </c>
      <c r="J5" s="16">
        <f>I5*B5</f>
        <v>4500000</v>
      </c>
      <c r="K5" s="16">
        <f>J5*H5*E5</f>
        <v>405000</v>
      </c>
      <c r="L5" s="16">
        <f>MAX(J5-K5,0)</f>
        <v>4095000</v>
      </c>
      <c r="M5" s="17">
        <v>0</v>
      </c>
      <c r="N5" s="16">
        <f>IF(L5&gt;G5*J5,L5*(1-M5),J5*G5)</f>
        <v>4095000</v>
      </c>
    </row>
    <row r="6" spans="1:14" x14ac:dyDescent="0.25">
      <c r="A6" s="22" t="s">
        <v>43</v>
      </c>
      <c r="B6" s="13">
        <v>1100</v>
      </c>
      <c r="C6" s="7">
        <v>2020</v>
      </c>
      <c r="D6" s="7">
        <v>2024</v>
      </c>
      <c r="E6" s="7">
        <f>D6-C6</f>
        <v>4</v>
      </c>
      <c r="F6" s="7">
        <v>40</v>
      </c>
      <c r="G6" s="14">
        <v>0.1</v>
      </c>
      <c r="H6" s="15">
        <f>(1-G6)/F6</f>
        <v>2.2499999999999999E-2</v>
      </c>
      <c r="I6" s="72">
        <v>4500</v>
      </c>
      <c r="J6" s="16">
        <f>I6*B6</f>
        <v>4950000</v>
      </c>
      <c r="K6" s="16">
        <f>J6*H6*E6</f>
        <v>445500</v>
      </c>
      <c r="L6" s="16">
        <f>MAX(J6-K6,0)</f>
        <v>4504500</v>
      </c>
      <c r="M6" s="17">
        <v>0</v>
      </c>
      <c r="N6" s="16">
        <f>IF(L6&gt;G6*J6,L6*(1-M6),J6*G6)</f>
        <v>4504500</v>
      </c>
    </row>
    <row r="7" spans="1:14" x14ac:dyDescent="0.25">
      <c r="A7" s="22" t="s">
        <v>73</v>
      </c>
      <c r="B7" s="65">
        <v>500</v>
      </c>
      <c r="C7" s="7">
        <v>2020</v>
      </c>
      <c r="D7" s="7">
        <v>2024</v>
      </c>
      <c r="E7" s="7">
        <f t="shared" ref="E7:E10" si="0">D7-C7</f>
        <v>4</v>
      </c>
      <c r="F7" s="7">
        <v>40</v>
      </c>
      <c r="G7" s="14">
        <v>0.1</v>
      </c>
      <c r="H7" s="15">
        <f t="shared" ref="H7:H10" si="1">(1-G7)/F7</f>
        <v>2.2499999999999999E-2</v>
      </c>
      <c r="I7" s="72">
        <v>4500</v>
      </c>
      <c r="J7" s="16">
        <f t="shared" ref="J7:J10" si="2">I7*B7</f>
        <v>2250000</v>
      </c>
      <c r="K7" s="16">
        <f t="shared" ref="K7:K10" si="3">J7*H7*E7</f>
        <v>202500</v>
      </c>
      <c r="L7" s="16">
        <f t="shared" ref="L7:L10" si="4">MAX(J7-K7,0)</f>
        <v>2047500</v>
      </c>
      <c r="M7" s="17">
        <v>0</v>
      </c>
      <c r="N7" s="16">
        <f t="shared" ref="N7:N10" si="5">IF(L7&gt;G7*J7,L7*(1-M7),J7*G7)</f>
        <v>2047500</v>
      </c>
    </row>
    <row r="8" spans="1:14" x14ac:dyDescent="0.25">
      <c r="A8" s="22" t="s">
        <v>74</v>
      </c>
      <c r="B8" s="65">
        <v>650</v>
      </c>
      <c r="C8" s="7">
        <v>2000</v>
      </c>
      <c r="D8" s="7">
        <v>2024</v>
      </c>
      <c r="E8" s="7">
        <f t="shared" si="0"/>
        <v>24</v>
      </c>
      <c r="F8" s="7">
        <v>40</v>
      </c>
      <c r="G8" s="14">
        <v>0.1</v>
      </c>
      <c r="H8" s="15">
        <f t="shared" si="1"/>
        <v>2.2499999999999999E-2</v>
      </c>
      <c r="I8" s="72">
        <v>4500</v>
      </c>
      <c r="J8" s="16">
        <f t="shared" si="2"/>
        <v>2925000</v>
      </c>
      <c r="K8" s="16">
        <f t="shared" si="3"/>
        <v>1579500</v>
      </c>
      <c r="L8" s="16">
        <f t="shared" si="4"/>
        <v>1345500</v>
      </c>
      <c r="M8" s="17">
        <v>0</v>
      </c>
      <c r="N8" s="16">
        <f t="shared" si="5"/>
        <v>1345500</v>
      </c>
    </row>
    <row r="9" spans="1:14" x14ac:dyDescent="0.25">
      <c r="A9" s="22" t="s">
        <v>75</v>
      </c>
      <c r="B9" s="65">
        <v>250</v>
      </c>
      <c r="C9" s="7">
        <v>2000</v>
      </c>
      <c r="D9" s="7">
        <v>2024</v>
      </c>
      <c r="E9" s="7">
        <f t="shared" si="0"/>
        <v>24</v>
      </c>
      <c r="F9" s="7">
        <v>40</v>
      </c>
      <c r="G9" s="14">
        <v>0.1</v>
      </c>
      <c r="H9" s="15">
        <f t="shared" si="1"/>
        <v>2.2499999999999999E-2</v>
      </c>
      <c r="I9" s="72">
        <v>4500</v>
      </c>
      <c r="J9" s="16">
        <f t="shared" si="2"/>
        <v>1125000</v>
      </c>
      <c r="K9" s="16">
        <f t="shared" si="3"/>
        <v>607500</v>
      </c>
      <c r="L9" s="16">
        <f t="shared" si="4"/>
        <v>517500</v>
      </c>
      <c r="M9" s="17">
        <v>0</v>
      </c>
      <c r="N9" s="16">
        <f t="shared" si="5"/>
        <v>517500</v>
      </c>
    </row>
    <row r="10" spans="1:14" x14ac:dyDescent="0.25">
      <c r="A10" s="22" t="s">
        <v>80</v>
      </c>
      <c r="B10" s="65">
        <f>2.07*1000</f>
        <v>2070</v>
      </c>
      <c r="C10" s="7">
        <v>2000</v>
      </c>
      <c r="D10" s="7">
        <v>2024</v>
      </c>
      <c r="E10" s="7">
        <f t="shared" si="0"/>
        <v>24</v>
      </c>
      <c r="F10" s="7">
        <v>40</v>
      </c>
      <c r="G10" s="14">
        <v>0.1</v>
      </c>
      <c r="H10" s="15">
        <f t="shared" si="1"/>
        <v>2.2499999999999999E-2</v>
      </c>
      <c r="I10" s="72">
        <v>4500</v>
      </c>
      <c r="J10" s="16">
        <f t="shared" si="2"/>
        <v>9315000</v>
      </c>
      <c r="K10" s="16">
        <f t="shared" si="3"/>
        <v>5030100</v>
      </c>
      <c r="L10" s="16">
        <f t="shared" si="4"/>
        <v>4284900</v>
      </c>
      <c r="M10" s="17">
        <v>0</v>
      </c>
      <c r="N10" s="16">
        <f t="shared" si="5"/>
        <v>4284900</v>
      </c>
    </row>
    <row r="11" spans="1:14" x14ac:dyDescent="0.25">
      <c r="A11" s="22" t="s">
        <v>79</v>
      </c>
      <c r="B11" s="65">
        <f>2.41*1000</f>
        <v>2410</v>
      </c>
      <c r="C11" s="7">
        <v>2000</v>
      </c>
      <c r="D11" s="7">
        <v>2024</v>
      </c>
      <c r="E11" s="7">
        <f t="shared" ref="E11" si="6">D11-C11</f>
        <v>24</v>
      </c>
      <c r="F11" s="7">
        <v>40</v>
      </c>
      <c r="G11" s="14">
        <v>0.1</v>
      </c>
      <c r="H11" s="15">
        <f t="shared" ref="H11" si="7">(1-G11)/F11</f>
        <v>2.2499999999999999E-2</v>
      </c>
      <c r="I11" s="72">
        <v>4500</v>
      </c>
      <c r="J11" s="16">
        <f t="shared" ref="J11" si="8">I11*B11</f>
        <v>10845000</v>
      </c>
      <c r="K11" s="16">
        <f t="shared" ref="K11" si="9">J11*H11*E11</f>
        <v>5856300</v>
      </c>
      <c r="L11" s="16">
        <f t="shared" ref="L11" si="10">MAX(J11-K11,0)</f>
        <v>4988700</v>
      </c>
      <c r="M11" s="17">
        <v>0</v>
      </c>
      <c r="N11" s="16">
        <f t="shared" ref="N11" si="11">IF(L11&gt;G11*J11,L11*(1-M11),J11*G11)</f>
        <v>4988700</v>
      </c>
    </row>
    <row r="12" spans="1:14" x14ac:dyDescent="0.25">
      <c r="A12" s="18" t="s">
        <v>1</v>
      </c>
      <c r="B12" s="18"/>
      <c r="C12" s="18"/>
      <c r="D12" s="18"/>
      <c r="E12" s="18"/>
      <c r="F12" s="18"/>
      <c r="G12" s="18"/>
      <c r="H12" s="18"/>
      <c r="I12" s="18"/>
      <c r="J12" s="19">
        <f>SUM(J5:J11)</f>
        <v>35910000</v>
      </c>
      <c r="K12" s="19">
        <f>SUM(K5:K11)</f>
        <v>14126400</v>
      </c>
      <c r="L12" s="19">
        <f>SUM(L5:L11)</f>
        <v>21783600</v>
      </c>
      <c r="M12" s="19"/>
      <c r="N12" s="19">
        <f>SUM(N5:N11)</f>
        <v>21783600</v>
      </c>
    </row>
    <row r="14" spans="1:14" x14ac:dyDescent="0.25">
      <c r="N14" s="66">
        <f>ROUND(N12,-7)</f>
        <v>20000000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5"/>
  <sheetViews>
    <sheetView topLeftCell="B1" zoomScale="115" zoomScaleNormal="115" workbookViewId="0">
      <selection activeCell="I11" sqref="I11"/>
    </sheetView>
  </sheetViews>
  <sheetFormatPr defaultRowHeight="15" x14ac:dyDescent="0.25"/>
  <cols>
    <col min="9" max="9" width="97.28515625" customWidth="1"/>
  </cols>
  <sheetData>
    <row r="4" spans="4:9" ht="38.25" x14ac:dyDescent="0.25">
      <c r="I4" s="89" t="s">
        <v>189</v>
      </c>
    </row>
    <row r="5" spans="4:9" x14ac:dyDescent="0.25">
      <c r="D5" t="s">
        <v>188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Deed Details</vt:lpstr>
      <vt:lpstr>Circle rate</vt:lpstr>
      <vt:lpstr>land Area Details</vt:lpstr>
      <vt:lpstr>Building Sheet</vt:lpstr>
      <vt:lpstr>Boundary Wall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2025-02-03T12:46:56Z</dcterms:modified>
</cp:coreProperties>
</file>