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Files For Review\Manmohan Dubey\AUM AUM Component\Report and working\"/>
    </mc:Choice>
  </mc:AlternateContent>
  <bookViews>
    <workbookView xWindow="0" yWindow="0" windowWidth="10770" windowHeight="9660"/>
  </bookViews>
  <sheets>
    <sheet name="Sheet1" sheetId="1" r:id="rId1"/>
    <sheet name="Sheet3" sheetId="3" r:id="rId2"/>
    <sheet name="Sheet2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3" l="1"/>
  <c r="L10" i="3"/>
  <c r="L9" i="3"/>
  <c r="L8" i="3"/>
  <c r="L6" i="3"/>
  <c r="L7" i="3"/>
  <c r="F5" i="1"/>
  <c r="F3" i="1"/>
  <c r="E17" i="1"/>
  <c r="F4" i="1"/>
  <c r="F7" i="2" l="1"/>
  <c r="F5" i="2"/>
  <c r="AD6" i="1" s="1"/>
  <c r="AB4" i="1"/>
  <c r="M19" i="1"/>
  <c r="L20" i="1"/>
  <c r="G17" i="1"/>
  <c r="G18" i="1" s="1"/>
  <c r="G19" i="1" s="1"/>
  <c r="G20" i="1" s="1"/>
  <c r="F8" i="1" l="1"/>
  <c r="I17" i="1" s="1"/>
  <c r="V7" i="1"/>
  <c r="O7" i="1"/>
  <c r="P7" i="1" s="1"/>
  <c r="R7" i="1" s="1"/>
  <c r="S7" i="1" s="1"/>
  <c r="M7" i="1"/>
  <c r="J7" i="1"/>
  <c r="G7" i="1"/>
  <c r="O6" i="1"/>
  <c r="M6" i="1"/>
  <c r="J6" i="1"/>
  <c r="G6" i="1"/>
  <c r="V6" i="1"/>
  <c r="P6" i="1" l="1"/>
  <c r="R6" i="1" s="1"/>
  <c r="S6" i="1" s="1"/>
  <c r="AC4" i="1"/>
  <c r="V5" i="1"/>
  <c r="O5" i="1"/>
  <c r="M5" i="1"/>
  <c r="J5" i="1"/>
  <c r="G5" i="1"/>
  <c r="G4" i="1"/>
  <c r="AD4" i="1" l="1"/>
  <c r="P5" i="1"/>
  <c r="R5" i="1" s="1"/>
  <c r="S5" i="1" s="1"/>
  <c r="D19" i="1"/>
  <c r="D21" i="1" s="1"/>
  <c r="G3" i="1"/>
  <c r="G8" i="1" s="1"/>
  <c r="S15" i="1"/>
  <c r="N15" i="1"/>
  <c r="Q8" i="1" l="1"/>
  <c r="O4" i="1" l="1"/>
  <c r="J4" i="1"/>
  <c r="M4" i="1"/>
  <c r="V3" i="1" l="1"/>
  <c r="V8" i="1" s="1"/>
  <c r="U15" i="1"/>
  <c r="V4" i="1"/>
  <c r="P4" i="1"/>
  <c r="R4" i="1" s="1"/>
  <c r="S4" i="1" s="1"/>
  <c r="O3" i="1"/>
  <c r="O8" i="1" s="1"/>
  <c r="M3" i="1"/>
  <c r="J3" i="1"/>
  <c r="AB5" i="1" l="1"/>
  <c r="AB8" i="1" s="1"/>
  <c r="AD13" i="1"/>
  <c r="P3" i="1"/>
  <c r="P8" i="1" s="1"/>
  <c r="R3" i="1" l="1"/>
  <c r="R8" i="1" s="1"/>
  <c r="S3" i="1" l="1"/>
  <c r="S8" i="1" l="1"/>
  <c r="AD5" i="1" s="1"/>
  <c r="AD8" i="1" l="1"/>
  <c r="AD9" i="1" s="1"/>
  <c r="AD11" i="1" l="1"/>
  <c r="AD12" i="1"/>
  <c r="AD10" i="1"/>
</calcChain>
</file>

<file path=xl/sharedStrings.xml><?xml version="1.0" encoding="utf-8"?>
<sst xmlns="http://schemas.openxmlformats.org/spreadsheetml/2006/main" count="61" uniqueCount="57">
  <si>
    <t>Sr. No.</t>
  </si>
  <si>
    <t>Type of Structure</t>
  </si>
  <si>
    <t>Plinth Area  Rate 
(INR per sq feet)</t>
  </si>
  <si>
    <t>Depreciated Replacement Cost
(INR)</t>
  </si>
  <si>
    <t>Fair Market Value         (INR)</t>
  </si>
  <si>
    <t>Circle Rate
(INR per sq mtr.)</t>
  </si>
  <si>
    <t>Circle Value
(INR)</t>
  </si>
  <si>
    <t>Remarks:</t>
  </si>
  <si>
    <t>3. Age of construction taken from the information as per documents provided to us.</t>
  </si>
  <si>
    <t>4. The Valuation is done by considering the depreciated replacement cost and while calculating D.R.C. 10% salvage value is considered.</t>
  </si>
  <si>
    <t xml:space="preserve">Year of Valuation </t>
  </si>
  <si>
    <t>Total Life Consumed 
(In year)</t>
  </si>
  <si>
    <t>Total Economical Life
(In year)</t>
  </si>
  <si>
    <t>Salvage value</t>
  </si>
  <si>
    <t>Depreciation Rate</t>
  </si>
  <si>
    <t>Gross Replacement value
(INR)</t>
  </si>
  <si>
    <t xml:space="preserve">Depreciation
(INR) </t>
  </si>
  <si>
    <t>Deterioration</t>
  </si>
  <si>
    <t>Block Name</t>
  </si>
  <si>
    <t>RCC Framed Structure  with RCC Slab</t>
  </si>
  <si>
    <t>Built-up area 
(in sq ft.)</t>
  </si>
  <si>
    <t xml:space="preserve">Govt. Value </t>
  </si>
  <si>
    <t>Land Area in Sq.mtr.</t>
  </si>
  <si>
    <t>Govt. Rate</t>
  </si>
  <si>
    <t>Market Rate</t>
  </si>
  <si>
    <t>Market Value</t>
  </si>
  <si>
    <t xml:space="preserve">Total Value - </t>
  </si>
  <si>
    <t>Built-up Area 
(in sq mtr)</t>
  </si>
  <si>
    <t>FMV</t>
  </si>
  <si>
    <t>RV</t>
  </si>
  <si>
    <t>DV</t>
  </si>
  <si>
    <t>Height 
(in ft.)</t>
  </si>
  <si>
    <t>TOTAL</t>
  </si>
  <si>
    <t>1. All the details pertaining to the building area statement such as area, floor, etc has been taken from the documents provided to us.</t>
  </si>
  <si>
    <t xml:space="preserve">2.The maintenance of the building was average as per site survey observation from external. </t>
  </si>
  <si>
    <t>IV</t>
  </si>
  <si>
    <t>Difference</t>
  </si>
  <si>
    <t>Depreciation</t>
  </si>
  <si>
    <t>L&amp;B</t>
  </si>
  <si>
    <t>G.C.</t>
  </si>
  <si>
    <t>Permissible</t>
  </si>
  <si>
    <t>Diff.</t>
  </si>
  <si>
    <t>YoC</t>
  </si>
  <si>
    <t>M/S. AUM AUTO COMPONENTS</t>
  </si>
  <si>
    <t>BLOCK 1</t>
  </si>
  <si>
    <t>BLOCK 2</t>
  </si>
  <si>
    <t>BLOCK 3</t>
  </si>
  <si>
    <t>Floor</t>
  </si>
  <si>
    <t>G+1</t>
  </si>
  <si>
    <t>Area in Sq.yds.</t>
  </si>
  <si>
    <t>Servant Quarter</t>
  </si>
  <si>
    <t>G.F.</t>
  </si>
  <si>
    <t>Store Room</t>
  </si>
  <si>
    <t>=</t>
  </si>
  <si>
    <t>Boundary and Other Aesthatic</t>
  </si>
  <si>
    <t>Boundary Wall</t>
  </si>
  <si>
    <t>Landscaping and Temple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</si>
</sst>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₹&quot;\ #,##0;[Red]&quot;₹&quot;\ \-#,##0"/>
    <numFmt numFmtId="43" formatCode="_ * #,##0.00_ ;_ * \-#,##0.00_ ;_ * &quot;-&quot;??_ ;_ @_ "/>
    <numFmt numFmtId="164" formatCode="_ [$₹-439]* #,##0_ ;_ [$₹-439]* \-#,##0_ ;_ [$₹-439]* &quot;-&quot;??_ ;_ @_ "/>
    <numFmt numFmtId="165" formatCode="0.0000"/>
    <numFmt numFmtId="166" formatCode="_ * #,##0_ ;_ * \-#,##0_ ;_ * &quot;-&quot;??_ ;_ @_ "/>
    <numFmt numFmtId="167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rgb="FF1E366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59">
    <xf numFmtId="0" fontId="0" fillId="0" borderId="0" xfId="0"/>
    <xf numFmtId="0" fontId="0" fillId="0" borderId="3" xfId="0" applyBorder="1"/>
    <xf numFmtId="1" fontId="0" fillId="0" borderId="3" xfId="0" applyNumberFormat="1" applyBorder="1"/>
    <xf numFmtId="166" fontId="0" fillId="0" borderId="3" xfId="1" applyNumberFormat="1" applyFont="1" applyBorder="1"/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66" fontId="0" fillId="0" borderId="3" xfId="0" applyNumberFormat="1" applyBorder="1"/>
    <xf numFmtId="0" fontId="0" fillId="0" borderId="0" xfId="0" applyAlignment="1">
      <alignment wrapText="1"/>
    </xf>
    <xf numFmtId="3" fontId="0" fillId="0" borderId="0" xfId="0" applyNumberFormat="1"/>
    <xf numFmtId="6" fontId="0" fillId="0" borderId="0" xfId="0" applyNumberFormat="1"/>
    <xf numFmtId="0" fontId="4" fillId="4" borderId="2" xfId="3" applyFont="1" applyFill="1" applyBorder="1" applyAlignment="1">
      <alignment horizontal="center" vertical="center" wrapText="1"/>
    </xf>
    <xf numFmtId="0" fontId="4" fillId="4" borderId="3" xfId="3" applyFont="1" applyFill="1" applyBorder="1" applyAlignment="1">
      <alignment horizontal="center" vertical="center" wrapText="1"/>
    </xf>
    <xf numFmtId="164" fontId="4" fillId="4" borderId="3" xfId="3" applyNumberFormat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1" fontId="7" fillId="4" borderId="3" xfId="0" applyNumberFormat="1" applyFont="1" applyFill="1" applyBorder="1" applyAlignment="1">
      <alignment horizontal="center" vertical="center" wrapText="1"/>
    </xf>
    <xf numFmtId="3" fontId="7" fillId="4" borderId="3" xfId="0" applyNumberFormat="1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9" fontId="5" fillId="4" borderId="4" xfId="0" applyNumberFormat="1" applyFont="1" applyFill="1" applyBorder="1" applyAlignment="1">
      <alignment horizontal="center" vertical="center" wrapText="1"/>
    </xf>
    <xf numFmtId="165" fontId="5" fillId="4" borderId="3" xfId="0" applyNumberFormat="1" applyFont="1" applyFill="1" applyBorder="1" applyAlignment="1">
      <alignment horizontal="center" vertical="center" wrapText="1"/>
    </xf>
    <xf numFmtId="166" fontId="5" fillId="4" borderId="4" xfId="1" applyNumberFormat="1" applyFont="1" applyFill="1" applyBorder="1" applyAlignment="1">
      <alignment horizontal="center" vertical="center" wrapText="1"/>
    </xf>
    <xf numFmtId="166" fontId="5" fillId="4" borderId="3" xfId="1" applyNumberFormat="1" applyFont="1" applyFill="1" applyBorder="1" applyAlignment="1">
      <alignment horizontal="center" vertical="center" wrapText="1"/>
    </xf>
    <xf numFmtId="9" fontId="5" fillId="4" borderId="3" xfId="2" applyFont="1" applyFill="1" applyBorder="1" applyAlignment="1">
      <alignment horizontal="center" vertical="center" wrapText="1"/>
    </xf>
    <xf numFmtId="164" fontId="5" fillId="4" borderId="3" xfId="1" applyNumberFormat="1" applyFont="1" applyFill="1" applyBorder="1" applyAlignment="1">
      <alignment horizontal="center" vertical="center" wrapText="1"/>
    </xf>
    <xf numFmtId="166" fontId="5" fillId="4" borderId="3" xfId="1" applyNumberFormat="1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2" fillId="0" borderId="3" xfId="0" applyFont="1" applyBorder="1" applyAlignment="1">
      <alignment horizontal="center" vertical="center"/>
    </xf>
    <xf numFmtId="43" fontId="5" fillId="4" borderId="3" xfId="1" applyNumberFormat="1" applyFont="1" applyFill="1" applyBorder="1" applyAlignment="1">
      <alignment horizontal="center" vertical="center"/>
    </xf>
    <xf numFmtId="1" fontId="0" fillId="0" borderId="0" xfId="0" applyNumberFormat="1"/>
    <xf numFmtId="0" fontId="6" fillId="4" borderId="8" xfId="0" applyFont="1" applyFill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/>
    </xf>
    <xf numFmtId="0" fontId="10" fillId="0" borderId="3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vertical="center"/>
    </xf>
    <xf numFmtId="0" fontId="9" fillId="4" borderId="7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166" fontId="0" fillId="0" borderId="3" xfId="1" applyNumberFormat="1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166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9" fontId="0" fillId="0" borderId="3" xfId="2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167" fontId="7" fillId="4" borderId="3" xfId="0" applyNumberFormat="1" applyFont="1" applyFill="1" applyBorder="1" applyAlignment="1">
      <alignment horizontal="center" vertical="center" wrapText="1"/>
    </xf>
    <xf numFmtId="43" fontId="0" fillId="0" borderId="0" xfId="1" applyFont="1"/>
    <xf numFmtId="43" fontId="0" fillId="0" borderId="0" xfId="0" applyNumberFormat="1"/>
  </cellXfs>
  <cellStyles count="4">
    <cellStyle name="40% - Accent1" xfId="3" builtinId="31"/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6"/>
  <sheetViews>
    <sheetView tabSelected="1" topLeftCell="V1" zoomScaleNormal="100" workbookViewId="0">
      <selection activeCell="AL9" sqref="AL9"/>
    </sheetView>
  </sheetViews>
  <sheetFormatPr defaultRowHeight="15" x14ac:dyDescent="0.25"/>
  <cols>
    <col min="1" max="1" width="3.42578125" customWidth="1"/>
    <col min="2" max="3" width="7.140625" customWidth="1"/>
    <col min="4" max="4" width="5.85546875" customWidth="1"/>
    <col min="5" max="5" width="10" customWidth="1"/>
    <col min="6" max="6" width="10.42578125" hidden="1" customWidth="1"/>
    <col min="7" max="7" width="8" customWidth="1"/>
    <col min="8" max="8" width="5.5703125" customWidth="1"/>
    <col min="9" max="9" width="9.28515625" hidden="1" customWidth="1"/>
    <col min="10" max="10" width="9.140625" hidden="1" customWidth="1"/>
    <col min="11" max="11" width="7.42578125" customWidth="1"/>
    <col min="12" max="13" width="9.140625" hidden="1" customWidth="1"/>
    <col min="14" max="14" width="9.140625" customWidth="1"/>
    <col min="15" max="15" width="10.7109375" customWidth="1"/>
    <col min="16" max="16" width="11.28515625" hidden="1" customWidth="1"/>
    <col min="17" max="17" width="11.5703125" hidden="1" customWidth="1"/>
    <col min="18" max="18" width="10.7109375" hidden="1" customWidth="1"/>
    <col min="19" max="19" width="9.7109375" customWidth="1"/>
    <col min="20" max="21" width="7.140625" hidden="1" customWidth="1"/>
    <col min="22" max="22" width="9.7109375" customWidth="1"/>
    <col min="25" max="25" width="9.7109375" bestFit="1" customWidth="1"/>
    <col min="26" max="26" width="7.5703125" bestFit="1" customWidth="1"/>
    <col min="27" max="27" width="6" bestFit="1" customWidth="1"/>
    <col min="28" max="28" width="11.85546875" bestFit="1" customWidth="1"/>
  </cols>
  <sheetData>
    <row r="1" spans="1:31" ht="15.75" customHeight="1" x14ac:dyDescent="0.25">
      <c r="A1" s="35" t="s">
        <v>43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31" ht="63.75" x14ac:dyDescent="0.25">
      <c r="A2" s="10" t="s">
        <v>0</v>
      </c>
      <c r="B2" s="10" t="s">
        <v>18</v>
      </c>
      <c r="C2" s="10" t="s">
        <v>47</v>
      </c>
      <c r="D2" s="10" t="s">
        <v>31</v>
      </c>
      <c r="E2" s="10" t="s">
        <v>1</v>
      </c>
      <c r="F2" s="10" t="s">
        <v>27</v>
      </c>
      <c r="G2" s="10" t="s">
        <v>20</v>
      </c>
      <c r="H2" s="10" t="s">
        <v>42</v>
      </c>
      <c r="I2" s="11" t="s">
        <v>10</v>
      </c>
      <c r="J2" s="11" t="s">
        <v>11</v>
      </c>
      <c r="K2" s="11" t="s">
        <v>12</v>
      </c>
      <c r="L2" s="11" t="s">
        <v>13</v>
      </c>
      <c r="M2" s="11" t="s">
        <v>14</v>
      </c>
      <c r="N2" s="11" t="s">
        <v>2</v>
      </c>
      <c r="O2" s="12" t="s">
        <v>15</v>
      </c>
      <c r="P2" s="12" t="s">
        <v>16</v>
      </c>
      <c r="Q2" s="12" t="s">
        <v>17</v>
      </c>
      <c r="R2" s="11" t="s">
        <v>3</v>
      </c>
      <c r="S2" s="11" t="s">
        <v>4</v>
      </c>
      <c r="T2" s="11" t="s">
        <v>5</v>
      </c>
      <c r="U2" s="11" t="s">
        <v>37</v>
      </c>
      <c r="V2" s="11" t="s">
        <v>6</v>
      </c>
    </row>
    <row r="3" spans="1:31" ht="30" customHeight="1" x14ac:dyDescent="0.25">
      <c r="A3" s="26">
        <v>1</v>
      </c>
      <c r="B3" s="14" t="s">
        <v>44</v>
      </c>
      <c r="C3" s="14" t="s">
        <v>48</v>
      </c>
      <c r="D3" s="13">
        <v>10</v>
      </c>
      <c r="E3" s="42" t="s">
        <v>19</v>
      </c>
      <c r="F3" s="15">
        <f>34.5*2</f>
        <v>69</v>
      </c>
      <c r="G3" s="16">
        <f>F3*10.7639</f>
        <v>742.70909999999992</v>
      </c>
      <c r="H3" s="13">
        <v>2016</v>
      </c>
      <c r="I3" s="17">
        <v>2024</v>
      </c>
      <c r="J3" s="17">
        <f>I3-H3</f>
        <v>8</v>
      </c>
      <c r="K3" s="17">
        <v>70</v>
      </c>
      <c r="L3" s="18">
        <v>0.1</v>
      </c>
      <c r="M3" s="19">
        <f>(1-L3)/K3</f>
        <v>1.2857142857142857E-2</v>
      </c>
      <c r="N3" s="14">
        <v>1600</v>
      </c>
      <c r="O3" s="20">
        <f>N3*F3*10.7639</f>
        <v>1188334.56</v>
      </c>
      <c r="P3" s="21">
        <f>O3*M3*IF(J3&gt;K3,K3,J3)</f>
        <v>122228.6976</v>
      </c>
      <c r="Q3" s="22">
        <v>0</v>
      </c>
      <c r="R3" s="23">
        <f>O3-P3</f>
        <v>1066105.8624</v>
      </c>
      <c r="S3" s="21">
        <f>R3-(R3*Q3)</f>
        <v>1066105.8624</v>
      </c>
      <c r="T3" s="24">
        <v>12000</v>
      </c>
      <c r="U3" s="30">
        <v>0.92700000000000005</v>
      </c>
      <c r="V3" s="21">
        <f>T3*F3*U3</f>
        <v>767556</v>
      </c>
      <c r="Y3" s="5" t="s">
        <v>22</v>
      </c>
      <c r="Z3" s="5" t="s">
        <v>49</v>
      </c>
      <c r="AA3" s="5" t="s">
        <v>23</v>
      </c>
      <c r="AB3" s="29" t="s">
        <v>21</v>
      </c>
      <c r="AC3" s="5" t="s">
        <v>24</v>
      </c>
      <c r="AD3" s="48" t="s">
        <v>25</v>
      </c>
      <c r="AE3" s="49"/>
    </row>
    <row r="4" spans="1:31" ht="25.5" x14ac:dyDescent="0.25">
      <c r="A4" s="26">
        <v>2</v>
      </c>
      <c r="B4" s="14" t="s">
        <v>45</v>
      </c>
      <c r="C4" s="14" t="s">
        <v>48</v>
      </c>
      <c r="D4" s="13">
        <v>10</v>
      </c>
      <c r="E4" s="43"/>
      <c r="F4" s="56">
        <f>63.73+68.4</f>
        <v>132.13</v>
      </c>
      <c r="G4" s="16">
        <f>F4*10.7639</f>
        <v>1422.234107</v>
      </c>
      <c r="H4" s="13">
        <v>2016</v>
      </c>
      <c r="I4" s="17">
        <v>2024</v>
      </c>
      <c r="J4" s="17">
        <f>I4-H4</f>
        <v>8</v>
      </c>
      <c r="K4" s="17">
        <v>70</v>
      </c>
      <c r="L4" s="18">
        <v>0.1</v>
      </c>
      <c r="M4" s="19">
        <f>(1-L4)/K4</f>
        <v>1.2857142857142857E-2</v>
      </c>
      <c r="N4" s="14">
        <v>1600</v>
      </c>
      <c r="O4" s="20">
        <f>N4*F4*10.7639</f>
        <v>2275574.5712000001</v>
      </c>
      <c r="P4" s="21">
        <f>O4*M4*IF(J4&gt;K4,K4,J4)</f>
        <v>234059.09875200002</v>
      </c>
      <c r="Q4" s="22">
        <v>0</v>
      </c>
      <c r="R4" s="23">
        <f>O4-P4</f>
        <v>2041515.4724480002</v>
      </c>
      <c r="S4" s="21">
        <f>R4-(R4*Q4)</f>
        <v>2041515.4724480002</v>
      </c>
      <c r="T4" s="24">
        <v>12000</v>
      </c>
      <c r="U4" s="30">
        <v>0.92700000000000005</v>
      </c>
      <c r="V4" s="21">
        <f>T4*F4*U4</f>
        <v>1469814.12</v>
      </c>
      <c r="Y4" s="33">
        <v>456.51</v>
      </c>
      <c r="Z4" s="2">
        <v>546</v>
      </c>
      <c r="AA4" s="1">
        <v>10500</v>
      </c>
      <c r="AB4" s="3">
        <f>AA4*Y4</f>
        <v>4793355</v>
      </c>
      <c r="AC4" s="1">
        <f>70000*1.2</f>
        <v>84000</v>
      </c>
      <c r="AD4" s="44">
        <f>AC4*Z4</f>
        <v>45864000</v>
      </c>
      <c r="AE4" s="44"/>
    </row>
    <row r="5" spans="1:31" ht="25.5" customHeight="1" x14ac:dyDescent="0.25">
      <c r="A5" s="26">
        <v>3</v>
      </c>
      <c r="B5" s="14" t="s">
        <v>46</v>
      </c>
      <c r="C5" s="14" t="s">
        <v>48</v>
      </c>
      <c r="D5" s="13">
        <v>10</v>
      </c>
      <c r="E5" s="43"/>
      <c r="F5" s="56">
        <f>53.35+53.35</f>
        <v>106.7</v>
      </c>
      <c r="G5" s="16">
        <f>F5*10.7639</f>
        <v>1148.5081299999999</v>
      </c>
      <c r="H5" s="13">
        <v>2016</v>
      </c>
      <c r="I5" s="17">
        <v>2024</v>
      </c>
      <c r="J5" s="17">
        <f>I5-H5</f>
        <v>8</v>
      </c>
      <c r="K5" s="17">
        <v>70</v>
      </c>
      <c r="L5" s="18">
        <v>0.1</v>
      </c>
      <c r="M5" s="19">
        <f>(1-L5)/K5</f>
        <v>1.2857142857142857E-2</v>
      </c>
      <c r="N5" s="14">
        <v>1600</v>
      </c>
      <c r="O5" s="20">
        <f>N5*F5*10.7639</f>
        <v>1837613.0079999999</v>
      </c>
      <c r="P5" s="21">
        <f>O5*M5*IF(J5&gt;K5,K5,J5)</f>
        <v>189011.62367999999</v>
      </c>
      <c r="Q5" s="22">
        <v>0</v>
      </c>
      <c r="R5" s="23">
        <f>O5-P5</f>
        <v>1648601.38432</v>
      </c>
      <c r="S5" s="21">
        <f>R5-(R5*Q5)</f>
        <v>1648601.38432</v>
      </c>
      <c r="T5" s="24">
        <v>12000</v>
      </c>
      <c r="U5" s="30">
        <v>0.92700000000000005</v>
      </c>
      <c r="V5" s="21">
        <f>T5*F5*U5</f>
        <v>1186930.8</v>
      </c>
      <c r="AA5" s="1" t="s">
        <v>38</v>
      </c>
      <c r="AB5" s="6">
        <f>V8</f>
        <v>3686827.32</v>
      </c>
      <c r="AC5" s="1" t="s">
        <v>38</v>
      </c>
      <c r="AD5" s="46">
        <f>S8</f>
        <v>5029702.0490880003</v>
      </c>
      <c r="AE5" s="47"/>
    </row>
    <row r="6" spans="1:31" ht="25.5" customHeight="1" x14ac:dyDescent="0.25">
      <c r="A6" s="26">
        <v>4</v>
      </c>
      <c r="B6" s="25" t="s">
        <v>50</v>
      </c>
      <c r="C6" s="25" t="s">
        <v>51</v>
      </c>
      <c r="D6" s="13">
        <v>10</v>
      </c>
      <c r="E6" s="43"/>
      <c r="F6" s="56">
        <v>20.6</v>
      </c>
      <c r="G6" s="16">
        <f>F6*10.7639</f>
        <v>221.73634000000001</v>
      </c>
      <c r="H6" s="13">
        <v>2016</v>
      </c>
      <c r="I6" s="17">
        <v>2024</v>
      </c>
      <c r="J6" s="17">
        <f>I6-H6</f>
        <v>8</v>
      </c>
      <c r="K6" s="17">
        <v>70</v>
      </c>
      <c r="L6" s="18">
        <v>0.1</v>
      </c>
      <c r="M6" s="19">
        <f>(1-L6)/K6</f>
        <v>1.2857142857142857E-2</v>
      </c>
      <c r="N6" s="14">
        <v>1200</v>
      </c>
      <c r="O6" s="20">
        <f>N6*F6*10.7639</f>
        <v>266083.60800000001</v>
      </c>
      <c r="P6" s="21">
        <f>O6*M6*IF(J6&gt;K6,K6,J6)</f>
        <v>27368.599679999999</v>
      </c>
      <c r="Q6" s="22">
        <v>0</v>
      </c>
      <c r="R6" s="23">
        <f>O6-P6</f>
        <v>238715.00832000002</v>
      </c>
      <c r="S6" s="21">
        <f>R6-(R6*Q6)</f>
        <v>238715.00832000002</v>
      </c>
      <c r="T6" s="24">
        <v>12000</v>
      </c>
      <c r="U6" s="30">
        <v>0.92700000000000005</v>
      </c>
      <c r="V6" s="21">
        <f>T6*F6*U6</f>
        <v>229154.40000000005</v>
      </c>
      <c r="AA6" s="51" t="s">
        <v>54</v>
      </c>
      <c r="AB6" s="52"/>
      <c r="AC6" s="53"/>
      <c r="AD6" s="46">
        <f>Sheet2!F7</f>
        <v>800000</v>
      </c>
      <c r="AE6" s="47"/>
    </row>
    <row r="7" spans="1:31" ht="25.5" customHeight="1" x14ac:dyDescent="0.25">
      <c r="A7" s="26">
        <v>5</v>
      </c>
      <c r="B7" s="25" t="s">
        <v>52</v>
      </c>
      <c r="C7" s="25" t="s">
        <v>51</v>
      </c>
      <c r="D7" s="13">
        <v>10</v>
      </c>
      <c r="E7" s="32"/>
      <c r="F7" s="15">
        <v>3</v>
      </c>
      <c r="G7" s="16">
        <f>F7*10.7639</f>
        <v>32.291699999999999</v>
      </c>
      <c r="H7" s="13">
        <v>2016</v>
      </c>
      <c r="I7" s="17">
        <v>2024</v>
      </c>
      <c r="J7" s="17">
        <f>I7-H7</f>
        <v>8</v>
      </c>
      <c r="K7" s="17">
        <v>70</v>
      </c>
      <c r="L7" s="18">
        <v>0.1</v>
      </c>
      <c r="M7" s="19">
        <f>(1-L7)/K7</f>
        <v>1.2857142857142857E-2</v>
      </c>
      <c r="N7" s="14">
        <v>1200</v>
      </c>
      <c r="O7" s="20">
        <f>N7*F7*10.7639</f>
        <v>38750.04</v>
      </c>
      <c r="P7" s="21">
        <f>O7*M7*IF(J7&gt;K7,K7,J7)</f>
        <v>3985.7184000000002</v>
      </c>
      <c r="Q7" s="22">
        <v>0</v>
      </c>
      <c r="R7" s="23">
        <f>O7-P7</f>
        <v>34764.321600000003</v>
      </c>
      <c r="S7" s="21">
        <f>R7-(R7*Q7)</f>
        <v>34764.321600000003</v>
      </c>
      <c r="T7" s="24">
        <v>12000</v>
      </c>
      <c r="U7" s="30">
        <v>0.92700000000000005</v>
      </c>
      <c r="V7" s="21">
        <f>T7*F7*U7</f>
        <v>33372</v>
      </c>
      <c r="AA7" s="1"/>
      <c r="AB7" s="6"/>
      <c r="AC7" s="1"/>
      <c r="AD7" s="46"/>
      <c r="AE7" s="47"/>
    </row>
    <row r="8" spans="1:31" x14ac:dyDescent="0.25">
      <c r="A8" s="13"/>
      <c r="B8" s="25"/>
      <c r="C8" s="25"/>
      <c r="D8" s="13"/>
      <c r="E8" s="27" t="s">
        <v>32</v>
      </c>
      <c r="F8" s="16">
        <f>SUM(F3:F7)</f>
        <v>331.43</v>
      </c>
      <c r="G8" s="16">
        <f>SUM(G3:G7)</f>
        <v>3567.4793769999997</v>
      </c>
      <c r="H8" s="39"/>
      <c r="I8" s="40"/>
      <c r="J8" s="40"/>
      <c r="K8" s="40"/>
      <c r="L8" s="40"/>
      <c r="M8" s="40"/>
      <c r="N8" s="41"/>
      <c r="O8" s="16">
        <f>SUM(O3:O7)</f>
        <v>5606355.7872000001</v>
      </c>
      <c r="P8" s="16">
        <f>SUM(P3:P7)</f>
        <v>576653.73811200005</v>
      </c>
      <c r="Q8" s="16">
        <f>SUM(Q3:Q4)</f>
        <v>0</v>
      </c>
      <c r="R8" s="16">
        <f>SUM(R3:R7)</f>
        <v>5029702.0490880003</v>
      </c>
      <c r="S8" s="16">
        <f>SUM(S3:S7)</f>
        <v>5029702.0490880003</v>
      </c>
      <c r="T8" s="16"/>
      <c r="U8" s="16"/>
      <c r="V8" s="16">
        <f>SUM(V3:V7)</f>
        <v>3686827.32</v>
      </c>
      <c r="Y8" s="45" t="s">
        <v>26</v>
      </c>
      <c r="Z8" s="45"/>
      <c r="AA8" s="45"/>
      <c r="AB8" s="6">
        <f>SUM(AB4:AB5)</f>
        <v>8480182.3200000003</v>
      </c>
      <c r="AC8" s="1"/>
      <c r="AD8" s="46">
        <f>SUM(AD4:AE7)</f>
        <v>51693702.049088001</v>
      </c>
      <c r="AE8" s="47"/>
    </row>
    <row r="9" spans="1:31" ht="25.5" customHeight="1" x14ac:dyDescent="0.25">
      <c r="A9" s="36" t="s">
        <v>7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8"/>
      <c r="AC9" s="1" t="s">
        <v>28</v>
      </c>
      <c r="AD9" s="46">
        <f>ROUND(AD8,-6)</f>
        <v>52000000</v>
      </c>
      <c r="AE9" s="47"/>
    </row>
    <row r="10" spans="1:31" x14ac:dyDescent="0.25">
      <c r="A10" s="34" t="s">
        <v>33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AC10" s="1" t="s">
        <v>29</v>
      </c>
      <c r="AD10" s="46">
        <f>AD9*0.85</f>
        <v>44200000</v>
      </c>
      <c r="AE10" s="46"/>
    </row>
    <row r="11" spans="1:31" ht="15" customHeight="1" x14ac:dyDescent="0.25">
      <c r="A11" s="34" t="s">
        <v>34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AC11" s="1" t="s">
        <v>30</v>
      </c>
      <c r="AD11" s="46">
        <f>AD9*0.75</f>
        <v>39000000</v>
      </c>
      <c r="AE11" s="46"/>
    </row>
    <row r="12" spans="1:31" ht="25.5" customHeight="1" x14ac:dyDescent="0.25">
      <c r="A12" s="34" t="s">
        <v>8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AC12" s="1" t="s">
        <v>36</v>
      </c>
      <c r="AD12" s="50">
        <f>(AD9-AB8)/AD9</f>
        <v>0.83691957076923074</v>
      </c>
      <c r="AE12" s="50"/>
    </row>
    <row r="13" spans="1:31" ht="23.25" customHeight="1" x14ac:dyDescent="0.25">
      <c r="A13" s="34" t="s">
        <v>9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AC13" s="28" t="s">
        <v>35</v>
      </c>
      <c r="AD13" s="44">
        <f>Sheet1!O8*0.8</f>
        <v>4485084.6297599999</v>
      </c>
      <c r="AE13" s="44"/>
    </row>
    <row r="15" spans="1:31" x14ac:dyDescent="0.25">
      <c r="K15" s="1" t="s">
        <v>39</v>
      </c>
      <c r="L15" s="1"/>
      <c r="M15" s="1"/>
      <c r="N15" s="2">
        <f>F3</f>
        <v>69</v>
      </c>
      <c r="O15" s="1" t="s">
        <v>40</v>
      </c>
      <c r="P15" s="1"/>
      <c r="Q15" s="1"/>
      <c r="R15" s="1"/>
      <c r="S15" s="1">
        <f>Y4*0.55</f>
        <v>251.08050000000003</v>
      </c>
      <c r="T15" s="1" t="s">
        <v>41</v>
      </c>
      <c r="U15" s="31">
        <f>N15-S15</f>
        <v>-182.08050000000003</v>
      </c>
      <c r="V15" s="31"/>
    </row>
    <row r="16" spans="1:31" ht="33" customHeight="1" x14ac:dyDescent="0.25"/>
    <row r="17" spans="4:25" x14ac:dyDescent="0.25">
      <c r="E17">
        <f>0.5*2.1*2</f>
        <v>2.1</v>
      </c>
      <c r="G17" s="31">
        <f>F3+F4+F5</f>
        <v>307.83</v>
      </c>
      <c r="I17">
        <f>F8/Y4</f>
        <v>0.72600819259161908</v>
      </c>
      <c r="O17" s="7"/>
      <c r="P17" s="7"/>
      <c r="Q17" s="7"/>
      <c r="R17" s="7"/>
      <c r="T17" s="7"/>
      <c r="U17" s="7"/>
      <c r="V17" s="7"/>
      <c r="Y17" t="s">
        <v>53</v>
      </c>
    </row>
    <row r="18" spans="4:25" x14ac:dyDescent="0.25">
      <c r="G18">
        <f>G17/2</f>
        <v>153.91499999999999</v>
      </c>
      <c r="P18" s="8"/>
      <c r="Q18" s="8"/>
      <c r="R18" s="9"/>
      <c r="S18" s="8"/>
      <c r="T18" s="8"/>
      <c r="U18" s="8"/>
      <c r="V18" s="8"/>
    </row>
    <row r="19" spans="4:25" x14ac:dyDescent="0.25">
      <c r="D19" s="31">
        <f>1409/10.7639</f>
        <v>130.9005100381832</v>
      </c>
      <c r="G19" s="31">
        <f>G18+F6+F7</f>
        <v>177.51499999999999</v>
      </c>
      <c r="L19">
        <v>268.52</v>
      </c>
      <c r="M19">
        <f>L19/0.6</f>
        <v>447.5333333333333</v>
      </c>
      <c r="P19" s="8"/>
      <c r="Q19" s="8"/>
      <c r="R19" s="9"/>
      <c r="S19" s="8"/>
      <c r="T19" s="8"/>
      <c r="U19" s="8"/>
      <c r="V19" s="8"/>
    </row>
    <row r="20" spans="4:25" x14ac:dyDescent="0.25">
      <c r="D20">
        <v>38</v>
      </c>
      <c r="G20">
        <f>G19/Y4</f>
        <v>0.3888523800135813</v>
      </c>
      <c r="L20">
        <f>Y4*0.6</f>
        <v>273.90600000000001</v>
      </c>
      <c r="P20" s="8"/>
      <c r="Q20" s="8"/>
      <c r="R20" s="9"/>
      <c r="S20" s="8"/>
      <c r="T20" s="8"/>
      <c r="U20" s="8"/>
      <c r="V20" s="8"/>
    </row>
    <row r="21" spans="4:25" x14ac:dyDescent="0.25">
      <c r="D21" s="31">
        <f>D19+D20</f>
        <v>168.9005100381832</v>
      </c>
      <c r="P21" s="8"/>
      <c r="Q21" s="8"/>
      <c r="R21" s="9"/>
      <c r="S21" s="8"/>
      <c r="T21" s="8"/>
      <c r="U21" s="8"/>
      <c r="V21" s="8"/>
    </row>
    <row r="22" spans="4:25" x14ac:dyDescent="0.25">
      <c r="P22" s="8"/>
      <c r="Q22" s="8"/>
      <c r="R22" s="9"/>
      <c r="S22" s="8"/>
      <c r="T22" s="8"/>
      <c r="U22" s="8"/>
      <c r="V22" s="8"/>
    </row>
    <row r="23" spans="4:25" x14ac:dyDescent="0.25">
      <c r="P23" s="8"/>
      <c r="Q23" s="8"/>
      <c r="R23" s="9"/>
      <c r="S23" s="8"/>
      <c r="T23" s="8"/>
      <c r="U23" s="8"/>
      <c r="V23" s="8"/>
    </row>
    <row r="24" spans="4:25" x14ac:dyDescent="0.25">
      <c r="P24" s="8"/>
      <c r="Q24" s="8"/>
      <c r="R24" s="9"/>
      <c r="S24" s="8"/>
      <c r="T24" s="8"/>
      <c r="U24" s="8"/>
      <c r="V24" s="8"/>
    </row>
    <row r="25" spans="4:25" x14ac:dyDescent="0.25">
      <c r="P25" s="8"/>
      <c r="Q25" s="8"/>
      <c r="R25" s="9"/>
      <c r="S25" s="8"/>
      <c r="T25" s="8"/>
      <c r="U25" s="8"/>
      <c r="V25" s="8"/>
    </row>
    <row r="26" spans="4:25" x14ac:dyDescent="0.25">
      <c r="Q26" s="8"/>
      <c r="R26" s="8"/>
      <c r="S26" s="8"/>
      <c r="V26" s="8"/>
    </row>
  </sheetData>
  <mergeCells count="21">
    <mergeCell ref="AD3:AE3"/>
    <mergeCell ref="AD4:AE4"/>
    <mergeCell ref="AD5:AE5"/>
    <mergeCell ref="AD12:AE12"/>
    <mergeCell ref="A12:V12"/>
    <mergeCell ref="AA6:AC6"/>
    <mergeCell ref="AD6:AE6"/>
    <mergeCell ref="AD7:AE7"/>
    <mergeCell ref="AD13:AE13"/>
    <mergeCell ref="Y8:AA8"/>
    <mergeCell ref="AD8:AE8"/>
    <mergeCell ref="AD9:AE9"/>
    <mergeCell ref="AD10:AE10"/>
    <mergeCell ref="AD11:AE11"/>
    <mergeCell ref="A13:V13"/>
    <mergeCell ref="A1:V1"/>
    <mergeCell ref="A10:V10"/>
    <mergeCell ref="A11:V11"/>
    <mergeCell ref="A9:V9"/>
    <mergeCell ref="H8:N8"/>
    <mergeCell ref="E3: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6:M11"/>
  <sheetViews>
    <sheetView workbookViewId="0">
      <selection activeCell="L7" sqref="L7"/>
    </sheetView>
  </sheetViews>
  <sheetFormatPr defaultRowHeight="15" x14ac:dyDescent="0.25"/>
  <cols>
    <col min="12" max="12" width="15.28515625" bestFit="1" customWidth="1"/>
  </cols>
  <sheetData>
    <row r="6" spans="12:13" x14ac:dyDescent="0.25">
      <c r="L6">
        <f>44*10^7</f>
        <v>440000000</v>
      </c>
    </row>
    <row r="7" spans="12:13" x14ac:dyDescent="0.25">
      <c r="L7">
        <f>159.3*2+270+162+59.35</f>
        <v>809.95</v>
      </c>
    </row>
    <row r="8" spans="12:13" x14ac:dyDescent="0.25">
      <c r="L8">
        <f>L7*10.7639</f>
        <v>8718.2208050000008</v>
      </c>
      <c r="M8">
        <v>1500</v>
      </c>
    </row>
    <row r="9" spans="12:13" x14ac:dyDescent="0.25">
      <c r="L9">
        <f>L8*M8</f>
        <v>13077331.207500001</v>
      </c>
    </row>
    <row r="10" spans="12:13" x14ac:dyDescent="0.25">
      <c r="L10" s="57">
        <f>L6-L9</f>
        <v>426922668.79250002</v>
      </c>
    </row>
    <row r="11" spans="12:13" x14ac:dyDescent="0.25">
      <c r="L11" s="58">
        <f>L10/540</f>
        <v>790597.53480092599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12"/>
  <sheetViews>
    <sheetView workbookViewId="0">
      <selection activeCell="F8" sqref="F8"/>
    </sheetView>
  </sheetViews>
  <sheetFormatPr defaultRowHeight="15" x14ac:dyDescent="0.25"/>
  <cols>
    <col min="6" max="6" width="11.85546875" bestFit="1" customWidth="1"/>
  </cols>
  <sheetData>
    <row r="4" spans="2:9" x14ac:dyDescent="0.25">
      <c r="B4" s="54"/>
      <c r="C4" s="54"/>
      <c r="D4" s="5"/>
      <c r="E4" s="4"/>
      <c r="F4" s="4"/>
      <c r="G4" s="5"/>
      <c r="H4" s="48"/>
      <c r="I4" s="49"/>
    </row>
    <row r="5" spans="2:9" x14ac:dyDescent="0.25">
      <c r="B5" s="47" t="s">
        <v>55</v>
      </c>
      <c r="C5" s="47"/>
      <c r="D5" s="2">
        <v>80</v>
      </c>
      <c r="E5" s="1">
        <v>3500</v>
      </c>
      <c r="F5" s="3">
        <f>D5*E5</f>
        <v>280000</v>
      </c>
      <c r="G5" s="1"/>
      <c r="H5" s="44"/>
      <c r="I5" s="44"/>
    </row>
    <row r="6" spans="2:9" ht="29.45" customHeight="1" x14ac:dyDescent="0.25">
      <c r="B6" s="55" t="s">
        <v>56</v>
      </c>
      <c r="C6" s="55"/>
      <c r="F6" s="6">
        <v>500000</v>
      </c>
      <c r="G6" s="1"/>
      <c r="H6" s="46"/>
      <c r="I6" s="47"/>
    </row>
    <row r="7" spans="2:9" x14ac:dyDescent="0.25">
      <c r="B7" s="45"/>
      <c r="C7" s="45"/>
      <c r="D7" s="45"/>
      <c r="E7" s="45"/>
      <c r="F7" s="6">
        <f>ROUND(SUM(F5:F6),-5)</f>
        <v>800000</v>
      </c>
      <c r="G7" s="1"/>
      <c r="H7" s="46"/>
      <c r="I7" s="47"/>
    </row>
    <row r="8" spans="2:9" x14ac:dyDescent="0.25">
      <c r="G8" s="1"/>
      <c r="H8" s="46"/>
      <c r="I8" s="47"/>
    </row>
    <row r="9" spans="2:9" x14ac:dyDescent="0.25">
      <c r="G9" s="1"/>
      <c r="H9" s="46"/>
      <c r="I9" s="46"/>
    </row>
    <row r="10" spans="2:9" x14ac:dyDescent="0.25">
      <c r="G10" s="1"/>
      <c r="H10" s="46"/>
      <c r="I10" s="46"/>
    </row>
    <row r="11" spans="2:9" x14ac:dyDescent="0.25">
      <c r="G11" s="1"/>
      <c r="H11" s="50"/>
      <c r="I11" s="50"/>
    </row>
    <row r="12" spans="2:9" x14ac:dyDescent="0.25">
      <c r="G12" s="28"/>
      <c r="H12" s="44"/>
      <c r="I12" s="44"/>
    </row>
  </sheetData>
  <mergeCells count="13">
    <mergeCell ref="H12:I12"/>
    <mergeCell ref="B4:C4"/>
    <mergeCell ref="H4:I4"/>
    <mergeCell ref="H5:I5"/>
    <mergeCell ref="B5:C5"/>
    <mergeCell ref="H8:I8"/>
    <mergeCell ref="H9:I9"/>
    <mergeCell ref="H10:I10"/>
    <mergeCell ref="H6:I6"/>
    <mergeCell ref="B7:E7"/>
    <mergeCell ref="H7:I7"/>
    <mergeCell ref="H11:I11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Manmohan Dubey</dc:creator>
  <cp:lastModifiedBy>Manas Upmanyu</cp:lastModifiedBy>
  <dcterms:created xsi:type="dcterms:W3CDTF">2015-06-05T18:17:20Z</dcterms:created>
  <dcterms:modified xsi:type="dcterms:W3CDTF">2024-12-05T19:08:44Z</dcterms:modified>
</cp:coreProperties>
</file>