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20" yWindow="-120" windowWidth="19420" windowHeight="11020" tabRatio="915" activeTab="2"/>
  </bookViews>
  <sheets>
    <sheet name="Index" sheetId="31" r:id="rId1"/>
    <sheet name="Financial Statements" sheetId="1" r:id="rId2"/>
    <sheet name="Detailed PL, TP &amp; TR" sheetId="26" r:id="rId3"/>
    <sheet name="Detailed BS" sheetId="29" r:id="rId4"/>
    <sheet name="Assumption" sheetId="10" r:id="rId5"/>
    <sheet name="CFS" sheetId="30" r:id="rId6"/>
    <sheet name="ITComputation" sheetId="12" r:id="rId7"/>
    <sheet name="Loan Repayment" sheetId="22" r:id="rId8"/>
    <sheet name="Existing Loan Working Updated" sheetId="20" state="hidden" r:id="rId9"/>
    <sheet name="Existing Loan Working" sheetId="14" state="hidden" r:id="rId10"/>
    <sheet name="WC" sheetId="11" state="hidden" r:id="rId11"/>
    <sheet name="Bank Loan Workings" sheetId="5" state="hidden" r:id="rId12"/>
    <sheet name="DEP-Co'sAct" sheetId="27" r:id="rId13"/>
    <sheet name="Dep-IT" sheetId="28" r:id="rId14"/>
    <sheet name="DSCR" sheetId="19" r:id="rId15"/>
    <sheet name="Sheet2" sheetId="25" state="hidden" r:id="rId16"/>
    <sheet name="new project" sheetId="32" r:id="rId17"/>
    <sheet name="dep as per It" sheetId="18" state="hidden" r:id="rId18"/>
    <sheet name="Debt" sheetId="8" state="hidden" r:id="rId19"/>
    <sheet name="Evaluation" sheetId="9" state="hidden" r:id="rId20"/>
    <sheet name="Depreciation new" sheetId="13" state="hidden" r:id="rId21"/>
    <sheet name="Fixed Assets - Existing" sheetId="16" state="hidden" r:id="rId22"/>
  </sheets>
  <externalReferences>
    <externalReference r:id="rId23"/>
    <externalReference r:id="rId24"/>
  </externalReferences>
  <definedNames>
    <definedName name="_xlnm.Print_Area" localSheetId="11">'Bank Loan Workings'!$A$11:$P$30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1" i="26" l="1"/>
  <c r="Q41" i="26"/>
  <c r="N41" i="26"/>
  <c r="K41" i="26"/>
  <c r="H41" i="26"/>
  <c r="E41" i="26"/>
  <c r="G12" i="10"/>
  <c r="F12" i="10"/>
  <c r="E12" i="10"/>
  <c r="D12" i="10"/>
  <c r="C12" i="10"/>
  <c r="B12" i="10"/>
  <c r="N6" i="26"/>
  <c r="K25" i="32" l="1"/>
  <c r="K22" i="32"/>
  <c r="K21" i="32"/>
  <c r="K20" i="32"/>
  <c r="K19" i="32"/>
  <c r="K18" i="32"/>
  <c r="K17" i="32"/>
  <c r="K16" i="32"/>
  <c r="K13" i="32"/>
  <c r="K12" i="32"/>
  <c r="K11" i="32"/>
  <c r="K10" i="32"/>
  <c r="K9" i="32"/>
  <c r="K8" i="32"/>
  <c r="K7" i="32"/>
  <c r="K6" i="32"/>
  <c r="P67" i="22" l="1"/>
  <c r="P66" i="22"/>
  <c r="P63" i="22"/>
  <c r="D36" i="29" l="1"/>
  <c r="I113" i="27"/>
  <c r="H113" i="27"/>
  <c r="G113" i="27"/>
  <c r="F113" i="27"/>
  <c r="E113" i="27"/>
  <c r="D113" i="27"/>
  <c r="C113" i="27"/>
  <c r="U11" i="26"/>
  <c r="U9" i="26"/>
  <c r="U7" i="26"/>
  <c r="U6" i="26"/>
  <c r="U5" i="26"/>
  <c r="U4" i="26"/>
  <c r="U8" i="26"/>
  <c r="U10" i="26" s="1"/>
  <c r="I3" i="26"/>
  <c r="R11" i="26"/>
  <c r="R9" i="26"/>
  <c r="R7" i="26"/>
  <c r="R6" i="26"/>
  <c r="R5" i="26"/>
  <c r="R4" i="26"/>
  <c r="O11" i="26"/>
  <c r="O9" i="26"/>
  <c r="O7" i="26"/>
  <c r="O6" i="26"/>
  <c r="O5" i="26"/>
  <c r="O8" i="26" s="1"/>
  <c r="O10" i="26" s="1"/>
  <c r="O4" i="26"/>
  <c r="L11" i="26"/>
  <c r="L9" i="26"/>
  <c r="L7" i="26"/>
  <c r="L6" i="26"/>
  <c r="L5" i="26"/>
  <c r="L4" i="26"/>
  <c r="I11" i="26"/>
  <c r="I9" i="26"/>
  <c r="I7" i="26"/>
  <c r="I6" i="26"/>
  <c r="I5" i="26"/>
  <c r="I4" i="26"/>
  <c r="U3" i="26"/>
  <c r="R3" i="26"/>
  <c r="O3" i="26"/>
  <c r="L3" i="26"/>
  <c r="B7" i="10"/>
  <c r="E3" i="26"/>
  <c r="E13" i="25"/>
  <c r="E14" i="25" s="1"/>
  <c r="E12" i="25"/>
  <c r="E5" i="25"/>
  <c r="E6" i="25" s="1"/>
  <c r="E7" i="25" s="1"/>
  <c r="E8" i="25" s="1"/>
  <c r="E4" i="25"/>
  <c r="K17" i="25"/>
  <c r="I17" i="25"/>
  <c r="H17" i="25"/>
  <c r="G17" i="25"/>
  <c r="D17" i="25"/>
  <c r="C17" i="25"/>
  <c r="J16" i="25"/>
  <c r="J15" i="25"/>
  <c r="J14" i="25"/>
  <c r="J13" i="25"/>
  <c r="L13" i="25" s="1"/>
  <c r="J12" i="25"/>
  <c r="J11" i="25"/>
  <c r="F13" i="25"/>
  <c r="F12" i="25"/>
  <c r="L12" i="25" s="1"/>
  <c r="F11" i="25"/>
  <c r="L11" i="25" s="1"/>
  <c r="I295" i="1"/>
  <c r="L8" i="26" l="1"/>
  <c r="L10" i="26" s="1"/>
  <c r="L14" i="26" s="1"/>
  <c r="R8" i="26"/>
  <c r="R10" i="26" s="1"/>
  <c r="R14" i="26" s="1"/>
  <c r="U14" i="26"/>
  <c r="O14" i="26"/>
  <c r="E15" i="25"/>
  <c r="F14" i="25"/>
  <c r="L14" i="25" s="1"/>
  <c r="J17" i="25"/>
  <c r="M142" i="27"/>
  <c r="M141" i="27"/>
  <c r="M139" i="27"/>
  <c r="B11" i="19"/>
  <c r="B7" i="19"/>
  <c r="V13" i="26"/>
  <c r="S13" i="26"/>
  <c r="N106" i="1" s="1"/>
  <c r="U40" i="26"/>
  <c r="U39" i="26"/>
  <c r="U42" i="26" s="1"/>
  <c r="U44" i="26" s="1"/>
  <c r="E16" i="25" l="1"/>
  <c r="F16" i="25" s="1"/>
  <c r="L16" i="25" s="1"/>
  <c r="F15" i="25"/>
  <c r="L15" i="25" s="1"/>
  <c r="R40" i="26"/>
  <c r="R39" i="26"/>
  <c r="U26" i="26"/>
  <c r="U25" i="26"/>
  <c r="R25" i="26"/>
  <c r="R26" i="26"/>
  <c r="R32" i="26" s="1"/>
  <c r="U32" i="26" l="1"/>
  <c r="R42" i="26"/>
  <c r="R44" i="26" s="1"/>
  <c r="O40" i="26"/>
  <c r="O42" i="26" s="1"/>
  <c r="O44" i="26" s="1"/>
  <c r="O39" i="26"/>
  <c r="O26" i="26"/>
  <c r="O25" i="26"/>
  <c r="J82" i="29"/>
  <c r="J62" i="29"/>
  <c r="P13" i="26"/>
  <c r="E18" i="30"/>
  <c r="H149" i="29"/>
  <c r="E44" i="27"/>
  <c r="D140" i="27"/>
  <c r="C140" i="27"/>
  <c r="M140" i="27" s="1"/>
  <c r="L40" i="26"/>
  <c r="L39" i="26"/>
  <c r="H82" i="29"/>
  <c r="H62" i="29"/>
  <c r="M13" i="26"/>
  <c r="L25" i="26"/>
  <c r="L26" i="26"/>
  <c r="D18" i="30"/>
  <c r="F148" i="29"/>
  <c r="F62" i="29"/>
  <c r="J13" i="26"/>
  <c r="F61" i="29"/>
  <c r="F82" i="29" s="1"/>
  <c r="F34" i="29"/>
  <c r="D44" i="27"/>
  <c r="I40" i="26"/>
  <c r="I39" i="26"/>
  <c r="I25" i="26"/>
  <c r="I26" i="26"/>
  <c r="D9" i="30"/>
  <c r="D131" i="29"/>
  <c r="E131" i="29" s="1"/>
  <c r="F131" i="29" s="1"/>
  <c r="G131" i="29" s="1"/>
  <c r="H131" i="29" s="1"/>
  <c r="I131" i="29" s="1"/>
  <c r="J131" i="29" s="1"/>
  <c r="K131" i="29" s="1"/>
  <c r="L131" i="29" s="1"/>
  <c r="M131" i="29" s="1"/>
  <c r="N131" i="29" s="1"/>
  <c r="O131" i="29" s="1"/>
  <c r="D130" i="29"/>
  <c r="E130" i="29" s="1"/>
  <c r="F130" i="29" s="1"/>
  <c r="G130" i="29" s="1"/>
  <c r="H130" i="29" s="1"/>
  <c r="I130" i="29" s="1"/>
  <c r="J130" i="29" s="1"/>
  <c r="K130" i="29" s="1"/>
  <c r="L130" i="29" s="1"/>
  <c r="M130" i="29" s="1"/>
  <c r="N130" i="29" s="1"/>
  <c r="O130" i="29" s="1"/>
  <c r="D129" i="29"/>
  <c r="E129" i="29" s="1"/>
  <c r="F129" i="29" s="1"/>
  <c r="G129" i="29" s="1"/>
  <c r="H129" i="29" s="1"/>
  <c r="I129" i="29" s="1"/>
  <c r="J129" i="29" s="1"/>
  <c r="K129" i="29" s="1"/>
  <c r="L129" i="29" s="1"/>
  <c r="M129" i="29" s="1"/>
  <c r="N129" i="29" s="1"/>
  <c r="O129" i="29" s="1"/>
  <c r="D128" i="29"/>
  <c r="E128" i="29" s="1"/>
  <c r="D127" i="29"/>
  <c r="E127" i="29" s="1"/>
  <c r="D126" i="29"/>
  <c r="E126" i="29" s="1"/>
  <c r="D124" i="29"/>
  <c r="E124" i="29" s="1"/>
  <c r="D123" i="29"/>
  <c r="E123" i="29" s="1"/>
  <c r="D121" i="29"/>
  <c r="E121" i="29" s="1"/>
  <c r="D113" i="29"/>
  <c r="E113" i="29" s="1"/>
  <c r="E155" i="29"/>
  <c r="D163" i="29"/>
  <c r="E165" i="29" s="1"/>
  <c r="D160" i="29"/>
  <c r="E160" i="29" s="1"/>
  <c r="D149" i="29"/>
  <c r="D148" i="29"/>
  <c r="C20" i="30"/>
  <c r="G30" i="26"/>
  <c r="G29" i="26"/>
  <c r="G28" i="26"/>
  <c r="C18" i="30"/>
  <c r="D157" i="29"/>
  <c r="C16" i="30"/>
  <c r="C5" i="30"/>
  <c r="D167" i="29"/>
  <c r="E167" i="29" s="1"/>
  <c r="D169" i="29"/>
  <c r="E169" i="29" s="1"/>
  <c r="D172" i="29"/>
  <c r="C153" i="29"/>
  <c r="D147" i="29"/>
  <c r="C176" i="29"/>
  <c r="C133" i="29"/>
  <c r="D116" i="29"/>
  <c r="E93" i="29"/>
  <c r="E87" i="29"/>
  <c r="D62" i="29"/>
  <c r="E62" i="29" s="1"/>
  <c r="G13" i="26"/>
  <c r="E12" i="26"/>
  <c r="E67" i="29"/>
  <c r="D34" i="29"/>
  <c r="E23" i="29"/>
  <c r="E18" i="29"/>
  <c r="G43" i="26"/>
  <c r="G39" i="26"/>
  <c r="I42" i="26" l="1"/>
  <c r="I44" i="26" s="1"/>
  <c r="F163" i="29"/>
  <c r="G165" i="29" s="1"/>
  <c r="J339" i="1"/>
  <c r="F121" i="29"/>
  <c r="G121" i="29" s="1"/>
  <c r="J280" i="1"/>
  <c r="F167" i="29"/>
  <c r="G167" i="29" s="1"/>
  <c r="J340" i="1"/>
  <c r="F169" i="29"/>
  <c r="G169" i="29" s="1"/>
  <c r="J341" i="1"/>
  <c r="F123" i="29"/>
  <c r="G123" i="29" s="1"/>
  <c r="J291" i="1"/>
  <c r="F126" i="29"/>
  <c r="G126" i="29" s="1"/>
  <c r="J297" i="1"/>
  <c r="F128" i="29"/>
  <c r="G128" i="29" s="1"/>
  <c r="J296" i="1"/>
  <c r="F160" i="29"/>
  <c r="G160" i="29" s="1"/>
  <c r="J334" i="1"/>
  <c r="F65" i="29"/>
  <c r="G67" i="29" s="1"/>
  <c r="J187" i="1"/>
  <c r="F127" i="29"/>
  <c r="G127" i="29" s="1"/>
  <c r="J295" i="1"/>
  <c r="L62" i="29"/>
  <c r="M106" i="1"/>
  <c r="F155" i="29"/>
  <c r="G155" i="29" s="1"/>
  <c r="J323" i="1"/>
  <c r="F124" i="29"/>
  <c r="G124" i="29" s="1"/>
  <c r="J292" i="1"/>
  <c r="F113" i="29"/>
  <c r="G113" i="29" s="1"/>
  <c r="J261" i="1"/>
  <c r="F21" i="29"/>
  <c r="G23" i="29" s="1"/>
  <c r="J179" i="1"/>
  <c r="F60" i="29"/>
  <c r="J188" i="1"/>
  <c r="F17" i="29"/>
  <c r="G18" i="29" s="1"/>
  <c r="J172" i="1"/>
  <c r="F85" i="29"/>
  <c r="G87" i="29" s="1"/>
  <c r="J218" i="1"/>
  <c r="G93" i="29"/>
  <c r="J235" i="1"/>
  <c r="O32" i="26"/>
  <c r="I32" i="26"/>
  <c r="L32" i="26"/>
  <c r="L42" i="26"/>
  <c r="L44" i="26" s="1"/>
  <c r="G62" i="29"/>
  <c r="E149" i="29"/>
  <c r="F147" i="29" s="1"/>
  <c r="C178" i="29"/>
  <c r="H155" i="29" l="1"/>
  <c r="I155" i="29" s="1"/>
  <c r="K323" i="1"/>
  <c r="H21" i="29"/>
  <c r="I23" i="29" s="1"/>
  <c r="K179" i="1"/>
  <c r="I93" i="29"/>
  <c r="K235" i="1"/>
  <c r="H85" i="29"/>
  <c r="I87" i="29" s="1"/>
  <c r="K218" i="1"/>
  <c r="H127" i="29"/>
  <c r="I127" i="29" s="1"/>
  <c r="K295" i="1"/>
  <c r="H167" i="29"/>
  <c r="I167" i="29" s="1"/>
  <c r="K340" i="1"/>
  <c r="H60" i="29"/>
  <c r="I62" i="29" s="1"/>
  <c r="K188" i="1"/>
  <c r="H113" i="29"/>
  <c r="I113" i="29" s="1"/>
  <c r="K261" i="1"/>
  <c r="H124" i="29"/>
  <c r="I124" i="29" s="1"/>
  <c r="K292" i="1"/>
  <c r="H128" i="29"/>
  <c r="I128" i="29" s="1"/>
  <c r="K296" i="1"/>
  <c r="H17" i="29"/>
  <c r="I18" i="29" s="1"/>
  <c r="K172" i="1"/>
  <c r="H65" i="29"/>
  <c r="I67" i="29" s="1"/>
  <c r="K187" i="1"/>
  <c r="H121" i="29"/>
  <c r="I121" i="29" s="1"/>
  <c r="K280" i="1"/>
  <c r="H126" i="29"/>
  <c r="I126" i="29" s="1"/>
  <c r="K297" i="1"/>
  <c r="H123" i="29"/>
  <c r="I123" i="29" s="1"/>
  <c r="K291" i="1"/>
  <c r="H169" i="29"/>
  <c r="I169" i="29" s="1"/>
  <c r="K341" i="1"/>
  <c r="H160" i="29"/>
  <c r="I160" i="29" s="1"/>
  <c r="K334" i="1"/>
  <c r="H163" i="29"/>
  <c r="I165" i="29" s="1"/>
  <c r="K339" i="1"/>
  <c r="E158" i="29"/>
  <c r="J329" i="1" s="1"/>
  <c r="L291" i="1" l="1"/>
  <c r="J123" i="29"/>
  <c r="K123" i="29" s="1"/>
  <c r="L261" i="1"/>
  <c r="J113" i="29"/>
  <c r="K113" i="29" s="1"/>
  <c r="L297" i="1"/>
  <c r="J126" i="29"/>
  <c r="K126" i="29" s="1"/>
  <c r="L295" i="1"/>
  <c r="J127" i="29"/>
  <c r="K127" i="29" s="1"/>
  <c r="L341" i="1"/>
  <c r="J169" i="29"/>
  <c r="K169" i="29" s="1"/>
  <c r="L340" i="1"/>
  <c r="J167" i="29"/>
  <c r="K167" i="29" s="1"/>
  <c r="L218" i="1"/>
  <c r="J85" i="29"/>
  <c r="K87" i="29" s="1"/>
  <c r="L339" i="1"/>
  <c r="J163" i="29"/>
  <c r="K165" i="29" s="1"/>
  <c r="L179" i="1"/>
  <c r="J21" i="29"/>
  <c r="K23" i="29" s="1"/>
  <c r="J60" i="29"/>
  <c r="K62" i="29" s="1"/>
  <c r="L188" i="1"/>
  <c r="L235" i="1"/>
  <c r="K93" i="29"/>
  <c r="L280" i="1"/>
  <c r="J121" i="29"/>
  <c r="K121" i="29" s="1"/>
  <c r="L187" i="1"/>
  <c r="J65" i="29"/>
  <c r="K67" i="29" s="1"/>
  <c r="L172" i="1"/>
  <c r="J17" i="29"/>
  <c r="K18" i="29" s="1"/>
  <c r="L296" i="1"/>
  <c r="J128" i="29"/>
  <c r="K128" i="29" s="1"/>
  <c r="L334" i="1"/>
  <c r="J160" i="29"/>
  <c r="K160" i="29" s="1"/>
  <c r="L292" i="1"/>
  <c r="J124" i="29"/>
  <c r="K124" i="29" s="1"/>
  <c r="L323" i="1"/>
  <c r="J155" i="29"/>
  <c r="K155" i="29" s="1"/>
  <c r="F157" i="29"/>
  <c r="G158" i="29" s="1"/>
  <c r="M340" i="1" l="1"/>
  <c r="L167" i="29"/>
  <c r="M167" i="29" s="1"/>
  <c r="M280" i="1"/>
  <c r="L121" i="29"/>
  <c r="M121" i="29" s="1"/>
  <c r="M296" i="1"/>
  <c r="L128" i="29"/>
  <c r="M128" i="29" s="1"/>
  <c r="M218" i="1"/>
  <c r="L85" i="29"/>
  <c r="M87" i="29" s="1"/>
  <c r="M172" i="1"/>
  <c r="L17" i="29"/>
  <c r="M18" i="29" s="1"/>
  <c r="M187" i="1"/>
  <c r="L65" i="29"/>
  <c r="M67" i="29" s="1"/>
  <c r="M295" i="1"/>
  <c r="L127" i="29"/>
  <c r="M127" i="29" s="1"/>
  <c r="M235" i="1"/>
  <c r="M93" i="29"/>
  <c r="M261" i="1"/>
  <c r="L113" i="29"/>
  <c r="M113" i="29" s="1"/>
  <c r="M334" i="1"/>
  <c r="L160" i="29"/>
  <c r="M160" i="29" s="1"/>
  <c r="M339" i="1"/>
  <c r="L163" i="29"/>
  <c r="M165" i="29" s="1"/>
  <c r="M341" i="1"/>
  <c r="L169" i="29"/>
  <c r="M169" i="29" s="1"/>
  <c r="H157" i="29"/>
  <c r="I158" i="29" s="1"/>
  <c r="K329" i="1"/>
  <c r="M297" i="1"/>
  <c r="L126" i="29"/>
  <c r="M126" i="29" s="1"/>
  <c r="M323" i="1"/>
  <c r="L155" i="29"/>
  <c r="M155" i="29" s="1"/>
  <c r="L60" i="29"/>
  <c r="M188" i="1"/>
  <c r="M292" i="1"/>
  <c r="L124" i="29"/>
  <c r="M124" i="29" s="1"/>
  <c r="M179" i="1"/>
  <c r="L21" i="29"/>
  <c r="M23" i="29" s="1"/>
  <c r="M291" i="1"/>
  <c r="L123" i="29"/>
  <c r="M123" i="29" s="1"/>
  <c r="F40" i="26"/>
  <c r="F42" i="26" s="1"/>
  <c r="F44" i="26" s="1"/>
  <c r="E57" i="29"/>
  <c r="F55" i="29" s="1"/>
  <c r="G57" i="29" s="1"/>
  <c r="H55" i="29" s="1"/>
  <c r="I57" i="29" s="1"/>
  <c r="J55" i="29" s="1"/>
  <c r="K57" i="29" s="1"/>
  <c r="L55" i="29" s="1"/>
  <c r="M57" i="29" s="1"/>
  <c r="N55" i="29" s="1"/>
  <c r="O57" i="29" s="1"/>
  <c r="E52" i="29"/>
  <c r="E47" i="29"/>
  <c r="F45" i="29" s="1"/>
  <c r="G47" i="29" s="1"/>
  <c r="H45" i="29" s="1"/>
  <c r="I47" i="29" s="1"/>
  <c r="J45" i="29" s="1"/>
  <c r="K47" i="29" s="1"/>
  <c r="L45" i="29" s="1"/>
  <c r="M47" i="29" s="1"/>
  <c r="N45" i="29" s="1"/>
  <c r="O47" i="29" s="1"/>
  <c r="D26" i="29"/>
  <c r="G25" i="26"/>
  <c r="C106" i="29"/>
  <c r="D102" i="29"/>
  <c r="D99" i="29"/>
  <c r="E99" i="29" s="1"/>
  <c r="D97" i="29"/>
  <c r="E97" i="29" s="1"/>
  <c r="C89" i="29"/>
  <c r="D80" i="29"/>
  <c r="E82" i="29" s="1"/>
  <c r="D72" i="29"/>
  <c r="D77" i="29"/>
  <c r="E77" i="29" s="1"/>
  <c r="C69" i="29"/>
  <c r="C91" i="29" s="1"/>
  <c r="D39" i="29"/>
  <c r="D33" i="29"/>
  <c r="E36" i="29" s="1"/>
  <c r="D12" i="29"/>
  <c r="D8" i="29"/>
  <c r="F99" i="29" l="1"/>
  <c r="G99" i="29" s="1"/>
  <c r="J231" i="1"/>
  <c r="N295" i="1"/>
  <c r="N127" i="29"/>
  <c r="O127" i="29" s="1"/>
  <c r="O295" i="1" s="1"/>
  <c r="N235" i="1"/>
  <c r="O93" i="29"/>
  <c r="O235" i="1" s="1"/>
  <c r="N187" i="1"/>
  <c r="N65" i="29"/>
  <c r="O67" i="29" s="1"/>
  <c r="O187" i="1" s="1"/>
  <c r="N172" i="1"/>
  <c r="N17" i="29"/>
  <c r="O18" i="29" s="1"/>
  <c r="O172" i="1" s="1"/>
  <c r="N179" i="1"/>
  <c r="N21" i="29"/>
  <c r="O23" i="29" s="1"/>
  <c r="O179" i="1" s="1"/>
  <c r="N334" i="1"/>
  <c r="N160" i="29"/>
  <c r="O160" i="29" s="1"/>
  <c r="O334" i="1" s="1"/>
  <c r="N280" i="1"/>
  <c r="N121" i="29"/>
  <c r="O121" i="29" s="1"/>
  <c r="O280" i="1" s="1"/>
  <c r="N297" i="1"/>
  <c r="N126" i="29"/>
  <c r="O126" i="29" s="1"/>
  <c r="O297" i="1" s="1"/>
  <c r="L329" i="1"/>
  <c r="J157" i="29"/>
  <c r="K158" i="29" s="1"/>
  <c r="N218" i="1"/>
  <c r="N85" i="29"/>
  <c r="O87" i="29" s="1"/>
  <c r="O218" i="1" s="1"/>
  <c r="C108" i="29"/>
  <c r="C180" i="29" s="1"/>
  <c r="F50" i="29"/>
  <c r="G52" i="29" s="1"/>
  <c r="J189" i="1"/>
  <c r="N341" i="1"/>
  <c r="N169" i="29"/>
  <c r="O169" i="29" s="1"/>
  <c r="O341" i="1" s="1"/>
  <c r="N291" i="1"/>
  <c r="N123" i="29"/>
  <c r="O123" i="29" s="1"/>
  <c r="O291" i="1" s="1"/>
  <c r="N296" i="1"/>
  <c r="N128" i="29"/>
  <c r="O128" i="29" s="1"/>
  <c r="O296" i="1" s="1"/>
  <c r="N340" i="1"/>
  <c r="N167" i="29"/>
  <c r="O167" i="29" s="1"/>
  <c r="O340" i="1" s="1"/>
  <c r="F97" i="29"/>
  <c r="G97" i="29" s="1"/>
  <c r="J228" i="1"/>
  <c r="N323" i="1"/>
  <c r="N155" i="29"/>
  <c r="O155" i="29" s="1"/>
  <c r="O323" i="1" s="1"/>
  <c r="F33" i="29"/>
  <c r="G36" i="29" s="1"/>
  <c r="J186" i="1"/>
  <c r="N339" i="1"/>
  <c r="N163" i="29"/>
  <c r="O165" i="29" s="1"/>
  <c r="O339" i="1" s="1"/>
  <c r="F77" i="29"/>
  <c r="G77" i="29" s="1"/>
  <c r="J209" i="1"/>
  <c r="F80" i="29"/>
  <c r="G82" i="29" s="1"/>
  <c r="J212" i="1"/>
  <c r="N292" i="1"/>
  <c r="N124" i="29"/>
  <c r="O124" i="29" s="1"/>
  <c r="O292" i="1" s="1"/>
  <c r="N261" i="1"/>
  <c r="N113" i="29"/>
  <c r="O113" i="29" s="1"/>
  <c r="O261" i="1" s="1"/>
  <c r="E9" i="29"/>
  <c r="C9" i="30"/>
  <c r="C8" i="26"/>
  <c r="N8" i="12"/>
  <c r="M8" i="12"/>
  <c r="L8" i="12"/>
  <c r="K8" i="12"/>
  <c r="J8" i="12"/>
  <c r="N7" i="12"/>
  <c r="M7" i="12"/>
  <c r="L7" i="12"/>
  <c r="K7" i="12"/>
  <c r="J7" i="12"/>
  <c r="I8" i="12"/>
  <c r="I7" i="12"/>
  <c r="K45" i="28"/>
  <c r="K44" i="28"/>
  <c r="K43" i="28"/>
  <c r="K42" i="28"/>
  <c r="K41" i="28"/>
  <c r="H46" i="28"/>
  <c r="F46" i="28"/>
  <c r="E46" i="28"/>
  <c r="H32" i="28"/>
  <c r="F32" i="28"/>
  <c r="E32" i="28"/>
  <c r="K38" i="28"/>
  <c r="K37" i="28"/>
  <c r="K36" i="28"/>
  <c r="K35" i="28"/>
  <c r="K34" i="28"/>
  <c r="K39" i="28" s="1"/>
  <c r="H39" i="28"/>
  <c r="F39" i="28"/>
  <c r="E39" i="28"/>
  <c r="K31" i="28"/>
  <c r="K30" i="28"/>
  <c r="K29" i="28"/>
  <c r="K32" i="28" s="1"/>
  <c r="K28" i="28"/>
  <c r="K27" i="28"/>
  <c r="K24" i="28"/>
  <c r="K23" i="28"/>
  <c r="K22" i="28"/>
  <c r="K21" i="28"/>
  <c r="K20" i="28"/>
  <c r="K25" i="28" s="1"/>
  <c r="F25" i="28"/>
  <c r="E25" i="28"/>
  <c r="K17" i="28"/>
  <c r="K16" i="28"/>
  <c r="K15" i="28"/>
  <c r="K14" i="28"/>
  <c r="K13" i="28"/>
  <c r="K18" i="28" s="1"/>
  <c r="H18" i="28"/>
  <c r="F18" i="28"/>
  <c r="E18" i="28"/>
  <c r="K10" i="28"/>
  <c r="K9" i="28"/>
  <c r="K8" i="28"/>
  <c r="K11" i="28" s="1"/>
  <c r="K7" i="28"/>
  <c r="K6" i="28"/>
  <c r="H11" i="28"/>
  <c r="F11" i="28"/>
  <c r="E11" i="28"/>
  <c r="D10" i="28"/>
  <c r="J10" i="28" s="1"/>
  <c r="L10" i="28" s="1"/>
  <c r="D9" i="28"/>
  <c r="J9" i="28" s="1"/>
  <c r="L9" i="28" s="1"/>
  <c r="D8" i="28"/>
  <c r="J8" i="28" s="1"/>
  <c r="L8" i="28" s="1"/>
  <c r="D7" i="28"/>
  <c r="J7" i="28" s="1"/>
  <c r="D6" i="28"/>
  <c r="J6" i="28" s="1"/>
  <c r="C130" i="27"/>
  <c r="C138" i="27"/>
  <c r="C124" i="27"/>
  <c r="L119" i="27"/>
  <c r="K119" i="27"/>
  <c r="J119" i="27"/>
  <c r="I119" i="27"/>
  <c r="H119" i="27"/>
  <c r="G119" i="27"/>
  <c r="F119" i="27"/>
  <c r="E119" i="27"/>
  <c r="D119" i="27"/>
  <c r="C119" i="27"/>
  <c r="D139" i="29" s="1"/>
  <c r="L118" i="27"/>
  <c r="K118" i="27"/>
  <c r="J118" i="27"/>
  <c r="I118" i="27"/>
  <c r="H118" i="27"/>
  <c r="G118" i="27"/>
  <c r="F118" i="27"/>
  <c r="E118" i="27"/>
  <c r="H138" i="29" s="1"/>
  <c r="D118" i="27"/>
  <c r="F138" i="29" s="1"/>
  <c r="C118" i="27"/>
  <c r="D138" i="29" s="1"/>
  <c r="C114" i="27"/>
  <c r="C109" i="27" s="1"/>
  <c r="M112" i="27"/>
  <c r="C108" i="27"/>
  <c r="M107" i="27"/>
  <c r="M106" i="27"/>
  <c r="M105" i="27"/>
  <c r="M108" i="27" s="1"/>
  <c r="M100" i="27"/>
  <c r="M95" i="27"/>
  <c r="M94" i="27"/>
  <c r="C93" i="27"/>
  <c r="C96" i="27" s="1"/>
  <c r="M88" i="27"/>
  <c r="M83" i="27"/>
  <c r="M82" i="27"/>
  <c r="C81" i="27"/>
  <c r="M74" i="27"/>
  <c r="M69" i="27"/>
  <c r="M68" i="27"/>
  <c r="C67" i="27"/>
  <c r="M62" i="27"/>
  <c r="C58" i="27"/>
  <c r="C63" i="27" s="1"/>
  <c r="C64" i="27" s="1"/>
  <c r="C59" i="27" s="1"/>
  <c r="M57" i="27"/>
  <c r="M56" i="27"/>
  <c r="C55" i="27"/>
  <c r="M55" i="27" s="1"/>
  <c r="M58" i="27" s="1"/>
  <c r="M50" i="27"/>
  <c r="M45" i="27"/>
  <c r="M44" i="27"/>
  <c r="C43" i="27"/>
  <c r="M38" i="27"/>
  <c r="M33" i="27"/>
  <c r="M32" i="27"/>
  <c r="C31" i="27"/>
  <c r="M31" i="27" s="1"/>
  <c r="M34" i="27" s="1"/>
  <c r="M25" i="27"/>
  <c r="C21" i="27"/>
  <c r="C26" i="27" s="1"/>
  <c r="M20" i="27"/>
  <c r="M19" i="27"/>
  <c r="M18" i="27"/>
  <c r="C18" i="27"/>
  <c r="M13" i="27"/>
  <c r="M8" i="27"/>
  <c r="M7" i="27"/>
  <c r="C6" i="27"/>
  <c r="M6" i="27" s="1"/>
  <c r="D112" i="27" l="1"/>
  <c r="C110" i="27"/>
  <c r="J11" i="28"/>
  <c r="H77" i="29"/>
  <c r="I77" i="29" s="1"/>
  <c r="K209" i="1"/>
  <c r="M119" i="27"/>
  <c r="D11" i="28"/>
  <c r="H50" i="29"/>
  <c r="I52" i="29" s="1"/>
  <c r="K189" i="1"/>
  <c r="E139" i="29"/>
  <c r="F137" i="29"/>
  <c r="G6" i="28"/>
  <c r="G7" i="28"/>
  <c r="I7" i="28" s="1"/>
  <c r="M7" i="28" s="1"/>
  <c r="D14" i="28" s="1"/>
  <c r="H33" i="29"/>
  <c r="I36" i="29" s="1"/>
  <c r="K186" i="1"/>
  <c r="G8" i="28"/>
  <c r="I8" i="28" s="1"/>
  <c r="M8" i="28" s="1"/>
  <c r="D15" i="28" s="1"/>
  <c r="G9" i="28"/>
  <c r="I9" i="28" s="1"/>
  <c r="M9" i="28" s="1"/>
  <c r="D16" i="28" s="1"/>
  <c r="F7" i="29"/>
  <c r="G9" i="29" s="1"/>
  <c r="J158" i="1"/>
  <c r="M329" i="1"/>
  <c r="L157" i="29"/>
  <c r="M158" i="29" s="1"/>
  <c r="D55" i="27"/>
  <c r="D58" i="27" s="1"/>
  <c r="D63" i="27" s="1"/>
  <c r="M93" i="27"/>
  <c r="M96" i="27" s="1"/>
  <c r="M124" i="27"/>
  <c r="D141" i="29"/>
  <c r="G10" i="28"/>
  <c r="I10" i="28" s="1"/>
  <c r="M10" i="28" s="1"/>
  <c r="D17" i="28" s="1"/>
  <c r="C179" i="29"/>
  <c r="H80" i="29"/>
  <c r="I82" i="29" s="1"/>
  <c r="K212" i="1"/>
  <c r="C143" i="27"/>
  <c r="D138" i="27" s="1"/>
  <c r="D143" i="27" s="1"/>
  <c r="M138" i="27"/>
  <c r="M143" i="27" s="1"/>
  <c r="H97" i="29"/>
  <c r="I97" i="29" s="1"/>
  <c r="K228" i="1"/>
  <c r="H99" i="29"/>
  <c r="I99" i="29" s="1"/>
  <c r="K231" i="1"/>
  <c r="M21" i="27"/>
  <c r="L7" i="28"/>
  <c r="K46" i="28"/>
  <c r="L6" i="28"/>
  <c r="L11" i="28" s="1"/>
  <c r="I12" i="12" s="1"/>
  <c r="M9" i="27"/>
  <c r="C27" i="27"/>
  <c r="M43" i="27"/>
  <c r="M46" i="27" s="1"/>
  <c r="C46" i="27"/>
  <c r="D62" i="27"/>
  <c r="C34" i="27"/>
  <c r="M67" i="27"/>
  <c r="M70" i="27" s="1"/>
  <c r="C70" i="27"/>
  <c r="D18" i="27"/>
  <c r="D21" i="27" s="1"/>
  <c r="C117" i="27"/>
  <c r="C9" i="27"/>
  <c r="E55" i="27"/>
  <c r="E58" i="27" s="1"/>
  <c r="C86" i="27"/>
  <c r="M81" i="27"/>
  <c r="C84" i="27"/>
  <c r="C60" i="27"/>
  <c r="D105" i="27"/>
  <c r="D108" i="27" s="1"/>
  <c r="D93" i="27"/>
  <c r="D96" i="27" s="1"/>
  <c r="C101" i="27"/>
  <c r="M118" i="27"/>
  <c r="L231" i="1" l="1"/>
  <c r="J99" i="29"/>
  <c r="K99" i="29" s="1"/>
  <c r="G16" i="28"/>
  <c r="I16" i="28" s="1"/>
  <c r="J16" i="28"/>
  <c r="L16" i="28" s="1"/>
  <c r="L212" i="1"/>
  <c r="J80" i="29"/>
  <c r="K82" i="29" s="1"/>
  <c r="G11" i="28"/>
  <c r="I6" i="28"/>
  <c r="H137" i="29"/>
  <c r="G139" i="29"/>
  <c r="J33" i="29"/>
  <c r="K36" i="29" s="1"/>
  <c r="L186" i="1"/>
  <c r="L228" i="1"/>
  <c r="J97" i="29"/>
  <c r="K97" i="29" s="1"/>
  <c r="H7" i="29"/>
  <c r="I9" i="29" s="1"/>
  <c r="K158" i="1"/>
  <c r="J17" i="28"/>
  <c r="L17" i="28" s="1"/>
  <c r="G17" i="28"/>
  <c r="I17" i="28" s="1"/>
  <c r="J305" i="1"/>
  <c r="L189" i="1"/>
  <c r="J50" i="29"/>
  <c r="K52" i="29" s="1"/>
  <c r="J15" i="28"/>
  <c r="L15" i="28" s="1"/>
  <c r="G15" i="28"/>
  <c r="I15" i="28" s="1"/>
  <c r="M15" i="28" s="1"/>
  <c r="D22" i="28" s="1"/>
  <c r="J14" i="28"/>
  <c r="L14" i="28" s="1"/>
  <c r="G14" i="28"/>
  <c r="I14" i="28" s="1"/>
  <c r="N329" i="1"/>
  <c r="N157" i="29"/>
  <c r="O158" i="29" s="1"/>
  <c r="O329" i="1" s="1"/>
  <c r="L209" i="1"/>
  <c r="J77" i="29"/>
  <c r="K77" i="29" s="1"/>
  <c r="E18" i="27"/>
  <c r="E21" i="27" s="1"/>
  <c r="C39" i="27"/>
  <c r="D31" i="27"/>
  <c r="D34" i="27" s="1"/>
  <c r="C102" i="27"/>
  <c r="D130" i="27"/>
  <c r="E105" i="27"/>
  <c r="E108" i="27" s="1"/>
  <c r="D81" i="27"/>
  <c r="C89" i="27"/>
  <c r="F55" i="27"/>
  <c r="F58" i="27" s="1"/>
  <c r="C75" i="27"/>
  <c r="D67" i="27"/>
  <c r="D70" i="27" s="1"/>
  <c r="C22" i="27"/>
  <c r="C23" i="27" s="1"/>
  <c r="D25" i="27"/>
  <c r="M117" i="27"/>
  <c r="M120" i="27" s="1"/>
  <c r="C120" i="27"/>
  <c r="E93" i="27"/>
  <c r="E96" i="27" s="1"/>
  <c r="M84" i="27"/>
  <c r="M86" i="27"/>
  <c r="D6" i="27"/>
  <c r="C14" i="27"/>
  <c r="D64" i="27"/>
  <c r="D43" i="27"/>
  <c r="D46" i="27" s="1"/>
  <c r="C51" i="27"/>
  <c r="J137" i="29" l="1"/>
  <c r="I139" i="29"/>
  <c r="M228" i="1"/>
  <c r="L97" i="29"/>
  <c r="M97" i="29" s="1"/>
  <c r="L158" i="1"/>
  <c r="J7" i="29"/>
  <c r="K9" i="29" s="1"/>
  <c r="L33" i="29"/>
  <c r="M36" i="29" s="1"/>
  <c r="M186" i="1"/>
  <c r="M6" i="28"/>
  <c r="I11" i="28"/>
  <c r="M14" i="28"/>
  <c r="D21" i="28" s="1"/>
  <c r="J22" i="28"/>
  <c r="L22" i="28" s="1"/>
  <c r="G22" i="28"/>
  <c r="I22" i="28" s="1"/>
  <c r="M212" i="1"/>
  <c r="L80" i="29"/>
  <c r="L61" i="29"/>
  <c r="M16" i="28"/>
  <c r="D23" i="28" s="1"/>
  <c r="C129" i="27"/>
  <c r="M189" i="1"/>
  <c r="L50" i="29"/>
  <c r="M52" i="29" s="1"/>
  <c r="M17" i="28"/>
  <c r="D24" i="28" s="1"/>
  <c r="M231" i="1"/>
  <c r="L99" i="29"/>
  <c r="M99" i="29" s="1"/>
  <c r="M209" i="1"/>
  <c r="L77" i="29"/>
  <c r="M77" i="29" s="1"/>
  <c r="C125" i="27"/>
  <c r="C15" i="27"/>
  <c r="C10" i="27" s="1"/>
  <c r="E67" i="27"/>
  <c r="E70" i="27" s="1"/>
  <c r="C40" i="27"/>
  <c r="E43" i="27"/>
  <c r="E46" i="27" s="1"/>
  <c r="F93" i="27"/>
  <c r="F96" i="27" s="1"/>
  <c r="F18" i="27"/>
  <c r="F21" i="27" s="1"/>
  <c r="C52" i="27"/>
  <c r="G55" i="27"/>
  <c r="G58" i="27" s="1"/>
  <c r="C97" i="27"/>
  <c r="C98" i="27" s="1"/>
  <c r="D100" i="27"/>
  <c r="D59" i="27"/>
  <c r="D60" i="27" s="1"/>
  <c r="E62" i="27"/>
  <c r="D117" i="27"/>
  <c r="D120" i="27" s="1"/>
  <c r="D9" i="27"/>
  <c r="C76" i="27"/>
  <c r="C90" i="27"/>
  <c r="D114" i="27"/>
  <c r="E31" i="27"/>
  <c r="E34" i="27" s="1"/>
  <c r="D26" i="27"/>
  <c r="F105" i="27"/>
  <c r="F108" i="27" s="1"/>
  <c r="D84" i="27"/>
  <c r="D86" i="27"/>
  <c r="M22" i="28" l="1"/>
  <c r="D29" i="28" s="1"/>
  <c r="J24" i="28"/>
  <c r="L24" i="28" s="1"/>
  <c r="G24" i="28"/>
  <c r="I24" i="28" s="1"/>
  <c r="M24" i="28" s="1"/>
  <c r="D31" i="28" s="1"/>
  <c r="M158" i="1"/>
  <c r="L7" i="29"/>
  <c r="M9" i="29" s="1"/>
  <c r="C126" i="27"/>
  <c r="D124" i="27" s="1"/>
  <c r="D142" i="29"/>
  <c r="G21" i="28"/>
  <c r="I21" i="28" s="1"/>
  <c r="J21" i="28"/>
  <c r="L21" i="28" s="1"/>
  <c r="J23" i="28"/>
  <c r="L23" i="28" s="1"/>
  <c r="G23" i="28"/>
  <c r="I23" i="28" s="1"/>
  <c r="N33" i="29"/>
  <c r="O36" i="29" s="1"/>
  <c r="O186" i="1" s="1"/>
  <c r="N186" i="1"/>
  <c r="L82" i="29"/>
  <c r="M82" i="29" s="1"/>
  <c r="M62" i="29"/>
  <c r="N228" i="1"/>
  <c r="N97" i="29"/>
  <c r="O97" i="29" s="1"/>
  <c r="O228" i="1" s="1"/>
  <c r="N231" i="1"/>
  <c r="N99" i="29"/>
  <c r="O99" i="29" s="1"/>
  <c r="O231" i="1" s="1"/>
  <c r="N189" i="1"/>
  <c r="N50" i="29"/>
  <c r="O52" i="29" s="1"/>
  <c r="O189" i="1" s="1"/>
  <c r="E9" i="26"/>
  <c r="C131" i="27"/>
  <c r="N209" i="1"/>
  <c r="N77" i="29"/>
  <c r="O77" i="29" s="1"/>
  <c r="O209" i="1" s="1"/>
  <c r="D13" i="28"/>
  <c r="M11" i="28"/>
  <c r="K139" i="29"/>
  <c r="L137" i="29"/>
  <c r="E63" i="27"/>
  <c r="G18" i="27"/>
  <c r="G21" i="27" s="1"/>
  <c r="F31" i="27"/>
  <c r="F34" i="27" s="1"/>
  <c r="D27" i="27"/>
  <c r="D50" i="27"/>
  <c r="C47" i="27"/>
  <c r="C48" i="27" s="1"/>
  <c r="C35" i="27"/>
  <c r="C36" i="27" s="1"/>
  <c r="D38" i="27"/>
  <c r="C11" i="27"/>
  <c r="E81" i="27"/>
  <c r="D74" i="27"/>
  <c r="C71" i="27"/>
  <c r="C72" i="27" s="1"/>
  <c r="G105" i="27"/>
  <c r="G108" i="27" s="1"/>
  <c r="D88" i="27"/>
  <c r="C85" i="27"/>
  <c r="D14" i="27"/>
  <c r="E6" i="27"/>
  <c r="D101" i="27"/>
  <c r="D102" i="27" s="1"/>
  <c r="H55" i="27"/>
  <c r="H58" i="27" s="1"/>
  <c r="F67" i="27"/>
  <c r="F70" i="27" s="1"/>
  <c r="E112" i="27"/>
  <c r="D109" i="27"/>
  <c r="D110" i="27" s="1"/>
  <c r="G93" i="27"/>
  <c r="G96" i="27" s="1"/>
  <c r="F43" i="27"/>
  <c r="F46" i="27" s="1"/>
  <c r="N212" i="1" l="1"/>
  <c r="N80" i="29"/>
  <c r="O82" i="29" s="1"/>
  <c r="O212" i="1" s="1"/>
  <c r="M21" i="28"/>
  <c r="D28" i="28" s="1"/>
  <c r="J13" i="28"/>
  <c r="D18" i="28"/>
  <c r="G13" i="28"/>
  <c r="N158" i="1"/>
  <c r="N7" i="29"/>
  <c r="O9" i="29" s="1"/>
  <c r="O158" i="1" s="1"/>
  <c r="G31" i="28"/>
  <c r="I31" i="28" s="1"/>
  <c r="J31" i="28"/>
  <c r="L31" i="28" s="1"/>
  <c r="M23" i="28"/>
  <c r="D30" i="28" s="1"/>
  <c r="C132" i="27"/>
  <c r="M139" i="29"/>
  <c r="N137" i="29"/>
  <c r="O139" i="29" s="1"/>
  <c r="E143" i="29"/>
  <c r="F141" i="29"/>
  <c r="N60" i="29"/>
  <c r="N62" i="29" s="1"/>
  <c r="O62" i="29" s="1"/>
  <c r="O188" i="1" s="1"/>
  <c r="N188" i="1"/>
  <c r="J29" i="28"/>
  <c r="L29" i="28" s="1"/>
  <c r="G29" i="28"/>
  <c r="I29" i="28" s="1"/>
  <c r="M29" i="28" s="1"/>
  <c r="D36" i="28" s="1"/>
  <c r="H93" i="27"/>
  <c r="H96" i="27" s="1"/>
  <c r="H18" i="27"/>
  <c r="H21" i="27" s="1"/>
  <c r="I55" i="27"/>
  <c r="I58" i="27" s="1"/>
  <c r="D75" i="27"/>
  <c r="D76" i="27" s="1"/>
  <c r="C121" i="27"/>
  <c r="C122" i="27" s="1"/>
  <c r="D51" i="27"/>
  <c r="D129" i="27" s="1"/>
  <c r="D90" i="27"/>
  <c r="D15" i="27"/>
  <c r="D10" i="27" s="1"/>
  <c r="D89" i="27"/>
  <c r="D40" i="27"/>
  <c r="D39" i="27"/>
  <c r="E25" i="27"/>
  <c r="D22" i="27"/>
  <c r="D23" i="27" s="1"/>
  <c r="E64" i="27"/>
  <c r="G67" i="27"/>
  <c r="G70" i="27" s="1"/>
  <c r="E117" i="27"/>
  <c r="E120" i="27" s="1"/>
  <c r="E9" i="27"/>
  <c r="G43" i="27"/>
  <c r="G46" i="27" s="1"/>
  <c r="D97" i="27"/>
  <c r="D98" i="27" s="1"/>
  <c r="E100" i="27"/>
  <c r="H105" i="27"/>
  <c r="H108" i="27" s="1"/>
  <c r="E84" i="27"/>
  <c r="E86" i="27"/>
  <c r="G31" i="27"/>
  <c r="G34" i="27" s="1"/>
  <c r="J30" i="28" l="1"/>
  <c r="L30" i="28" s="1"/>
  <c r="G30" i="28"/>
  <c r="I30" i="28" s="1"/>
  <c r="M30" i="28" s="1"/>
  <c r="D37" i="28" s="1"/>
  <c r="E114" i="27"/>
  <c r="E130" i="27"/>
  <c r="G18" i="28"/>
  <c r="I13" i="28"/>
  <c r="J313" i="1"/>
  <c r="E144" i="29"/>
  <c r="E153" i="29" s="1"/>
  <c r="J18" i="28"/>
  <c r="L13" i="28"/>
  <c r="L18" i="28" s="1"/>
  <c r="J12" i="12" s="1"/>
  <c r="J36" i="28"/>
  <c r="L36" i="28" s="1"/>
  <c r="G36" i="28"/>
  <c r="I36" i="28" s="1"/>
  <c r="J28" i="28"/>
  <c r="L28" i="28" s="1"/>
  <c r="G28" i="28"/>
  <c r="I28" i="28" s="1"/>
  <c r="M28" i="28" s="1"/>
  <c r="D35" i="28" s="1"/>
  <c r="M31" i="28"/>
  <c r="D38" i="28" s="1"/>
  <c r="H9" i="26"/>
  <c r="D131" i="27"/>
  <c r="D125" i="27"/>
  <c r="F112" i="27"/>
  <c r="E109" i="27"/>
  <c r="E110" i="27" s="1"/>
  <c r="E88" i="27"/>
  <c r="D85" i="27"/>
  <c r="E14" i="27"/>
  <c r="F6" i="27"/>
  <c r="D11" i="27"/>
  <c r="E26" i="27"/>
  <c r="E27" i="27" s="1"/>
  <c r="H31" i="27"/>
  <c r="H34" i="27" s="1"/>
  <c r="H43" i="27"/>
  <c r="H46" i="27" s="1"/>
  <c r="F62" i="27"/>
  <c r="E59" i="27"/>
  <c r="E60" i="27" s="1"/>
  <c r="E38" i="27"/>
  <c r="D35" i="27"/>
  <c r="D36" i="27" s="1"/>
  <c r="E74" i="27"/>
  <c r="D71" i="27"/>
  <c r="D72" i="27" s="1"/>
  <c r="I18" i="27"/>
  <c r="I21" i="27" s="1"/>
  <c r="F81" i="27"/>
  <c r="E89" i="27"/>
  <c r="E101" i="27"/>
  <c r="E102" i="27" s="1"/>
  <c r="I105" i="27"/>
  <c r="I108" i="27" s="1"/>
  <c r="H67" i="27"/>
  <c r="H70" i="27" s="1"/>
  <c r="D52" i="27"/>
  <c r="J55" i="27"/>
  <c r="J58" i="27" s="1"/>
  <c r="I93" i="27"/>
  <c r="I96" i="27" s="1"/>
  <c r="J38" i="28" l="1"/>
  <c r="L38" i="28" s="1"/>
  <c r="G38" i="28"/>
  <c r="I38" i="28" s="1"/>
  <c r="F142" i="29"/>
  <c r="J37" i="28"/>
  <c r="L37" i="28" s="1"/>
  <c r="G37" i="28"/>
  <c r="I37" i="28" s="1"/>
  <c r="M37" i="28" s="1"/>
  <c r="D44" i="28" s="1"/>
  <c r="M13" i="28"/>
  <c r="I18" i="28"/>
  <c r="J35" i="28"/>
  <c r="L35" i="28" s="1"/>
  <c r="G35" i="28"/>
  <c r="I35" i="28" s="1"/>
  <c r="M35" i="28" s="1"/>
  <c r="D42" i="28" s="1"/>
  <c r="M36" i="28"/>
  <c r="D43" i="28" s="1"/>
  <c r="D126" i="27"/>
  <c r="E124" i="27" s="1"/>
  <c r="D132" i="27"/>
  <c r="F100" i="27"/>
  <c r="E97" i="27"/>
  <c r="E98" i="27" s="1"/>
  <c r="D47" i="27"/>
  <c r="D48" i="27" s="1"/>
  <c r="E50" i="27"/>
  <c r="E39" i="27"/>
  <c r="J105" i="27"/>
  <c r="J108" i="27" s="1"/>
  <c r="J18" i="27"/>
  <c r="J21" i="27" s="1"/>
  <c r="F117" i="27"/>
  <c r="F120" i="27" s="1"/>
  <c r="F9" i="27"/>
  <c r="E90" i="27"/>
  <c r="E75" i="27"/>
  <c r="E76" i="27" s="1"/>
  <c r="J93" i="27"/>
  <c r="J96" i="27" s="1"/>
  <c r="K55" i="27"/>
  <c r="K58" i="27" s="1"/>
  <c r="I67" i="27"/>
  <c r="I70" i="27" s="1"/>
  <c r="F64" i="27"/>
  <c r="F63" i="27"/>
  <c r="I43" i="27"/>
  <c r="I46" i="27" s="1"/>
  <c r="F86" i="27"/>
  <c r="F84" i="27"/>
  <c r="I31" i="27"/>
  <c r="I34" i="27" s="1"/>
  <c r="F25" i="27"/>
  <c r="E22" i="27"/>
  <c r="E23" i="27" s="1"/>
  <c r="D121" i="27"/>
  <c r="D122" i="27" s="1"/>
  <c r="E15" i="27"/>
  <c r="E10" i="27" s="1"/>
  <c r="F130" i="27"/>
  <c r="J42" i="28" l="1"/>
  <c r="G42" i="28"/>
  <c r="I42" i="28" s="1"/>
  <c r="F114" i="27"/>
  <c r="F109" i="27" s="1"/>
  <c r="F110" i="27" s="1"/>
  <c r="J44" i="28"/>
  <c r="L44" i="28" s="1"/>
  <c r="G44" i="28"/>
  <c r="I44" i="28" s="1"/>
  <c r="J43" i="28"/>
  <c r="L43" i="28" s="1"/>
  <c r="G43" i="28"/>
  <c r="I43" i="28" s="1"/>
  <c r="M18" i="28"/>
  <c r="D20" i="28"/>
  <c r="H141" i="29"/>
  <c r="G143" i="29"/>
  <c r="M38" i="28"/>
  <c r="D45" i="28" s="1"/>
  <c r="E51" i="27"/>
  <c r="E129" i="27" s="1"/>
  <c r="E11" i="27"/>
  <c r="F26" i="27"/>
  <c r="F27" i="27" s="1"/>
  <c r="G81" i="27"/>
  <c r="J67" i="27"/>
  <c r="J70" i="27" s="1"/>
  <c r="E85" i="27"/>
  <c r="F88" i="27"/>
  <c r="F89" i="27" s="1"/>
  <c r="K18" i="27"/>
  <c r="K21" i="27" s="1"/>
  <c r="K105" i="27"/>
  <c r="K108" i="27" s="1"/>
  <c r="G112" i="27"/>
  <c r="G62" i="27"/>
  <c r="F59" i="27"/>
  <c r="F60" i="27" s="1"/>
  <c r="K93" i="27"/>
  <c r="K96" i="27" s="1"/>
  <c r="J31" i="27"/>
  <c r="J34" i="27" s="1"/>
  <c r="J43" i="27"/>
  <c r="J46" i="27" s="1"/>
  <c r="L55" i="27"/>
  <c r="L58" i="27" s="1"/>
  <c r="F14" i="27"/>
  <c r="G6" i="27"/>
  <c r="F74" i="27"/>
  <c r="E71" i="27"/>
  <c r="E72" i="27" s="1"/>
  <c r="E40" i="27"/>
  <c r="F101" i="27"/>
  <c r="F102" i="27" s="1"/>
  <c r="M44" i="28" l="1"/>
  <c r="K313" i="1"/>
  <c r="G144" i="29"/>
  <c r="G20" i="28"/>
  <c r="D25" i="28"/>
  <c r="J20" i="28"/>
  <c r="M43" i="28"/>
  <c r="L42" i="28"/>
  <c r="M42" i="28" s="1"/>
  <c r="G45" i="28"/>
  <c r="I45" i="28" s="1"/>
  <c r="J45" i="28"/>
  <c r="L45" i="28" s="1"/>
  <c r="M45" i="28" s="1"/>
  <c r="K9" i="26"/>
  <c r="E131" i="27"/>
  <c r="F22" i="27"/>
  <c r="F23" i="27" s="1"/>
  <c r="G25" i="27"/>
  <c r="G100" i="27"/>
  <c r="F97" i="27"/>
  <c r="F98" i="27" s="1"/>
  <c r="L93" i="27"/>
  <c r="L96" i="27" s="1"/>
  <c r="G86" i="27"/>
  <c r="G84" i="27"/>
  <c r="F75" i="27"/>
  <c r="F76" i="27" s="1"/>
  <c r="G9" i="27"/>
  <c r="G117" i="27"/>
  <c r="G120" i="27" s="1"/>
  <c r="F38" i="27"/>
  <c r="E35" i="27"/>
  <c r="F15" i="27"/>
  <c r="F10" i="27" s="1"/>
  <c r="K31" i="27"/>
  <c r="K34" i="27" s="1"/>
  <c r="G63" i="27"/>
  <c r="G64" i="27" s="1"/>
  <c r="L18" i="27"/>
  <c r="L21" i="27" s="1"/>
  <c r="K67" i="27"/>
  <c r="K70" i="27" s="1"/>
  <c r="E125" i="27"/>
  <c r="K43" i="27"/>
  <c r="K46" i="27" s="1"/>
  <c r="G130" i="27"/>
  <c r="L105" i="27"/>
  <c r="L108" i="27" s="1"/>
  <c r="F90" i="27"/>
  <c r="E52" i="27"/>
  <c r="J25" i="28" l="1"/>
  <c r="L20" i="28"/>
  <c r="L25" i="28" s="1"/>
  <c r="K12" i="12" s="1"/>
  <c r="G25" i="28"/>
  <c r="I20" i="28"/>
  <c r="G114" i="27"/>
  <c r="H142" i="29"/>
  <c r="I143" i="29" s="1"/>
  <c r="J141" i="29"/>
  <c r="E126" i="27"/>
  <c r="F124" i="27" s="1"/>
  <c r="E132" i="27"/>
  <c r="G59" i="27"/>
  <c r="G60" i="27" s="1"/>
  <c r="H62" i="27"/>
  <c r="G74" i="27"/>
  <c r="F71" i="27"/>
  <c r="F72" i="27" s="1"/>
  <c r="L67" i="27"/>
  <c r="L70" i="27" s="1"/>
  <c r="L31" i="27"/>
  <c r="L34" i="27" s="1"/>
  <c r="E36" i="27"/>
  <c r="G101" i="27"/>
  <c r="G102" i="27" s="1"/>
  <c r="F85" i="27"/>
  <c r="G88" i="27"/>
  <c r="F39" i="27"/>
  <c r="F40" i="27" s="1"/>
  <c r="G26" i="27"/>
  <c r="G27" i="27" s="1"/>
  <c r="E47" i="27"/>
  <c r="E48" i="27" s="1"/>
  <c r="F50" i="27"/>
  <c r="G109" i="27"/>
  <c r="G110" i="27" s="1"/>
  <c r="H112" i="27"/>
  <c r="F11" i="27"/>
  <c r="H81" i="27"/>
  <c r="G89" i="27"/>
  <c r="L43" i="27"/>
  <c r="L46" i="27" s="1"/>
  <c r="H6" i="27"/>
  <c r="G14" i="27"/>
  <c r="M20" i="28" l="1"/>
  <c r="I25" i="28"/>
  <c r="L313" i="1"/>
  <c r="I144" i="29"/>
  <c r="E121" i="27"/>
  <c r="E122" i="27" s="1"/>
  <c r="F35" i="27"/>
  <c r="G38" i="27"/>
  <c r="G22" i="27"/>
  <c r="G23" i="27" s="1"/>
  <c r="H25" i="27"/>
  <c r="G97" i="27"/>
  <c r="G98" i="27" s="1"/>
  <c r="H100" i="27"/>
  <c r="F51" i="27"/>
  <c r="F129" i="27" s="1"/>
  <c r="H84" i="27"/>
  <c r="H86" i="27"/>
  <c r="G75" i="27"/>
  <c r="G76" i="27" s="1"/>
  <c r="H117" i="27"/>
  <c r="H120" i="27" s="1"/>
  <c r="H9" i="27"/>
  <c r="H130" i="27"/>
  <c r="G90" i="27"/>
  <c r="H63" i="27"/>
  <c r="H64" i="27" s="1"/>
  <c r="G15" i="27"/>
  <c r="G10" i="27" s="1"/>
  <c r="H114" i="27" l="1"/>
  <c r="D27" i="28"/>
  <c r="M25" i="28"/>
  <c r="N9" i="26"/>
  <c r="F131" i="27"/>
  <c r="H59" i="27"/>
  <c r="H60" i="27" s="1"/>
  <c r="I62" i="27"/>
  <c r="G71" i="27"/>
  <c r="G72" i="27" s="1"/>
  <c r="H74" i="27"/>
  <c r="I112" i="27"/>
  <c r="H109" i="27"/>
  <c r="H110" i="27" s="1"/>
  <c r="F125" i="27"/>
  <c r="I81" i="27"/>
  <c r="F52" i="27"/>
  <c r="H27" i="27"/>
  <c r="H26" i="27"/>
  <c r="G11" i="27"/>
  <c r="H88" i="27"/>
  <c r="H89" i="27" s="1"/>
  <c r="G85" i="27"/>
  <c r="H14" i="27"/>
  <c r="I6" i="27"/>
  <c r="H101" i="27"/>
  <c r="H102" i="27" s="1"/>
  <c r="G39" i="27"/>
  <c r="G40" i="27" s="1"/>
  <c r="F36" i="27"/>
  <c r="J142" i="29" l="1"/>
  <c r="D32" i="28"/>
  <c r="J27" i="28"/>
  <c r="G27" i="28"/>
  <c r="F126" i="27"/>
  <c r="G124" i="27" s="1"/>
  <c r="F132" i="27"/>
  <c r="H97" i="27"/>
  <c r="H98" i="27" s="1"/>
  <c r="I100" i="27"/>
  <c r="G35" i="27"/>
  <c r="H38" i="27"/>
  <c r="H75" i="27"/>
  <c r="H76" i="27" s="1"/>
  <c r="G50" i="27"/>
  <c r="F47" i="27"/>
  <c r="I117" i="27"/>
  <c r="I120" i="27" s="1"/>
  <c r="I9" i="27"/>
  <c r="H22" i="27"/>
  <c r="H23" i="27" s="1"/>
  <c r="I25" i="27"/>
  <c r="H15" i="27"/>
  <c r="H10" i="27" s="1"/>
  <c r="I63" i="27"/>
  <c r="I64" i="27" s="1"/>
  <c r="H90" i="27"/>
  <c r="I84" i="27"/>
  <c r="I86" i="27"/>
  <c r="I130" i="27"/>
  <c r="I114" i="27" l="1"/>
  <c r="J112" i="27" s="1"/>
  <c r="J113" i="27" s="1"/>
  <c r="I27" i="28"/>
  <c r="G32" i="28"/>
  <c r="L27" i="28"/>
  <c r="L32" i="28" s="1"/>
  <c r="L12" i="12" s="1"/>
  <c r="J32" i="28"/>
  <c r="K143" i="29"/>
  <c r="L141" i="29"/>
  <c r="J81" i="27"/>
  <c r="J62" i="27"/>
  <c r="I59" i="27"/>
  <c r="I60" i="27" s="1"/>
  <c r="G51" i="27"/>
  <c r="H39" i="27"/>
  <c r="I88" i="27"/>
  <c r="I89" i="27" s="1"/>
  <c r="H85" i="27"/>
  <c r="H11" i="27"/>
  <c r="I14" i="27"/>
  <c r="J6" i="27"/>
  <c r="G36" i="27"/>
  <c r="I74" i="27"/>
  <c r="H71" i="27"/>
  <c r="H72" i="27" s="1"/>
  <c r="I101" i="27"/>
  <c r="I102" i="27" s="1"/>
  <c r="I26" i="27"/>
  <c r="I27" i="27" s="1"/>
  <c r="F48" i="27"/>
  <c r="F121" i="27"/>
  <c r="F122" i="27" s="1"/>
  <c r="I109" i="27" l="1"/>
  <c r="I110" i="27" s="1"/>
  <c r="M313" i="1"/>
  <c r="K144" i="29"/>
  <c r="M27" i="28"/>
  <c r="I32" i="28"/>
  <c r="G125" i="27"/>
  <c r="G129" i="27"/>
  <c r="J100" i="27"/>
  <c r="I97" i="27"/>
  <c r="I98" i="27" s="1"/>
  <c r="J25" i="27"/>
  <c r="I22" i="27"/>
  <c r="I23" i="27" s="1"/>
  <c r="J117" i="27"/>
  <c r="J120" i="27" s="1"/>
  <c r="J9" i="27"/>
  <c r="H40" i="27"/>
  <c r="J63" i="27"/>
  <c r="J64" i="27" s="1"/>
  <c r="I76" i="27"/>
  <c r="I75" i="27"/>
  <c r="I15" i="27"/>
  <c r="I10" i="27" s="1"/>
  <c r="I90" i="27"/>
  <c r="G52" i="27"/>
  <c r="J86" i="27"/>
  <c r="J84" i="27"/>
  <c r="M32" i="28" l="1"/>
  <c r="D34" i="28"/>
  <c r="L142" i="29"/>
  <c r="J114" i="27"/>
  <c r="J130" i="27"/>
  <c r="Q9" i="26"/>
  <c r="G131" i="27"/>
  <c r="G132" i="27" s="1"/>
  <c r="G126" i="27"/>
  <c r="H124" i="27" s="1"/>
  <c r="K62" i="27"/>
  <c r="J59" i="27"/>
  <c r="J60" i="27" s="1"/>
  <c r="J109" i="27"/>
  <c r="J110" i="27" s="1"/>
  <c r="K112" i="27"/>
  <c r="K113" i="27" s="1"/>
  <c r="I38" i="27"/>
  <c r="H35" i="27"/>
  <c r="H50" i="27"/>
  <c r="G47" i="27"/>
  <c r="K6" i="27"/>
  <c r="J14" i="27"/>
  <c r="J26" i="27"/>
  <c r="J27" i="27" s="1"/>
  <c r="I85" i="27"/>
  <c r="J88" i="27"/>
  <c r="J74" i="27"/>
  <c r="I71" i="27"/>
  <c r="I72" i="27" s="1"/>
  <c r="J89" i="27"/>
  <c r="K81" i="27"/>
  <c r="I11" i="27"/>
  <c r="J101" i="27"/>
  <c r="J102" i="27" s="1"/>
  <c r="M143" i="29" l="1"/>
  <c r="N141" i="29"/>
  <c r="D39" i="28"/>
  <c r="J34" i="28"/>
  <c r="G34" i="28"/>
  <c r="K100" i="27"/>
  <c r="J97" i="27"/>
  <c r="J98" i="27" s="1"/>
  <c r="K86" i="27"/>
  <c r="K84" i="27"/>
  <c r="J75" i="27"/>
  <c r="J76" i="27" s="1"/>
  <c r="J90" i="27"/>
  <c r="J15" i="27"/>
  <c r="J10" i="27" s="1"/>
  <c r="H51" i="27"/>
  <c r="H52" i="27" s="1"/>
  <c r="K25" i="27"/>
  <c r="J22" i="27"/>
  <c r="J23" i="27" s="1"/>
  <c r="G48" i="27"/>
  <c r="G121" i="27"/>
  <c r="G122" i="27" s="1"/>
  <c r="K117" i="27"/>
  <c r="K120" i="27" s="1"/>
  <c r="K9" i="27"/>
  <c r="H36" i="27"/>
  <c r="I39" i="27"/>
  <c r="I40" i="27" s="1"/>
  <c r="K63" i="27"/>
  <c r="K64" i="27" s="1"/>
  <c r="L34" i="28" l="1"/>
  <c r="L39" i="28" s="1"/>
  <c r="M12" i="12" s="1"/>
  <c r="J39" i="28"/>
  <c r="K114" i="27"/>
  <c r="L112" i="27" s="1"/>
  <c r="L113" i="27" s="1"/>
  <c r="M113" i="27" s="1"/>
  <c r="K130" i="27"/>
  <c r="G39" i="28"/>
  <c r="I34" i="28"/>
  <c r="N313" i="1"/>
  <c r="M144" i="29"/>
  <c r="H125" i="27"/>
  <c r="H129" i="27"/>
  <c r="K59" i="27"/>
  <c r="K60" i="27" s="1"/>
  <c r="L62" i="27"/>
  <c r="K109" i="27"/>
  <c r="K110" i="27" s="1"/>
  <c r="K74" i="27"/>
  <c r="J71" i="27"/>
  <c r="J72" i="27" s="1"/>
  <c r="I50" i="27"/>
  <c r="H47" i="27"/>
  <c r="L81" i="27"/>
  <c r="L6" i="27"/>
  <c r="K14" i="27"/>
  <c r="J11" i="27"/>
  <c r="J38" i="27"/>
  <c r="I35" i="27"/>
  <c r="K26" i="27"/>
  <c r="K27" i="27" s="1"/>
  <c r="J85" i="27"/>
  <c r="K88" i="27"/>
  <c r="K101" i="27"/>
  <c r="K102" i="27" s="1"/>
  <c r="M34" i="28" l="1"/>
  <c r="I39" i="28"/>
  <c r="T9" i="26"/>
  <c r="H131" i="27"/>
  <c r="N142" i="29" s="1"/>
  <c r="O143" i="29" s="1"/>
  <c r="H126" i="27"/>
  <c r="I124" i="27" s="1"/>
  <c r="K97" i="27"/>
  <c r="K98" i="27" s="1"/>
  <c r="L100" i="27"/>
  <c r="K22" i="27"/>
  <c r="K23" i="27" s="1"/>
  <c r="L25" i="27"/>
  <c r="I51" i="27"/>
  <c r="H48" i="27"/>
  <c r="H121" i="27"/>
  <c r="H122" i="27" s="1"/>
  <c r="I36" i="27"/>
  <c r="K15" i="27"/>
  <c r="K10" i="27" s="1"/>
  <c r="K89" i="27"/>
  <c r="K90" i="27" s="1"/>
  <c r="L63" i="27"/>
  <c r="M63" i="27" s="1"/>
  <c r="M64" i="27" s="1"/>
  <c r="L117" i="27"/>
  <c r="L120" i="27" s="1"/>
  <c r="L9" i="27"/>
  <c r="J39" i="27"/>
  <c r="L84" i="27"/>
  <c r="L86" i="27"/>
  <c r="K75" i="27"/>
  <c r="K76" i="27" s="1"/>
  <c r="H132" i="27" l="1"/>
  <c r="M114" i="27"/>
  <c r="L130" i="27"/>
  <c r="M130" i="27" s="1"/>
  <c r="O313" i="1"/>
  <c r="O144" i="29"/>
  <c r="M39" i="28"/>
  <c r="D41" i="28"/>
  <c r="I125" i="27"/>
  <c r="I129" i="27"/>
  <c r="I131" i="27" s="1"/>
  <c r="L88" i="27"/>
  <c r="K85" i="27"/>
  <c r="K71" i="27"/>
  <c r="K72" i="27" s="1"/>
  <c r="L74" i="27"/>
  <c r="L14" i="27"/>
  <c r="L26" i="27"/>
  <c r="M26" i="27" s="1"/>
  <c r="M27" i="27" s="1"/>
  <c r="L89" i="27"/>
  <c r="M89" i="27" s="1"/>
  <c r="M90" i="27" s="1"/>
  <c r="K11" i="27"/>
  <c r="I52" i="27"/>
  <c r="L101" i="27"/>
  <c r="M101" i="27" s="1"/>
  <c r="M102" i="27" s="1"/>
  <c r="J40" i="27"/>
  <c r="L64" i="27"/>
  <c r="L59" i="27" s="1"/>
  <c r="L114" i="27"/>
  <c r="L109" i="27" s="1"/>
  <c r="D46" i="28" l="1"/>
  <c r="J41" i="28"/>
  <c r="G41" i="28"/>
  <c r="I126" i="27"/>
  <c r="J124" i="27" s="1"/>
  <c r="I132" i="27"/>
  <c r="M109" i="27"/>
  <c r="M110" i="27" s="1"/>
  <c r="L110" i="27"/>
  <c r="M59" i="27"/>
  <c r="M60" i="27" s="1"/>
  <c r="L60" i="27"/>
  <c r="L102" i="27"/>
  <c r="L97" i="27" s="1"/>
  <c r="L27" i="27"/>
  <c r="L22" i="27" s="1"/>
  <c r="L75" i="27"/>
  <c r="M75" i="27" s="1"/>
  <c r="M76" i="27" s="1"/>
  <c r="J35" i="27"/>
  <c r="K38" i="27"/>
  <c r="I47" i="27"/>
  <c r="J50" i="27"/>
  <c r="L15" i="27"/>
  <c r="L10" i="27" s="1"/>
  <c r="M14" i="27"/>
  <c r="M15" i="27" s="1"/>
  <c r="L90" i="27"/>
  <c r="L85" i="27" s="1"/>
  <c r="M85" i="27" s="1"/>
  <c r="I41" i="28" l="1"/>
  <c r="G46" i="28"/>
  <c r="L41" i="28"/>
  <c r="L46" i="28" s="1"/>
  <c r="N12" i="12" s="1"/>
  <c r="J46" i="28"/>
  <c r="J51" i="27"/>
  <c r="I48" i="27"/>
  <c r="I121" i="27"/>
  <c r="I122" i="27" s="1"/>
  <c r="L76" i="27"/>
  <c r="L71" i="27" s="1"/>
  <c r="M10" i="27"/>
  <c r="M11" i="27" s="1"/>
  <c r="L11" i="27"/>
  <c r="K39" i="27"/>
  <c r="M22" i="27"/>
  <c r="M23" i="27" s="1"/>
  <c r="L23" i="27"/>
  <c r="J36" i="27"/>
  <c r="M97" i="27"/>
  <c r="M98" i="27" s="1"/>
  <c r="L98" i="27"/>
  <c r="I46" i="28" l="1"/>
  <c r="M41" i="28"/>
  <c r="M46" i="28" s="1"/>
  <c r="J125" i="27"/>
  <c r="J129" i="27"/>
  <c r="J131" i="27" s="1"/>
  <c r="K40" i="27"/>
  <c r="M71" i="27"/>
  <c r="M72" i="27" s="1"/>
  <c r="L72" i="27"/>
  <c r="J52" i="27"/>
  <c r="J126" i="27" l="1"/>
  <c r="K124" i="27" s="1"/>
  <c r="J132" i="27"/>
  <c r="K35" i="27"/>
  <c r="L38" i="27"/>
  <c r="K50" i="27"/>
  <c r="J47" i="27"/>
  <c r="J48" i="27" l="1"/>
  <c r="J121" i="27"/>
  <c r="J122" i="27" s="1"/>
  <c r="K51" i="27"/>
  <c r="L39" i="27"/>
  <c r="K36" i="27"/>
  <c r="K125" i="27" l="1"/>
  <c r="K129" i="27"/>
  <c r="K131" i="27" s="1"/>
  <c r="K52" i="27"/>
  <c r="M39" i="27"/>
  <c r="M40" i="27" s="1"/>
  <c r="L40" i="27"/>
  <c r="L35" i="27" s="1"/>
  <c r="K126" i="27" l="1"/>
  <c r="L124" i="27" s="1"/>
  <c r="K132" i="27"/>
  <c r="L50" i="27"/>
  <c r="K47" i="27"/>
  <c r="M35" i="27"/>
  <c r="M36" i="27" s="1"/>
  <c r="L36" i="27"/>
  <c r="K48" i="27" l="1"/>
  <c r="K121" i="27"/>
  <c r="K122" i="27" s="1"/>
  <c r="L51" i="27"/>
  <c r="L129" i="27" s="1"/>
  <c r="L131" i="27" l="1"/>
  <c r="M131" i="27" s="1"/>
  <c r="M129" i="27"/>
  <c r="M51" i="27"/>
  <c r="M52" i="27" s="1"/>
  <c r="L125" i="27"/>
  <c r="M125" i="27" s="1"/>
  <c r="L52" i="27"/>
  <c r="L47" i="27" s="1"/>
  <c r="L91" i="22"/>
  <c r="K91" i="22"/>
  <c r="J91" i="22"/>
  <c r="J93" i="22" s="1"/>
  <c r="I91" i="22"/>
  <c r="I93" i="22" s="1"/>
  <c r="H91" i="22"/>
  <c r="H93" i="22" s="1"/>
  <c r="G91" i="22"/>
  <c r="G93" i="22" s="1"/>
  <c r="F91" i="22"/>
  <c r="F93" i="22" s="1"/>
  <c r="E91" i="22"/>
  <c r="E93" i="22" s="1"/>
  <c r="D91" i="22"/>
  <c r="D93" i="22" s="1"/>
  <c r="C91" i="22"/>
  <c r="C93" i="22" s="1"/>
  <c r="V12" i="26"/>
  <c r="O106" i="1" s="1"/>
  <c r="S12" i="26"/>
  <c r="P12" i="26"/>
  <c r="M12" i="26"/>
  <c r="J12" i="26"/>
  <c r="G12" i="26"/>
  <c r="J106" i="1" s="1"/>
  <c r="V9" i="26"/>
  <c r="O53" i="1" s="1"/>
  <c r="S9" i="26"/>
  <c r="N53" i="1" s="1"/>
  <c r="P9" i="26"/>
  <c r="M53" i="1" s="1"/>
  <c r="M9" i="26"/>
  <c r="L53" i="1" s="1"/>
  <c r="J9" i="26"/>
  <c r="K53" i="1" s="1"/>
  <c r="G9" i="26"/>
  <c r="I8" i="26"/>
  <c r="I10" i="26" s="1"/>
  <c r="F26" i="26"/>
  <c r="F32" i="26" s="1"/>
  <c r="T3" i="26"/>
  <c r="Q3" i="26"/>
  <c r="N3" i="26"/>
  <c r="K3" i="26"/>
  <c r="H3" i="26"/>
  <c r="E9" i="25" l="1"/>
  <c r="E17" i="25" s="1"/>
  <c r="M132" i="27"/>
  <c r="M126" i="27"/>
  <c r="L106" i="1"/>
  <c r="K106" i="1"/>
  <c r="C6" i="19"/>
  <c r="J53" i="1"/>
  <c r="F8" i="26"/>
  <c r="F10" i="26" s="1"/>
  <c r="F14" i="26" s="1"/>
  <c r="T5" i="26"/>
  <c r="V5" i="26" s="1"/>
  <c r="O48" i="1" s="1"/>
  <c r="T40" i="26"/>
  <c r="K40" i="26"/>
  <c r="P4" i="26"/>
  <c r="M46" i="1" s="1"/>
  <c r="N40" i="26"/>
  <c r="H7" i="26"/>
  <c r="J7" i="26" s="1"/>
  <c r="K82" i="1" s="1"/>
  <c r="H40" i="26"/>
  <c r="G4" i="26"/>
  <c r="J46" i="1" s="1"/>
  <c r="E40" i="26"/>
  <c r="Q7" i="26"/>
  <c r="S7" i="26" s="1"/>
  <c r="N82" i="1" s="1"/>
  <c r="Q40" i="26"/>
  <c r="L126" i="27"/>
  <c r="L132" i="27"/>
  <c r="J4" i="26"/>
  <c r="K46" i="1" s="1"/>
  <c r="H5" i="26"/>
  <c r="J5" i="26" s="1"/>
  <c r="K48" i="1" s="1"/>
  <c r="V4" i="26"/>
  <c r="O46" i="1" s="1"/>
  <c r="J3" i="26"/>
  <c r="K13" i="1" s="1"/>
  <c r="K5" i="26"/>
  <c r="M5" i="26" s="1"/>
  <c r="L48" i="1" s="1"/>
  <c r="E7" i="26"/>
  <c r="G7" i="26" s="1"/>
  <c r="J82" i="1" s="1"/>
  <c r="Q5" i="26"/>
  <c r="S5" i="26" s="1"/>
  <c r="N48" i="1" s="1"/>
  <c r="E5" i="26"/>
  <c r="G5" i="26" s="1"/>
  <c r="J48" i="1" s="1"/>
  <c r="G3" i="26"/>
  <c r="J13" i="1" s="1"/>
  <c r="N5" i="26"/>
  <c r="P5" i="26" s="1"/>
  <c r="M48" i="1" s="1"/>
  <c r="M3" i="26"/>
  <c r="L13" i="1" s="1"/>
  <c r="E6" i="26"/>
  <c r="G6" i="26" s="1"/>
  <c r="J51" i="1" s="1"/>
  <c r="H6" i="26"/>
  <c r="J6" i="26" s="1"/>
  <c r="K51" i="1" s="1"/>
  <c r="K6" i="26"/>
  <c r="M6" i="26" s="1"/>
  <c r="L51" i="1" s="1"/>
  <c r="P6" i="26"/>
  <c r="M51" i="1" s="1"/>
  <c r="Q6" i="26"/>
  <c r="S6" i="26" s="1"/>
  <c r="N51" i="1" s="1"/>
  <c r="T6" i="26"/>
  <c r="V6" i="26" s="1"/>
  <c r="O51" i="1" s="1"/>
  <c r="S3" i="26"/>
  <c r="N13" i="1" s="1"/>
  <c r="P3" i="26"/>
  <c r="M13" i="1" s="1"/>
  <c r="L10" i="12"/>
  <c r="K10" i="12"/>
  <c r="K7" i="26"/>
  <c r="M7" i="26" s="1"/>
  <c r="L82" i="1" s="1"/>
  <c r="N7" i="26"/>
  <c r="P7" i="26" s="1"/>
  <c r="T7" i="26"/>
  <c r="V7" i="26" s="1"/>
  <c r="O82" i="1" s="1"/>
  <c r="V3" i="26"/>
  <c r="O13" i="1" s="1"/>
  <c r="I10" i="12"/>
  <c r="M10" i="12"/>
  <c r="J10" i="12"/>
  <c r="N10" i="12"/>
  <c r="M47" i="27"/>
  <c r="M48" i="27" s="1"/>
  <c r="L48" i="27"/>
  <c r="L121" i="27"/>
  <c r="I14" i="26"/>
  <c r="J40" i="26" l="1"/>
  <c r="F117" i="29" s="1"/>
  <c r="S4" i="26"/>
  <c r="Q26" i="26"/>
  <c r="K26" i="26"/>
  <c r="H8" i="26"/>
  <c r="H10" i="26" s="1"/>
  <c r="J8" i="26"/>
  <c r="J10" i="26" s="1"/>
  <c r="P40" i="26"/>
  <c r="J117" i="29" s="1"/>
  <c r="V40" i="26"/>
  <c r="N117" i="29" s="1"/>
  <c r="V41" i="26"/>
  <c r="S40" i="26"/>
  <c r="L117" i="29" s="1"/>
  <c r="M40" i="26"/>
  <c r="H117" i="29" s="1"/>
  <c r="M4" i="26"/>
  <c r="N26" i="26"/>
  <c r="V8" i="26"/>
  <c r="V10" i="26" s="1"/>
  <c r="G8" i="26"/>
  <c r="G10" i="26" s="1"/>
  <c r="P8" i="26"/>
  <c r="P10" i="26" s="1"/>
  <c r="K8" i="26"/>
  <c r="K10" i="26" s="1"/>
  <c r="H26" i="26"/>
  <c r="G40" i="26"/>
  <c r="D117" i="29" s="1"/>
  <c r="E26" i="26"/>
  <c r="T26" i="26"/>
  <c r="N8" i="26"/>
  <c r="N10" i="26" s="1"/>
  <c r="T8" i="26"/>
  <c r="T10" i="26" s="1"/>
  <c r="E8" i="26"/>
  <c r="E10" i="26" s="1"/>
  <c r="Q8" i="26"/>
  <c r="Q10" i="26" s="1"/>
  <c r="M121" i="27"/>
  <c r="M122" i="27" s="1"/>
  <c r="L122" i="27"/>
  <c r="M8" i="26" l="1"/>
  <c r="M10" i="26" s="1"/>
  <c r="L46" i="1"/>
  <c r="S8" i="26"/>
  <c r="S10" i="26" s="1"/>
  <c r="N46" i="1"/>
  <c r="S41" i="26"/>
  <c r="T39" i="26"/>
  <c r="Q39" i="26"/>
  <c r="P41" i="26"/>
  <c r="Q27" i="26"/>
  <c r="S26" i="26"/>
  <c r="L13" i="29" s="1"/>
  <c r="H27" i="26"/>
  <c r="J26" i="26"/>
  <c r="F13" i="29" s="1"/>
  <c r="N39" i="26"/>
  <c r="M41" i="26"/>
  <c r="G41" i="26"/>
  <c r="H39" i="26"/>
  <c r="T27" i="26"/>
  <c r="V27" i="26" s="1"/>
  <c r="V26" i="26"/>
  <c r="N13" i="29" s="1"/>
  <c r="N27" i="26"/>
  <c r="P26" i="26"/>
  <c r="J13" i="29" s="1"/>
  <c r="K27" i="26"/>
  <c r="M26" i="26"/>
  <c r="H13" i="29" s="1"/>
  <c r="K39" i="26"/>
  <c r="J41" i="26"/>
  <c r="E27" i="26"/>
  <c r="G26" i="26"/>
  <c r="E42" i="26"/>
  <c r="I9" i="25"/>
  <c r="H9" i="25"/>
  <c r="D7" i="25"/>
  <c r="D6" i="25"/>
  <c r="F6" i="25" s="1"/>
  <c r="L6" i="25" s="1"/>
  <c r="G8" i="25"/>
  <c r="J8" i="25" s="1"/>
  <c r="D8" i="25"/>
  <c r="C8" i="25"/>
  <c r="G7" i="25"/>
  <c r="J7" i="25" s="1"/>
  <c r="C7" i="25"/>
  <c r="G6" i="25"/>
  <c r="J6" i="25" s="1"/>
  <c r="C6" i="25"/>
  <c r="G5" i="25"/>
  <c r="J5" i="25" s="1"/>
  <c r="D5" i="25"/>
  <c r="C5" i="25"/>
  <c r="D4" i="25"/>
  <c r="G4" i="25"/>
  <c r="J4" i="25" s="1"/>
  <c r="C4" i="25"/>
  <c r="F4" i="25" s="1"/>
  <c r="L4" i="25" s="1"/>
  <c r="D3" i="25"/>
  <c r="G3" i="25"/>
  <c r="J3" i="25" s="1"/>
  <c r="C3" i="25"/>
  <c r="F8" i="25" l="1"/>
  <c r="L8" i="25" s="1"/>
  <c r="C9" i="25"/>
  <c r="F7" i="25"/>
  <c r="L7" i="25" s="1"/>
  <c r="G9" i="25"/>
  <c r="F5" i="25"/>
  <c r="L5" i="25" s="1"/>
  <c r="F3" i="25"/>
  <c r="L3" i="25" s="1"/>
  <c r="L9" i="25" s="1"/>
  <c r="L17" i="25" s="1"/>
  <c r="D9" i="25"/>
  <c r="H42" i="26"/>
  <c r="J39" i="26"/>
  <c r="Q25" i="26"/>
  <c r="P27" i="26"/>
  <c r="Q42" i="26"/>
  <c r="S39" i="26"/>
  <c r="T42" i="26"/>
  <c r="V39" i="26"/>
  <c r="K42" i="26"/>
  <c r="M39" i="26"/>
  <c r="K25" i="26"/>
  <c r="J27" i="26"/>
  <c r="G27" i="26"/>
  <c r="D14" i="29" s="1"/>
  <c r="H25" i="26"/>
  <c r="N25" i="26"/>
  <c r="M27" i="26"/>
  <c r="P39" i="26"/>
  <c r="N42" i="26"/>
  <c r="T25" i="26"/>
  <c r="S27" i="26"/>
  <c r="E32" i="26"/>
  <c r="D13" i="29"/>
  <c r="G42" i="26"/>
  <c r="G44" i="26" s="1"/>
  <c r="E44" i="26"/>
  <c r="J9" i="25"/>
  <c r="F9" i="25" l="1"/>
  <c r="F17" i="25" s="1"/>
  <c r="P42" i="26"/>
  <c r="N44" i="26"/>
  <c r="J25" i="26"/>
  <c r="J32" i="26" s="1"/>
  <c r="F14" i="29" s="1"/>
  <c r="D15" i="30" s="1"/>
  <c r="H32" i="26"/>
  <c r="K32" i="26"/>
  <c r="M25" i="26"/>
  <c r="M32" i="26" s="1"/>
  <c r="H14" i="29" s="1"/>
  <c r="E15" i="30" s="1"/>
  <c r="T44" i="26"/>
  <c r="V42" i="26"/>
  <c r="S25" i="26"/>
  <c r="S32" i="26" s="1"/>
  <c r="L14" i="29" s="1"/>
  <c r="G15" i="30" s="1"/>
  <c r="Q32" i="26"/>
  <c r="G32" i="26"/>
  <c r="C15" i="30" s="1"/>
  <c r="T32" i="26"/>
  <c r="V25" i="26"/>
  <c r="V32" i="26" s="1"/>
  <c r="N14" i="29" s="1"/>
  <c r="H15" i="30" s="1"/>
  <c r="P25" i="26"/>
  <c r="P32" i="26" s="1"/>
  <c r="J14" i="29" s="1"/>
  <c r="F15" i="30" s="1"/>
  <c r="N32" i="26"/>
  <c r="K44" i="26"/>
  <c r="M42" i="26"/>
  <c r="Q44" i="26"/>
  <c r="S42" i="26"/>
  <c r="H44" i="26"/>
  <c r="J42" i="26"/>
  <c r="D118" i="29"/>
  <c r="E119" i="29" s="1"/>
  <c r="C8" i="30"/>
  <c r="E14" i="29"/>
  <c r="J170" i="1" s="1"/>
  <c r="L79" i="22"/>
  <c r="L96" i="22" s="1"/>
  <c r="K79" i="22"/>
  <c r="K96" i="22" s="1"/>
  <c r="J79" i="22"/>
  <c r="J96" i="22" s="1"/>
  <c r="I79" i="22"/>
  <c r="I96" i="22" s="1"/>
  <c r="H79" i="22"/>
  <c r="H96" i="22" s="1"/>
  <c r="G79" i="22"/>
  <c r="G96" i="22" s="1"/>
  <c r="F79" i="22"/>
  <c r="F96" i="22" s="1"/>
  <c r="E79" i="22"/>
  <c r="E96" i="22" s="1"/>
  <c r="D79" i="22"/>
  <c r="D96" i="22" s="1"/>
  <c r="C79" i="22"/>
  <c r="C96" i="22" s="1"/>
  <c r="M9" i="25" l="1"/>
  <c r="F116" i="29"/>
  <c r="J266" i="1"/>
  <c r="L118" i="29"/>
  <c r="G8" i="30" s="1"/>
  <c r="G12" i="30" s="1"/>
  <c r="S44" i="26"/>
  <c r="N118" i="29"/>
  <c r="H8" i="30" s="1"/>
  <c r="H12" i="30" s="1"/>
  <c r="V44" i="26"/>
  <c r="J44" i="26"/>
  <c r="D8" i="30"/>
  <c r="F118" i="29"/>
  <c r="G119" i="29" s="1"/>
  <c r="M44" i="26"/>
  <c r="H118" i="29"/>
  <c r="E8" i="30" s="1"/>
  <c r="E12" i="30" s="1"/>
  <c r="P44" i="26"/>
  <c r="J118" i="29"/>
  <c r="F8" i="30" s="1"/>
  <c r="F12" i="30" s="1"/>
  <c r="F12" i="29"/>
  <c r="G14" i="29" s="1"/>
  <c r="K170" i="1" s="1"/>
  <c r="L37" i="22"/>
  <c r="L30" i="22"/>
  <c r="L23" i="22"/>
  <c r="K23" i="22"/>
  <c r="L16" i="22"/>
  <c r="K16" i="22"/>
  <c r="L9" i="22"/>
  <c r="K9" i="22"/>
  <c r="L70" i="22"/>
  <c r="K87" i="22" s="1"/>
  <c r="K70" i="22"/>
  <c r="J87" i="22" s="1"/>
  <c r="J70" i="22"/>
  <c r="I87" i="22" s="1"/>
  <c r="H70" i="22"/>
  <c r="G70" i="22"/>
  <c r="F70" i="22"/>
  <c r="E70" i="22"/>
  <c r="D70" i="22"/>
  <c r="L69" i="22"/>
  <c r="K69" i="22"/>
  <c r="J69" i="22"/>
  <c r="I69" i="22"/>
  <c r="H69" i="22"/>
  <c r="G69" i="22"/>
  <c r="F69" i="22"/>
  <c r="E69" i="22"/>
  <c r="D69" i="22"/>
  <c r="F73" i="29" s="1"/>
  <c r="D10" i="30" s="1"/>
  <c r="C70" i="22"/>
  <c r="C69" i="22"/>
  <c r="D73" i="29" s="1"/>
  <c r="C68" i="22"/>
  <c r="M68" i="22" s="1"/>
  <c r="M63" i="22"/>
  <c r="M62" i="22"/>
  <c r="M61" i="22"/>
  <c r="C64" i="22"/>
  <c r="D61" i="22" s="1"/>
  <c r="D64" i="22" s="1"/>
  <c r="E61" i="22" s="1"/>
  <c r="E64" i="22" s="1"/>
  <c r="F61" i="22" s="1"/>
  <c r="F64" i="22" s="1"/>
  <c r="G61" i="22" s="1"/>
  <c r="G64" i="22" s="1"/>
  <c r="H61" i="22" s="1"/>
  <c r="H64" i="22" s="1"/>
  <c r="I61" i="22" s="1"/>
  <c r="I64" i="22" s="1"/>
  <c r="J61" i="22" s="1"/>
  <c r="J64" i="22" s="1"/>
  <c r="H116" i="29" l="1"/>
  <c r="I119" i="29" s="1"/>
  <c r="K266" i="1"/>
  <c r="C11" i="19"/>
  <c r="D28" i="29"/>
  <c r="C17" i="30" s="1"/>
  <c r="F11" i="19"/>
  <c r="E87" i="22"/>
  <c r="G11" i="19"/>
  <c r="F87" i="22"/>
  <c r="D12" i="30"/>
  <c r="D11" i="19"/>
  <c r="F28" i="29"/>
  <c r="D17" i="30" s="1"/>
  <c r="D27" i="29"/>
  <c r="C87" i="22"/>
  <c r="H11" i="19"/>
  <c r="G87" i="22"/>
  <c r="C10" i="30"/>
  <c r="C12" i="30" s="1"/>
  <c r="E11" i="19"/>
  <c r="F75" i="29"/>
  <c r="D87" i="22"/>
  <c r="H12" i="29"/>
  <c r="I14" i="29" s="1"/>
  <c r="L170" i="1" s="1"/>
  <c r="M64" i="22"/>
  <c r="C71" i="22"/>
  <c r="D68" i="22" s="1"/>
  <c r="D71" i="22" s="1"/>
  <c r="M69" i="22"/>
  <c r="J116" i="29" l="1"/>
  <c r="K119" i="29" s="1"/>
  <c r="L266" i="1"/>
  <c r="E28" i="29"/>
  <c r="J182" i="1" s="1"/>
  <c r="H75" i="29"/>
  <c r="H27" i="29"/>
  <c r="D75" i="29"/>
  <c r="E75" i="29" s="1"/>
  <c r="J207" i="1" s="1"/>
  <c r="F27" i="29"/>
  <c r="H28" i="29"/>
  <c r="E17" i="30" s="1"/>
  <c r="J27" i="29"/>
  <c r="J75" i="29" s="1"/>
  <c r="L75" i="29"/>
  <c r="L27" i="29"/>
  <c r="J12" i="29"/>
  <c r="K14" i="29" s="1"/>
  <c r="M170" i="1" s="1"/>
  <c r="C85" i="22"/>
  <c r="C86" i="22" s="1"/>
  <c r="E68" i="22"/>
  <c r="E71" i="22" s="1"/>
  <c r="D85" i="22"/>
  <c r="D86" i="22" s="1"/>
  <c r="M55" i="22"/>
  <c r="M54" i="22"/>
  <c r="M49" i="22"/>
  <c r="M48" i="22"/>
  <c r="M47" i="22"/>
  <c r="M42" i="22"/>
  <c r="M41" i="22"/>
  <c r="M40" i="22"/>
  <c r="M35" i="22"/>
  <c r="M34" i="22"/>
  <c r="M33" i="22"/>
  <c r="M28" i="22"/>
  <c r="M27" i="22"/>
  <c r="M26" i="22"/>
  <c r="M21" i="22"/>
  <c r="M20" i="22"/>
  <c r="M19" i="22"/>
  <c r="M14" i="22"/>
  <c r="M13" i="22"/>
  <c r="M12" i="22"/>
  <c r="M6" i="22"/>
  <c r="M7" i="22"/>
  <c r="M5" i="22"/>
  <c r="C57" i="22"/>
  <c r="C58" i="22" s="1"/>
  <c r="C50" i="22"/>
  <c r="C43" i="22"/>
  <c r="C44" i="22" s="1"/>
  <c r="C36" i="22"/>
  <c r="C37" i="22" s="1"/>
  <c r="C29" i="22"/>
  <c r="C30" i="22" s="1"/>
  <c r="J22" i="22"/>
  <c r="J23" i="22" s="1"/>
  <c r="I22" i="22"/>
  <c r="I23" i="22" s="1"/>
  <c r="H22" i="22"/>
  <c r="H23" i="22" s="1"/>
  <c r="C22" i="22"/>
  <c r="J15" i="22"/>
  <c r="J16" i="22" s="1"/>
  <c r="I15" i="22"/>
  <c r="I16" i="22" s="1"/>
  <c r="H15" i="22"/>
  <c r="H16" i="22" s="1"/>
  <c r="C15" i="22"/>
  <c r="J8" i="22"/>
  <c r="J9" i="22" s="1"/>
  <c r="I8" i="22"/>
  <c r="I9" i="22" s="1"/>
  <c r="H8" i="22"/>
  <c r="H9" i="22" s="1"/>
  <c r="C8" i="22"/>
  <c r="F26" i="29" l="1"/>
  <c r="L116" i="29"/>
  <c r="M119" i="29" s="1"/>
  <c r="M266" i="1"/>
  <c r="D33" i="22"/>
  <c r="D36" i="22" s="1"/>
  <c r="E33" i="22" s="1"/>
  <c r="M29" i="22"/>
  <c r="M43" i="22"/>
  <c r="M22" i="22"/>
  <c r="M36" i="22"/>
  <c r="M15" i="22"/>
  <c r="M8" i="22"/>
  <c r="D26" i="22"/>
  <c r="D40" i="22"/>
  <c r="E36" i="22"/>
  <c r="F33" i="22" s="1"/>
  <c r="D54" i="22"/>
  <c r="D37" i="22"/>
  <c r="D43" i="22"/>
  <c r="E40" i="22" s="1"/>
  <c r="G28" i="29"/>
  <c r="K182" i="1" s="1"/>
  <c r="D5" i="22"/>
  <c r="C9" i="22"/>
  <c r="D12" i="22"/>
  <c r="C16" i="22"/>
  <c r="D19" i="22"/>
  <c r="C23" i="22"/>
  <c r="F72" i="29"/>
  <c r="G75" i="29" s="1"/>
  <c r="K207" i="1" s="1"/>
  <c r="E89" i="29"/>
  <c r="L12" i="29"/>
  <c r="M14" i="29" s="1"/>
  <c r="N170" i="1" s="1"/>
  <c r="M50" i="22"/>
  <c r="D47" i="22"/>
  <c r="C51" i="22"/>
  <c r="F68" i="22"/>
  <c r="F71" i="22" s="1"/>
  <c r="E85" i="22"/>
  <c r="E86" i="22" s="1"/>
  <c r="N116" i="29" l="1"/>
  <c r="O119" i="29" s="1"/>
  <c r="O266" i="1" s="1"/>
  <c r="N266" i="1"/>
  <c r="D29" i="22"/>
  <c r="E26" i="22" s="1"/>
  <c r="E29" i="22" s="1"/>
  <c r="F26" i="22" s="1"/>
  <c r="H72" i="29"/>
  <c r="I75" i="29" s="1"/>
  <c r="L207" i="1" s="1"/>
  <c r="G89" i="29"/>
  <c r="D22" i="22"/>
  <c r="E19" i="22" s="1"/>
  <c r="D8" i="22"/>
  <c r="E5" i="22" s="1"/>
  <c r="H26" i="29"/>
  <c r="I28" i="29" s="1"/>
  <c r="L182" i="1" s="1"/>
  <c r="D57" i="22"/>
  <c r="E54" i="22" s="1"/>
  <c r="D15" i="22"/>
  <c r="E12" i="22" s="1"/>
  <c r="D44" i="22"/>
  <c r="E37" i="22"/>
  <c r="E43" i="22"/>
  <c r="F40" i="22" s="1"/>
  <c r="F36" i="22"/>
  <c r="G33" i="22" s="1"/>
  <c r="N12" i="29"/>
  <c r="O14" i="29" s="1"/>
  <c r="O170" i="1" s="1"/>
  <c r="C90" i="22"/>
  <c r="E11" i="26" s="1"/>
  <c r="C72" i="22"/>
  <c r="C7" i="19" s="1"/>
  <c r="D50" i="22"/>
  <c r="E47" i="22" s="1"/>
  <c r="G68" i="22"/>
  <c r="G71" i="22" s="1"/>
  <c r="F85" i="22"/>
  <c r="F86" i="22" s="1"/>
  <c r="D30" i="22" l="1"/>
  <c r="F37" i="22"/>
  <c r="E30" i="22"/>
  <c r="D23" i="22"/>
  <c r="G36" i="22"/>
  <c r="H33" i="22" s="1"/>
  <c r="F29" i="22"/>
  <c r="G26" i="22" s="1"/>
  <c r="J26" i="29"/>
  <c r="E22" i="22"/>
  <c r="F19" i="22" s="1"/>
  <c r="E44" i="22"/>
  <c r="D16" i="22"/>
  <c r="D58" i="22"/>
  <c r="D9" i="22"/>
  <c r="F43" i="22"/>
  <c r="G40" i="22" s="1"/>
  <c r="E15" i="22"/>
  <c r="F12" i="22" s="1"/>
  <c r="E57" i="22"/>
  <c r="F54" i="22" s="1"/>
  <c r="E8" i="22"/>
  <c r="F5" i="22" s="1"/>
  <c r="I89" i="29"/>
  <c r="J72" i="29"/>
  <c r="K75" i="29" s="1"/>
  <c r="M207" i="1" s="1"/>
  <c r="C81" i="22"/>
  <c r="H68" i="22"/>
  <c r="H71" i="22" s="1"/>
  <c r="G85" i="22"/>
  <c r="G86" i="22" s="1"/>
  <c r="C94" i="22"/>
  <c r="E50" i="22"/>
  <c r="F47" i="22" s="1"/>
  <c r="D51" i="22"/>
  <c r="F30" i="22" l="1"/>
  <c r="G37" i="22"/>
  <c r="E23" i="22"/>
  <c r="F57" i="22"/>
  <c r="G54" i="22" s="1"/>
  <c r="E9" i="22"/>
  <c r="E16" i="22"/>
  <c r="J28" i="29"/>
  <c r="F17" i="30" s="1"/>
  <c r="H36" i="22"/>
  <c r="I33" i="22" s="1"/>
  <c r="F8" i="22"/>
  <c r="G5" i="22" s="1"/>
  <c r="F15" i="22"/>
  <c r="G12" i="22" s="1"/>
  <c r="C95" i="22"/>
  <c r="C97" i="22" s="1"/>
  <c r="D40" i="29"/>
  <c r="L72" i="29"/>
  <c r="M75" i="29" s="1"/>
  <c r="N207" i="1" s="1"/>
  <c r="K89" i="29"/>
  <c r="E58" i="22"/>
  <c r="F44" i="22"/>
  <c r="F22" i="22"/>
  <c r="G19" i="22" s="1"/>
  <c r="G29" i="22"/>
  <c r="H26" i="22" s="1"/>
  <c r="G43" i="22"/>
  <c r="H40" i="22" s="1"/>
  <c r="E51" i="22"/>
  <c r="D90" i="22"/>
  <c r="H11" i="26" s="1"/>
  <c r="H14" i="26" s="1"/>
  <c r="D72" i="22"/>
  <c r="D7" i="19" s="1"/>
  <c r="E14" i="26"/>
  <c r="G11" i="26"/>
  <c r="F50" i="22"/>
  <c r="G47" i="22" s="1"/>
  <c r="I68" i="22"/>
  <c r="H85" i="22"/>
  <c r="G14" i="26" l="1"/>
  <c r="H9" i="12" s="1"/>
  <c r="J90" i="1"/>
  <c r="E72" i="22"/>
  <c r="E7" i="19" s="1"/>
  <c r="E90" i="22"/>
  <c r="K11" i="26" s="1"/>
  <c r="K14" i="26" s="1"/>
  <c r="G44" i="22"/>
  <c r="F23" i="22"/>
  <c r="G30" i="22"/>
  <c r="K28" i="29"/>
  <c r="H43" i="22"/>
  <c r="I40" i="22" s="1"/>
  <c r="G22" i="22"/>
  <c r="G23" i="22" s="1"/>
  <c r="N72" i="29"/>
  <c r="M89" i="29"/>
  <c r="F16" i="22"/>
  <c r="H37" i="22"/>
  <c r="G15" i="22"/>
  <c r="G16" i="22" s="1"/>
  <c r="I36" i="22"/>
  <c r="J33" i="22" s="1"/>
  <c r="F51" i="22"/>
  <c r="H29" i="22"/>
  <c r="I26" i="22" s="1"/>
  <c r="D42" i="29"/>
  <c r="C19" i="30" s="1"/>
  <c r="F9" i="22"/>
  <c r="F58" i="22"/>
  <c r="G8" i="22"/>
  <c r="G9" i="22" s="1"/>
  <c r="G57" i="22"/>
  <c r="H54" i="22" s="1"/>
  <c r="D81" i="22"/>
  <c r="G50" i="22"/>
  <c r="H47" i="22" s="1"/>
  <c r="D94" i="22"/>
  <c r="I310" i="1"/>
  <c r="I307" i="1"/>
  <c r="H310" i="1"/>
  <c r="H307" i="1"/>
  <c r="H295" i="1"/>
  <c r="G295" i="1"/>
  <c r="G297" i="1"/>
  <c r="I207" i="1"/>
  <c r="H207" i="1"/>
  <c r="I186" i="1"/>
  <c r="H186" i="1"/>
  <c r="I51" i="1"/>
  <c r="I9" i="12" l="1"/>
  <c r="I17" i="12" s="1"/>
  <c r="E81" i="22"/>
  <c r="L26" i="29"/>
  <c r="M182" i="1"/>
  <c r="F90" i="22"/>
  <c r="N11" i="26" s="1"/>
  <c r="N14" i="26" s="1"/>
  <c r="E94" i="22"/>
  <c r="E95" i="22" s="1"/>
  <c r="E97" i="22" s="1"/>
  <c r="H40" i="29" s="1"/>
  <c r="H42" i="29" s="1"/>
  <c r="E19" i="30" s="1"/>
  <c r="G58" i="22"/>
  <c r="I37" i="22"/>
  <c r="F72" i="22"/>
  <c r="F7" i="19" s="1"/>
  <c r="H30" i="22"/>
  <c r="J36" i="22"/>
  <c r="K33" i="22" s="1"/>
  <c r="D95" i="22"/>
  <c r="D97" i="22" s="1"/>
  <c r="F40" i="29" s="1"/>
  <c r="F42" i="29" s="1"/>
  <c r="D19" i="30" s="1"/>
  <c r="H57" i="22"/>
  <c r="I54" i="22" s="1"/>
  <c r="I29" i="22"/>
  <c r="J26" i="22" s="1"/>
  <c r="H44" i="22"/>
  <c r="L28" i="29"/>
  <c r="G17" i="30" s="1"/>
  <c r="E42" i="29"/>
  <c r="J190" i="1" s="1"/>
  <c r="I43" i="22"/>
  <c r="J40" i="22" s="1"/>
  <c r="H50" i="22"/>
  <c r="I47" i="22" s="1"/>
  <c r="M11" i="26"/>
  <c r="L90" i="1" s="1"/>
  <c r="J11" i="26"/>
  <c r="K90" i="1" s="1"/>
  <c r="G51" i="22"/>
  <c r="F94" i="22" l="1"/>
  <c r="H51" i="22"/>
  <c r="I30" i="22"/>
  <c r="M28" i="29"/>
  <c r="F81" i="22"/>
  <c r="I44" i="22"/>
  <c r="J29" i="22"/>
  <c r="K26" i="22" s="1"/>
  <c r="J43" i="22"/>
  <c r="K40" i="22" s="1"/>
  <c r="H58" i="22"/>
  <c r="J37" i="22"/>
  <c r="F95" i="22"/>
  <c r="F97" i="22" s="1"/>
  <c r="F39" i="29"/>
  <c r="G42" i="29" s="1"/>
  <c r="K190" i="1" s="1"/>
  <c r="E69" i="29"/>
  <c r="E91" i="29" s="1"/>
  <c r="I56" i="22"/>
  <c r="K36" i="22"/>
  <c r="K37" i="22" s="1"/>
  <c r="M14" i="26"/>
  <c r="K9" i="12" s="1"/>
  <c r="K17" i="12" s="1"/>
  <c r="J14" i="26"/>
  <c r="J9" i="12" s="1"/>
  <c r="J17" i="12" s="1"/>
  <c r="G90" i="22"/>
  <c r="Q11" i="26" s="1"/>
  <c r="Q14" i="26" s="1"/>
  <c r="G72" i="22"/>
  <c r="G7" i="19" s="1"/>
  <c r="I50" i="22"/>
  <c r="J47" i="22" s="1"/>
  <c r="P11" i="26"/>
  <c r="M90" i="1" s="1"/>
  <c r="N56" i="20"/>
  <c r="O35" i="14"/>
  <c r="O34" i="14"/>
  <c r="H38" i="14"/>
  <c r="I38" i="14"/>
  <c r="J24" i="11"/>
  <c r="J32" i="11"/>
  <c r="J31" i="11"/>
  <c r="J30" i="11"/>
  <c r="J23" i="11"/>
  <c r="U235" i="1"/>
  <c r="I33" i="11"/>
  <c r="C34" i="11" s="1"/>
  <c r="O24" i="11"/>
  <c r="N24" i="11"/>
  <c r="M24" i="11"/>
  <c r="L24" i="11"/>
  <c r="K24" i="11"/>
  <c r="F15" i="1"/>
  <c r="G15" i="1"/>
  <c r="H15" i="1"/>
  <c r="O593" i="1"/>
  <c r="O589" i="1"/>
  <c r="O588" i="1"/>
  <c r="O563" i="1"/>
  <c r="N159" i="1"/>
  <c r="N157" i="1"/>
  <c r="N593" i="1"/>
  <c r="N589" i="1"/>
  <c r="N588" i="1"/>
  <c r="N563" i="1"/>
  <c r="M593" i="1"/>
  <c r="M589" i="1"/>
  <c r="M588" i="1"/>
  <c r="M563" i="1"/>
  <c r="L593" i="1"/>
  <c r="L589" i="1"/>
  <c r="L588" i="1"/>
  <c r="L563" i="1"/>
  <c r="J563" i="1"/>
  <c r="N26" i="29" l="1"/>
  <c r="N182" i="1"/>
  <c r="H72" i="22"/>
  <c r="H7" i="19" s="1"/>
  <c r="H90" i="22"/>
  <c r="T11" i="26" s="1"/>
  <c r="T14" i="26" s="1"/>
  <c r="J30" i="22"/>
  <c r="I51" i="22"/>
  <c r="J44" i="22"/>
  <c r="K43" i="22"/>
  <c r="L40" i="22" s="1"/>
  <c r="I70" i="22"/>
  <c r="M56" i="22"/>
  <c r="M57" i="22" s="1"/>
  <c r="J40" i="29"/>
  <c r="J42" i="29" s="1"/>
  <c r="F19" i="30"/>
  <c r="N28" i="29"/>
  <c r="H17" i="30" s="1"/>
  <c r="I57" i="22"/>
  <c r="H39" i="29"/>
  <c r="I42" i="29" s="1"/>
  <c r="L190" i="1" s="1"/>
  <c r="G69" i="29"/>
  <c r="G91" i="29" s="1"/>
  <c r="K29" i="22"/>
  <c r="K30" i="22" s="1"/>
  <c r="P14" i="26"/>
  <c r="L9" i="12" s="1"/>
  <c r="L17" i="12" s="1"/>
  <c r="J50" i="22"/>
  <c r="K47" i="22" s="1"/>
  <c r="G81" i="22"/>
  <c r="G94" i="22"/>
  <c r="K563" i="1"/>
  <c r="K588" i="1"/>
  <c r="K589" i="1"/>
  <c r="K593" i="1"/>
  <c r="J593" i="1"/>
  <c r="J589" i="1"/>
  <c r="J588" i="1"/>
  <c r="J587" i="1"/>
  <c r="I26" i="11"/>
  <c r="Q27" i="11"/>
  <c r="P27" i="11"/>
  <c r="K32" i="11"/>
  <c r="L32" i="11"/>
  <c r="M32" i="11"/>
  <c r="N32" i="11"/>
  <c r="O32" i="11"/>
  <c r="K31" i="11"/>
  <c r="L31" i="11"/>
  <c r="M31" i="11"/>
  <c r="N31" i="11"/>
  <c r="O31" i="11"/>
  <c r="O30" i="11"/>
  <c r="O33" i="11" s="1"/>
  <c r="O34" i="11" s="1"/>
  <c r="N30" i="11"/>
  <c r="N33" i="11" s="1"/>
  <c r="N34" i="11" s="1"/>
  <c r="M30" i="11"/>
  <c r="M33" i="11" s="1"/>
  <c r="M34" i="11" s="1"/>
  <c r="L30" i="11"/>
  <c r="L33" i="11" s="1"/>
  <c r="L34" i="11" s="1"/>
  <c r="K30" i="11"/>
  <c r="R25" i="11"/>
  <c r="K25" i="11"/>
  <c r="L25" i="11"/>
  <c r="M25" i="11"/>
  <c r="N25" i="11"/>
  <c r="O25" i="11"/>
  <c r="P25" i="11"/>
  <c r="P26" i="11" s="1"/>
  <c r="Q25" i="11"/>
  <c r="Q26" i="11" s="1"/>
  <c r="J25" i="11"/>
  <c r="H81" i="22" l="1"/>
  <c r="K33" i="11"/>
  <c r="K34" i="11" s="1"/>
  <c r="H94" i="22"/>
  <c r="J51" i="22"/>
  <c r="K44" i="22"/>
  <c r="G95" i="22"/>
  <c r="G97" i="22" s="1"/>
  <c r="J39" i="29"/>
  <c r="K42" i="29" s="1"/>
  <c r="M190" i="1" s="1"/>
  <c r="I69" i="29"/>
  <c r="I91" i="29" s="1"/>
  <c r="M70" i="22"/>
  <c r="M71" i="22" s="1"/>
  <c r="H87" i="22"/>
  <c r="I71" i="22"/>
  <c r="H95" i="22"/>
  <c r="H97" i="22" s="1"/>
  <c r="J54" i="22"/>
  <c r="I58" i="22"/>
  <c r="L43" i="22"/>
  <c r="L44" i="22" s="1"/>
  <c r="S11" i="26"/>
  <c r="N90" i="1" s="1"/>
  <c r="V11" i="26"/>
  <c r="O90" i="1" s="1"/>
  <c r="K50" i="22"/>
  <c r="L47" i="22" s="1"/>
  <c r="J33" i="11"/>
  <c r="J27" i="11" s="1"/>
  <c r="N27" i="11"/>
  <c r="K27" i="11"/>
  <c r="K587" i="1" s="1"/>
  <c r="M27" i="11"/>
  <c r="O27" i="11"/>
  <c r="O587" i="1" s="1"/>
  <c r="L27" i="11"/>
  <c r="O26" i="11"/>
  <c r="K26" i="11"/>
  <c r="N26" i="11"/>
  <c r="M26" i="11"/>
  <c r="L26" i="11"/>
  <c r="J26" i="11"/>
  <c r="H19" i="30" l="1"/>
  <c r="N40" i="29"/>
  <c r="N42" i="29" s="1"/>
  <c r="I72" i="22"/>
  <c r="I90" i="22"/>
  <c r="I94" i="22" s="1"/>
  <c r="L39" i="29"/>
  <c r="K69" i="29"/>
  <c r="K91" i="29" s="1"/>
  <c r="J57" i="22"/>
  <c r="K54" i="22" s="1"/>
  <c r="N75" i="29"/>
  <c r="O75" i="29" s="1"/>
  <c r="N27" i="29"/>
  <c r="O28" i="29" s="1"/>
  <c r="O182" i="1" s="1"/>
  <c r="H86" i="22"/>
  <c r="L40" i="29"/>
  <c r="L42" i="29" s="1"/>
  <c r="G19" i="30"/>
  <c r="J68" i="22"/>
  <c r="J71" i="22" s="1"/>
  <c r="I85" i="22"/>
  <c r="I86" i="22" s="1"/>
  <c r="K51" i="22"/>
  <c r="S14" i="26"/>
  <c r="M9" i="12" s="1"/>
  <c r="M17" i="12" s="1"/>
  <c r="V14" i="26"/>
  <c r="N9" i="12" s="1"/>
  <c r="N17" i="12" s="1"/>
  <c r="L50" i="22"/>
  <c r="L51" i="22" s="1"/>
  <c r="J34" i="11"/>
  <c r="L28" i="11"/>
  <c r="L35" i="11" s="1"/>
  <c r="L36" i="11" s="1"/>
  <c r="L37" i="11" s="1"/>
  <c r="L38" i="11" s="1"/>
  <c r="K28" i="11"/>
  <c r="K35" i="11" s="1"/>
  <c r="K36" i="11" s="1"/>
  <c r="K37" i="11" s="1"/>
  <c r="K38" i="11" s="1"/>
  <c r="N28" i="11"/>
  <c r="N35" i="11" s="1"/>
  <c r="N36" i="11" s="1"/>
  <c r="N37" i="11" s="1"/>
  <c r="N38" i="11" s="1"/>
  <c r="O28" i="11"/>
  <c r="O35" i="11" s="1"/>
  <c r="O36" i="11" s="1"/>
  <c r="O37" i="11" s="1"/>
  <c r="O38" i="11" s="1"/>
  <c r="M28" i="11"/>
  <c r="M35" i="11" s="1"/>
  <c r="M36" i="11" s="1"/>
  <c r="M37" i="11" s="1"/>
  <c r="M38" i="11" s="1"/>
  <c r="J28" i="11"/>
  <c r="J35" i="11" s="1"/>
  <c r="J36" i="11" s="1"/>
  <c r="J37" i="11" s="1"/>
  <c r="J38" i="11" s="1"/>
  <c r="L587" i="1"/>
  <c r="N587" i="1"/>
  <c r="M587" i="1"/>
  <c r="O89" i="29" l="1"/>
  <c r="O207" i="1"/>
  <c r="K57" i="22"/>
  <c r="L54" i="22" s="1"/>
  <c r="K68" i="22"/>
  <c r="K71" i="22" s="1"/>
  <c r="J85" i="22"/>
  <c r="J86" i="22" s="1"/>
  <c r="J58" i="22"/>
  <c r="I95" i="22"/>
  <c r="I97" i="22" s="1"/>
  <c r="I81" i="22"/>
  <c r="M42" i="29"/>
  <c r="N190" i="1" s="1"/>
  <c r="M82" i="1"/>
  <c r="M15" i="1"/>
  <c r="L15" i="1"/>
  <c r="J15" i="1"/>
  <c r="M30" i="20"/>
  <c r="L30" i="20"/>
  <c r="K30" i="20"/>
  <c r="J30" i="20"/>
  <c r="I30" i="20"/>
  <c r="M22" i="20"/>
  <c r="L22" i="20"/>
  <c r="K22" i="20"/>
  <c r="J22" i="20"/>
  <c r="I22" i="20"/>
  <c r="H22" i="20"/>
  <c r="H30" i="20" s="1"/>
  <c r="G22" i="20"/>
  <c r="G30" i="20" s="1"/>
  <c r="M56" i="20"/>
  <c r="L56" i="20"/>
  <c r="K56" i="20"/>
  <c r="J56" i="20"/>
  <c r="I56" i="20"/>
  <c r="H56" i="20"/>
  <c r="G56" i="20"/>
  <c r="M41" i="20"/>
  <c r="L41" i="20"/>
  <c r="K41" i="20"/>
  <c r="J41" i="20"/>
  <c r="I41" i="20"/>
  <c r="H41" i="20"/>
  <c r="G41" i="20"/>
  <c r="K85" i="22" l="1"/>
  <c r="K86" i="22" s="1"/>
  <c r="L68" i="22"/>
  <c r="L71" i="22" s="1"/>
  <c r="N39" i="29"/>
  <c r="O42" i="29" s="1"/>
  <c r="M69" i="29"/>
  <c r="M91" i="29" s="1"/>
  <c r="J90" i="22"/>
  <c r="J94" i="22" s="1"/>
  <c r="J72" i="22"/>
  <c r="K58" i="22"/>
  <c r="L57" i="22"/>
  <c r="L58" i="22" s="1"/>
  <c r="O56" i="20"/>
  <c r="K15" i="1"/>
  <c r="N15" i="1"/>
  <c r="O15" i="1"/>
  <c r="O41" i="20"/>
  <c r="C34" i="16"/>
  <c r="O69" i="29" l="1"/>
  <c r="O91" i="29" s="1"/>
  <c r="O190" i="1"/>
  <c r="L90" i="22"/>
  <c r="L94" i="22" s="1"/>
  <c r="L72" i="22"/>
  <c r="J95" i="22"/>
  <c r="J97" i="22" s="1"/>
  <c r="J81" i="22"/>
  <c r="K72" i="22"/>
  <c r="K90" i="22"/>
  <c r="K94" i="22" s="1"/>
  <c r="O336" i="1"/>
  <c r="O331" i="1"/>
  <c r="M326" i="1"/>
  <c r="L215" i="1"/>
  <c r="M215" i="1" s="1"/>
  <c r="N215" i="1" s="1"/>
  <c r="O215" i="1" s="1"/>
  <c r="K338" i="1"/>
  <c r="L338" i="1" s="1"/>
  <c r="M338" i="1" s="1"/>
  <c r="K336" i="1"/>
  <c r="L336" i="1" s="1"/>
  <c r="K331" i="1"/>
  <c r="K203" i="1"/>
  <c r="K200" i="1"/>
  <c r="K177" i="1"/>
  <c r="L177" i="1" s="1"/>
  <c r="K175" i="1"/>
  <c r="L175" i="1" s="1"/>
  <c r="M175" i="1" s="1"/>
  <c r="N175" i="1" s="1"/>
  <c r="K164" i="1"/>
  <c r="K162" i="1"/>
  <c r="K159" i="1"/>
  <c r="J268" i="1"/>
  <c r="J535" i="1"/>
  <c r="O107" i="1"/>
  <c r="O44" i="1"/>
  <c r="O37" i="1"/>
  <c r="N117" i="1"/>
  <c r="N107" i="1"/>
  <c r="N109" i="1" s="1"/>
  <c r="N44" i="1"/>
  <c r="N37" i="1"/>
  <c r="M117" i="1"/>
  <c r="M109" i="1"/>
  <c r="M44" i="1"/>
  <c r="M37" i="1"/>
  <c r="L115" i="1"/>
  <c r="L114" i="1"/>
  <c r="L107" i="1"/>
  <c r="L109" i="1" s="1"/>
  <c r="L77" i="1"/>
  <c r="L72" i="1"/>
  <c r="L67" i="1"/>
  <c r="L42" i="1"/>
  <c r="L41" i="1"/>
  <c r="L35" i="1"/>
  <c r="L34" i="1"/>
  <c r="K115" i="1"/>
  <c r="K114" i="1"/>
  <c r="K107" i="1"/>
  <c r="K77" i="1"/>
  <c r="K72" i="1"/>
  <c r="K67" i="1"/>
  <c r="K62" i="1"/>
  <c r="K42" i="1"/>
  <c r="K41" i="1"/>
  <c r="K35" i="1"/>
  <c r="K34" i="1"/>
  <c r="K17" i="1"/>
  <c r="J130" i="1"/>
  <c r="J115" i="1"/>
  <c r="J114" i="1"/>
  <c r="J107" i="1"/>
  <c r="J77" i="1"/>
  <c r="J72" i="1"/>
  <c r="J67" i="1"/>
  <c r="J62" i="1"/>
  <c r="J42" i="1"/>
  <c r="J41" i="1"/>
  <c r="J35" i="1"/>
  <c r="J34" i="1"/>
  <c r="J20" i="1"/>
  <c r="H37" i="1"/>
  <c r="L81" i="22" l="1"/>
  <c r="L95" i="22"/>
  <c r="L97" i="22" s="1"/>
  <c r="K95" i="22"/>
  <c r="K97" i="22" s="1"/>
  <c r="K81" i="22"/>
  <c r="L117" i="1"/>
  <c r="L37" i="1"/>
  <c r="N121" i="1"/>
  <c r="K117" i="1"/>
  <c r="J117" i="1"/>
  <c r="M121" i="1"/>
  <c r="L44" i="1"/>
  <c r="L121" i="1"/>
  <c r="J109" i="1"/>
  <c r="J121" i="1" s="1"/>
  <c r="J37" i="1"/>
  <c r="J44" i="1"/>
  <c r="K544" i="1" l="1"/>
  <c r="J55" i="1"/>
  <c r="J65" i="1" s="1"/>
  <c r="L544" i="1" l="1"/>
  <c r="J6" i="9"/>
  <c r="J26" i="9" s="1"/>
  <c r="M544" i="1" l="1"/>
  <c r="D14" i="16"/>
  <c r="D39" i="16"/>
  <c r="N544" i="1" l="1"/>
  <c r="O544" i="1"/>
  <c r="O409" i="1"/>
  <c r="N409" i="1"/>
  <c r="M409" i="1"/>
  <c r="L409" i="1"/>
  <c r="K409" i="1"/>
  <c r="O561" i="1"/>
  <c r="N561" i="1"/>
  <c r="M561" i="1"/>
  <c r="L561" i="1"/>
  <c r="K561" i="1"/>
  <c r="J561" i="1"/>
  <c r="O460" i="1"/>
  <c r="O438" i="1"/>
  <c r="O435" i="1"/>
  <c r="O426" i="1"/>
  <c r="O423" i="1"/>
  <c r="O420" i="1"/>
  <c r="N455" i="1"/>
  <c r="N438" i="1"/>
  <c r="N435" i="1"/>
  <c r="N426" i="1"/>
  <c r="N423" i="1"/>
  <c r="N420" i="1"/>
  <c r="M438" i="1"/>
  <c r="M435" i="1"/>
  <c r="M426" i="1"/>
  <c r="M423" i="1"/>
  <c r="M420" i="1"/>
  <c r="L438" i="1"/>
  <c r="L435" i="1"/>
  <c r="L426" i="1"/>
  <c r="L423" i="1"/>
  <c r="L420" i="1"/>
  <c r="K435" i="1"/>
  <c r="J438" i="1"/>
  <c r="J435" i="1"/>
  <c r="J420" i="1"/>
  <c r="J409" i="1"/>
  <c r="U3" i="18" l="1"/>
  <c r="W3" i="18" s="1"/>
  <c r="M19" i="16"/>
  <c r="C24" i="16"/>
  <c r="C20" i="16"/>
  <c r="C16" i="16"/>
  <c r="X3" i="18" l="1"/>
  <c r="U4" i="18" s="1"/>
  <c r="J62" i="20"/>
  <c r="I62" i="20"/>
  <c r="H62" i="20"/>
  <c r="G62" i="20"/>
  <c r="F62" i="20"/>
  <c r="G54" i="20"/>
  <c r="O54" i="20" s="1"/>
  <c r="M53" i="20"/>
  <c r="M58" i="20" s="1"/>
  <c r="L53" i="20"/>
  <c r="K53" i="20"/>
  <c r="J53" i="20"/>
  <c r="J58" i="20" s="1"/>
  <c r="I53" i="20"/>
  <c r="H53" i="20"/>
  <c r="G53" i="20"/>
  <c r="G66" i="20" s="1"/>
  <c r="H66" i="20" s="1"/>
  <c r="F53" i="20"/>
  <c r="L52" i="20"/>
  <c r="L58" i="20" s="1"/>
  <c r="K52" i="20"/>
  <c r="J52" i="20"/>
  <c r="I52" i="20"/>
  <c r="H52" i="20"/>
  <c r="G52" i="20"/>
  <c r="G51" i="20"/>
  <c r="F51" i="20"/>
  <c r="O51" i="20" s="1"/>
  <c r="I50" i="20"/>
  <c r="H50" i="20"/>
  <c r="G50" i="20"/>
  <c r="F49" i="20"/>
  <c r="F58" i="20" l="1"/>
  <c r="H58" i="20"/>
  <c r="I58" i="20"/>
  <c r="G64" i="20"/>
  <c r="K58" i="20"/>
  <c r="G58" i="20"/>
  <c r="W4" i="18"/>
  <c r="O53" i="20"/>
  <c r="O62" i="20"/>
  <c r="O52" i="20"/>
  <c r="O49" i="20"/>
  <c r="O50" i="20"/>
  <c r="X4" i="18" l="1"/>
  <c r="U5" i="18" s="1"/>
  <c r="L46" i="14"/>
  <c r="W5" i="18" l="1"/>
  <c r="K46" i="14"/>
  <c r="J46" i="14"/>
  <c r="I46" i="14"/>
  <c r="H46" i="14"/>
  <c r="G46" i="14"/>
  <c r="F46" i="14"/>
  <c r="X5" i="18" l="1"/>
  <c r="U6" i="18" s="1"/>
  <c r="E46" i="14"/>
  <c r="W6" i="18" l="1"/>
  <c r="X6" i="18" l="1"/>
  <c r="U7" i="18" s="1"/>
  <c r="W7" i="18" s="1"/>
  <c r="M75" i="13"/>
  <c r="L75" i="13"/>
  <c r="K75" i="13"/>
  <c r="J75" i="13"/>
  <c r="I75" i="13"/>
  <c r="H75" i="13"/>
  <c r="O117" i="1"/>
  <c r="O412" i="1" l="1"/>
  <c r="X7" i="18"/>
  <c r="U8" i="18" s="1"/>
  <c r="W8" i="18" s="1"/>
  <c r="N460" i="1"/>
  <c r="M460" i="1"/>
  <c r="L460" i="1"/>
  <c r="K438" i="1"/>
  <c r="K460" i="1"/>
  <c r="H10" i="11"/>
  <c r="G10" i="11"/>
  <c r="K535" i="1" l="1"/>
  <c r="J458" i="1"/>
  <c r="N412" i="1"/>
  <c r="J412" i="1"/>
  <c r="K420" i="1"/>
  <c r="L412" i="1"/>
  <c r="K423" i="1"/>
  <c r="K412" i="1"/>
  <c r="M412" i="1"/>
  <c r="K10" i="9"/>
  <c r="X8" i="18"/>
  <c r="U9" i="18" s="1"/>
  <c r="L535" i="1" l="1"/>
  <c r="W9" i="18"/>
  <c r="I4" i="19"/>
  <c r="J4" i="19"/>
  <c r="K4" i="19"/>
  <c r="I23" i="19"/>
  <c r="J23" i="19"/>
  <c r="K23" i="19"/>
  <c r="K109" i="1"/>
  <c r="K121" i="1" s="1"/>
  <c r="K44" i="1"/>
  <c r="K37" i="1"/>
  <c r="N535" i="1" l="1"/>
  <c r="O535" i="1"/>
  <c r="X9" i="18"/>
  <c r="C43" i="20" l="1"/>
  <c r="F42" i="20"/>
  <c r="G42" i="20" s="1"/>
  <c r="H42" i="20" s="1"/>
  <c r="I42" i="20" s="1"/>
  <c r="J42" i="20" s="1"/>
  <c r="F39" i="20"/>
  <c r="G39" i="20" s="1"/>
  <c r="F38" i="20"/>
  <c r="G38" i="20" s="1"/>
  <c r="H38" i="20" s="1"/>
  <c r="I38" i="20" s="1"/>
  <c r="J38" i="20" s="1"/>
  <c r="K38" i="20" s="1"/>
  <c r="L38" i="20" s="1"/>
  <c r="M38" i="20" s="1"/>
  <c r="M43" i="20" s="1"/>
  <c r="F37" i="20"/>
  <c r="G37" i="20" s="1"/>
  <c r="H37" i="20" s="1"/>
  <c r="F36" i="20"/>
  <c r="G36" i="20" s="1"/>
  <c r="O36" i="20" s="1"/>
  <c r="F35" i="20"/>
  <c r="G35" i="20" s="1"/>
  <c r="F34" i="20"/>
  <c r="E30" i="20"/>
  <c r="F28" i="20"/>
  <c r="N28" i="20" s="1"/>
  <c r="N27" i="20"/>
  <c r="N26" i="20"/>
  <c r="F25" i="20"/>
  <c r="N25" i="20" s="1"/>
  <c r="F24" i="20"/>
  <c r="N24" i="20" s="1"/>
  <c r="F23" i="20"/>
  <c r="N23" i="20" s="1"/>
  <c r="F21" i="20"/>
  <c r="N21" i="20" s="1"/>
  <c r="F20" i="20"/>
  <c r="N20" i="20" s="1"/>
  <c r="F19" i="20"/>
  <c r="N19" i="20" s="1"/>
  <c r="F18" i="20"/>
  <c r="M14" i="20"/>
  <c r="C13" i="20"/>
  <c r="C14" i="20" s="1"/>
  <c r="N18" i="20" l="1"/>
  <c r="F22" i="20"/>
  <c r="F30" i="20" s="1"/>
  <c r="O109" i="1"/>
  <c r="O121" i="1" s="1"/>
  <c r="F43" i="20"/>
  <c r="G45" i="20"/>
  <c r="H39" i="20"/>
  <c r="I39" i="20" s="1"/>
  <c r="J39" i="20" s="1"/>
  <c r="K39" i="20" s="1"/>
  <c r="L39" i="20" s="1"/>
  <c r="G43" i="20"/>
  <c r="H35" i="20"/>
  <c r="I35" i="20" s="1"/>
  <c r="F13" i="20"/>
  <c r="F14" i="20" s="1"/>
  <c r="K13" i="20"/>
  <c r="K14" i="20" s="1"/>
  <c r="E13" i="20"/>
  <c r="E14" i="20" s="1"/>
  <c r="J13" i="20"/>
  <c r="J14" i="20" s="1"/>
  <c r="G13" i="20"/>
  <c r="G14" i="20" s="1"/>
  <c r="I13" i="20"/>
  <c r="I14" i="20" s="1"/>
  <c r="O38" i="20"/>
  <c r="F44" i="20"/>
  <c r="O42" i="20"/>
  <c r="O34" i="20"/>
  <c r="I37" i="20"/>
  <c r="J37" i="20" s="1"/>
  <c r="H13" i="20"/>
  <c r="H14" i="20" s="1"/>
  <c r="L13" i="20"/>
  <c r="L14" i="20" s="1"/>
  <c r="J45" i="20" l="1"/>
  <c r="O39" i="20"/>
  <c r="H43" i="20"/>
  <c r="H45" i="20"/>
  <c r="I43" i="20"/>
  <c r="I45" i="20"/>
  <c r="G44" i="20"/>
  <c r="K37" i="20"/>
  <c r="K45" i="20" s="1"/>
  <c r="J43" i="20"/>
  <c r="O35" i="20"/>
  <c r="L37" i="20" l="1"/>
  <c r="L45" i="20" s="1"/>
  <c r="K43" i="20"/>
  <c r="H44" i="20"/>
  <c r="L43" i="20" l="1"/>
  <c r="O37" i="20"/>
  <c r="I44" i="20"/>
  <c r="J44" i="20" l="1"/>
  <c r="K44" i="20" l="1"/>
  <c r="L44" i="20" l="1"/>
  <c r="M44" i="20" l="1"/>
  <c r="N44" i="20" l="1"/>
  <c r="I346" i="1" l="1"/>
  <c r="I306" i="1"/>
  <c r="I261" i="1"/>
  <c r="I594" i="1" s="1"/>
  <c r="I188" i="1"/>
  <c r="I194" i="1" s="1"/>
  <c r="I166" i="1"/>
  <c r="I109" i="1"/>
  <c r="I121" i="1" s="1"/>
  <c r="I44" i="1"/>
  <c r="I37" i="1"/>
  <c r="I20" i="1"/>
  <c r="I15" i="1"/>
  <c r="J583" i="1" l="1"/>
  <c r="I212" i="1"/>
  <c r="I241" i="1"/>
  <c r="J544" i="1"/>
  <c r="I305" i="1"/>
  <c r="I300" i="1"/>
  <c r="I55" i="1"/>
  <c r="I65" i="1" s="1"/>
  <c r="I70" i="1" s="1"/>
  <c r="I75" i="1" s="1"/>
  <c r="I80" i="1" s="1"/>
  <c r="I85" i="1" s="1"/>
  <c r="I87" i="1" s="1"/>
  <c r="I88" i="1" s="1"/>
  <c r="I89" i="1" s="1"/>
  <c r="I221" i="1" l="1"/>
  <c r="I315" i="1"/>
  <c r="I353" i="1" s="1"/>
  <c r="J460" i="1"/>
  <c r="J557" i="1" l="1"/>
  <c r="J541" i="1"/>
  <c r="K326" i="1"/>
  <c r="J423" i="1"/>
  <c r="J426" i="1"/>
  <c r="J166" i="1"/>
  <c r="J581" i="1" l="1"/>
  <c r="J167" i="1"/>
  <c r="M535" i="1"/>
  <c r="C13" i="10" l="1"/>
  <c r="B13" i="10"/>
  <c r="U53" i="8"/>
  <c r="U54" i="8" s="1"/>
  <c r="U55" i="8" s="1"/>
  <c r="U56" i="8" s="1"/>
  <c r="U57" i="8" s="1"/>
  <c r="U58" i="8" s="1"/>
  <c r="U59" i="8" s="1"/>
  <c r="U60" i="8" s="1"/>
  <c r="U61" i="8" s="1"/>
  <c r="U62" i="8" s="1"/>
  <c r="U63" i="8" s="1"/>
  <c r="U64" i="8" s="1"/>
  <c r="U65" i="8" s="1"/>
  <c r="U66" i="8" s="1"/>
  <c r="U67" i="8" s="1"/>
  <c r="U68" i="8" s="1"/>
  <c r="U69" i="8" s="1"/>
  <c r="U70" i="8" s="1"/>
  <c r="U71" i="8" s="1"/>
  <c r="U72" i="8" s="1"/>
  <c r="U73" i="8" s="1"/>
  <c r="U74" i="8" s="1"/>
  <c r="U75" i="8" s="1"/>
  <c r="U76" i="8" s="1"/>
  <c r="U77" i="8" s="1"/>
  <c r="U78" i="8" s="1"/>
  <c r="U79" i="8" s="1"/>
  <c r="U80" i="8" s="1"/>
  <c r="U81" i="8" s="1"/>
  <c r="U82" i="8" s="1"/>
  <c r="U83" i="8" s="1"/>
  <c r="U84" i="8" s="1"/>
  <c r="U85" i="8" s="1"/>
  <c r="U86" i="8" s="1"/>
  <c r="U87" i="8" s="1"/>
  <c r="U88" i="8" s="1"/>
  <c r="U89" i="8" s="1"/>
  <c r="U90" i="8" s="1"/>
  <c r="P83" i="8"/>
  <c r="O83" i="8"/>
  <c r="N83" i="8"/>
  <c r="M83" i="8"/>
  <c r="L83" i="8"/>
  <c r="K83" i="8"/>
  <c r="D83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E81" i="8"/>
  <c r="D81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E83" i="8"/>
  <c r="E60" i="8"/>
  <c r="D60" i="8"/>
  <c r="D63" i="8" s="1"/>
  <c r="D66" i="8" s="1"/>
  <c r="D69" i="8" s="1"/>
  <c r="I83" i="8"/>
  <c r="E53" i="8"/>
  <c r="F53" i="8" s="1"/>
  <c r="G53" i="8" s="1"/>
  <c r="H53" i="8" s="1"/>
  <c r="I53" i="8" s="1"/>
  <c r="J53" i="8" s="1"/>
  <c r="K53" i="8" s="1"/>
  <c r="L53" i="8" s="1"/>
  <c r="M53" i="8" s="1"/>
  <c r="N53" i="8" s="1"/>
  <c r="O53" i="8" s="1"/>
  <c r="P53" i="8" s="1"/>
  <c r="D84" i="8" l="1"/>
  <c r="F83" i="8"/>
  <c r="J83" i="8"/>
  <c r="G83" i="8"/>
  <c r="E84" i="8"/>
  <c r="D72" i="8"/>
  <c r="D75" i="8" s="1"/>
  <c r="H83" i="8"/>
  <c r="E63" i="8"/>
  <c r="E66" i="8" l="1"/>
  <c r="E69" i="8" s="1"/>
  <c r="D78" i="8"/>
  <c r="E72" i="8" l="1"/>
  <c r="E75" i="8" s="1"/>
  <c r="E78" i="8" l="1"/>
  <c r="F57" i="8" s="1"/>
  <c r="F81" i="8" l="1"/>
  <c r="F84" i="8" s="1"/>
  <c r="F60" i="8"/>
  <c r="F63" i="8" s="1"/>
  <c r="F66" i="8" l="1"/>
  <c r="F69" i="8" s="1"/>
  <c r="F72" i="8" l="1"/>
  <c r="F75" i="8" s="1"/>
  <c r="F78" i="8" l="1"/>
  <c r="G57" i="8" s="1"/>
  <c r="G81" i="8" l="1"/>
  <c r="G84" i="8" s="1"/>
  <c r="G60" i="8"/>
  <c r="G63" i="8" s="1"/>
  <c r="G66" i="8" l="1"/>
  <c r="G69" i="8" s="1"/>
  <c r="G72" i="8" l="1"/>
  <c r="G75" i="8" s="1"/>
  <c r="G78" i="8" l="1"/>
  <c r="H57" i="8" s="1"/>
  <c r="H81" i="8" l="1"/>
  <c r="H84" i="8" s="1"/>
  <c r="H60" i="8"/>
  <c r="H63" i="8" s="1"/>
  <c r="H66" i="8" l="1"/>
  <c r="H69" i="8" s="1"/>
  <c r="H72" i="8" l="1"/>
  <c r="H75" i="8" s="1"/>
  <c r="H78" i="8" l="1"/>
  <c r="I57" i="8" s="1"/>
  <c r="I81" i="8" l="1"/>
  <c r="I84" i="8" s="1"/>
  <c r="I60" i="8"/>
  <c r="I63" i="8" s="1"/>
  <c r="I66" i="8" l="1"/>
  <c r="I69" i="8" s="1"/>
  <c r="I72" i="8" l="1"/>
  <c r="I75" i="8" s="1"/>
  <c r="I78" i="8" l="1"/>
  <c r="J57" i="8" s="1"/>
  <c r="J60" i="8" l="1"/>
  <c r="J63" i="8" s="1"/>
  <c r="J81" i="8"/>
  <c r="J84" i="8" s="1"/>
  <c r="J66" i="8" l="1"/>
  <c r="J69" i="8" s="1"/>
  <c r="J72" i="8" l="1"/>
  <c r="J75" i="8" s="1"/>
  <c r="J78" i="8" l="1"/>
  <c r="K57" i="8" s="1"/>
  <c r="K81" i="8" l="1"/>
  <c r="K84" i="8" s="1"/>
  <c r="K60" i="8"/>
  <c r="K63" i="8" s="1"/>
  <c r="K66" i="8" l="1"/>
  <c r="K69" i="8" s="1"/>
  <c r="K72" i="8" l="1"/>
  <c r="K75" i="8" s="1"/>
  <c r="K78" i="8" l="1"/>
  <c r="L57" i="8" s="1"/>
  <c r="L81" i="8" l="1"/>
  <c r="L84" i="8" s="1"/>
  <c r="L60" i="8"/>
  <c r="L63" i="8" s="1"/>
  <c r="L66" i="8" l="1"/>
  <c r="L69" i="8" s="1"/>
  <c r="L72" i="8" l="1"/>
  <c r="L75" i="8" s="1"/>
  <c r="L78" i="8" l="1"/>
  <c r="M57" i="8" s="1"/>
  <c r="M81" i="8" l="1"/>
  <c r="M84" i="8" s="1"/>
  <c r="M60" i="8"/>
  <c r="M63" i="8" s="1"/>
  <c r="M66" i="8" l="1"/>
  <c r="M69" i="8" s="1"/>
  <c r="M72" i="8" l="1"/>
  <c r="M75" i="8" s="1"/>
  <c r="M78" i="8" l="1"/>
  <c r="N57" i="8" s="1"/>
  <c r="N81" i="8" l="1"/>
  <c r="N84" i="8" s="1"/>
  <c r="N60" i="8"/>
  <c r="N63" i="8" s="1"/>
  <c r="N66" i="8" l="1"/>
  <c r="N69" i="8" s="1"/>
  <c r="N72" i="8" l="1"/>
  <c r="N75" i="8" s="1"/>
  <c r="N78" i="8" l="1"/>
  <c r="O57" i="8" s="1"/>
  <c r="O81" i="8" l="1"/>
  <c r="O84" i="8" s="1"/>
  <c r="P57" i="8" s="1"/>
  <c r="O60" i="8"/>
  <c r="O63" i="8" s="1"/>
  <c r="O66" i="8" l="1"/>
  <c r="O69" i="8" s="1"/>
  <c r="P81" i="8"/>
  <c r="P84" i="8" s="1"/>
  <c r="P60" i="8"/>
  <c r="P63" i="8" s="1"/>
  <c r="P66" i="8" l="1"/>
  <c r="P69" i="8" s="1"/>
  <c r="O72" i="8"/>
  <c r="O75" i="8" s="1"/>
  <c r="O78" i="8" l="1"/>
  <c r="P72" i="8"/>
  <c r="P75" i="8" s="1"/>
  <c r="P78" i="8" l="1"/>
  <c r="G186" i="1" l="1"/>
  <c r="O51" i="14"/>
  <c r="M44" i="14"/>
  <c r="N44" i="14"/>
  <c r="F44" i="14"/>
  <c r="G44" i="14"/>
  <c r="H44" i="14"/>
  <c r="I44" i="14"/>
  <c r="J44" i="14"/>
  <c r="K44" i="14"/>
  <c r="L44" i="14"/>
  <c r="E44" i="14"/>
  <c r="B6" i="19"/>
  <c r="B4" i="19"/>
  <c r="Q3" i="1"/>
  <c r="Q4" i="1" s="1"/>
  <c r="C31" i="13" l="1"/>
  <c r="L166" i="1" l="1"/>
  <c r="F37" i="14"/>
  <c r="G37" i="14" s="1"/>
  <c r="C11" i="16"/>
  <c r="D13" i="16"/>
  <c r="D16" i="16" l="1"/>
  <c r="D22" i="16"/>
  <c r="D13" i="10"/>
  <c r="H37" i="14"/>
  <c r="C49" i="13"/>
  <c r="C4" i="13"/>
  <c r="N166" i="1" l="1"/>
  <c r="E13" i="10"/>
  <c r="I37" i="14"/>
  <c r="H10" i="9"/>
  <c r="G10" i="9"/>
  <c r="H7" i="9"/>
  <c r="G7" i="9"/>
  <c r="H6" i="9"/>
  <c r="H26" i="9" s="1"/>
  <c r="G6" i="9"/>
  <c r="G26" i="9" s="1"/>
  <c r="H29" i="12"/>
  <c r="H30" i="12" s="1"/>
  <c r="H31" i="12" s="1"/>
  <c r="O63" i="18"/>
  <c r="P63" i="18" s="1"/>
  <c r="O51" i="18"/>
  <c r="P51" i="18" s="1"/>
  <c r="O39" i="18"/>
  <c r="P39" i="18" s="1"/>
  <c r="O27" i="18"/>
  <c r="P27" i="18" s="1"/>
  <c r="N28" i="18" s="1"/>
  <c r="O15" i="18"/>
  <c r="O3" i="18"/>
  <c r="P3" i="18" s="1"/>
  <c r="G10" i="12"/>
  <c r="C35" i="18"/>
  <c r="E35" i="18" s="1"/>
  <c r="P158" i="1" l="1"/>
  <c r="Q158" i="1" s="1"/>
  <c r="R158" i="1" s="1"/>
  <c r="O166" i="1"/>
  <c r="P14" i="1"/>
  <c r="Q14" i="1" s="1"/>
  <c r="R14" i="1" s="1"/>
  <c r="F13" i="10"/>
  <c r="O28" i="18"/>
  <c r="P28" i="18" s="1"/>
  <c r="N29" i="18" s="1"/>
  <c r="N4" i="18"/>
  <c r="N52" i="18"/>
  <c r="N40" i="18"/>
  <c r="N64" i="18"/>
  <c r="P15" i="18"/>
  <c r="J37" i="14"/>
  <c r="F35" i="18"/>
  <c r="C36" i="18" s="1"/>
  <c r="E36" i="18" s="1"/>
  <c r="O581" i="1" l="1"/>
  <c r="O167" i="1"/>
  <c r="G13" i="10"/>
  <c r="N16" i="18"/>
  <c r="O40" i="18"/>
  <c r="P40" i="18"/>
  <c r="O4" i="18"/>
  <c r="O29" i="18"/>
  <c r="K37" i="14"/>
  <c r="O64" i="18"/>
  <c r="P64" i="18"/>
  <c r="O52" i="18"/>
  <c r="F36" i="18"/>
  <c r="C37" i="18" s="1"/>
  <c r="N65" i="18" l="1"/>
  <c r="O65" i="18" s="1"/>
  <c r="P65" i="18" s="1"/>
  <c r="N66" i="18" s="1"/>
  <c r="O66" i="18" s="1"/>
  <c r="P66" i="18" s="1"/>
  <c r="N67" i="18" s="1"/>
  <c r="N41" i="18"/>
  <c r="P29" i="18"/>
  <c r="O16" i="18"/>
  <c r="P16" i="18"/>
  <c r="P52" i="18"/>
  <c r="L37" i="14"/>
  <c r="P4" i="18"/>
  <c r="E37" i="18"/>
  <c r="F37" i="18" s="1"/>
  <c r="C38" i="18" s="1"/>
  <c r="N5" i="18" l="1"/>
  <c r="N17" i="18"/>
  <c r="O41" i="18"/>
  <c r="P41" i="18"/>
  <c r="N30" i="18"/>
  <c r="M37" i="14"/>
  <c r="N53" i="18"/>
  <c r="O53" i="18" s="1"/>
  <c r="O67" i="18"/>
  <c r="P67" i="18"/>
  <c r="E38" i="18"/>
  <c r="F38" i="18" s="1"/>
  <c r="C39" i="18" s="1"/>
  <c r="C34" i="18"/>
  <c r="C20" i="18"/>
  <c r="F20" i="18" s="1"/>
  <c r="C21" i="18" s="1"/>
  <c r="C17" i="11"/>
  <c r="F20" i="11"/>
  <c r="F21" i="11" s="1"/>
  <c r="H9" i="9"/>
  <c r="P13" i="1" l="1"/>
  <c r="P53" i="18"/>
  <c r="O30" i="18"/>
  <c r="P30" i="18" s="1"/>
  <c r="N68" i="18"/>
  <c r="O68" i="18" s="1"/>
  <c r="P68" i="18" s="1"/>
  <c r="N69" i="18" s="1"/>
  <c r="O69" i="18" s="1"/>
  <c r="P69" i="18" s="1"/>
  <c r="N70" i="18" s="1"/>
  <c r="O17" i="18"/>
  <c r="N37" i="14"/>
  <c r="N42" i="18"/>
  <c r="O42" i="18" s="1"/>
  <c r="P42" i="18" s="1"/>
  <c r="N43" i="18" s="1"/>
  <c r="O43" i="18" s="1"/>
  <c r="P43" i="18" s="1"/>
  <c r="N44" i="18" s="1"/>
  <c r="O44" i="18" s="1"/>
  <c r="P44" i="18" s="1"/>
  <c r="N45" i="18" s="1"/>
  <c r="O45" i="18" s="1"/>
  <c r="P45" i="18" s="1"/>
  <c r="N46" i="18" s="1"/>
  <c r="O46" i="18" s="1"/>
  <c r="P46" i="18" s="1"/>
  <c r="N47" i="18" s="1"/>
  <c r="O47" i="18" s="1"/>
  <c r="P47" i="18" s="1"/>
  <c r="N48" i="18" s="1"/>
  <c r="O5" i="18"/>
  <c r="P5" i="18" s="1"/>
  <c r="O70" i="18"/>
  <c r="P70" i="18" s="1"/>
  <c r="N71" i="18" s="1"/>
  <c r="E34" i="18"/>
  <c r="H5" i="18" s="1"/>
  <c r="I5" i="18" s="1"/>
  <c r="E39" i="18"/>
  <c r="F39" i="18" s="1"/>
  <c r="C40" i="18" s="1"/>
  <c r="P306" i="1" l="1"/>
  <c r="Q306" i="1" s="1"/>
  <c r="R306" i="1" s="1"/>
  <c r="P310" i="1"/>
  <c r="Q310" i="1" s="1"/>
  <c r="R310" i="1" s="1"/>
  <c r="P309" i="1"/>
  <c r="Q309" i="1" s="1"/>
  <c r="R309" i="1" s="1"/>
  <c r="Q13" i="1"/>
  <c r="P48" i="1"/>
  <c r="P51" i="1"/>
  <c r="P46" i="1"/>
  <c r="P82" i="1"/>
  <c r="N6" i="18"/>
  <c r="N31" i="18"/>
  <c r="P17" i="18"/>
  <c r="N54" i="18"/>
  <c r="O54" i="18" s="1"/>
  <c r="O71" i="18"/>
  <c r="P71" i="18"/>
  <c r="O48" i="18"/>
  <c r="P48" i="18" s="1"/>
  <c r="N49" i="18" s="1"/>
  <c r="E40" i="18"/>
  <c r="F40" i="18" s="1"/>
  <c r="C41" i="18" s="1"/>
  <c r="E21" i="18"/>
  <c r="F21" i="18" s="1"/>
  <c r="F34" i="18"/>
  <c r="M14" i="14"/>
  <c r="C13" i="14"/>
  <c r="K13" i="14" s="1"/>
  <c r="K14" i="14" s="1"/>
  <c r="Q96" i="1"/>
  <c r="R96" i="1" s="1"/>
  <c r="P96" i="1"/>
  <c r="Q91" i="1"/>
  <c r="P91" i="1"/>
  <c r="E13" i="14" l="1"/>
  <c r="E14" i="14" s="1"/>
  <c r="I13" i="14"/>
  <c r="I14" i="14" s="1"/>
  <c r="J13" i="14"/>
  <c r="J14" i="14" s="1"/>
  <c r="C14" i="14"/>
  <c r="F13" i="14"/>
  <c r="F14" i="14" s="1"/>
  <c r="L13" i="14"/>
  <c r="L14" i="14" s="1"/>
  <c r="H13" i="14"/>
  <c r="H14" i="14" s="1"/>
  <c r="R13" i="1"/>
  <c r="Q46" i="1"/>
  <c r="Q82" i="1"/>
  <c r="Q48" i="1"/>
  <c r="Q51" i="1"/>
  <c r="G13" i="14"/>
  <c r="G14" i="14" s="1"/>
  <c r="O31" i="18"/>
  <c r="P31" i="18"/>
  <c r="P49" i="18"/>
  <c r="P50" i="18" s="1"/>
  <c r="O49" i="18"/>
  <c r="O50" i="18" s="1"/>
  <c r="N18" i="18"/>
  <c r="O18" i="18" s="1"/>
  <c r="P18" i="18" s="1"/>
  <c r="N19" i="18" s="1"/>
  <c r="N72" i="18"/>
  <c r="O72" i="18" s="1"/>
  <c r="P72" i="18" s="1"/>
  <c r="N73" i="18" s="1"/>
  <c r="P54" i="18"/>
  <c r="O6" i="18"/>
  <c r="P6" i="18" s="1"/>
  <c r="C22" i="18"/>
  <c r="E41" i="18"/>
  <c r="F41" i="18" s="1"/>
  <c r="R82" i="1" l="1"/>
  <c r="R51" i="1"/>
  <c r="R48" i="1"/>
  <c r="R46" i="1"/>
  <c r="N7" i="18"/>
  <c r="O73" i="18"/>
  <c r="O75" i="18" s="1"/>
  <c r="N55" i="18"/>
  <c r="N32" i="18"/>
  <c r="O32" i="18" s="1"/>
  <c r="O19" i="18"/>
  <c r="P19" i="18"/>
  <c r="C42" i="18"/>
  <c r="E22" i="18"/>
  <c r="F22" i="18" s="1"/>
  <c r="C32" i="16"/>
  <c r="D20" i="16" l="1"/>
  <c r="D24" i="16"/>
  <c r="P32" i="18"/>
  <c r="N33" i="18" s="1"/>
  <c r="P73" i="18"/>
  <c r="P75" i="18" s="1"/>
  <c r="N20" i="18"/>
  <c r="O20" i="18" s="1"/>
  <c r="P20" i="18" s="1"/>
  <c r="N21" i="18" s="1"/>
  <c r="O21" i="18" s="1"/>
  <c r="P21" i="18" s="1"/>
  <c r="N22" i="18" s="1"/>
  <c r="O22" i="18" s="1"/>
  <c r="P22" i="18" s="1"/>
  <c r="N23" i="18" s="1"/>
  <c r="O55" i="18"/>
  <c r="P55" i="18" s="1"/>
  <c r="O7" i="18"/>
  <c r="P7" i="18" s="1"/>
  <c r="I6" i="9"/>
  <c r="I26" i="9" s="1"/>
  <c r="C23" i="18"/>
  <c r="E42" i="18"/>
  <c r="F42" i="18" s="1"/>
  <c r="E13" i="16" l="1"/>
  <c r="E16" i="16" s="1"/>
  <c r="N8" i="18"/>
  <c r="O23" i="18"/>
  <c r="P23" i="18"/>
  <c r="N56" i="18"/>
  <c r="O56" i="18" s="1"/>
  <c r="P56" i="18" s="1"/>
  <c r="N57" i="18" s="1"/>
  <c r="O57" i="18" s="1"/>
  <c r="P57" i="18" s="1"/>
  <c r="N58" i="18" s="1"/>
  <c r="O58" i="18" s="1"/>
  <c r="P58" i="18" s="1"/>
  <c r="N59" i="18" s="1"/>
  <c r="H10" i="12"/>
  <c r="O33" i="18"/>
  <c r="P33" i="18"/>
  <c r="C43" i="18"/>
  <c r="E23" i="18"/>
  <c r="E18" i="16" l="1"/>
  <c r="N24" i="18"/>
  <c r="O24" i="18" s="1"/>
  <c r="P24" i="18" s="1"/>
  <c r="N25" i="18" s="1"/>
  <c r="O59" i="18"/>
  <c r="P59" i="18" s="1"/>
  <c r="N60" i="18" s="1"/>
  <c r="O60" i="18" s="1"/>
  <c r="P60" i="18" s="1"/>
  <c r="N61" i="18" s="1"/>
  <c r="O8" i="18"/>
  <c r="P8" i="18"/>
  <c r="N9" i="18" s="1"/>
  <c r="O9" i="18" s="1"/>
  <c r="P9" i="18" s="1"/>
  <c r="N10" i="18" s="1"/>
  <c r="N34" i="18"/>
  <c r="F23" i="18"/>
  <c r="E43" i="18"/>
  <c r="F43" i="18" s="1"/>
  <c r="E22" i="16" l="1"/>
  <c r="F13" i="16" s="1"/>
  <c r="F18" i="16" s="1"/>
  <c r="J315" i="1"/>
  <c r="O61" i="18"/>
  <c r="O62" i="18" s="1"/>
  <c r="P61" i="18"/>
  <c r="P62" i="18" s="1"/>
  <c r="O10" i="18"/>
  <c r="P10" i="18" s="1"/>
  <c r="N11" i="18" s="1"/>
  <c r="O11" i="18" s="1"/>
  <c r="P11" i="18" s="1"/>
  <c r="N12" i="18" s="1"/>
  <c r="O12" i="18" s="1"/>
  <c r="P12" i="18" s="1"/>
  <c r="N13" i="18" s="1"/>
  <c r="O25" i="18"/>
  <c r="O26" i="18" s="1"/>
  <c r="O34" i="18"/>
  <c r="P34" i="18" s="1"/>
  <c r="N35" i="18" s="1"/>
  <c r="C44" i="18"/>
  <c r="C24" i="18"/>
  <c r="E24" i="18" s="1"/>
  <c r="F24" i="18" s="1"/>
  <c r="C25" i="18" s="1"/>
  <c r="E25" i="18" s="1"/>
  <c r="F25" i="18" s="1"/>
  <c r="C26" i="18" s="1"/>
  <c r="E26" i="18" s="1"/>
  <c r="F26" i="18" s="1"/>
  <c r="C27" i="18" s="1"/>
  <c r="E27" i="18" s="1"/>
  <c r="F27" i="18" s="1"/>
  <c r="C28" i="18" s="1"/>
  <c r="E28" i="18" s="1"/>
  <c r="F28" i="18" s="1"/>
  <c r="C29" i="18" s="1"/>
  <c r="E29" i="18" s="1"/>
  <c r="F29" i="18" s="1"/>
  <c r="C30" i="18" s="1"/>
  <c r="E30" i="18" s="1"/>
  <c r="O13" i="18" l="1"/>
  <c r="O14" i="18" s="1"/>
  <c r="P13" i="18"/>
  <c r="P14" i="18" s="1"/>
  <c r="P25" i="18"/>
  <c r="P26" i="18" s="1"/>
  <c r="F22" i="16"/>
  <c r="O35" i="18"/>
  <c r="P35" i="18" s="1"/>
  <c r="N36" i="18" s="1"/>
  <c r="F30" i="18"/>
  <c r="F31" i="18" s="1"/>
  <c r="E31" i="18"/>
  <c r="E44" i="18"/>
  <c r="E45" i="18" s="1"/>
  <c r="C45" i="18"/>
  <c r="F44" i="18" l="1"/>
  <c r="F45" i="18" s="1"/>
  <c r="G13" i="16"/>
  <c r="O36" i="18"/>
  <c r="G18" i="16" l="1"/>
  <c r="P36" i="18"/>
  <c r="N37" i="18" s="1"/>
  <c r="G22" i="16" l="1"/>
  <c r="H13" i="16" s="1"/>
  <c r="O37" i="18"/>
  <c r="O38" i="18" s="1"/>
  <c r="P37" i="18" l="1"/>
  <c r="P38" i="18" s="1"/>
  <c r="H18" i="16"/>
  <c r="M23" i="14"/>
  <c r="L23" i="14"/>
  <c r="K23" i="14"/>
  <c r="J23" i="14"/>
  <c r="I23" i="14"/>
  <c r="H23" i="14"/>
  <c r="G23" i="14"/>
  <c r="F23" i="14"/>
  <c r="E23" i="14"/>
  <c r="C61" i="13"/>
  <c r="H49" i="13"/>
  <c r="C43" i="13"/>
  <c r="C44" i="13" s="1"/>
  <c r="H3" i="13"/>
  <c r="I3" i="13" l="1"/>
  <c r="J3" i="13" s="1"/>
  <c r="H4" i="13" s="1"/>
  <c r="I4" i="13" s="1"/>
  <c r="J4" i="13" s="1"/>
  <c r="H5" i="13" s="1"/>
  <c r="H32" i="13"/>
  <c r="H61" i="13" s="1"/>
  <c r="C32" i="13"/>
  <c r="C5" i="18"/>
  <c r="F5" i="18" s="1"/>
  <c r="C6" i="18" s="1"/>
  <c r="I49" i="13"/>
  <c r="H22" i="16"/>
  <c r="E6" i="18" l="1"/>
  <c r="I32" i="13"/>
  <c r="I61" i="13" s="1"/>
  <c r="J49" i="13"/>
  <c r="I13" i="16"/>
  <c r="I5" i="13"/>
  <c r="J5" i="13" s="1"/>
  <c r="H6" i="13" s="1"/>
  <c r="H6" i="18" l="1"/>
  <c r="I6" i="18" s="1"/>
  <c r="F6" i="18"/>
  <c r="C7" i="18" s="1"/>
  <c r="E7" i="18" s="1"/>
  <c r="J32" i="13"/>
  <c r="H33" i="13" s="1"/>
  <c r="I33" i="13" s="1"/>
  <c r="J33" i="13" s="1"/>
  <c r="H34" i="13" s="1"/>
  <c r="I34" i="13" s="1"/>
  <c r="J34" i="13" s="1"/>
  <c r="H35" i="13" s="1"/>
  <c r="I35" i="13" s="1"/>
  <c r="J35" i="13" s="1"/>
  <c r="H36" i="13" s="1"/>
  <c r="H50" i="13"/>
  <c r="I18" i="16"/>
  <c r="I6" i="13"/>
  <c r="J6" i="13" s="1"/>
  <c r="H7" i="13" s="1"/>
  <c r="H7" i="18" l="1"/>
  <c r="I7" i="18" s="1"/>
  <c r="F7" i="18"/>
  <c r="C8" i="18" s="1"/>
  <c r="E8" i="18" s="1"/>
  <c r="J61" i="13"/>
  <c r="H62" i="13"/>
  <c r="I50" i="13"/>
  <c r="I22" i="16"/>
  <c r="I7" i="13"/>
  <c r="J7" i="13" s="1"/>
  <c r="H8" i="13" s="1"/>
  <c r="I36" i="13"/>
  <c r="J36" i="13" s="1"/>
  <c r="H37" i="13" s="1"/>
  <c r="H8" i="18" l="1"/>
  <c r="I8" i="18" s="1"/>
  <c r="F8" i="18"/>
  <c r="C9" i="18" s="1"/>
  <c r="E9" i="18" s="1"/>
  <c r="J50" i="13"/>
  <c r="I62" i="13"/>
  <c r="J13" i="16"/>
  <c r="I37" i="13"/>
  <c r="J37" i="13" s="1"/>
  <c r="H38" i="13" s="1"/>
  <c r="I8" i="13"/>
  <c r="J8" i="13" s="1"/>
  <c r="H9" i="13" s="1"/>
  <c r="H9" i="18" l="1"/>
  <c r="I9" i="18" s="1"/>
  <c r="F9" i="18"/>
  <c r="C10" i="18" s="1"/>
  <c r="H51" i="13"/>
  <c r="J62" i="13"/>
  <c r="J18" i="16"/>
  <c r="I38" i="13"/>
  <c r="J38" i="13" s="1"/>
  <c r="H39" i="13" s="1"/>
  <c r="I9" i="13"/>
  <c r="J9" i="13" s="1"/>
  <c r="H10" i="13" s="1"/>
  <c r="E10" i="18" l="1"/>
  <c r="P307" i="1"/>
  <c r="H63" i="13"/>
  <c r="I51" i="13"/>
  <c r="J22" i="16"/>
  <c r="I39" i="13"/>
  <c r="J39" i="13" s="1"/>
  <c r="H40" i="13" s="1"/>
  <c r="I10" i="13"/>
  <c r="J10" i="13" s="1"/>
  <c r="H11" i="13" s="1"/>
  <c r="F10" i="18" l="1"/>
  <c r="C11" i="18" s="1"/>
  <c r="E11" i="18" s="1"/>
  <c r="H10" i="18"/>
  <c r="Q307" i="1"/>
  <c r="J51" i="13"/>
  <c r="I63" i="13"/>
  <c r="K13" i="16"/>
  <c r="I40" i="13"/>
  <c r="J40" i="13" s="1"/>
  <c r="H41" i="13" s="1"/>
  <c r="I11" i="13"/>
  <c r="J11" i="13" s="1"/>
  <c r="H12" i="13" s="1"/>
  <c r="H11" i="18" l="1"/>
  <c r="I11" i="18" s="1"/>
  <c r="K18" i="16"/>
  <c r="P313" i="1" s="1"/>
  <c r="H70" i="13"/>
  <c r="F11" i="18"/>
  <c r="C12" i="18" s="1"/>
  <c r="E12" i="18" s="1"/>
  <c r="I10" i="18"/>
  <c r="R307" i="1"/>
  <c r="H52" i="13"/>
  <c r="J63" i="13"/>
  <c r="I12" i="13"/>
  <c r="J12" i="13" s="1"/>
  <c r="H13" i="13" s="1"/>
  <c r="I41" i="13"/>
  <c r="F12" i="18" l="1"/>
  <c r="C13" i="18" s="1"/>
  <c r="H12" i="18"/>
  <c r="K22" i="16"/>
  <c r="P53" i="1"/>
  <c r="I6" i="19" s="1"/>
  <c r="E13" i="18"/>
  <c r="J41" i="13"/>
  <c r="I70" i="13"/>
  <c r="H64" i="13"/>
  <c r="I52" i="13"/>
  <c r="L13" i="16"/>
  <c r="I13" i="13"/>
  <c r="J13" i="13" s="1"/>
  <c r="H13" i="18" l="1"/>
  <c r="I13" i="18" s="1"/>
  <c r="P12" i="12" s="1"/>
  <c r="O10" i="12"/>
  <c r="F13" i="18"/>
  <c r="C14" i="18" s="1"/>
  <c r="E14" i="18" s="1"/>
  <c r="H42" i="13"/>
  <c r="J70" i="13"/>
  <c r="I12" i="18"/>
  <c r="J52" i="13"/>
  <c r="I64" i="13"/>
  <c r="L18" i="16"/>
  <c r="G24" i="12"/>
  <c r="F13" i="11"/>
  <c r="F10" i="11"/>
  <c r="F14" i="18" l="1"/>
  <c r="C15" i="18" s="1"/>
  <c r="E15" i="18" s="1"/>
  <c r="H15" i="18" s="1"/>
  <c r="I15" i="18" s="1"/>
  <c r="H14" i="18"/>
  <c r="Q53" i="1"/>
  <c r="J6" i="19" s="1"/>
  <c r="L20" i="16"/>
  <c r="O12" i="12"/>
  <c r="H71" i="13"/>
  <c r="I42" i="13"/>
  <c r="H53" i="13"/>
  <c r="J64" i="13"/>
  <c r="Q313" i="1"/>
  <c r="L22" i="16"/>
  <c r="F14" i="11"/>
  <c r="F15" i="11" s="1"/>
  <c r="F16" i="11" s="1"/>
  <c r="F15" i="18" l="1"/>
  <c r="F16" i="18" s="1"/>
  <c r="E16" i="18"/>
  <c r="H16" i="18"/>
  <c r="P10" i="12"/>
  <c r="I14" i="18"/>
  <c r="J42" i="13"/>
  <c r="J71" i="13" s="1"/>
  <c r="I71" i="13"/>
  <c r="H65" i="13"/>
  <c r="I53" i="13"/>
  <c r="M13" i="16"/>
  <c r="Q12" i="12" l="1"/>
  <c r="I16" i="18"/>
  <c r="J53" i="13"/>
  <c r="I65" i="13"/>
  <c r="M18" i="16"/>
  <c r="R53" i="1" l="1"/>
  <c r="K6" i="19" s="1"/>
  <c r="M20" i="16"/>
  <c r="H54" i="13"/>
  <c r="J65" i="13"/>
  <c r="R313" i="1"/>
  <c r="M22" i="16"/>
  <c r="D8" i="8"/>
  <c r="E35" i="8"/>
  <c r="F35" i="8"/>
  <c r="G35" i="8"/>
  <c r="H35" i="8"/>
  <c r="I35" i="8"/>
  <c r="J35" i="8"/>
  <c r="K35" i="8"/>
  <c r="L35" i="8"/>
  <c r="M35" i="8"/>
  <c r="N35" i="8"/>
  <c r="O35" i="8"/>
  <c r="P35" i="8"/>
  <c r="Q10" i="12" l="1"/>
  <c r="D61" i="8"/>
  <c r="D67" i="8"/>
  <c r="D73" i="8"/>
  <c r="D79" i="8"/>
  <c r="H66" i="13"/>
  <c r="I54" i="13"/>
  <c r="O45" i="9"/>
  <c r="O44" i="9"/>
  <c r="O43" i="9"/>
  <c r="N33" i="9"/>
  <c r="N38" i="9" s="1"/>
  <c r="M33" i="9"/>
  <c r="L33" i="9"/>
  <c r="K33" i="9"/>
  <c r="J33" i="9"/>
  <c r="I33" i="9"/>
  <c r="H33" i="9"/>
  <c r="G33" i="9"/>
  <c r="F33" i="9"/>
  <c r="E33" i="9"/>
  <c r="D33" i="9"/>
  <c r="P22" i="9"/>
  <c r="O22" i="9"/>
  <c r="N22" i="9"/>
  <c r="M22" i="9"/>
  <c r="L22" i="9"/>
  <c r="K22" i="9"/>
  <c r="J22" i="9"/>
  <c r="I22" i="9"/>
  <c r="H22" i="9"/>
  <c r="R15" i="9"/>
  <c r="F9" i="9"/>
  <c r="E9" i="9"/>
  <c r="D9" i="9"/>
  <c r="G96" i="8"/>
  <c r="F96" i="8"/>
  <c r="E96" i="8"/>
  <c r="B94" i="8"/>
  <c r="D38" i="8"/>
  <c r="P37" i="8"/>
  <c r="O37" i="8"/>
  <c r="N37" i="8"/>
  <c r="M37" i="8"/>
  <c r="L37" i="8"/>
  <c r="K37" i="8"/>
  <c r="J37" i="8"/>
  <c r="I37" i="8"/>
  <c r="H37" i="8"/>
  <c r="D36" i="8"/>
  <c r="H32" i="8"/>
  <c r="G26" i="8"/>
  <c r="G14" i="8"/>
  <c r="E32" i="8"/>
  <c r="E38" i="8" s="1"/>
  <c r="D15" i="8"/>
  <c r="D16" i="8" s="1"/>
  <c r="D37" i="8"/>
  <c r="S9" i="8"/>
  <c r="S11" i="8" s="1"/>
  <c r="D95" i="8"/>
  <c r="F4" i="8"/>
  <c r="D85" i="8" l="1"/>
  <c r="D87" i="8" s="1"/>
  <c r="E45" i="14"/>
  <c r="E47" i="14" s="1"/>
  <c r="F45" i="14"/>
  <c r="I10" i="9"/>
  <c r="J54" i="13"/>
  <c r="I66" i="13"/>
  <c r="E11" i="9"/>
  <c r="D98" i="8"/>
  <c r="P38" i="8"/>
  <c r="D39" i="8"/>
  <c r="F49" i="14" s="1"/>
  <c r="D11" i="9"/>
  <c r="F11" i="9"/>
  <c r="S17" i="9"/>
  <c r="D18" i="8"/>
  <c r="G20" i="8"/>
  <c r="I20" i="8"/>
  <c r="I32" i="8"/>
  <c r="E8" i="8"/>
  <c r="F20" i="8"/>
  <c r="G32" i="8"/>
  <c r="H20" i="8"/>
  <c r="I26" i="8"/>
  <c r="J32" i="8"/>
  <c r="F32" i="8"/>
  <c r="J26" i="8"/>
  <c r="H14" i="8"/>
  <c r="I14" i="8"/>
  <c r="J14" i="8"/>
  <c r="F26" i="8"/>
  <c r="H26" i="8"/>
  <c r="J20" i="8"/>
  <c r="F47" i="14" l="1"/>
  <c r="F51" i="14" s="1"/>
  <c r="F52" i="14" s="1"/>
  <c r="F54" i="14" s="1"/>
  <c r="E61" i="8"/>
  <c r="E67" i="8"/>
  <c r="E73" i="8"/>
  <c r="E79" i="8"/>
  <c r="G38" i="8"/>
  <c r="I39" i="14" s="1"/>
  <c r="I40" i="14" s="1"/>
  <c r="H45" i="14"/>
  <c r="H47" i="14" s="1"/>
  <c r="H55" i="13"/>
  <c r="J66" i="13"/>
  <c r="H38" i="8"/>
  <c r="F14" i="8"/>
  <c r="F38" i="8" s="1"/>
  <c r="H39" i="14" s="1"/>
  <c r="H40" i="14" s="1"/>
  <c r="N38" i="8"/>
  <c r="R182" i="1" s="1"/>
  <c r="J38" i="8"/>
  <c r="O38" i="8"/>
  <c r="D21" i="8"/>
  <c r="D24" i="8" s="1"/>
  <c r="K38" i="8"/>
  <c r="I24" i="19" s="1"/>
  <c r="I11" i="19" s="1"/>
  <c r="T48" i="8"/>
  <c r="M38" i="8"/>
  <c r="K24" i="19" s="1"/>
  <c r="K11" i="19" s="1"/>
  <c r="I38" i="8"/>
  <c r="E95" i="8"/>
  <c r="E98" i="8" s="1"/>
  <c r="F8" i="8"/>
  <c r="L38" i="8"/>
  <c r="J24" i="19" s="1"/>
  <c r="J11" i="19" s="1"/>
  <c r="F61" i="8" l="1"/>
  <c r="F67" i="8"/>
  <c r="F73" i="8"/>
  <c r="F79" i="8"/>
  <c r="E85" i="8"/>
  <c r="G45" i="14"/>
  <c r="L45" i="14"/>
  <c r="L47" i="14" s="1"/>
  <c r="L51" i="14" s="1"/>
  <c r="K45" i="14"/>
  <c r="J45" i="14"/>
  <c r="M45" i="14"/>
  <c r="M47" i="14" s="1"/>
  <c r="M51" i="14" s="1"/>
  <c r="P182" i="1"/>
  <c r="N45" i="14"/>
  <c r="N47" i="14" s="1"/>
  <c r="N51" i="14" s="1"/>
  <c r="Q182" i="1"/>
  <c r="H51" i="14"/>
  <c r="I45" i="14"/>
  <c r="H67" i="13"/>
  <c r="I55" i="13"/>
  <c r="Q38" i="8"/>
  <c r="F95" i="8"/>
  <c r="F98" i="8" s="1"/>
  <c r="G8" i="8"/>
  <c r="D27" i="8"/>
  <c r="D30" i="8" s="1"/>
  <c r="D22" i="8"/>
  <c r="J47" i="14" l="1"/>
  <c r="J51" i="14" s="1"/>
  <c r="K47" i="14"/>
  <c r="K51" i="14" s="1"/>
  <c r="I47" i="14"/>
  <c r="I51" i="14" s="1"/>
  <c r="G47" i="14"/>
  <c r="G51" i="14" s="1"/>
  <c r="M10" i="9"/>
  <c r="J10" i="9"/>
  <c r="L10" i="9"/>
  <c r="O10" i="9"/>
  <c r="E87" i="8"/>
  <c r="F85" i="8"/>
  <c r="G61" i="8"/>
  <c r="G67" i="8"/>
  <c r="G73" i="8"/>
  <c r="G79" i="8"/>
  <c r="J55" i="13"/>
  <c r="I67" i="13"/>
  <c r="D28" i="8"/>
  <c r="G95" i="8"/>
  <c r="H8" i="8"/>
  <c r="D33" i="8"/>
  <c r="G85" i="8" l="1"/>
  <c r="H61" i="8"/>
  <c r="H67" i="8"/>
  <c r="H73" i="8"/>
  <c r="H79" i="8"/>
  <c r="H56" i="13"/>
  <c r="J67" i="13"/>
  <c r="D34" i="8"/>
  <c r="D40" i="8" s="1"/>
  <c r="E36" i="8"/>
  <c r="I8" i="8"/>
  <c r="H95" i="8"/>
  <c r="H85" i="8" l="1"/>
  <c r="I61" i="8"/>
  <c r="I67" i="8"/>
  <c r="I73" i="8"/>
  <c r="I79" i="8"/>
  <c r="H68" i="13"/>
  <c r="I56" i="13"/>
  <c r="D42" i="8"/>
  <c r="I95" i="8"/>
  <c r="J8" i="8"/>
  <c r="B10" i="19" l="1"/>
  <c r="B12" i="19" s="1"/>
  <c r="I85" i="8"/>
  <c r="J61" i="8"/>
  <c r="J67" i="8"/>
  <c r="J73" i="8"/>
  <c r="J79" i="8"/>
  <c r="J56" i="13"/>
  <c r="I68" i="13"/>
  <c r="K8" i="8"/>
  <c r="J95" i="8"/>
  <c r="K61" i="8" l="1"/>
  <c r="K67" i="8"/>
  <c r="K73" i="8"/>
  <c r="K79" i="8"/>
  <c r="J85" i="8"/>
  <c r="H57" i="13"/>
  <c r="J68" i="13"/>
  <c r="K95" i="8"/>
  <c r="L8" i="8"/>
  <c r="K85" i="8" l="1"/>
  <c r="P95" i="1" s="1"/>
  <c r="L61" i="8"/>
  <c r="L67" i="8"/>
  <c r="L73" i="8"/>
  <c r="L79" i="8"/>
  <c r="H69" i="13"/>
  <c r="I57" i="13"/>
  <c r="L95" i="8"/>
  <c r="M8" i="8"/>
  <c r="L85" i="8" l="1"/>
  <c r="Q95" i="1" s="1"/>
  <c r="M61" i="8"/>
  <c r="M67" i="8"/>
  <c r="M73" i="8"/>
  <c r="M79" i="8"/>
  <c r="J57" i="13"/>
  <c r="J69" i="13" s="1"/>
  <c r="I69" i="13"/>
  <c r="M95" i="8"/>
  <c r="N8" i="8"/>
  <c r="M85" i="8" l="1"/>
  <c r="R95" i="1" s="1"/>
  <c r="N61" i="8"/>
  <c r="N67" i="8"/>
  <c r="N73" i="8"/>
  <c r="N79" i="8"/>
  <c r="N95" i="8"/>
  <c r="O95" i="8" s="1"/>
  <c r="P95" i="8" s="1"/>
  <c r="O8" i="8"/>
  <c r="N85" i="8" l="1"/>
  <c r="P8" i="8"/>
  <c r="O61" i="8"/>
  <c r="O67" i="8"/>
  <c r="O73" i="8"/>
  <c r="O79" i="8"/>
  <c r="D22" i="9"/>
  <c r="O85" i="8" l="1"/>
  <c r="P61" i="8"/>
  <c r="P73" i="8"/>
  <c r="P67" i="8"/>
  <c r="P79" i="8"/>
  <c r="D28" i="9"/>
  <c r="D34" i="9" s="1"/>
  <c r="D8" i="9"/>
  <c r="D12" i="9" s="1"/>
  <c r="P85" i="8" l="1"/>
  <c r="D38" i="9"/>
  <c r="E9" i="1" l="1"/>
  <c r="E147" i="1" s="1"/>
  <c r="E250" i="1" s="1"/>
  <c r="E402" i="1" s="1"/>
  <c r="E486" i="1" s="1"/>
  <c r="E527" i="1" s="1"/>
  <c r="E10" i="1"/>
  <c r="E148" i="1" s="1"/>
  <c r="E251" i="1" s="1"/>
  <c r="B14" i="1"/>
  <c r="B20" i="1" s="1"/>
  <c r="C20" i="1"/>
  <c r="D20" i="1"/>
  <c r="E20" i="1"/>
  <c r="F20" i="1"/>
  <c r="G20" i="1"/>
  <c r="H20" i="1"/>
  <c r="I22" i="1" s="1"/>
  <c r="C37" i="1"/>
  <c r="D37" i="1"/>
  <c r="E37" i="1"/>
  <c r="F37" i="1"/>
  <c r="G37" i="1"/>
  <c r="P37" i="1"/>
  <c r="Q37" i="1"/>
  <c r="R37" i="1"/>
  <c r="C44" i="1"/>
  <c r="D44" i="1"/>
  <c r="E44" i="1"/>
  <c r="F44" i="1"/>
  <c r="G44" i="1"/>
  <c r="H44" i="1"/>
  <c r="P44" i="1"/>
  <c r="Q44" i="1"/>
  <c r="R44" i="1"/>
  <c r="D57" i="1"/>
  <c r="E57" i="1"/>
  <c r="F57" i="1"/>
  <c r="G57" i="1"/>
  <c r="H57" i="1"/>
  <c r="I57" i="1"/>
  <c r="P57" i="1"/>
  <c r="Q57" i="1"/>
  <c r="R57" i="1"/>
  <c r="D58" i="1"/>
  <c r="F58" i="1"/>
  <c r="G58" i="1"/>
  <c r="H58" i="1"/>
  <c r="I58" i="1"/>
  <c r="P58" i="1"/>
  <c r="Q58" i="1"/>
  <c r="R58" i="1"/>
  <c r="D59" i="1"/>
  <c r="C109" i="1"/>
  <c r="D109" i="1"/>
  <c r="E109" i="1"/>
  <c r="F109" i="1"/>
  <c r="G109" i="1"/>
  <c r="H109" i="1"/>
  <c r="C117" i="1"/>
  <c r="D117" i="1"/>
  <c r="E117" i="1"/>
  <c r="F117" i="1"/>
  <c r="G117" i="1"/>
  <c r="H117" i="1"/>
  <c r="P117" i="1"/>
  <c r="Q117" i="1"/>
  <c r="R117" i="1"/>
  <c r="A144" i="1"/>
  <c r="C146" i="1"/>
  <c r="D146" i="1"/>
  <c r="D249" i="1" s="1"/>
  <c r="D401" i="1" s="1"/>
  <c r="D485" i="1" s="1"/>
  <c r="D526" i="1" s="1"/>
  <c r="E146" i="1"/>
  <c r="E249" i="1" s="1"/>
  <c r="E401" i="1" s="1"/>
  <c r="E485" i="1" s="1"/>
  <c r="E526" i="1" s="1"/>
  <c r="F146" i="1"/>
  <c r="F249" i="1" s="1"/>
  <c r="F401" i="1" s="1"/>
  <c r="F485" i="1" s="1"/>
  <c r="F526" i="1" s="1"/>
  <c r="G146" i="1"/>
  <c r="G249" i="1" s="1"/>
  <c r="G401" i="1" s="1"/>
  <c r="G485" i="1" s="1"/>
  <c r="G526" i="1" s="1"/>
  <c r="H146" i="1"/>
  <c r="H249" i="1" s="1"/>
  <c r="H401" i="1" s="1"/>
  <c r="H485" i="1" s="1"/>
  <c r="H526" i="1" s="1"/>
  <c r="I146" i="1"/>
  <c r="P146" i="1"/>
  <c r="P249" i="1" s="1"/>
  <c r="P401" i="1" s="1"/>
  <c r="P485" i="1" s="1"/>
  <c r="P526" i="1" s="1"/>
  <c r="Q146" i="1"/>
  <c r="Q249" i="1" s="1"/>
  <c r="Q401" i="1" s="1"/>
  <c r="Q485" i="1" s="1"/>
  <c r="Q526" i="1" s="1"/>
  <c r="R146" i="1"/>
  <c r="R249" i="1" s="1"/>
  <c r="R401" i="1" s="1"/>
  <c r="R485" i="1" s="1"/>
  <c r="R526" i="1" s="1"/>
  <c r="D147" i="1"/>
  <c r="D250" i="1" s="1"/>
  <c r="D402" i="1" s="1"/>
  <c r="D486" i="1" s="1"/>
  <c r="D527" i="1" s="1"/>
  <c r="F147" i="1"/>
  <c r="F250" i="1" s="1"/>
  <c r="F402" i="1" s="1"/>
  <c r="F486" i="1" s="1"/>
  <c r="F527" i="1" s="1"/>
  <c r="G147" i="1"/>
  <c r="G250" i="1" s="1"/>
  <c r="G402" i="1" s="1"/>
  <c r="G486" i="1" s="1"/>
  <c r="G527" i="1" s="1"/>
  <c r="H147" i="1"/>
  <c r="H250" i="1" s="1"/>
  <c r="H402" i="1" s="1"/>
  <c r="H486" i="1" s="1"/>
  <c r="H527" i="1" s="1"/>
  <c r="P147" i="1"/>
  <c r="P250" i="1" s="1"/>
  <c r="P402" i="1" s="1"/>
  <c r="P486" i="1" s="1"/>
  <c r="P527" i="1" s="1"/>
  <c r="Q147" i="1"/>
  <c r="Q250" i="1" s="1"/>
  <c r="Q402" i="1" s="1"/>
  <c r="Q486" i="1" s="1"/>
  <c r="Q527" i="1" s="1"/>
  <c r="R147" i="1"/>
  <c r="R250" i="1" s="1"/>
  <c r="R402" i="1" s="1"/>
  <c r="R486" i="1" s="1"/>
  <c r="R527" i="1" s="1"/>
  <c r="C148" i="1"/>
  <c r="D148" i="1"/>
  <c r="D251" i="1" s="1"/>
  <c r="D403" i="1" s="1"/>
  <c r="K166" i="1"/>
  <c r="C166" i="1"/>
  <c r="D166" i="1"/>
  <c r="E166" i="1"/>
  <c r="F166" i="1"/>
  <c r="F167" i="1" s="1"/>
  <c r="G166" i="1"/>
  <c r="G167" i="1" s="1"/>
  <c r="H166" i="1"/>
  <c r="F182" i="1"/>
  <c r="E186" i="1"/>
  <c r="E194" i="1" s="1"/>
  <c r="E469" i="1" s="1"/>
  <c r="D187" i="1"/>
  <c r="P188" i="1"/>
  <c r="D189" i="1"/>
  <c r="F189" i="1"/>
  <c r="G189" i="1" s="1"/>
  <c r="D190" i="1"/>
  <c r="C194" i="1"/>
  <c r="D207" i="1"/>
  <c r="E207" i="1"/>
  <c r="D209" i="1"/>
  <c r="E209" i="1"/>
  <c r="G209" i="1"/>
  <c r="G221" i="1" s="1"/>
  <c r="D218" i="1"/>
  <c r="E218" i="1"/>
  <c r="C221" i="1"/>
  <c r="F221" i="1"/>
  <c r="H221" i="1"/>
  <c r="C231" i="1"/>
  <c r="C241" i="1" s="1"/>
  <c r="G235" i="1"/>
  <c r="G241" i="1" s="1"/>
  <c r="I544" i="1"/>
  <c r="D241" i="1"/>
  <c r="D358" i="1" s="1"/>
  <c r="E241" i="1"/>
  <c r="E358" i="1" s="1"/>
  <c r="F241" i="1"/>
  <c r="F358" i="1" s="1"/>
  <c r="H241" i="1"/>
  <c r="H358" i="1" s="1"/>
  <c r="D254" i="1"/>
  <c r="E254" i="1"/>
  <c r="F254" i="1"/>
  <c r="G254" i="1"/>
  <c r="F266" i="1"/>
  <c r="F431" i="1" s="1"/>
  <c r="F432" i="1" s="1"/>
  <c r="G266" i="1"/>
  <c r="G431" i="1" s="1"/>
  <c r="D282" i="1"/>
  <c r="D588" i="1" s="1"/>
  <c r="E282" i="1"/>
  <c r="E423" i="1" s="1"/>
  <c r="D284" i="1"/>
  <c r="D589" i="1" s="1"/>
  <c r="E284" i="1"/>
  <c r="F284" i="1"/>
  <c r="F426" i="1" s="1"/>
  <c r="G284" i="1"/>
  <c r="G426" i="1" s="1"/>
  <c r="H284" i="1"/>
  <c r="H426" i="1" s="1"/>
  <c r="P284" i="1"/>
  <c r="P426" i="1" s="1"/>
  <c r="Q284" i="1"/>
  <c r="Q426" i="1" s="1"/>
  <c r="R284" i="1"/>
  <c r="R426" i="1" s="1"/>
  <c r="D295" i="1"/>
  <c r="E296" i="1"/>
  <c r="F296" i="1"/>
  <c r="F295" i="1" s="1"/>
  <c r="G296" i="1"/>
  <c r="E297" i="1"/>
  <c r="E298" i="1"/>
  <c r="D305" i="1"/>
  <c r="D315" i="1" s="1"/>
  <c r="E305" i="1"/>
  <c r="E315" i="1" s="1"/>
  <c r="F305" i="1"/>
  <c r="G305" i="1"/>
  <c r="H305" i="1"/>
  <c r="G306" i="1"/>
  <c r="G307" i="1"/>
  <c r="G308" i="1"/>
  <c r="G309" i="1"/>
  <c r="G310" i="1"/>
  <c r="F329" i="1"/>
  <c r="G329" i="1"/>
  <c r="D334" i="1"/>
  <c r="E339" i="1"/>
  <c r="F339" i="1"/>
  <c r="G339" i="1"/>
  <c r="D340" i="1"/>
  <c r="E340" i="1"/>
  <c r="D341" i="1"/>
  <c r="E341" i="1"/>
  <c r="F341" i="1"/>
  <c r="G341" i="1"/>
  <c r="D342" i="1"/>
  <c r="E342" i="1"/>
  <c r="G342" i="1"/>
  <c r="H346" i="1"/>
  <c r="I559" i="1" s="1"/>
  <c r="A399" i="1"/>
  <c r="D409" i="1"/>
  <c r="E409" i="1"/>
  <c r="F409" i="1"/>
  <c r="G409" i="1"/>
  <c r="H409" i="1"/>
  <c r="I409" i="1"/>
  <c r="P409" i="1"/>
  <c r="Q409" i="1"/>
  <c r="R409" i="1"/>
  <c r="D412" i="1"/>
  <c r="E412" i="1"/>
  <c r="F412" i="1"/>
  <c r="G412" i="1"/>
  <c r="H412" i="1"/>
  <c r="D420" i="1"/>
  <c r="E420" i="1"/>
  <c r="F420" i="1"/>
  <c r="G420" i="1"/>
  <c r="H420" i="1"/>
  <c r="I420" i="1"/>
  <c r="P420" i="1"/>
  <c r="Q420" i="1"/>
  <c r="R420" i="1"/>
  <c r="F423" i="1"/>
  <c r="G423" i="1"/>
  <c r="H423" i="1"/>
  <c r="I423" i="1"/>
  <c r="P423" i="1"/>
  <c r="Q423" i="1"/>
  <c r="R423" i="1"/>
  <c r="D431" i="1"/>
  <c r="D432" i="1" s="1"/>
  <c r="E431" i="1"/>
  <c r="E432" i="1" s="1"/>
  <c r="H431" i="1"/>
  <c r="H432" i="1" s="1"/>
  <c r="D435" i="1"/>
  <c r="E435" i="1"/>
  <c r="F435" i="1"/>
  <c r="G435" i="1"/>
  <c r="H435" i="1"/>
  <c r="I435" i="1"/>
  <c r="P435" i="1"/>
  <c r="Q435" i="1"/>
  <c r="R435" i="1"/>
  <c r="D438" i="1"/>
  <c r="E438" i="1"/>
  <c r="F438" i="1"/>
  <c r="G438" i="1"/>
  <c r="H438" i="1"/>
  <c r="I438" i="1"/>
  <c r="P438" i="1"/>
  <c r="Q438" i="1"/>
  <c r="R438" i="1"/>
  <c r="H444" i="1"/>
  <c r="D455" i="1"/>
  <c r="E455" i="1"/>
  <c r="F455" i="1"/>
  <c r="G455" i="1"/>
  <c r="H455" i="1"/>
  <c r="D458" i="1"/>
  <c r="E458" i="1"/>
  <c r="F458" i="1"/>
  <c r="G458" i="1"/>
  <c r="H458" i="1"/>
  <c r="D460" i="1"/>
  <c r="E460" i="1"/>
  <c r="F460" i="1"/>
  <c r="G460" i="1"/>
  <c r="H460" i="1"/>
  <c r="I460" i="1"/>
  <c r="P460" i="1"/>
  <c r="Q460" i="1"/>
  <c r="R460" i="1"/>
  <c r="A483" i="1"/>
  <c r="A525" i="1"/>
  <c r="D533" i="1"/>
  <c r="E533" i="1"/>
  <c r="F533" i="1"/>
  <c r="G533" i="1"/>
  <c r="H533" i="1"/>
  <c r="E535" i="1"/>
  <c r="F535" i="1"/>
  <c r="G535" i="1"/>
  <c r="H535" i="1"/>
  <c r="I535" i="1"/>
  <c r="P535" i="1"/>
  <c r="Q535" i="1"/>
  <c r="R535" i="1"/>
  <c r="D561" i="1"/>
  <c r="E561" i="1"/>
  <c r="F561" i="1"/>
  <c r="G561" i="1"/>
  <c r="H561" i="1"/>
  <c r="I561" i="1"/>
  <c r="P561" i="1"/>
  <c r="Q561" i="1"/>
  <c r="R561" i="1"/>
  <c r="D563" i="1"/>
  <c r="E563" i="1"/>
  <c r="F563" i="1"/>
  <c r="G563" i="1"/>
  <c r="H563" i="1"/>
  <c r="I563" i="1"/>
  <c r="P563" i="1"/>
  <c r="Q563" i="1"/>
  <c r="R563" i="1"/>
  <c r="D587" i="1"/>
  <c r="E587" i="1"/>
  <c r="F587" i="1"/>
  <c r="G587" i="1"/>
  <c r="H587" i="1"/>
  <c r="G588" i="1"/>
  <c r="H588" i="1"/>
  <c r="I588" i="1"/>
  <c r="P588" i="1"/>
  <c r="Q588" i="1"/>
  <c r="R588" i="1"/>
  <c r="D593" i="1"/>
  <c r="E593" i="1"/>
  <c r="F593" i="1"/>
  <c r="G593" i="1"/>
  <c r="H593" i="1"/>
  <c r="I593" i="1"/>
  <c r="P593" i="1"/>
  <c r="Q593" i="1"/>
  <c r="R593" i="1"/>
  <c r="G315" i="1" l="1"/>
  <c r="G541" i="1"/>
  <c r="G557" i="1"/>
  <c r="F315" i="1"/>
  <c r="F557" i="1"/>
  <c r="F541" i="1"/>
  <c r="H167" i="1"/>
  <c r="I167" i="1"/>
  <c r="K167" i="1"/>
  <c r="L581" i="1"/>
  <c r="L167" i="1"/>
  <c r="H315" i="1"/>
  <c r="H541" i="1"/>
  <c r="H557" i="1"/>
  <c r="I541" i="1"/>
  <c r="I557" i="1"/>
  <c r="K581" i="1"/>
  <c r="H55" i="1"/>
  <c r="H65" i="1" s="1"/>
  <c r="H70" i="1" s="1"/>
  <c r="H75" i="1" s="1"/>
  <c r="H80" i="1" s="1"/>
  <c r="H85" i="1" s="1"/>
  <c r="H456" i="1" s="1"/>
  <c r="D55" i="1"/>
  <c r="D65" i="1" s="1"/>
  <c r="D70" i="1" s="1"/>
  <c r="D75" i="1" s="1"/>
  <c r="D80" i="1" s="1"/>
  <c r="D85" i="1" s="1"/>
  <c r="D87" i="1" s="1"/>
  <c r="D102" i="1" s="1"/>
  <c r="E59" i="1"/>
  <c r="G55" i="1"/>
  <c r="G65" i="1" s="1"/>
  <c r="G70" i="1" s="1"/>
  <c r="G75" i="1" s="1"/>
  <c r="G80" i="1" s="1"/>
  <c r="G85" i="1" s="1"/>
  <c r="G456" i="1" s="1"/>
  <c r="C55" i="1"/>
  <c r="C65" i="1" s="1"/>
  <c r="C70" i="1" s="1"/>
  <c r="C75" i="1" s="1"/>
  <c r="C80" i="1" s="1"/>
  <c r="C85" i="1" s="1"/>
  <c r="C87" i="1" s="1"/>
  <c r="C102" i="1" s="1"/>
  <c r="I250" i="1"/>
  <c r="I402" i="1" s="1"/>
  <c r="I486" i="1" s="1"/>
  <c r="I527" i="1" s="1"/>
  <c r="F55" i="1"/>
  <c r="F65" i="1" s="1"/>
  <c r="F70" i="1" s="1"/>
  <c r="F75" i="1" s="1"/>
  <c r="F80" i="1" s="1"/>
  <c r="F85" i="1" s="1"/>
  <c r="F87" i="1" s="1"/>
  <c r="F102" i="1" s="1"/>
  <c r="I249" i="1"/>
  <c r="I401" i="1" s="1"/>
  <c r="I485" i="1" s="1"/>
  <c r="I526" i="1" s="1"/>
  <c r="E58" i="1"/>
  <c r="D426" i="1"/>
  <c r="Q188" i="1"/>
  <c r="F186" i="1"/>
  <c r="F194" i="1" s="1"/>
  <c r="F196" i="1" s="1"/>
  <c r="H189" i="1"/>
  <c r="H194" i="1" s="1"/>
  <c r="G194" i="1"/>
  <c r="G196" i="1" s="1"/>
  <c r="G466" i="1"/>
  <c r="G468" i="1" s="1"/>
  <c r="Q589" i="1"/>
  <c r="E589" i="1"/>
  <c r="C8" i="11"/>
  <c r="C7" i="11"/>
  <c r="C6" i="11"/>
  <c r="G583" i="1"/>
  <c r="D583" i="1"/>
  <c r="E55" i="1"/>
  <c r="E65" i="1" s="1"/>
  <c r="E70" i="1" s="1"/>
  <c r="E75" i="1" s="1"/>
  <c r="E80" i="1" s="1"/>
  <c r="E85" i="1" s="1"/>
  <c r="E87" i="1" s="1"/>
  <c r="E102" i="1" s="1"/>
  <c r="E591" i="1"/>
  <c r="D338" i="1"/>
  <c r="D346" i="1" s="1"/>
  <c r="D559" i="1" s="1"/>
  <c r="D423" i="1"/>
  <c r="D591" i="1"/>
  <c r="I458" i="1"/>
  <c r="D22" i="1"/>
  <c r="E426" i="1"/>
  <c r="F591" i="1"/>
  <c r="F22" i="1"/>
  <c r="D581" i="1"/>
  <c r="G22" i="1"/>
  <c r="F300" i="1"/>
  <c r="D186" i="1"/>
  <c r="D194" i="1" s="1"/>
  <c r="F346" i="1"/>
  <c r="F559" i="1" s="1"/>
  <c r="E588" i="1"/>
  <c r="H581" i="1"/>
  <c r="G581" i="1"/>
  <c r="G591" i="1"/>
  <c r="G121" i="1"/>
  <c r="H22" i="1"/>
  <c r="E403" i="1"/>
  <c r="E487" i="1"/>
  <c r="E528" i="1" s="1"/>
  <c r="F581" i="1"/>
  <c r="R589" i="1"/>
  <c r="E22" i="1"/>
  <c r="P589" i="1"/>
  <c r="F444" i="1"/>
  <c r="F446" i="1" s="1"/>
  <c r="F589" i="1"/>
  <c r="H121" i="1"/>
  <c r="E466" i="1"/>
  <c r="E468" i="1" s="1"/>
  <c r="D535" i="1"/>
  <c r="F121" i="1"/>
  <c r="E121" i="1"/>
  <c r="D121" i="1"/>
  <c r="F10" i="1"/>
  <c r="C121" i="1"/>
  <c r="E221" i="1"/>
  <c r="F537" i="1" s="1"/>
  <c r="H446" i="1"/>
  <c r="H583" i="1"/>
  <c r="D300" i="1"/>
  <c r="D447" i="1" s="1"/>
  <c r="G338" i="1"/>
  <c r="G346" i="1" s="1"/>
  <c r="F583" i="1"/>
  <c r="D487" i="1"/>
  <c r="D528" i="1" s="1"/>
  <c r="E583" i="1"/>
  <c r="I589" i="1"/>
  <c r="H300" i="1"/>
  <c r="H589" i="1"/>
  <c r="I426" i="1"/>
  <c r="C196" i="1"/>
  <c r="C224" i="1" s="1"/>
  <c r="C243" i="1" s="1"/>
  <c r="C245" i="1" s="1"/>
  <c r="E295" i="1"/>
  <c r="E444" i="1" s="1"/>
  <c r="D594" i="1"/>
  <c r="H591" i="1"/>
  <c r="G589" i="1"/>
  <c r="F588" i="1"/>
  <c r="G432" i="1"/>
  <c r="E196" i="1"/>
  <c r="E581" i="1"/>
  <c r="D444" i="1"/>
  <c r="B22" i="1"/>
  <c r="C22" i="1"/>
  <c r="H537" i="1"/>
  <c r="G537" i="1"/>
  <c r="E338" i="1"/>
  <c r="E346" i="1" s="1"/>
  <c r="H552" i="1"/>
  <c r="G552" i="1"/>
  <c r="K458" i="1"/>
  <c r="G358" i="1"/>
  <c r="E557" i="1"/>
  <c r="D221" i="1"/>
  <c r="D557" i="1"/>
  <c r="F594" i="1" l="1"/>
  <c r="F447" i="1"/>
  <c r="G495" i="1"/>
  <c r="G471" i="1"/>
  <c r="H594" i="1"/>
  <c r="G594" i="1"/>
  <c r="F424" i="1"/>
  <c r="K426" i="1"/>
  <c r="G427" i="1"/>
  <c r="G87" i="1"/>
  <c r="G102" i="1" s="1"/>
  <c r="G140" i="1" s="1"/>
  <c r="G424" i="1"/>
  <c r="D456" i="1"/>
  <c r="H424" i="1"/>
  <c r="H87" i="1"/>
  <c r="H88" i="1" s="1"/>
  <c r="H89" i="1" s="1"/>
  <c r="H427" i="1"/>
  <c r="I466" i="1"/>
  <c r="E456" i="1"/>
  <c r="F466" i="1"/>
  <c r="F468" i="1" s="1"/>
  <c r="F448" i="1"/>
  <c r="H466" i="1"/>
  <c r="H468" i="1" s="1"/>
  <c r="H491" i="1"/>
  <c r="H500" i="1" s="1"/>
  <c r="R188" i="1"/>
  <c r="F224" i="1"/>
  <c r="F243" i="1" s="1"/>
  <c r="F354" i="1" s="1"/>
  <c r="G224" i="1"/>
  <c r="G243" i="1" s="1"/>
  <c r="G354" i="1" s="1"/>
  <c r="F124" i="1"/>
  <c r="F128" i="1" s="1"/>
  <c r="F133" i="1" s="1"/>
  <c r="F137" i="1" s="1"/>
  <c r="F140" i="1"/>
  <c r="I552" i="1"/>
  <c r="I581" i="1"/>
  <c r="I7" i="11"/>
  <c r="I6" i="11"/>
  <c r="I8" i="11"/>
  <c r="D595" i="1"/>
  <c r="D446" i="1"/>
  <c r="D491" i="1" s="1"/>
  <c r="D500" i="1" s="1"/>
  <c r="C124" i="1"/>
  <c r="C128" i="1" s="1"/>
  <c r="C133" i="1" s="1"/>
  <c r="C137" i="1" s="1"/>
  <c r="F552" i="1"/>
  <c r="E446" i="1"/>
  <c r="E491" i="1" s="1"/>
  <c r="E224" i="1"/>
  <c r="E366" i="1" s="1"/>
  <c r="D466" i="1"/>
  <c r="D468" i="1" s="1"/>
  <c r="D573" i="1" s="1"/>
  <c r="F469" i="1"/>
  <c r="F353" i="1"/>
  <c r="F355" i="1" s="1"/>
  <c r="D196" i="1"/>
  <c r="D361" i="1" s="1"/>
  <c r="D509" i="1" s="1"/>
  <c r="D469" i="1"/>
  <c r="G559" i="1"/>
  <c r="G565" i="1" s="1"/>
  <c r="F148" i="1"/>
  <c r="F251" i="1" s="1"/>
  <c r="G10" i="1"/>
  <c r="F59" i="1"/>
  <c r="D124" i="1"/>
  <c r="D128" i="1" s="1"/>
  <c r="G469" i="1"/>
  <c r="G470" i="1" s="1"/>
  <c r="E124" i="1"/>
  <c r="E128" i="1" s="1"/>
  <c r="E531" i="1" s="1"/>
  <c r="F595" i="1"/>
  <c r="H559" i="1"/>
  <c r="H565" i="1" s="1"/>
  <c r="H447" i="1"/>
  <c r="H448" i="1" s="1"/>
  <c r="H353" i="1"/>
  <c r="E594" i="1"/>
  <c r="E595" i="1" s="1"/>
  <c r="E300" i="1"/>
  <c r="E447" i="1" s="1"/>
  <c r="F456" i="1"/>
  <c r="D353" i="1"/>
  <c r="E495" i="1"/>
  <c r="P106" i="1"/>
  <c r="I583" i="1"/>
  <c r="F363" i="1"/>
  <c r="F427" i="1"/>
  <c r="E559" i="1"/>
  <c r="F364" i="1"/>
  <c r="D552" i="1"/>
  <c r="D565" i="1" s="1"/>
  <c r="E552" i="1"/>
  <c r="D537" i="1"/>
  <c r="E537" i="1"/>
  <c r="F361" i="1"/>
  <c r="F509" i="1" s="1"/>
  <c r="F491" i="1"/>
  <c r="I542" i="1"/>
  <c r="L458" i="1"/>
  <c r="I412" i="1"/>
  <c r="I587" i="1"/>
  <c r="M166" i="1"/>
  <c r="G444" i="1"/>
  <c r="G446" i="1" s="1"/>
  <c r="G449" i="1" s="1"/>
  <c r="G595" i="1"/>
  <c r="H595" i="1"/>
  <c r="G300" i="1"/>
  <c r="F495" i="1" l="1"/>
  <c r="F471" i="1"/>
  <c r="F449" i="1"/>
  <c r="F301" i="1"/>
  <c r="M167" i="1"/>
  <c r="M581" i="1"/>
  <c r="N167" i="1"/>
  <c r="N581" i="1"/>
  <c r="H449" i="1"/>
  <c r="H495" i="1"/>
  <c r="H497" i="1" s="1"/>
  <c r="H511" i="1" s="1"/>
  <c r="H471" i="1"/>
  <c r="D363" i="1"/>
  <c r="I196" i="1"/>
  <c r="I224" i="1" s="1"/>
  <c r="I243" i="1" s="1"/>
  <c r="I354" i="1" s="1"/>
  <c r="I355" i="1" s="1"/>
  <c r="G124" i="1"/>
  <c r="G128" i="1" s="1"/>
  <c r="G531" i="1" s="1"/>
  <c r="G546" i="1" s="1"/>
  <c r="G568" i="1" s="1"/>
  <c r="F470" i="1"/>
  <c r="I10" i="11"/>
  <c r="H102" i="1"/>
  <c r="H124" i="1" s="1"/>
  <c r="G9" i="12" s="1"/>
  <c r="F366" i="1"/>
  <c r="F573" i="1"/>
  <c r="G573" i="1"/>
  <c r="G366" i="1"/>
  <c r="H573" i="1"/>
  <c r="E243" i="1"/>
  <c r="E354" i="1" s="1"/>
  <c r="H196" i="1"/>
  <c r="H469" i="1"/>
  <c r="H470" i="1" s="1"/>
  <c r="F531" i="1"/>
  <c r="F546" i="1" s="1"/>
  <c r="I431" i="1"/>
  <c r="C132" i="1"/>
  <c r="D571" i="1"/>
  <c r="E133" i="1"/>
  <c r="E137" i="1" s="1"/>
  <c r="D224" i="1"/>
  <c r="D243" i="1" s="1"/>
  <c r="D354" i="1" s="1"/>
  <c r="E571" i="1"/>
  <c r="F571" i="1"/>
  <c r="D495" i="1"/>
  <c r="D497" i="1" s="1"/>
  <c r="D364" i="1"/>
  <c r="F565" i="1"/>
  <c r="E573" i="1"/>
  <c r="D519" i="1"/>
  <c r="D133" i="1"/>
  <c r="D137" i="1" s="1"/>
  <c r="D531" i="1"/>
  <c r="D546" i="1" s="1"/>
  <c r="D568" i="1" s="1"/>
  <c r="G148" i="1"/>
  <c r="G251" i="1" s="1"/>
  <c r="H10" i="1"/>
  <c r="G59" i="1"/>
  <c r="F403" i="1"/>
  <c r="F487" i="1"/>
  <c r="F528" i="1" s="1"/>
  <c r="E353" i="1"/>
  <c r="E363" i="1"/>
  <c r="E364" i="1"/>
  <c r="E361" i="1"/>
  <c r="E509" i="1" s="1"/>
  <c r="E500" i="1"/>
  <c r="E497" i="1"/>
  <c r="P109" i="1"/>
  <c r="P121" i="1" s="1"/>
  <c r="Q106" i="1"/>
  <c r="E565" i="1"/>
  <c r="F500" i="1"/>
  <c r="F519" i="1" s="1"/>
  <c r="F497" i="1"/>
  <c r="G447" i="1"/>
  <c r="G448" i="1" s="1"/>
  <c r="G364" i="1"/>
  <c r="G363" i="1"/>
  <c r="G361" i="1"/>
  <c r="G509" i="1" s="1"/>
  <c r="G353" i="1"/>
  <c r="G355" i="1" s="1"/>
  <c r="G491" i="1"/>
  <c r="G571" i="1"/>
  <c r="H571" i="1"/>
  <c r="I537" i="1"/>
  <c r="M458" i="1"/>
  <c r="E546" i="1"/>
  <c r="G133" i="1" l="1"/>
  <c r="J466" i="1"/>
  <c r="H140" i="1"/>
  <c r="H128" i="1"/>
  <c r="H531" i="1" s="1"/>
  <c r="H546" i="1" s="1"/>
  <c r="H568" i="1" s="1"/>
  <c r="D366" i="1"/>
  <c r="H224" i="1"/>
  <c r="H363" i="1"/>
  <c r="H361" i="1"/>
  <c r="H509" i="1" s="1"/>
  <c r="H364" i="1"/>
  <c r="F568" i="1"/>
  <c r="G137" i="1"/>
  <c r="G5" i="9"/>
  <c r="G25" i="9" s="1"/>
  <c r="I432" i="1"/>
  <c r="I591" i="1"/>
  <c r="D513" i="1"/>
  <c r="D576" i="1"/>
  <c r="D578" i="1" s="1"/>
  <c r="D511" i="1"/>
  <c r="I10" i="1"/>
  <c r="H148" i="1"/>
  <c r="H251" i="1" s="1"/>
  <c r="H59" i="1"/>
  <c r="G403" i="1"/>
  <c r="G487" i="1"/>
  <c r="G528" i="1" s="1"/>
  <c r="E519" i="1"/>
  <c r="F513" i="1"/>
  <c r="F576" i="1"/>
  <c r="F511" i="1"/>
  <c r="G500" i="1"/>
  <c r="G519" i="1" s="1"/>
  <c r="G497" i="1"/>
  <c r="E513" i="1"/>
  <c r="E511" i="1"/>
  <c r="E576" i="1"/>
  <c r="E568" i="1"/>
  <c r="Q109" i="1"/>
  <c r="Q121" i="1" s="1"/>
  <c r="R106" i="1"/>
  <c r="R109" i="1" s="1"/>
  <c r="R121" i="1" s="1"/>
  <c r="N458" i="1"/>
  <c r="K466" i="1" l="1"/>
  <c r="P339" i="1"/>
  <c r="Q339" i="1" s="1"/>
  <c r="R339" i="1" s="1"/>
  <c r="L466" i="1"/>
  <c r="H133" i="1"/>
  <c r="H5" i="9" s="1"/>
  <c r="H25" i="9" s="1"/>
  <c r="H366" i="1"/>
  <c r="H243" i="1"/>
  <c r="H354" i="1" s="1"/>
  <c r="H355" i="1" s="1"/>
  <c r="F578" i="1"/>
  <c r="H519" i="1"/>
  <c r="H513" i="1"/>
  <c r="H515" i="1" s="1"/>
  <c r="D515" i="1"/>
  <c r="F515" i="1"/>
  <c r="E515" i="1"/>
  <c r="H487" i="1"/>
  <c r="H528" i="1" s="1"/>
  <c r="H403" i="1"/>
  <c r="I59" i="1"/>
  <c r="I148" i="1"/>
  <c r="I251" i="1" s="1"/>
  <c r="Q15" i="1"/>
  <c r="Q20" i="1"/>
  <c r="E578" i="1"/>
  <c r="G511" i="1"/>
  <c r="G513" i="1"/>
  <c r="G576" i="1"/>
  <c r="G578" i="1" s="1"/>
  <c r="H576" i="1"/>
  <c r="H578" i="1" s="1"/>
  <c r="O458" i="1"/>
  <c r="P15" i="1"/>
  <c r="P20" i="1"/>
  <c r="P162" i="1"/>
  <c r="P209" i="1" l="1"/>
  <c r="Q209" i="1" s="1"/>
  <c r="R209" i="1" s="1"/>
  <c r="P341" i="1"/>
  <c r="Q341" i="1" s="1"/>
  <c r="R341" i="1" s="1"/>
  <c r="P295" i="1"/>
  <c r="Q295" i="1" s="1"/>
  <c r="R295" i="1" s="1"/>
  <c r="P334" i="1"/>
  <c r="Q334" i="1" s="1"/>
  <c r="R334" i="1" s="1"/>
  <c r="P218" i="1"/>
  <c r="Q218" i="1" s="1"/>
  <c r="R218" i="1" s="1"/>
  <c r="M466" i="1"/>
  <c r="H137" i="1"/>
  <c r="I403" i="1"/>
  <c r="I487" i="1"/>
  <c r="I528" i="1" s="1"/>
  <c r="Q162" i="1"/>
  <c r="P166" i="1"/>
  <c r="P22" i="1"/>
  <c r="P583" i="1"/>
  <c r="P172" i="1"/>
  <c r="R15" i="1"/>
  <c r="R20" i="1"/>
  <c r="P235" i="1"/>
  <c r="G515" i="1"/>
  <c r="P587" i="1"/>
  <c r="P412" i="1"/>
  <c r="Q22" i="1"/>
  <c r="Q583" i="1"/>
  <c r="Q412" i="1"/>
  <c r="Q587" i="1"/>
  <c r="Q10" i="11" l="1"/>
  <c r="Q266" i="1" s="1"/>
  <c r="Q300" i="1" s="1"/>
  <c r="P581" i="1"/>
  <c r="P100" i="1"/>
  <c r="R412" i="1"/>
  <c r="R587" i="1"/>
  <c r="R162" i="1"/>
  <c r="R166" i="1" s="1"/>
  <c r="R100" i="1" s="1"/>
  <c r="Q166" i="1"/>
  <c r="P458" i="1"/>
  <c r="Q172" i="1"/>
  <c r="Q235" i="1"/>
  <c r="P544" i="1"/>
  <c r="R22" i="1"/>
  <c r="R583" i="1"/>
  <c r="N194" i="1" l="1"/>
  <c r="N466" i="1"/>
  <c r="N468" i="1" s="1"/>
  <c r="R10" i="11"/>
  <c r="R266" i="1" s="1"/>
  <c r="R300" i="1" s="1"/>
  <c r="O466" i="1"/>
  <c r="Q581" i="1"/>
  <c r="Q100" i="1"/>
  <c r="Q431" i="1"/>
  <c r="Q432" i="1" s="1"/>
  <c r="R235" i="1"/>
  <c r="Q544" i="1"/>
  <c r="R581" i="1"/>
  <c r="Q458" i="1"/>
  <c r="R172" i="1"/>
  <c r="N495" i="1" l="1"/>
  <c r="N196" i="1"/>
  <c r="N469" i="1"/>
  <c r="N470" i="1" s="1"/>
  <c r="P189" i="1"/>
  <c r="R431" i="1"/>
  <c r="R591" i="1" s="1"/>
  <c r="R458" i="1"/>
  <c r="R544" i="1"/>
  <c r="Q189" i="1" l="1"/>
  <c r="P466" i="1"/>
  <c r="R432" i="1"/>
  <c r="R189" i="1" l="1"/>
  <c r="R466" i="1" s="1"/>
  <c r="Q466" i="1"/>
  <c r="P10" i="1"/>
  <c r="P148" i="1" l="1"/>
  <c r="P251" i="1" s="1"/>
  <c r="P59" i="1"/>
  <c r="Q10" i="1"/>
  <c r="E60" i="5"/>
  <c r="S17" i="5"/>
  <c r="H17" i="5"/>
  <c r="G17" i="5"/>
  <c r="G19" i="5" s="1"/>
  <c r="R17" i="5"/>
  <c r="R16" i="5"/>
  <c r="Q148" i="1" l="1"/>
  <c r="Q251" i="1" s="1"/>
  <c r="R10" i="1"/>
  <c r="Q59" i="1"/>
  <c r="P403" i="1"/>
  <c r="P487" i="1"/>
  <c r="P528" i="1" s="1"/>
  <c r="R59" i="1" l="1"/>
  <c r="R148" i="1"/>
  <c r="R251" i="1" s="1"/>
  <c r="Q403" i="1"/>
  <c r="Q487" i="1"/>
  <c r="Q528" i="1" s="1"/>
  <c r="R403" i="1" l="1"/>
  <c r="R487" i="1"/>
  <c r="R528" i="1" s="1"/>
  <c r="M28" i="5"/>
  <c r="L28" i="5"/>
  <c r="K28" i="5"/>
  <c r="J28" i="5"/>
  <c r="I28" i="5"/>
  <c r="H28" i="5"/>
  <c r="G28" i="5"/>
  <c r="F28" i="5"/>
  <c r="M19" i="5"/>
  <c r="L19" i="5"/>
  <c r="K19" i="5"/>
  <c r="J19" i="5"/>
  <c r="I19" i="5"/>
  <c r="H19" i="5"/>
  <c r="F19" i="5"/>
  <c r="I565" i="1" l="1"/>
  <c r="I533" i="1" l="1"/>
  <c r="I424" i="1" l="1"/>
  <c r="I427" i="1" l="1"/>
  <c r="I447" i="1"/>
  <c r="P346" i="1" l="1"/>
  <c r="P542" i="1" l="1"/>
  <c r="P559" i="1"/>
  <c r="Q346" i="1"/>
  <c r="Q559" i="1" l="1"/>
  <c r="Q542" i="1"/>
  <c r="R346" i="1"/>
  <c r="R559" i="1" l="1"/>
  <c r="R542" i="1"/>
  <c r="P533" i="1" l="1"/>
  <c r="P55" i="1"/>
  <c r="P65" i="1" s="1"/>
  <c r="P70" i="1" s="1"/>
  <c r="P75" i="1" l="1"/>
  <c r="P80" i="1" s="1"/>
  <c r="P424" i="1"/>
  <c r="Q533" i="1"/>
  <c r="Q55" i="1"/>
  <c r="Q65" i="1" s="1"/>
  <c r="Q70" i="1" s="1"/>
  <c r="P85" i="1" l="1"/>
  <c r="P427" i="1"/>
  <c r="Q75" i="1"/>
  <c r="Q80" i="1" s="1"/>
  <c r="Q424" i="1"/>
  <c r="R533" i="1"/>
  <c r="R55" i="1"/>
  <c r="R65" i="1" s="1"/>
  <c r="R70" i="1" s="1"/>
  <c r="P87" i="1" l="1"/>
  <c r="P88" i="1" s="1"/>
  <c r="P89" i="1" s="1"/>
  <c r="R75" i="1"/>
  <c r="R80" i="1" s="1"/>
  <c r="R424" i="1"/>
  <c r="Q85" i="1"/>
  <c r="Q427" i="1"/>
  <c r="Q87" i="1" l="1"/>
  <c r="Q88" i="1" s="1"/>
  <c r="Q89" i="1" s="1"/>
  <c r="R85" i="1"/>
  <c r="R427" i="1"/>
  <c r="R87" i="1" l="1"/>
  <c r="R88" i="1" s="1"/>
  <c r="R89" i="1" s="1"/>
  <c r="G37" i="8" l="1"/>
  <c r="F37" i="8"/>
  <c r="E15" i="8"/>
  <c r="E18" i="8" l="1"/>
  <c r="E16" i="8"/>
  <c r="G22" i="9" l="1"/>
  <c r="P96" i="8"/>
  <c r="G13" i="11"/>
  <c r="J96" i="8"/>
  <c r="G9" i="9"/>
  <c r="N96" i="8"/>
  <c r="K96" i="8"/>
  <c r="O96" i="8"/>
  <c r="I96" i="8"/>
  <c r="F22" i="9"/>
  <c r="M96" i="8"/>
  <c r="H11" i="9"/>
  <c r="H27" i="9" s="1"/>
  <c r="L96" i="8"/>
  <c r="E37" i="8"/>
  <c r="F11" i="12" l="1"/>
  <c r="F13" i="12" s="1"/>
  <c r="F15" i="12" s="1"/>
  <c r="G14" i="11"/>
  <c r="G15" i="11" s="1"/>
  <c r="G16" i="11" s="1"/>
  <c r="E28" i="9"/>
  <c r="H96" i="8"/>
  <c r="E8" i="9"/>
  <c r="E12" i="9" s="1"/>
  <c r="F28" i="9"/>
  <c r="F34" i="9" s="1"/>
  <c r="S34" i="9" s="1"/>
  <c r="F8" i="9"/>
  <c r="F12" i="9" s="1"/>
  <c r="G11" i="9"/>
  <c r="G27" i="9" s="1"/>
  <c r="G28" i="9" s="1"/>
  <c r="G34" i="9" s="1"/>
  <c r="T34" i="9" s="1"/>
  <c r="H8" i="9"/>
  <c r="H12" i="9" s="1"/>
  <c r="G8" i="9"/>
  <c r="G11" i="12"/>
  <c r="E22" i="9"/>
  <c r="F19" i="12"/>
  <c r="Q37" i="8"/>
  <c r="E39" i="8"/>
  <c r="E21" i="8"/>
  <c r="H28" i="9"/>
  <c r="H34" i="9" s="1"/>
  <c r="U34" i="9" s="1"/>
  <c r="G49" i="14" l="1"/>
  <c r="G52" i="14" s="1"/>
  <c r="G54" i="14" s="1"/>
  <c r="E34" i="9"/>
  <c r="E38" i="9" s="1"/>
  <c r="G12" i="9"/>
  <c r="F18" i="12"/>
  <c r="E22" i="8"/>
  <c r="E24" i="8"/>
  <c r="R34" i="9" l="1"/>
  <c r="E27" i="8"/>
  <c r="E30" i="8" s="1"/>
  <c r="G26" i="12"/>
  <c r="G23" i="12"/>
  <c r="G25" i="12" s="1"/>
  <c r="E33" i="8" l="1"/>
  <c r="F12" i="8" s="1"/>
  <c r="E28" i="8"/>
  <c r="E34" i="8" l="1"/>
  <c r="E40" i="8" s="1"/>
  <c r="F15" i="8"/>
  <c r="F18" i="8" s="1"/>
  <c r="F36" i="8"/>
  <c r="F39" i="8" s="1"/>
  <c r="H49" i="14" l="1"/>
  <c r="H52" i="14" s="1"/>
  <c r="H54" i="14" s="1"/>
  <c r="E42" i="8"/>
  <c r="F16" i="8"/>
  <c r="F21" i="8"/>
  <c r="F24" i="8" s="1"/>
  <c r="C10" i="19" l="1"/>
  <c r="C12" i="19" s="1"/>
  <c r="F22" i="8"/>
  <c r="F27" i="8"/>
  <c r="F30" i="8" s="1"/>
  <c r="F28" i="8" l="1"/>
  <c r="F33" i="8"/>
  <c r="G12" i="8" s="1"/>
  <c r="F34" i="8" l="1"/>
  <c r="F40" i="8" s="1"/>
  <c r="G36" i="8"/>
  <c r="G39" i="8" s="1"/>
  <c r="G15" i="8"/>
  <c r="G18" i="8" s="1"/>
  <c r="D10" i="19" l="1"/>
  <c r="D12" i="19" s="1"/>
  <c r="I49" i="14"/>
  <c r="I52" i="14" s="1"/>
  <c r="I54" i="14" s="1"/>
  <c r="G16" i="8"/>
  <c r="G21" i="8"/>
  <c r="G24" i="8" s="1"/>
  <c r="G22" i="8" l="1"/>
  <c r="G27" i="8"/>
  <c r="G30" i="8" s="1"/>
  <c r="G33" i="8" l="1"/>
  <c r="H12" i="8" s="1"/>
  <c r="G28" i="8"/>
  <c r="G34" i="8" l="1"/>
  <c r="G40" i="8" s="1"/>
  <c r="H15" i="8"/>
  <c r="H18" i="8" s="1"/>
  <c r="H36" i="8"/>
  <c r="H39" i="8" s="1"/>
  <c r="J49" i="14" l="1"/>
  <c r="J52" i="14" s="1"/>
  <c r="J54" i="14" s="1"/>
  <c r="H16" i="8"/>
  <c r="H21" i="8"/>
  <c r="H24" i="8" s="1"/>
  <c r="E10" i="19" l="1"/>
  <c r="E12" i="19" s="1"/>
  <c r="H27" i="8"/>
  <c r="H30" i="8" s="1"/>
  <c r="H22" i="8"/>
  <c r="H33" i="8" l="1"/>
  <c r="I12" i="8" s="1"/>
  <c r="H28" i="8"/>
  <c r="H34" i="8" l="1"/>
  <c r="H40" i="8" s="1"/>
  <c r="I15" i="8"/>
  <c r="I18" i="8" s="1"/>
  <c r="I36" i="8"/>
  <c r="I39" i="8" s="1"/>
  <c r="F10" i="19" l="1"/>
  <c r="F12" i="19" s="1"/>
  <c r="K49" i="14"/>
  <c r="K52" i="14" s="1"/>
  <c r="K54" i="14" s="1"/>
  <c r="I16" i="8"/>
  <c r="I21" i="8"/>
  <c r="I24" i="8" s="1"/>
  <c r="I27" i="8" l="1"/>
  <c r="I30" i="8" s="1"/>
  <c r="I22" i="8"/>
  <c r="I28" i="8" l="1"/>
  <c r="I33" i="8"/>
  <c r="J12" i="8" s="1"/>
  <c r="I34" i="8" l="1"/>
  <c r="I40" i="8" s="1"/>
  <c r="J15" i="8"/>
  <c r="J18" i="8" s="1"/>
  <c r="J36" i="8"/>
  <c r="J39" i="8" s="1"/>
  <c r="L49" i="14" l="1"/>
  <c r="L52" i="14" s="1"/>
  <c r="L54" i="14" s="1"/>
  <c r="J16" i="8"/>
  <c r="J21" i="8"/>
  <c r="J24" i="8" s="1"/>
  <c r="J22" i="8" l="1"/>
  <c r="J27" i="8"/>
  <c r="J30" i="8" s="1"/>
  <c r="J28" i="8" l="1"/>
  <c r="J33" i="8"/>
  <c r="K12" i="8" s="1"/>
  <c r="K36" i="8" l="1"/>
  <c r="K39" i="8" s="1"/>
  <c r="K15" i="8"/>
  <c r="K18" i="8" s="1"/>
  <c r="J34" i="8"/>
  <c r="J40" i="8" s="1"/>
  <c r="H10" i="19" l="1"/>
  <c r="H12" i="19" s="1"/>
  <c r="P207" i="1"/>
  <c r="P221" i="1" s="1"/>
  <c r="P537" i="1" s="1"/>
  <c r="M49" i="14"/>
  <c r="M52" i="14" s="1"/>
  <c r="M54" i="14" s="1"/>
  <c r="K21" i="8"/>
  <c r="K24" i="8" s="1"/>
  <c r="K16" i="8"/>
  <c r="P552" i="1" l="1"/>
  <c r="K22" i="8"/>
  <c r="K27" i="8"/>
  <c r="K30" i="8" s="1"/>
  <c r="K33" i="8" l="1"/>
  <c r="L12" i="8" s="1"/>
  <c r="K28" i="8"/>
  <c r="L15" i="8" l="1"/>
  <c r="L18" i="8" s="1"/>
  <c r="L36" i="8"/>
  <c r="L39" i="8" s="1"/>
  <c r="K34" i="8"/>
  <c r="K40" i="8" s="1"/>
  <c r="P94" i="1" s="1"/>
  <c r="I7" i="19" s="1"/>
  <c r="I10" i="19" s="1"/>
  <c r="I12" i="19" s="1"/>
  <c r="Q207" i="1" l="1"/>
  <c r="Q221" i="1" s="1"/>
  <c r="Q537" i="1" s="1"/>
  <c r="N49" i="14"/>
  <c r="N52" i="14" s="1"/>
  <c r="N54" i="14" s="1"/>
  <c r="L16" i="8"/>
  <c r="L21" i="8"/>
  <c r="L24" i="8" s="1"/>
  <c r="Q552" i="1" l="1"/>
  <c r="L22" i="8"/>
  <c r="L27" i="8"/>
  <c r="L30" i="8" s="1"/>
  <c r="L28" i="8" l="1"/>
  <c r="L33" i="8"/>
  <c r="M12" i="8" s="1"/>
  <c r="L34" i="8" l="1"/>
  <c r="L40" i="8" s="1"/>
  <c r="Q94" i="1" s="1"/>
  <c r="J7" i="19" s="1"/>
  <c r="J10" i="19" s="1"/>
  <c r="J12" i="19" s="1"/>
  <c r="M15" i="8"/>
  <c r="M18" i="8" s="1"/>
  <c r="M36" i="8"/>
  <c r="M39" i="8" s="1"/>
  <c r="R207" i="1" l="1"/>
  <c r="R221" i="1" s="1"/>
  <c r="R552" i="1" s="1"/>
  <c r="O49" i="14"/>
  <c r="O52" i="14" s="1"/>
  <c r="O54" i="14" s="1"/>
  <c r="M16" i="8"/>
  <c r="M21" i="8"/>
  <c r="M24" i="8" s="1"/>
  <c r="R537" i="1" l="1"/>
  <c r="M27" i="8"/>
  <c r="M30" i="8" s="1"/>
  <c r="M22" i="8"/>
  <c r="M33" i="8" l="1"/>
  <c r="N12" i="8" s="1"/>
  <c r="M28" i="8"/>
  <c r="M34" i="8" l="1"/>
  <c r="M40" i="8" s="1"/>
  <c r="R94" i="1" s="1"/>
  <c r="K7" i="19" s="1"/>
  <c r="K10" i="19" s="1"/>
  <c r="K12" i="19" s="1"/>
  <c r="N15" i="8"/>
  <c r="N18" i="8" s="1"/>
  <c r="N36" i="8"/>
  <c r="N39" i="8" s="1"/>
  <c r="N16" i="8" l="1"/>
  <c r="N21" i="8"/>
  <c r="N24" i="8" s="1"/>
  <c r="N27" i="8" l="1"/>
  <c r="N30" i="8" s="1"/>
  <c r="N22" i="8"/>
  <c r="N33" i="8" l="1"/>
  <c r="O12" i="8" s="1"/>
  <c r="N28" i="8"/>
  <c r="N34" i="8" l="1"/>
  <c r="N40" i="8" s="1"/>
  <c r="O15" i="8"/>
  <c r="O18" i="8" s="1"/>
  <c r="O36" i="8"/>
  <c r="O39" i="8" s="1"/>
  <c r="P12" i="8" s="1"/>
  <c r="O16" i="8" l="1"/>
  <c r="P15" i="8"/>
  <c r="P18" i="8" s="1"/>
  <c r="P36" i="8"/>
  <c r="P39" i="8" s="1"/>
  <c r="O21" i="8"/>
  <c r="O24" i="8" s="1"/>
  <c r="O22" i="8" l="1"/>
  <c r="P16" i="8"/>
  <c r="O27" i="8"/>
  <c r="O30" i="8" s="1"/>
  <c r="P21" i="8"/>
  <c r="P24" i="8" s="1"/>
  <c r="O28" i="8" l="1"/>
  <c r="P27" i="8"/>
  <c r="P30" i="8" s="1"/>
  <c r="O33" i="8"/>
  <c r="O34" i="8" s="1"/>
  <c r="P22" i="8"/>
  <c r="O40" i="8" l="1"/>
  <c r="P33" i="8"/>
  <c r="P34" i="8" s="1"/>
  <c r="P28" i="8"/>
  <c r="P40" i="8" l="1"/>
  <c r="Q447" i="1"/>
  <c r="R447" i="1"/>
  <c r="H13" i="11" l="1"/>
  <c r="H14" i="11" l="1"/>
  <c r="H15" i="11" s="1"/>
  <c r="H16" i="11" s="1"/>
  <c r="C12" i="11"/>
  <c r="L12" i="11" l="1"/>
  <c r="K12" i="11"/>
  <c r="O12" i="11"/>
  <c r="N12" i="11"/>
  <c r="M12" i="11"/>
  <c r="M194" i="1" s="1"/>
  <c r="J12" i="11"/>
  <c r="R12" i="11"/>
  <c r="Q12" i="11"/>
  <c r="I12" i="11"/>
  <c r="P12" i="11"/>
  <c r="P170" i="1" l="1"/>
  <c r="P194" i="1" s="1"/>
  <c r="P196" i="1" s="1"/>
  <c r="P13" i="11"/>
  <c r="I13" i="11"/>
  <c r="I14" i="11" s="1"/>
  <c r="I15" i="11" s="1"/>
  <c r="I16" i="11" s="1"/>
  <c r="I17" i="11" s="1"/>
  <c r="O13" i="11"/>
  <c r="Q13" i="11"/>
  <c r="Q14" i="11" s="1"/>
  <c r="Q15" i="11" s="1"/>
  <c r="Q16" i="11" s="1"/>
  <c r="Q17" i="11" s="1"/>
  <c r="Q170" i="1"/>
  <c r="Q194" i="1" s="1"/>
  <c r="Q196" i="1" s="1"/>
  <c r="R170" i="1"/>
  <c r="R194" i="1" s="1"/>
  <c r="R196" i="1" s="1"/>
  <c r="R13" i="11"/>
  <c r="R14" i="11" s="1"/>
  <c r="R15" i="11" s="1"/>
  <c r="R16" i="11" s="1"/>
  <c r="R17" i="11" s="1"/>
  <c r="R455" i="1" l="1"/>
  <c r="P90" i="1"/>
  <c r="Q455" i="1"/>
  <c r="I455" i="1"/>
  <c r="P455" i="1"/>
  <c r="O194" i="1" l="1"/>
  <c r="O455" i="1"/>
  <c r="P102" i="1"/>
  <c r="I469" i="1"/>
  <c r="R90" i="1"/>
  <c r="R102" i="1" s="1"/>
  <c r="Q90" i="1"/>
  <c r="Q102" i="1" s="1"/>
  <c r="P468" i="1"/>
  <c r="P456" i="1"/>
  <c r="Q468" i="1"/>
  <c r="Q456" i="1"/>
  <c r="R468" i="1"/>
  <c r="R456" i="1"/>
  <c r="I468" i="1"/>
  <c r="I456" i="1"/>
  <c r="P469" i="1"/>
  <c r="Q469" i="1"/>
  <c r="R469" i="1"/>
  <c r="I471" i="1" l="1"/>
  <c r="O468" i="1"/>
  <c r="O196" i="1"/>
  <c r="O469" i="1"/>
  <c r="P470" i="1"/>
  <c r="Q470" i="1"/>
  <c r="Q124" i="1"/>
  <c r="P9" i="12" s="1"/>
  <c r="P11" i="12" s="1"/>
  <c r="Q140" i="1"/>
  <c r="R124" i="1"/>
  <c r="Q9" i="12" s="1"/>
  <c r="Q11" i="12" s="1"/>
  <c r="Q13" i="12" s="1"/>
  <c r="Q15" i="12" s="1"/>
  <c r="Q16" i="12" s="1"/>
  <c r="R140" i="1"/>
  <c r="P124" i="1"/>
  <c r="O9" i="12" s="1"/>
  <c r="O11" i="12" s="1"/>
  <c r="P140" i="1"/>
  <c r="R470" i="1"/>
  <c r="I470" i="1"/>
  <c r="I364" i="1"/>
  <c r="I363" i="1"/>
  <c r="I361" i="1"/>
  <c r="I509" i="1" s="1"/>
  <c r="Q224" i="1"/>
  <c r="Q361" i="1"/>
  <c r="Q509" i="1" s="1"/>
  <c r="Q363" i="1"/>
  <c r="Q364" i="1"/>
  <c r="P224" i="1"/>
  <c r="I495" i="1"/>
  <c r="I573" i="1"/>
  <c r="Q495" i="1"/>
  <c r="Q573" i="1"/>
  <c r="P573" i="1"/>
  <c r="P495" i="1"/>
  <c r="R224" i="1"/>
  <c r="R364" i="1"/>
  <c r="R361" i="1"/>
  <c r="R509" i="1" s="1"/>
  <c r="R363" i="1"/>
  <c r="R495" i="1"/>
  <c r="R573" i="1"/>
  <c r="O573" i="1" l="1"/>
  <c r="O471" i="1"/>
  <c r="O470" i="1"/>
  <c r="O495" i="1"/>
  <c r="Q26" i="12"/>
  <c r="R126" i="1" s="1"/>
  <c r="R128" i="1" s="1"/>
  <c r="K5" i="19" s="1"/>
  <c r="K8" i="19" s="1"/>
  <c r="K14" i="19" s="1"/>
  <c r="Q18" i="12"/>
  <c r="Q21" i="12"/>
  <c r="O13" i="12"/>
  <c r="P13" i="12"/>
  <c r="R531" i="1" l="1"/>
  <c r="R133" i="1"/>
  <c r="R137" i="1" s="1"/>
  <c r="H24" i="12"/>
  <c r="I358" i="1" l="1"/>
  <c r="I366" i="1" s="1"/>
  <c r="I444" i="1" l="1"/>
  <c r="I446" i="1" s="1"/>
  <c r="I595" i="1"/>
  <c r="I449" i="1" l="1"/>
  <c r="I448" i="1"/>
  <c r="I491" i="1"/>
  <c r="I571" i="1"/>
  <c r="I500" i="1" l="1"/>
  <c r="I519" i="1" s="1"/>
  <c r="I497" i="1"/>
  <c r="I511" i="1" l="1"/>
  <c r="I576" i="1"/>
  <c r="I513" i="1"/>
  <c r="I515" i="1" l="1"/>
  <c r="P594" i="1" l="1"/>
  <c r="P444" i="1"/>
  <c r="Q444" i="1" l="1"/>
  <c r="Q446" i="1" s="1"/>
  <c r="Q448" i="1" s="1"/>
  <c r="Q594" i="1"/>
  <c r="R444" i="1"/>
  <c r="R446" i="1" s="1"/>
  <c r="R448" i="1" s="1"/>
  <c r="R594" i="1"/>
  <c r="R595" i="1" s="1"/>
  <c r="Q491" i="1" l="1"/>
  <c r="R571" i="1"/>
  <c r="R491" i="1"/>
  <c r="Q500" i="1" l="1"/>
  <c r="Q519" i="1" s="1"/>
  <c r="Q497" i="1"/>
  <c r="R497" i="1"/>
  <c r="R500" i="1"/>
  <c r="R519" i="1" s="1"/>
  <c r="R511" i="1" l="1"/>
  <c r="R576" i="1"/>
  <c r="R513" i="1"/>
  <c r="Q511" i="1"/>
  <c r="Q513" i="1"/>
  <c r="Q515" i="1" l="1"/>
  <c r="R515" i="1"/>
  <c r="I9" i="9" l="1"/>
  <c r="I11" i="9" s="1"/>
  <c r="I27" i="9" s="1"/>
  <c r="I102" i="1"/>
  <c r="I7" i="9"/>
  <c r="I140" i="1" l="1"/>
  <c r="I124" i="1"/>
  <c r="I128" i="1"/>
  <c r="H11" i="12" l="1"/>
  <c r="I531" i="1"/>
  <c r="I546" i="1" s="1"/>
  <c r="I568" i="1" s="1"/>
  <c r="I578" i="1" s="1"/>
  <c r="I133" i="1"/>
  <c r="B5" i="19"/>
  <c r="B8" i="19" s="1"/>
  <c r="I14" i="12" l="1"/>
  <c r="H26" i="12"/>
  <c r="H23" i="12"/>
  <c r="H25" i="12" s="1"/>
  <c r="B14" i="19"/>
  <c r="I5" i="9"/>
  <c r="I137" i="1"/>
  <c r="I8" i="9" l="1"/>
  <c r="I12" i="9" s="1"/>
  <c r="I25" i="9"/>
  <c r="I28" i="9" s="1"/>
  <c r="I34" i="9" s="1"/>
  <c r="V34" i="9" s="1"/>
  <c r="G10" i="19" l="1"/>
  <c r="G12" i="19" s="1"/>
  <c r="H20" i="16" l="1"/>
  <c r="I20" i="16"/>
  <c r="F20" i="16"/>
  <c r="J20" i="16"/>
  <c r="G20" i="16"/>
  <c r="K20" i="16"/>
  <c r="O55" i="1" l="1"/>
  <c r="O65" i="1" s="1"/>
  <c r="O70" i="1" s="1"/>
  <c r="O75" i="1" s="1"/>
  <c r="O80" i="1" s="1"/>
  <c r="O85" i="1" s="1"/>
  <c r="N55" i="1"/>
  <c r="N65" i="1" s="1"/>
  <c r="N70" i="1" s="1"/>
  <c r="N75" i="1" s="1"/>
  <c r="N80" i="1" s="1"/>
  <c r="N85" i="1" s="1"/>
  <c r="O6" i="9"/>
  <c r="O26" i="9" s="1"/>
  <c r="M55" i="1"/>
  <c r="M65" i="1" s="1"/>
  <c r="M70" i="1" s="1"/>
  <c r="M75" i="1" s="1"/>
  <c r="M80" i="1" s="1"/>
  <c r="M85" i="1" s="1"/>
  <c r="H6" i="19"/>
  <c r="O533" i="1"/>
  <c r="N533" i="1" l="1"/>
  <c r="N6" i="9"/>
  <c r="N26" i="9" s="1"/>
  <c r="M533" i="1"/>
  <c r="M6" i="9"/>
  <c r="M26" i="9" s="1"/>
  <c r="L533" i="1"/>
  <c r="L6" i="9"/>
  <c r="L26" i="9" s="1"/>
  <c r="K533" i="1"/>
  <c r="K6" i="9"/>
  <c r="K26" i="9" s="1"/>
  <c r="E20" i="16"/>
  <c r="E23" i="16"/>
  <c r="F15" i="16" s="1"/>
  <c r="E6" i="19"/>
  <c r="G6" i="19"/>
  <c r="D6" i="19"/>
  <c r="F6" i="19"/>
  <c r="E24" i="16" l="1"/>
  <c r="J533" i="1"/>
  <c r="F16" i="16" l="1"/>
  <c r="F23" i="16"/>
  <c r="G15" i="16" s="1"/>
  <c r="K55" i="1"/>
  <c r="K65" i="1" s="1"/>
  <c r="K70" i="1" s="1"/>
  <c r="K75" i="1" s="1"/>
  <c r="K80" i="1" s="1"/>
  <c r="K85" i="1" s="1"/>
  <c r="K194" i="1" l="1"/>
  <c r="K196" i="1" s="1"/>
  <c r="K427" i="1"/>
  <c r="K424" i="1"/>
  <c r="K13" i="11"/>
  <c r="F24" i="16"/>
  <c r="L55" i="1"/>
  <c r="L65" i="1" s="1"/>
  <c r="L70" i="1" s="1"/>
  <c r="L75" i="1" s="1"/>
  <c r="L80" i="1" s="1"/>
  <c r="L85" i="1" s="1"/>
  <c r="K455" i="1" l="1"/>
  <c r="K468" i="1" s="1"/>
  <c r="K469" i="1"/>
  <c r="L427" i="1"/>
  <c r="L424" i="1"/>
  <c r="G23" i="16"/>
  <c r="H15" i="16" s="1"/>
  <c r="G16" i="16"/>
  <c r="L13" i="11"/>
  <c r="M427" i="1" l="1"/>
  <c r="M424" i="1"/>
  <c r="K470" i="1"/>
  <c r="K495" i="1"/>
  <c r="G24" i="16"/>
  <c r="M13" i="11"/>
  <c r="L194" i="1" l="1"/>
  <c r="L455" i="1"/>
  <c r="N427" i="1"/>
  <c r="N424" i="1"/>
  <c r="H23" i="16"/>
  <c r="I15" i="16" s="1"/>
  <c r="H16" i="16"/>
  <c r="J70" i="1"/>
  <c r="J75" i="1" s="1"/>
  <c r="J80" i="1" s="1"/>
  <c r="J85" i="1" s="1"/>
  <c r="J87" i="1" s="1"/>
  <c r="J88" i="1" s="1"/>
  <c r="N13" i="11"/>
  <c r="L196" i="1" l="1"/>
  <c r="L469" i="1"/>
  <c r="O427" i="1"/>
  <c r="O424" i="1"/>
  <c r="M455" i="1"/>
  <c r="L468" i="1"/>
  <c r="H24" i="16"/>
  <c r="L573" i="1" l="1"/>
  <c r="L471" i="1"/>
  <c r="L470" i="1"/>
  <c r="L495" i="1"/>
  <c r="M468" i="1"/>
  <c r="N471" i="1" s="1"/>
  <c r="M196" i="1"/>
  <c r="M469" i="1"/>
  <c r="I23" i="16"/>
  <c r="J15" i="16" s="1"/>
  <c r="I16" i="16"/>
  <c r="J424" i="1"/>
  <c r="J10" i="11"/>
  <c r="M471" i="1" l="1"/>
  <c r="M573" i="1"/>
  <c r="N573" i="1"/>
  <c r="M470" i="1"/>
  <c r="M495" i="1"/>
  <c r="J431" i="1"/>
  <c r="J591" i="1" s="1"/>
  <c r="I24" i="16"/>
  <c r="J22" i="1" l="1"/>
  <c r="J432" i="1"/>
  <c r="J23" i="16"/>
  <c r="K15" i="16" s="1"/>
  <c r="J16" i="16"/>
  <c r="J427" i="1"/>
  <c r="J24" i="16" l="1"/>
  <c r="J194" i="1"/>
  <c r="J13" i="11"/>
  <c r="J14" i="11" s="1"/>
  <c r="J15" i="11" s="1"/>
  <c r="J16" i="11" s="1"/>
  <c r="J17" i="11" s="1"/>
  <c r="J455" i="1" l="1"/>
  <c r="K23" i="16"/>
  <c r="L15" i="16" s="1"/>
  <c r="K16" i="16"/>
  <c r="P308" i="1"/>
  <c r="J468" i="1" l="1"/>
  <c r="J456" i="1"/>
  <c r="J196" i="1"/>
  <c r="J469" i="1"/>
  <c r="P305" i="1"/>
  <c r="Q308" i="1"/>
  <c r="Q305" i="1" s="1"/>
  <c r="K24" i="16"/>
  <c r="J89" i="1"/>
  <c r="K471" i="1" l="1"/>
  <c r="J471" i="1"/>
  <c r="J573" i="1"/>
  <c r="K573" i="1"/>
  <c r="J470" i="1"/>
  <c r="J495" i="1"/>
  <c r="Q541" i="1"/>
  <c r="Q557" i="1"/>
  <c r="Q565" i="1" s="1"/>
  <c r="Q315" i="1"/>
  <c r="Q353" i="1" s="1"/>
  <c r="P541" i="1"/>
  <c r="P315" i="1"/>
  <c r="P557" i="1"/>
  <c r="P565" i="1" s="1"/>
  <c r="L16" i="16"/>
  <c r="L23" i="16"/>
  <c r="K456" i="1"/>
  <c r="L24" i="16" l="1"/>
  <c r="L456" i="1"/>
  <c r="K20" i="1"/>
  <c r="K87" i="1" l="1"/>
  <c r="K88" i="1" s="1"/>
  <c r="K89" i="1" s="1"/>
  <c r="K583" i="1"/>
  <c r="K22" i="1"/>
  <c r="K10" i="11"/>
  <c r="M23" i="16"/>
  <c r="M24" i="16" s="1"/>
  <c r="M16" i="16"/>
  <c r="R308" i="1"/>
  <c r="R305" i="1" s="1"/>
  <c r="M456" i="1"/>
  <c r="L20" i="1"/>
  <c r="L87" i="1" l="1"/>
  <c r="L102" i="1" s="1"/>
  <c r="L124" i="1" s="1"/>
  <c r="L583" i="1"/>
  <c r="K14" i="11"/>
  <c r="K15" i="11" s="1"/>
  <c r="K16" i="11" s="1"/>
  <c r="K17" i="11" s="1"/>
  <c r="K431" i="1"/>
  <c r="K591" i="1" s="1"/>
  <c r="L22" i="1"/>
  <c r="L10" i="11"/>
  <c r="R315" i="1"/>
  <c r="R353" i="1" s="1"/>
  <c r="R557" i="1"/>
  <c r="R565" i="1" s="1"/>
  <c r="R541" i="1"/>
  <c r="R546" i="1" s="1"/>
  <c r="N456" i="1"/>
  <c r="M20" i="1"/>
  <c r="M583" i="1" s="1"/>
  <c r="P10" i="11"/>
  <c r="L88" i="1" l="1"/>
  <c r="L89" i="1" s="1"/>
  <c r="M22" i="1"/>
  <c r="K432" i="1"/>
  <c r="L14" i="11"/>
  <c r="L15" i="11" s="1"/>
  <c r="L16" i="11" s="1"/>
  <c r="L17" i="11" s="1"/>
  <c r="R568" i="1"/>
  <c r="R578" i="1" s="1"/>
  <c r="M87" i="1"/>
  <c r="P266" i="1"/>
  <c r="P14" i="11"/>
  <c r="P15" i="11" s="1"/>
  <c r="P16" i="11" s="1"/>
  <c r="P17" i="11" s="1"/>
  <c r="O456" i="1"/>
  <c r="N20" i="1"/>
  <c r="L431" i="1"/>
  <c r="L591" i="1" s="1"/>
  <c r="M10" i="11"/>
  <c r="N87" i="1" l="1"/>
  <c r="N88" i="1" s="1"/>
  <c r="N89" i="1" s="1"/>
  <c r="N583" i="1"/>
  <c r="M88" i="1"/>
  <c r="M89" i="1" s="1"/>
  <c r="L432" i="1"/>
  <c r="N10" i="11"/>
  <c r="M14" i="11"/>
  <c r="M15" i="11" s="1"/>
  <c r="M16" i="11" s="1"/>
  <c r="M17" i="11" s="1"/>
  <c r="O10" i="11"/>
  <c r="N22" i="1"/>
  <c r="P300" i="1"/>
  <c r="P431" i="1"/>
  <c r="N14" i="11" l="1"/>
  <c r="N15" i="11" s="1"/>
  <c r="N16" i="11" s="1"/>
  <c r="N17" i="11" s="1"/>
  <c r="P447" i="1"/>
  <c r="P363" i="1"/>
  <c r="P361" i="1"/>
  <c r="P509" i="1" s="1"/>
  <c r="P364" i="1"/>
  <c r="P353" i="1"/>
  <c r="O20" i="1"/>
  <c r="O583" i="1" s="1"/>
  <c r="M431" i="1"/>
  <c r="M591" i="1" s="1"/>
  <c r="Q591" i="1"/>
  <c r="Q595" i="1" s="1"/>
  <c r="P432" i="1"/>
  <c r="P446" i="1"/>
  <c r="O14" i="11"/>
  <c r="O15" i="11" s="1"/>
  <c r="O16" i="11" s="1"/>
  <c r="O17" i="11" s="1"/>
  <c r="N431" i="1" l="1"/>
  <c r="O87" i="1"/>
  <c r="M432" i="1"/>
  <c r="O431" i="1"/>
  <c r="O22" i="1"/>
  <c r="P448" i="1"/>
  <c r="P491" i="1"/>
  <c r="Q571" i="1"/>
  <c r="O591" i="1" l="1"/>
  <c r="N432" i="1"/>
  <c r="N591" i="1"/>
  <c r="O88" i="1"/>
  <c r="O89" i="1" s="1"/>
  <c r="O102" i="1"/>
  <c r="O432" i="1"/>
  <c r="P591" i="1"/>
  <c r="P595" i="1" s="1"/>
  <c r="P497" i="1"/>
  <c r="P500" i="1"/>
  <c r="P519" i="1" s="1"/>
  <c r="P513" i="1" l="1"/>
  <c r="P511" i="1"/>
  <c r="Q576" i="1"/>
  <c r="P571" i="1"/>
  <c r="P515" i="1" l="1"/>
  <c r="J221" i="1" l="1"/>
  <c r="J537" i="1" s="1"/>
  <c r="P576" i="1"/>
  <c r="J552" i="1" l="1"/>
  <c r="J224" i="1"/>
  <c r="K221" i="1"/>
  <c r="K224" i="1" l="1"/>
  <c r="K537" i="1"/>
  <c r="K552" i="1"/>
  <c r="L221" i="1"/>
  <c r="L537" i="1" l="1"/>
  <c r="L552" i="1"/>
  <c r="L224" i="1"/>
  <c r="M221" i="1"/>
  <c r="M537" i="1" l="1"/>
  <c r="M552" i="1"/>
  <c r="M224" i="1"/>
  <c r="N221" i="1"/>
  <c r="N537" i="1" l="1"/>
  <c r="N552" i="1"/>
  <c r="N224" i="1"/>
  <c r="O221" i="1"/>
  <c r="O537" i="1" s="1"/>
  <c r="O552" i="1" l="1"/>
  <c r="O224" i="1"/>
  <c r="J102" i="1" l="1"/>
  <c r="J124" i="1" s="1"/>
  <c r="J7" i="9" l="1"/>
  <c r="J9" i="9" s="1"/>
  <c r="J11" i="9" s="1"/>
  <c r="J27" i="9" s="1"/>
  <c r="J140" i="1" l="1"/>
  <c r="I11" i="12" l="1"/>
  <c r="I13" i="12" s="1"/>
  <c r="I15" i="12" s="1"/>
  <c r="I16" i="12" s="1"/>
  <c r="I24" i="12" l="1"/>
  <c r="J14" i="12"/>
  <c r="I21" i="12" l="1"/>
  <c r="I19" i="12"/>
  <c r="I23" i="12"/>
  <c r="I25" i="12" s="1"/>
  <c r="I18" i="12"/>
  <c r="I26" i="12"/>
  <c r="G15" i="26" s="1"/>
  <c r="J126" i="1" s="1"/>
  <c r="J128" i="1" s="1"/>
  <c r="J133" i="1" s="1"/>
  <c r="J5" i="9" s="1"/>
  <c r="J25" i="9" s="1"/>
  <c r="J28" i="9" s="1"/>
  <c r="J34" i="9" s="1"/>
  <c r="W34" i="9" s="1"/>
  <c r="J531" i="1" l="1"/>
  <c r="G16" i="26"/>
  <c r="D173" i="29"/>
  <c r="J137" i="1"/>
  <c r="D103" i="29" l="1"/>
  <c r="E104" i="29" s="1"/>
  <c r="C5" i="19"/>
  <c r="C8" i="19" s="1"/>
  <c r="C14" i="19" s="1"/>
  <c r="D174" i="29"/>
  <c r="C21" i="30" s="1"/>
  <c r="C22" i="30" s="1"/>
  <c r="C24" i="30" s="1"/>
  <c r="J8" i="9"/>
  <c r="J12" i="9" s="1"/>
  <c r="F102" i="29" l="1"/>
  <c r="J238" i="1"/>
  <c r="J241" i="1" s="1"/>
  <c r="J358" i="1" s="1"/>
  <c r="J366" i="1" s="1"/>
  <c r="E106" i="29"/>
  <c r="E108" i="29" s="1"/>
  <c r="E179" i="29" s="1"/>
  <c r="D5" i="30"/>
  <c r="D111" i="29"/>
  <c r="E111" i="29" s="1"/>
  <c r="E174" i="29"/>
  <c r="J342" i="1" s="1"/>
  <c r="J346" i="1" s="1"/>
  <c r="J243" i="1" l="1"/>
  <c r="J354" i="1" s="1"/>
  <c r="J559" i="1"/>
  <c r="J565" i="1" s="1"/>
  <c r="J542" i="1"/>
  <c r="J546" i="1" s="1"/>
  <c r="E133" i="29"/>
  <c r="J254" i="1"/>
  <c r="F172" i="29"/>
  <c r="E176" i="29"/>
  <c r="E178" i="29" l="1"/>
  <c r="E180" i="29" s="1"/>
  <c r="J568" i="1"/>
  <c r="J594" i="1"/>
  <c r="J595" i="1" s="1"/>
  <c r="J444" i="1"/>
  <c r="J446" i="1" s="1"/>
  <c r="J300" i="1"/>
  <c r="K102" i="1"/>
  <c r="K124" i="1" s="1"/>
  <c r="J571" i="1" l="1"/>
  <c r="J449" i="1"/>
  <c r="J491" i="1"/>
  <c r="J447" i="1"/>
  <c r="J448" i="1" s="1"/>
  <c r="J364" i="1"/>
  <c r="J363" i="1"/>
  <c r="J361" i="1"/>
  <c r="J509" i="1" s="1"/>
  <c r="J353" i="1"/>
  <c r="J355" i="1" s="1"/>
  <c r="J11" i="12"/>
  <c r="J13" i="12" s="1"/>
  <c r="J15" i="12" s="1"/>
  <c r="J16" i="12" s="1"/>
  <c r="K7" i="9"/>
  <c r="K9" i="9" s="1"/>
  <c r="K11" i="9" s="1"/>
  <c r="K27" i="9" s="1"/>
  <c r="J497" i="1" l="1"/>
  <c r="J500" i="1"/>
  <c r="J519" i="1" s="1"/>
  <c r="K140" i="1"/>
  <c r="J24" i="12"/>
  <c r="K14" i="12"/>
  <c r="J21" i="12"/>
  <c r="J576" i="1" l="1"/>
  <c r="J578" i="1" s="1"/>
  <c r="J511" i="1"/>
  <c r="J513" i="1"/>
  <c r="J26" i="12"/>
  <c r="J15" i="26" s="1"/>
  <c r="K126" i="1" s="1"/>
  <c r="J18" i="12"/>
  <c r="J23" i="12"/>
  <c r="J25" i="12" s="1"/>
  <c r="J19" i="12"/>
  <c r="J515" i="1" l="1"/>
  <c r="J16" i="26"/>
  <c r="F103" i="29" s="1"/>
  <c r="F173" i="29"/>
  <c r="K128" i="1"/>
  <c r="G104" i="29" l="1"/>
  <c r="K238" i="1" s="1"/>
  <c r="G106" i="29"/>
  <c r="G108" i="29" s="1"/>
  <c r="G179" i="29" s="1"/>
  <c r="H102" i="29"/>
  <c r="F174" i="29"/>
  <c r="D21" i="30" s="1"/>
  <c r="D22" i="30" s="1"/>
  <c r="D24" i="30" s="1"/>
  <c r="G174" i="29" l="1"/>
  <c r="F111" i="29"/>
  <c r="G111" i="29" s="1"/>
  <c r="E5" i="30"/>
  <c r="K531" i="1"/>
  <c r="K133" i="1"/>
  <c r="D5" i="19"/>
  <c r="D8" i="19" s="1"/>
  <c r="D14" i="19" s="1"/>
  <c r="G133" i="29" l="1"/>
  <c r="K254" i="1"/>
  <c r="G176" i="29"/>
  <c r="K342" i="1"/>
  <c r="K346" i="1" s="1"/>
  <c r="H172" i="29"/>
  <c r="K241" i="1"/>
  <c r="K243" i="1" s="1"/>
  <c r="K5" i="9"/>
  <c r="K137" i="1"/>
  <c r="K559" i="1" l="1"/>
  <c r="K542" i="1"/>
  <c r="K594" i="1"/>
  <c r="K595" i="1" s="1"/>
  <c r="K300" i="1"/>
  <c r="K444" i="1"/>
  <c r="K446" i="1" s="1"/>
  <c r="K25" i="9"/>
  <c r="K28" i="9" s="1"/>
  <c r="K34" i="9" s="1"/>
  <c r="X34" i="9" s="1"/>
  <c r="K8" i="9"/>
  <c r="K12" i="9" s="1"/>
  <c r="K571" i="1" l="1"/>
  <c r="K449" i="1"/>
  <c r="K491" i="1"/>
  <c r="K447" i="1"/>
  <c r="K448" i="1" s="1"/>
  <c r="K363" i="1"/>
  <c r="K364" i="1"/>
  <c r="K361" i="1"/>
  <c r="K509" i="1" s="1"/>
  <c r="L7" i="9"/>
  <c r="L9" i="9" s="1"/>
  <c r="L11" i="9" s="1"/>
  <c r="L27" i="9" s="1"/>
  <c r="K500" i="1" l="1"/>
  <c r="K519" i="1" s="1"/>
  <c r="K497" i="1"/>
  <c r="L140" i="1"/>
  <c r="K576" i="1" l="1"/>
  <c r="K511" i="1"/>
  <c r="K513" i="1"/>
  <c r="K11" i="12"/>
  <c r="K13" i="12" s="1"/>
  <c r="K15" i="12" s="1"/>
  <c r="K16" i="12" s="1"/>
  <c r="K515" i="1" l="1"/>
  <c r="K24" i="12"/>
  <c r="L14" i="12"/>
  <c r="K19" i="12" l="1"/>
  <c r="K23" i="12"/>
  <c r="K25" i="12" s="1"/>
  <c r="K21" i="12"/>
  <c r="K18" i="12"/>
  <c r="K26" i="12"/>
  <c r="M15" i="26" s="1"/>
  <c r="L126" i="1" s="1"/>
  <c r="M16" i="26" l="1"/>
  <c r="H103" i="29" s="1"/>
  <c r="I104" i="29" s="1"/>
  <c r="L238" i="1" s="1"/>
  <c r="H173" i="29"/>
  <c r="L128" i="1"/>
  <c r="L133" i="1" s="1"/>
  <c r="I106" i="29" l="1"/>
  <c r="I108" i="29" s="1"/>
  <c r="I179" i="29" s="1"/>
  <c r="J102" i="29"/>
  <c r="H174" i="29"/>
  <c r="E21" i="30" s="1"/>
  <c r="E22" i="30" s="1"/>
  <c r="E24" i="30" s="1"/>
  <c r="E5" i="19"/>
  <c r="E8" i="19" s="1"/>
  <c r="E14" i="19" s="1"/>
  <c r="L531" i="1"/>
  <c r="I174" i="29" l="1"/>
  <c r="L342" i="1" s="1"/>
  <c r="L346" i="1" s="1"/>
  <c r="H111" i="29"/>
  <c r="I111" i="29" s="1"/>
  <c r="F5" i="30"/>
  <c r="L137" i="1"/>
  <c r="L5" i="9"/>
  <c r="I133" i="29" l="1"/>
  <c r="L254" i="1"/>
  <c r="L542" i="1"/>
  <c r="L559" i="1"/>
  <c r="I176" i="29"/>
  <c r="J172" i="29"/>
  <c r="L25" i="9"/>
  <c r="L28" i="9" s="1"/>
  <c r="L34" i="9" s="1"/>
  <c r="L8" i="9"/>
  <c r="L12" i="9" s="1"/>
  <c r="L594" i="1" l="1"/>
  <c r="L595" i="1" s="1"/>
  <c r="L300" i="1"/>
  <c r="L444" i="1"/>
  <c r="L446" i="1" s="1"/>
  <c r="Y34" i="9"/>
  <c r="L447" i="1" l="1"/>
  <c r="L448" i="1" s="1"/>
  <c r="L364" i="1"/>
  <c r="L363" i="1"/>
  <c r="L361" i="1"/>
  <c r="L509" i="1" s="1"/>
  <c r="L571" i="1"/>
  <c r="L449" i="1"/>
  <c r="L491" i="1"/>
  <c r="M102" i="1"/>
  <c r="M124" i="1" s="1"/>
  <c r="L497" i="1" l="1"/>
  <c r="L500" i="1"/>
  <c r="L519" i="1" s="1"/>
  <c r="M140" i="1"/>
  <c r="M7" i="9"/>
  <c r="M9" i="9" s="1"/>
  <c r="M11" i="9" s="1"/>
  <c r="M27" i="9" s="1"/>
  <c r="L576" i="1" l="1"/>
  <c r="L513" i="1"/>
  <c r="L511" i="1"/>
  <c r="L11" i="12"/>
  <c r="L13" i="12" s="1"/>
  <c r="L15" i="12" s="1"/>
  <c r="L515" i="1" l="1"/>
  <c r="L24" i="12"/>
  <c r="L16" i="12"/>
  <c r="L18" i="12" s="1"/>
  <c r="M14" i="12"/>
  <c r="L23" i="12" l="1"/>
  <c r="L25" i="12" s="1"/>
  <c r="L21" i="12"/>
  <c r="L19" i="12"/>
  <c r="L26" i="12"/>
  <c r="P15" i="26" s="1"/>
  <c r="M126" i="1" s="1"/>
  <c r="P16" i="26" l="1"/>
  <c r="J103" i="29" s="1"/>
  <c r="K104" i="29" s="1"/>
  <c r="M238" i="1" s="1"/>
  <c r="J173" i="29"/>
  <c r="M128" i="1"/>
  <c r="M133" i="1" s="1"/>
  <c r="K106" i="29" l="1"/>
  <c r="K108" i="29" s="1"/>
  <c r="K179" i="29" s="1"/>
  <c r="L102" i="29"/>
  <c r="J174" i="29"/>
  <c r="F21" i="30" s="1"/>
  <c r="F22" i="30" s="1"/>
  <c r="F24" i="30" s="1"/>
  <c r="F5" i="19"/>
  <c r="F8" i="19" s="1"/>
  <c r="F14" i="19" s="1"/>
  <c r="M531" i="1"/>
  <c r="M137" i="1"/>
  <c r="M5" i="9"/>
  <c r="J111" i="29" l="1"/>
  <c r="K111" i="29" s="1"/>
  <c r="G5" i="30"/>
  <c r="K174" i="29"/>
  <c r="M342" i="1" s="1"/>
  <c r="M346" i="1" s="1"/>
  <c r="M25" i="9"/>
  <c r="M28" i="9" s="1"/>
  <c r="M34" i="9" s="1"/>
  <c r="M8" i="9"/>
  <c r="M12" i="9" s="1"/>
  <c r="M542" i="1" l="1"/>
  <c r="M559" i="1"/>
  <c r="K133" i="29"/>
  <c r="M254" i="1"/>
  <c r="K176" i="29"/>
  <c r="L172" i="29"/>
  <c r="Z34" i="9"/>
  <c r="M594" i="1" l="1"/>
  <c r="M595" i="1" s="1"/>
  <c r="M300" i="1"/>
  <c r="M444" i="1"/>
  <c r="M446" i="1" s="1"/>
  <c r="N102" i="1"/>
  <c r="N124" i="1" s="1"/>
  <c r="M447" i="1" l="1"/>
  <c r="M448" i="1" s="1"/>
  <c r="M363" i="1"/>
  <c r="M364" i="1"/>
  <c r="M361" i="1"/>
  <c r="M509" i="1" s="1"/>
  <c r="M449" i="1"/>
  <c r="M491" i="1"/>
  <c r="M571" i="1"/>
  <c r="N7" i="9"/>
  <c r="M497" i="1" l="1"/>
  <c r="M500" i="1"/>
  <c r="M519" i="1" s="1"/>
  <c r="N140" i="1"/>
  <c r="N10" i="9"/>
  <c r="N9" i="9"/>
  <c r="M11" i="12"/>
  <c r="M13" i="12" s="1"/>
  <c r="M15" i="12" s="1"/>
  <c r="M16" i="12" s="1"/>
  <c r="N11" i="12"/>
  <c r="N13" i="12" s="1"/>
  <c r="M576" i="1" l="1"/>
  <c r="M511" i="1"/>
  <c r="M513" i="1"/>
  <c r="N11" i="9"/>
  <c r="N27" i="9" s="1"/>
  <c r="N14" i="12"/>
  <c r="N15" i="12" s="1"/>
  <c r="N16" i="12" s="1"/>
  <c r="M24" i="12"/>
  <c r="M515" i="1" l="1"/>
  <c r="O14" i="12"/>
  <c r="O15" i="12" s="1"/>
  <c r="M26" i="12"/>
  <c r="S15" i="26" s="1"/>
  <c r="N126" i="1" s="1"/>
  <c r="M21" i="12"/>
  <c r="M23" i="12"/>
  <c r="M25" i="12" s="1"/>
  <c r="M19" i="12"/>
  <c r="M18" i="12"/>
  <c r="S16" i="26" l="1"/>
  <c r="L103" i="29" s="1"/>
  <c r="M104" i="29" s="1"/>
  <c r="N238" i="1" s="1"/>
  <c r="L173" i="29"/>
  <c r="N128" i="1"/>
  <c r="N133" i="1" s="1"/>
  <c r="N24" i="12"/>
  <c r="N26" i="12" s="1"/>
  <c r="N23" i="12"/>
  <c r="N21" i="12"/>
  <c r="N18" i="12"/>
  <c r="N19" i="12"/>
  <c r="P14" i="12"/>
  <c r="P15" i="12" s="1"/>
  <c r="P16" i="12" s="1"/>
  <c r="O16" i="12"/>
  <c r="L174" i="29" l="1"/>
  <c r="G21" i="30" s="1"/>
  <c r="G22" i="30" s="1"/>
  <c r="G24" i="30" s="1"/>
  <c r="M106" i="29"/>
  <c r="M108" i="29" s="1"/>
  <c r="N102" i="29"/>
  <c r="V15" i="26"/>
  <c r="O126" i="1" s="1"/>
  <c r="N531" i="1"/>
  <c r="N25" i="12"/>
  <c r="O24" i="12" s="1"/>
  <c r="O26" i="12" s="1"/>
  <c r="P126" i="1" s="1"/>
  <c r="P128" i="1" s="1"/>
  <c r="G5" i="19"/>
  <c r="G8" i="19" s="1"/>
  <c r="G14" i="19" s="1"/>
  <c r="O23" i="12"/>
  <c r="O18" i="12"/>
  <c r="O21" i="12"/>
  <c r="O19" i="12"/>
  <c r="P19" i="12" s="1"/>
  <c r="P18" i="12"/>
  <c r="P21" i="12"/>
  <c r="P23" i="12"/>
  <c r="M174" i="29" l="1"/>
  <c r="M176" i="29" s="1"/>
  <c r="L111" i="29"/>
  <c r="M111" i="29" s="1"/>
  <c r="H5" i="30"/>
  <c r="M179" i="29"/>
  <c r="V16" i="26"/>
  <c r="N103" i="29" s="1"/>
  <c r="O104" i="29" s="1"/>
  <c r="N173" i="29"/>
  <c r="N174" i="29" s="1"/>
  <c r="H21" i="30" s="1"/>
  <c r="H22" i="30" s="1"/>
  <c r="N137" i="1"/>
  <c r="N5" i="9"/>
  <c r="O25" i="12"/>
  <c r="P24" i="12" s="1"/>
  <c r="P26" i="12" s="1"/>
  <c r="Q126" i="1" s="1"/>
  <c r="Q128" i="1" s="1"/>
  <c r="I5" i="19"/>
  <c r="I8" i="19" s="1"/>
  <c r="I14" i="19" s="1"/>
  <c r="P133" i="1"/>
  <c r="P531" i="1"/>
  <c r="P546" i="1" s="1"/>
  <c r="P568" i="1" s="1"/>
  <c r="P578" i="1" s="1"/>
  <c r="O106" i="29" l="1"/>
  <c r="O108" i="29" s="1"/>
  <c r="O179" i="29" s="1"/>
  <c r="O238" i="1"/>
  <c r="M133" i="29"/>
  <c r="N254" i="1"/>
  <c r="N172" i="29"/>
  <c r="N342" i="1"/>
  <c r="N346" i="1" s="1"/>
  <c r="H24" i="30"/>
  <c r="N111" i="29" s="1"/>
  <c r="O111" i="29" s="1"/>
  <c r="O174" i="29"/>
  <c r="N25" i="9"/>
  <c r="N28" i="9" s="1"/>
  <c r="N34" i="9" s="1"/>
  <c r="N8" i="9"/>
  <c r="N12" i="9" s="1"/>
  <c r="P25" i="12"/>
  <c r="Q531" i="1"/>
  <c r="Q546" i="1" s="1"/>
  <c r="Q568" i="1" s="1"/>
  <c r="Q578" i="1" s="1"/>
  <c r="J5" i="19"/>
  <c r="J8" i="19" s="1"/>
  <c r="J14" i="19" s="1"/>
  <c r="Q133" i="1"/>
  <c r="Q137" i="1" s="1"/>
  <c r="P12" i="9"/>
  <c r="P137" i="1"/>
  <c r="O133" i="29" l="1"/>
  <c r="O254" i="1"/>
  <c r="O594" i="1" s="1"/>
  <c r="O176" i="29"/>
  <c r="O342" i="1"/>
  <c r="O346" i="1" s="1"/>
  <c r="N542" i="1"/>
  <c r="N559" i="1"/>
  <c r="N594" i="1"/>
  <c r="N595" i="1" s="1"/>
  <c r="N300" i="1"/>
  <c r="N444" i="1"/>
  <c r="N446" i="1" s="1"/>
  <c r="AA34" i="9"/>
  <c r="R35" i="9" s="1"/>
  <c r="N571" i="1" l="1"/>
  <c r="N491" i="1"/>
  <c r="N449" i="1"/>
  <c r="N447" i="1"/>
  <c r="N448" i="1" s="1"/>
  <c r="N363" i="1"/>
  <c r="N364" i="1"/>
  <c r="N361" i="1"/>
  <c r="N509" i="1" s="1"/>
  <c r="O542" i="1"/>
  <c r="O559" i="1"/>
  <c r="O124" i="1"/>
  <c r="O7" i="9"/>
  <c r="O9" i="9" s="1"/>
  <c r="O11" i="9" s="1"/>
  <c r="O27" i="9" s="1"/>
  <c r="N500" i="1" l="1"/>
  <c r="N519" i="1" s="1"/>
  <c r="N497" i="1"/>
  <c r="O128" i="1"/>
  <c r="O531" i="1" s="1"/>
  <c r="O140" i="1"/>
  <c r="N576" i="1" l="1"/>
  <c r="N513" i="1"/>
  <c r="N511" i="1"/>
  <c r="H5" i="19"/>
  <c r="H8" i="19" s="1"/>
  <c r="B15" i="19" s="1"/>
  <c r="O133" i="1"/>
  <c r="N515" i="1" l="1"/>
  <c r="O137" i="1"/>
  <c r="H14" i="19"/>
  <c r="B16" i="19" s="1"/>
  <c r="O5" i="9"/>
  <c r="O25" i="9" s="1"/>
  <c r="O28" i="9" s="1"/>
  <c r="O300" i="1"/>
  <c r="O444" i="1"/>
  <c r="O446" i="1" s="1"/>
  <c r="O595" i="1"/>
  <c r="O571" i="1" l="1"/>
  <c r="O449" i="1"/>
  <c r="O8" i="9"/>
  <c r="O12" i="9" s="1"/>
  <c r="D13" i="9" s="1"/>
  <c r="O447" i="1"/>
  <c r="O448" i="1" s="1"/>
  <c r="O32" i="9"/>
  <c r="O363" i="1"/>
  <c r="O364" i="1"/>
  <c r="O361" i="1"/>
  <c r="O509" i="1" s="1"/>
  <c r="O491" i="1"/>
  <c r="D14" i="9" l="1"/>
  <c r="C5" i="8" s="1"/>
  <c r="O500" i="1"/>
  <c r="O519" i="1" s="1"/>
  <c r="O497" i="1"/>
  <c r="O576" i="1" s="1"/>
  <c r="O513" i="1" l="1"/>
  <c r="O511" i="1"/>
  <c r="O515" i="1" l="1"/>
  <c r="L241" i="1" l="1"/>
  <c r="L243" i="1" s="1"/>
  <c r="L354" i="1" s="1"/>
  <c r="K358" i="1"/>
  <c r="K366" i="1" s="1"/>
  <c r="K354" i="1"/>
  <c r="L358" i="1" l="1"/>
  <c r="L366" i="1" s="1"/>
  <c r="M241" i="1"/>
  <c r="N241" i="1" l="1"/>
  <c r="M243" i="1"/>
  <c r="M354" i="1" s="1"/>
  <c r="M358" i="1"/>
  <c r="M366" i="1" s="1"/>
  <c r="N358" i="1" l="1"/>
  <c r="N366" i="1" s="1"/>
  <c r="N243" i="1"/>
  <c r="N354" i="1" s="1"/>
  <c r="P238" i="1"/>
  <c r="O241" i="1"/>
  <c r="O358" i="1" l="1"/>
  <c r="O366" i="1" s="1"/>
  <c r="O243" i="1"/>
  <c r="O354" i="1" s="1"/>
  <c r="P241" i="1"/>
  <c r="Q238" i="1"/>
  <c r="R238" i="1" l="1"/>
  <c r="R241" i="1" s="1"/>
  <c r="Q241" i="1"/>
  <c r="P243" i="1"/>
  <c r="P358" i="1"/>
  <c r="P366" i="1" s="1"/>
  <c r="Q243" i="1" l="1"/>
  <c r="Q358" i="1"/>
  <c r="Q366" i="1" s="1"/>
  <c r="P253" i="1"/>
  <c r="P354" i="1"/>
  <c r="P356" i="1" s="1"/>
  <c r="R243" i="1"/>
  <c r="R358" i="1"/>
  <c r="R366" i="1" s="1"/>
  <c r="R253" i="1" l="1"/>
  <c r="R354" i="1"/>
  <c r="R356" i="1" s="1"/>
  <c r="Q253" i="1"/>
  <c r="Q354" i="1"/>
  <c r="Q356" i="1" s="1"/>
  <c r="E138" i="27"/>
  <c r="E143" i="27" s="1"/>
  <c r="F149" i="29"/>
  <c r="G149" i="29" s="1"/>
  <c r="K305" i="1" s="1"/>
  <c r="K557" i="1" l="1"/>
  <c r="K565" i="1" s="1"/>
  <c r="K541" i="1"/>
  <c r="K546" i="1" s="1"/>
  <c r="K568" i="1" s="1"/>
  <c r="K578" i="1" s="1"/>
  <c r="K315" i="1"/>
  <c r="K353" i="1" s="1"/>
  <c r="K355" i="1" s="1"/>
  <c r="G153" i="29"/>
  <c r="G178" i="29" s="1"/>
  <c r="G180" i="29" s="1"/>
  <c r="G181" i="29" s="1"/>
  <c r="H147" i="29"/>
  <c r="I149" i="29" s="1"/>
  <c r="L305" i="1" s="1"/>
  <c r="L315" i="1" l="1"/>
  <c r="L353" i="1" s="1"/>
  <c r="L355" i="1" s="1"/>
  <c r="L557" i="1"/>
  <c r="L565" i="1" s="1"/>
  <c r="L541" i="1"/>
  <c r="L546" i="1" s="1"/>
  <c r="I153" i="29"/>
  <c r="I178" i="29" s="1"/>
  <c r="I180" i="29" s="1"/>
  <c r="I181" i="29" s="1"/>
  <c r="J147" i="29"/>
  <c r="K149" i="29" s="1"/>
  <c r="M305" i="1" s="1"/>
  <c r="L568" i="1" l="1"/>
  <c r="L578" i="1" s="1"/>
  <c r="M541" i="1"/>
  <c r="M546" i="1" s="1"/>
  <c r="M557" i="1"/>
  <c r="M565" i="1" s="1"/>
  <c r="M315" i="1"/>
  <c r="M353" i="1" s="1"/>
  <c r="M355" i="1" s="1"/>
  <c r="L147" i="29"/>
  <c r="M149" i="29" s="1"/>
  <c r="N305" i="1" s="1"/>
  <c r="K153" i="29"/>
  <c r="K178" i="29" s="1"/>
  <c r="K180" i="29" s="1"/>
  <c r="K181" i="29" s="1"/>
  <c r="N541" i="1" l="1"/>
  <c r="N546" i="1" s="1"/>
  <c r="N557" i="1"/>
  <c r="N565" i="1" s="1"/>
  <c r="N315" i="1"/>
  <c r="N353" i="1" s="1"/>
  <c r="N355" i="1" s="1"/>
  <c r="M568" i="1"/>
  <c r="M578" i="1" s="1"/>
  <c r="N147" i="29"/>
  <c r="O149" i="29" s="1"/>
  <c r="M153" i="29"/>
  <c r="M178" i="29" s="1"/>
  <c r="M180" i="29" s="1"/>
  <c r="M181" i="29" s="1"/>
  <c r="O153" i="29" l="1"/>
  <c r="O178" i="29" s="1"/>
  <c r="O180" i="29" s="1"/>
  <c r="O181" i="29" s="1"/>
  <c r="O305" i="1"/>
  <c r="N568" i="1"/>
  <c r="N578" i="1" s="1"/>
  <c r="O541" i="1" l="1"/>
  <c r="O546" i="1" s="1"/>
  <c r="O557" i="1"/>
  <c r="O565" i="1" s="1"/>
  <c r="O315" i="1"/>
  <c r="O31" i="9" l="1"/>
  <c r="O33" i="9" s="1"/>
  <c r="O34" i="9" s="1"/>
  <c r="O353" i="1"/>
  <c r="O355" i="1" s="1"/>
  <c r="O568" i="1"/>
  <c r="O578" i="1" s="1"/>
  <c r="D35" i="9" l="1"/>
  <c r="D36" i="9"/>
</calcChain>
</file>

<file path=xl/sharedStrings.xml><?xml version="1.0" encoding="utf-8"?>
<sst xmlns="http://schemas.openxmlformats.org/spreadsheetml/2006/main" count="2680" uniqueCount="935">
  <si>
    <t>PROPOSED PROJECT</t>
  </si>
  <si>
    <t>ASSESMENT OF WORKING CAPITAL REQUIREMENT</t>
  </si>
  <si>
    <t>FORM II: OPERATING STATEMENTS (IND)</t>
  </si>
  <si>
    <t>(Amount-Rs.in Lacs )</t>
  </si>
  <si>
    <t>Name: CRPLINFRA PVT. LTD.</t>
  </si>
  <si>
    <t>2016-17</t>
  </si>
  <si>
    <t>2017-18</t>
  </si>
  <si>
    <t>2018-19</t>
  </si>
  <si>
    <t>2019-20</t>
  </si>
  <si>
    <t>2020-21</t>
  </si>
  <si>
    <t>2028-29</t>
  </si>
  <si>
    <t>2029-30</t>
  </si>
  <si>
    <t>2030-31</t>
  </si>
  <si>
    <t>2031-32</t>
  </si>
  <si>
    <t>Aud.</t>
  </si>
  <si>
    <t>Proj</t>
  </si>
  <si>
    <t>1. GROSS SALES</t>
  </si>
  <si>
    <t xml:space="preserve">    DOMESTIC SALES</t>
  </si>
  <si>
    <t>2. Less EXCISE DUTY AND VAT</t>
  </si>
  <si>
    <t>_</t>
  </si>
  <si>
    <t>3. NET SALES (1-2)</t>
  </si>
  <si>
    <t>4. % age rise (+) or fall (-)</t>
  </si>
  <si>
    <t xml:space="preserve">   in the net sales  compared</t>
  </si>
  <si>
    <t xml:space="preserve">   to previous year  </t>
  </si>
  <si>
    <t>5. COST OF SALES</t>
  </si>
  <si>
    <t xml:space="preserve"> (i)  RAW MATERIALS (including </t>
  </si>
  <si>
    <t xml:space="preserve">      stores  and  other  item</t>
  </si>
  <si>
    <t xml:space="preserve">      used in the process  of</t>
  </si>
  <si>
    <t xml:space="preserve">      manufacturing.</t>
  </si>
  <si>
    <t xml:space="preserve">      (a) Imported</t>
  </si>
  <si>
    <t xml:space="preserve">      (b) Indigeneous</t>
  </si>
  <si>
    <t xml:space="preserve">    </t>
  </si>
  <si>
    <t xml:space="preserve"> (ii) Other spares</t>
  </si>
  <si>
    <t xml:space="preserve">  </t>
  </si>
  <si>
    <t xml:space="preserve"> (iii) Power &amp; fuel</t>
  </si>
  <si>
    <t xml:space="preserve"> (iv)  Direct labour</t>
  </si>
  <si>
    <t xml:space="preserve">       (factory wages &amp; salary)</t>
  </si>
  <si>
    <t/>
  </si>
  <si>
    <t xml:space="preserve">  (v) Other mfg. expences</t>
  </si>
  <si>
    <t xml:space="preserve">  (vi) Depreciation</t>
  </si>
  <si>
    <t xml:space="preserve">  (vii) SUB-TOTAL (i to vi)</t>
  </si>
  <si>
    <t xml:space="preserve">  (viii)add :Opening stock-in-</t>
  </si>
  <si>
    <t xml:space="preserve">        process</t>
  </si>
  <si>
    <t xml:space="preserve">        Sub-total    </t>
  </si>
  <si>
    <t xml:space="preserve">   (ix) Deduct Closing stock-in- </t>
  </si>
  <si>
    <t xml:space="preserve">        process.</t>
  </si>
  <si>
    <t xml:space="preserve">   (x) Cost of production</t>
  </si>
  <si>
    <t xml:space="preserve">   (xi)Add: Opening stock of Finished</t>
  </si>
  <si>
    <t xml:space="preserve">       goods.</t>
  </si>
  <si>
    <t xml:space="preserve">       Sub-total</t>
  </si>
  <si>
    <t xml:space="preserve">   (xii) Deduct closing stock of finished</t>
  </si>
  <si>
    <t xml:space="preserve">         goods</t>
  </si>
  <si>
    <t xml:space="preserve">   (xiii) SUB-TOTAL (Total cost of sales)     </t>
  </si>
  <si>
    <t xml:space="preserve">6.  Selling  general &amp; administrative </t>
  </si>
  <si>
    <t xml:space="preserve">    expenses.</t>
  </si>
  <si>
    <t>7.  SUB TOTAL (5+6)</t>
  </si>
  <si>
    <t xml:space="preserve">    (3-7)</t>
  </si>
  <si>
    <t>9.  Interest</t>
  </si>
  <si>
    <t>Interest on PNB Old Term Loan</t>
  </si>
  <si>
    <t>Axis Bank</t>
  </si>
  <si>
    <t>Working Capital</t>
  </si>
  <si>
    <t>10. Operating profit after interest (8-9)</t>
  </si>
  <si>
    <t>11. (i) Add other Non Operating income</t>
  </si>
  <si>
    <t xml:space="preserve">    (a) </t>
  </si>
  <si>
    <t xml:space="preserve">    (b) </t>
  </si>
  <si>
    <t xml:space="preserve">     Sub total (Income)</t>
  </si>
  <si>
    <t xml:space="preserve">   </t>
  </si>
  <si>
    <t xml:space="preserve">    (ii) Deduct other non-operating</t>
  </si>
  <si>
    <t xml:space="preserve">         expences</t>
  </si>
  <si>
    <t xml:space="preserve">    (a)  Preliminary Exp. Written off</t>
  </si>
  <si>
    <t xml:space="preserve">    (b)</t>
  </si>
  <si>
    <t xml:space="preserve">     Sub total (Expenses)</t>
  </si>
  <si>
    <t xml:space="preserve">    (iii) Net of other -operating</t>
  </si>
  <si>
    <t xml:space="preserve">          income - expences</t>
  </si>
  <si>
    <t xml:space="preserve">          (net of 11(i) &amp; 11(ii)</t>
  </si>
  <si>
    <t>12.  Profit before Tax/Loss</t>
  </si>
  <si>
    <t xml:space="preserve">     [10+11(iii)]</t>
  </si>
  <si>
    <t>13.  Provision for tax</t>
  </si>
  <si>
    <t>14.  Net profit/loss (12-13)</t>
  </si>
  <si>
    <t>15.  (a) Equity Dividend paid</t>
  </si>
  <si>
    <t xml:space="preserve">       (b) Diviend rate (%)</t>
  </si>
  <si>
    <t>16.  Retained profit (14-15)</t>
  </si>
  <si>
    <t>17.  Retained profit + Net</t>
  </si>
  <si>
    <t xml:space="preserve">       profit (%age)</t>
  </si>
  <si>
    <t>FORM III (IND)</t>
  </si>
  <si>
    <t>ANALYSIS OF BALANCE SHEET</t>
  </si>
  <si>
    <t>LIABILITIES</t>
  </si>
  <si>
    <t>CURRENT LIABILITIES</t>
  </si>
  <si>
    <t xml:space="preserve">1. Short term Borrowings from </t>
  </si>
  <si>
    <t xml:space="preserve">   banks (incl. Bills Purchased,</t>
  </si>
  <si>
    <t xml:space="preserve">   discounted &amp; excess borrowings</t>
  </si>
  <si>
    <t xml:space="preserve">   placed on repayment basis)</t>
  </si>
  <si>
    <t xml:space="preserve">  (i)   From Banks</t>
  </si>
  <si>
    <t xml:space="preserve">         Buyers Credit </t>
  </si>
  <si>
    <t xml:space="preserve">  (iii) (of which BP &amp; BD)</t>
  </si>
  <si>
    <t xml:space="preserve">           SUB TOTAL (A)</t>
  </si>
  <si>
    <t>2. Short term borrowings from others</t>
  </si>
  <si>
    <t>3. Sundry Creditors (trade)</t>
  </si>
  <si>
    <t>4. Advance payment from customers/</t>
  </si>
  <si>
    <t xml:space="preserve">   deposits from dealers</t>
  </si>
  <si>
    <t>5. Provision for taxation</t>
  </si>
  <si>
    <t>6. Dividend payable</t>
  </si>
  <si>
    <t>7. Other Statutory Liabilities</t>
  </si>
  <si>
    <t xml:space="preserve">   (due within one year)</t>
  </si>
  <si>
    <t xml:space="preserve">8. Deposits /Instalments of </t>
  </si>
  <si>
    <t xml:space="preserve">   term loans/ DPGs / debentures,</t>
  </si>
  <si>
    <t xml:space="preserve">   etc. (due within one year)</t>
  </si>
  <si>
    <t xml:space="preserve">9. Other Current Libilities &amp;   provisions (due within one year) </t>
  </si>
  <si>
    <t>Provision for Gratuity</t>
  </si>
  <si>
    <t>Deffered Revenue Income</t>
  </si>
  <si>
    <t>Liability for expenses</t>
  </si>
  <si>
    <t>Interest Accrued</t>
  </si>
  <si>
    <t xml:space="preserve">   (Specify major items)</t>
  </si>
  <si>
    <t xml:space="preserve">   Sub total (B)   </t>
  </si>
  <si>
    <t>10. TOTAL CURRENT LIABILITIES</t>
  </si>
  <si>
    <t xml:space="preserve">    (Total of 1 to 9)</t>
  </si>
  <si>
    <t>TERM LIABILITIES</t>
  </si>
  <si>
    <t>11. Debentures (not maturing</t>
  </si>
  <si>
    <t xml:space="preserve">    within one year)</t>
  </si>
  <si>
    <t xml:space="preserve">12. Preference shares </t>
  </si>
  <si>
    <t xml:space="preserve">    (redeemable after one year)</t>
  </si>
  <si>
    <t>13. Term loans (excluding insatalments</t>
  </si>
  <si>
    <t xml:space="preserve">    payable within one year)</t>
  </si>
  <si>
    <t xml:space="preserve">     Long Term Provision</t>
  </si>
  <si>
    <t>14. Deffered payment credits excluding</t>
  </si>
  <si>
    <t xml:space="preserve">    instalments due within one year</t>
  </si>
  <si>
    <t>15. Term deposits (Security Deposit)</t>
  </si>
  <si>
    <t>16. Other term liabilities -Unsecured Loan/</t>
  </si>
  <si>
    <t xml:space="preserve">                                          - SCRs for Cap Goods </t>
  </si>
  <si>
    <t>17. TOTAL TERM LIABILITIES</t>
  </si>
  <si>
    <t xml:space="preserve">    (Total of 11 to 16)</t>
  </si>
  <si>
    <t>18. TOTAL OUTSIDE LIABILITIES</t>
  </si>
  <si>
    <t xml:space="preserve">        (10 + 17)</t>
  </si>
  <si>
    <t xml:space="preserve">     NET WORTH</t>
  </si>
  <si>
    <t>19. Ordinary share capital</t>
  </si>
  <si>
    <t xml:space="preserve">       Preference Share Capital</t>
  </si>
  <si>
    <t xml:space="preserve">       Share applicaton </t>
  </si>
  <si>
    <t>20. General Reserve -Share Premium</t>
  </si>
  <si>
    <t xml:space="preserve">21. Revaluation Reserve - Investment subsidy </t>
  </si>
  <si>
    <t>22 Deferred tax</t>
  </si>
  <si>
    <t>23. Surplus (+) on deficit(-) in</t>
  </si>
  <si>
    <t xml:space="preserve">    Profit &amp; Loss account</t>
  </si>
  <si>
    <t>24. NET WORTH</t>
  </si>
  <si>
    <t>25. TOTAL LIABILITIES</t>
  </si>
  <si>
    <t xml:space="preserve">    (18 + 24)</t>
  </si>
  <si>
    <t xml:space="preserve">         </t>
  </si>
  <si>
    <t>FORM III (CONTINUED)</t>
  </si>
  <si>
    <t xml:space="preserve">       ASSETS</t>
  </si>
  <si>
    <t xml:space="preserve">    CURRENT ASSETS</t>
  </si>
  <si>
    <t>26. Cash and bank balances</t>
  </si>
  <si>
    <t>27. Investments (other than long</t>
  </si>
  <si>
    <t xml:space="preserve">    term investments)</t>
  </si>
  <si>
    <t xml:space="preserve">   (i) Government &amp; Other Trustee securities</t>
  </si>
  <si>
    <t xml:space="preserve">   (ii) Fixed deposits with banks</t>
  </si>
  <si>
    <t xml:space="preserve">28.i) Receivables other than </t>
  </si>
  <si>
    <t xml:space="preserve">      deferred &amp; exports(incldg.</t>
  </si>
  <si>
    <t xml:space="preserve">      bills purchased &amp; discounted</t>
  </si>
  <si>
    <t xml:space="preserve">      by banks)</t>
  </si>
  <si>
    <t xml:space="preserve">  (ii) Export receivables(incldg.</t>
  </si>
  <si>
    <t xml:space="preserve">       bills purchased/discounted</t>
  </si>
  <si>
    <t xml:space="preserve">       by banks)</t>
  </si>
  <si>
    <t>29. Instalments of deferred receivables</t>
  </si>
  <si>
    <t xml:space="preserve">    (due within one year)</t>
  </si>
  <si>
    <t>30. Inventory:</t>
  </si>
  <si>
    <t xml:space="preserve">   (i) Raw materials(incldg</t>
  </si>
  <si>
    <t xml:space="preserve">       stores &amp; other items used in </t>
  </si>
  <si>
    <t xml:space="preserve">       the process of manufacture)</t>
  </si>
  <si>
    <t xml:space="preserve">       a) Imported</t>
  </si>
  <si>
    <t xml:space="preserve">       b) Indigenous</t>
  </si>
  <si>
    <t xml:space="preserve">  (ii) Stocks-in-process</t>
  </si>
  <si>
    <t xml:space="preserve">  (iii)Finished goods</t>
  </si>
  <si>
    <t xml:space="preserve">  (iv) Other consumable spares</t>
  </si>
  <si>
    <t xml:space="preserve">      a) Imported</t>
  </si>
  <si>
    <t xml:space="preserve">      b) Indigenous</t>
  </si>
  <si>
    <t>31. Advances to suppliers of raw</t>
  </si>
  <si>
    <t xml:space="preserve">      materials &amp; stores spares</t>
  </si>
  <si>
    <t>32. Advance payment of taxes</t>
  </si>
  <si>
    <t xml:space="preserve">33. Other current assets </t>
  </si>
  <si>
    <t>Interest Receivable</t>
  </si>
  <si>
    <t>Balance with Government Authority</t>
  </si>
  <si>
    <t>Grant Receivable</t>
  </si>
  <si>
    <t>34. TOTAL CURRENT ASSETS</t>
  </si>
  <si>
    <t xml:space="preserve">    ( Total of 26 to 33)</t>
  </si>
  <si>
    <t xml:space="preserve">    FIXED ASSETS</t>
  </si>
  <si>
    <t>35. Gross Block(Land &amp; building machinery, work-in-progress)</t>
  </si>
  <si>
    <t>Leasehold land</t>
  </si>
  <si>
    <t>Building</t>
  </si>
  <si>
    <t>Plant &amp; Equipment</t>
  </si>
  <si>
    <t>Vehicles</t>
  </si>
  <si>
    <t>Mis. Fixed Assets</t>
  </si>
  <si>
    <t>WIP</t>
  </si>
  <si>
    <t>36. Depreciation to date</t>
  </si>
  <si>
    <t>37. NET BLOCK( 35-36 )</t>
  </si>
  <si>
    <t xml:space="preserve">    OTHER NON-CURRENT ASSETS</t>
  </si>
  <si>
    <t>38. Investments bock debts/advances/</t>
  </si>
  <si>
    <t xml:space="preserve">    deposits which are not</t>
  </si>
  <si>
    <t xml:space="preserve">    Current Assets</t>
  </si>
  <si>
    <t xml:space="preserve">   (i) a) Investments in subsidiary</t>
  </si>
  <si>
    <t xml:space="preserve">          Companies/affiliates</t>
  </si>
  <si>
    <t xml:space="preserve">      b) Others For Future Expansion</t>
  </si>
  <si>
    <t xml:space="preserve">  (ii)  Advances to suppliers of</t>
  </si>
  <si>
    <t xml:space="preserve">        Capital goods &amp; contractors</t>
  </si>
  <si>
    <t xml:space="preserve">  (iii) Deferred receivables</t>
  </si>
  <si>
    <t xml:space="preserve">        (maturity exceeding one yr.)</t>
  </si>
  <si>
    <t xml:space="preserve">  iv)  Security Deposit</t>
  </si>
  <si>
    <t>39. Non-consumable stores &amp; spares</t>
  </si>
  <si>
    <t>40. Other non-current assets-</t>
  </si>
  <si>
    <t>Loan to subsidiary</t>
  </si>
  <si>
    <t>Prepaid Expenses</t>
  </si>
  <si>
    <t>Bank Deposit with maturity more than 12 months</t>
  </si>
  <si>
    <t>Advance Tax</t>
  </si>
  <si>
    <t>41. TOTAL OTHER NON-CURR, ASSETS</t>
  </si>
  <si>
    <t xml:space="preserve">    (Total of 38 to 40)</t>
  </si>
  <si>
    <t>42. Intangible assets (patents, good</t>
  </si>
  <si>
    <t xml:space="preserve">    will, prelim, expenses, bad/</t>
  </si>
  <si>
    <t xml:space="preserve">    doubtful debts not provided for etc</t>
  </si>
  <si>
    <t>43. TOTAL ASSETS</t>
  </si>
  <si>
    <t xml:space="preserve">    (Total of 34,37,41 &amp; 42)</t>
  </si>
  <si>
    <t>44. TANGIBLE NET WORTH(24 - 42)</t>
  </si>
  <si>
    <t>45. NET WORKING CAPITAL</t>
  </si>
  <si>
    <t xml:space="preserve">    To tally with (34 - 10)</t>
  </si>
  <si>
    <t xml:space="preserve">46. Current Ratio(Items 34/10) -with TL installment </t>
  </si>
  <si>
    <t xml:space="preserve">       Current Ratio(Items 34/10) -without  TL installment </t>
  </si>
  <si>
    <t>47. Total Outside Liabilities / Tangible</t>
  </si>
  <si>
    <t xml:space="preserve">    Net Worth (18 / 44)</t>
  </si>
  <si>
    <t xml:space="preserve">    ADDITIONAL INFORMATION</t>
  </si>
  <si>
    <t>A) Arrears of depreciation</t>
  </si>
  <si>
    <t>B) Contingent liabilities</t>
  </si>
  <si>
    <t xml:space="preserve">  i) Arrears of cumulative </t>
  </si>
  <si>
    <t xml:space="preserve">     dividends</t>
  </si>
  <si>
    <t xml:space="preserve"> ii) Gratuity liability not </t>
  </si>
  <si>
    <t xml:space="preserve">     provided for</t>
  </si>
  <si>
    <t xml:space="preserve"> iii) Disputed excise/customs/</t>
  </si>
  <si>
    <t xml:space="preserve">      tax liabilities</t>
  </si>
  <si>
    <t xml:space="preserve">  iv) Other liabilities not</t>
  </si>
  <si>
    <t xml:space="preserve">      provided for</t>
  </si>
  <si>
    <t>FORM IV (IND)</t>
  </si>
  <si>
    <t>COMPARATIVE STATEMENT OF CURRENT ASSETS &amp;</t>
  </si>
  <si>
    <t xml:space="preserve">  A) CURRENT ASSETS</t>
  </si>
  <si>
    <t>1) Raw materials(incldg stores &amp;</t>
  </si>
  <si>
    <t xml:space="preserve">   other items used in the process</t>
  </si>
  <si>
    <t xml:space="preserve">   of manufacture)</t>
  </si>
  <si>
    <t xml:space="preserve">   a) Imported</t>
  </si>
  <si>
    <t xml:space="preserve">      (Months' consumption)</t>
  </si>
  <si>
    <t xml:space="preserve">   b) Indigenous:</t>
  </si>
  <si>
    <t>2) Other consumable spares, exclu</t>
  </si>
  <si>
    <t xml:space="preserve">   ding those included in 1 above</t>
  </si>
  <si>
    <t>3) Stocks-in-process:</t>
  </si>
  <si>
    <t xml:space="preserve">   (Months' cost of production)</t>
  </si>
  <si>
    <t>4) Finished goods</t>
  </si>
  <si>
    <t xml:space="preserve">   (Months' cost of sales)</t>
  </si>
  <si>
    <t>5) Receivables other than export &amp;</t>
  </si>
  <si>
    <t xml:space="preserve">   deferred receivables(incldg bills</t>
  </si>
  <si>
    <t xml:space="preserve">   purchased &amp; discounted by bankers)</t>
  </si>
  <si>
    <t xml:space="preserve">   (Months' domestic sales excluding</t>
  </si>
  <si>
    <t xml:space="preserve">   deferred payment sales)</t>
  </si>
  <si>
    <t>6) Export receivables(incl. bill purch</t>
  </si>
  <si>
    <t xml:space="preserve">   &amp; disc) (Months' export sales)</t>
  </si>
  <si>
    <t>7) Advances to suppliers of raw mate-</t>
  </si>
  <si>
    <t xml:space="preserve">   rials &amp; stores spares consumables</t>
  </si>
  <si>
    <t>8) Other current assets incl cash &amp;</t>
  </si>
  <si>
    <t xml:space="preserve">   bank balances &amp; deferred receiv-</t>
  </si>
  <si>
    <t xml:space="preserve">   ables due within one year</t>
  </si>
  <si>
    <t xml:space="preserve">   (specify major items)</t>
  </si>
  <si>
    <t>9) TOTAL CURRENT ASSETS (To</t>
  </si>
  <si>
    <t xml:space="preserve">   agree with item 34 in From III)</t>
  </si>
  <si>
    <t>B) CURRENT LIABILITIES</t>
  </si>
  <si>
    <t xml:space="preserve">   (Other than bank borrowings</t>
  </si>
  <si>
    <t xml:space="preserve">    for working capital)</t>
  </si>
  <si>
    <t>10) Creditors for purchase of raw</t>
  </si>
  <si>
    <t xml:space="preserve">    materials, stores &amp; consumable</t>
  </si>
  <si>
    <t xml:space="preserve">    spares( Months' purchases)</t>
  </si>
  <si>
    <t>11) Advances from customers</t>
  </si>
  <si>
    <t>12) Statutory liabilities (prov. for Taxation)</t>
  </si>
  <si>
    <t>13) Other current liabilities(specify</t>
  </si>
  <si>
    <t xml:space="preserve">    major items) Short Term borrow-</t>
  </si>
  <si>
    <t xml:space="preserve">    ings, unsecured loans, dividend</t>
  </si>
  <si>
    <t xml:space="preserve">    payable, instalments, of TL, DPG</t>
  </si>
  <si>
    <t xml:space="preserve">    public deposits, debentures, etc.</t>
  </si>
  <si>
    <t>14) TOTAL</t>
  </si>
  <si>
    <t xml:space="preserve">    (To agree with sub Total B</t>
  </si>
  <si>
    <t xml:space="preserve">     Form III)</t>
  </si>
  <si>
    <t>FORM V (IND)</t>
  </si>
  <si>
    <t>COMPUTATION OF MAXIMUM PERMISSIBLE</t>
  </si>
  <si>
    <t>BANK FINANCE FOR WORKING CAPITAL</t>
  </si>
  <si>
    <t>1) Total Current Assets</t>
  </si>
  <si>
    <t xml:space="preserve">   (9 in form IV)</t>
  </si>
  <si>
    <t>2) Other Current Liabilities(Other</t>
  </si>
  <si>
    <t xml:space="preserve">   (Other than bank borrowing</t>
  </si>
  <si>
    <t xml:space="preserve">   (14 of Form IV)</t>
  </si>
  <si>
    <t>3) Working Capital Gap(WCG)</t>
  </si>
  <si>
    <t xml:space="preserve">   (1-2)</t>
  </si>
  <si>
    <t>4) Min, Stipulated net working</t>
  </si>
  <si>
    <t xml:space="preserve">   Capital, i,e. 25% of WCG 25%</t>
  </si>
  <si>
    <t xml:space="preserve">   of total current assets as the </t>
  </si>
  <si>
    <t xml:space="preserve">   case may be depending upon the</t>
  </si>
  <si>
    <t xml:space="preserve">   method of lending being applied.</t>
  </si>
  <si>
    <t xml:space="preserve">   (Export receivables to be excluded</t>
  </si>
  <si>
    <t xml:space="preserve">   under both methods)</t>
  </si>
  <si>
    <t>5) Actual/projected net working capital</t>
  </si>
  <si>
    <t xml:space="preserve">   (45 in Form III)</t>
  </si>
  <si>
    <t>6) Item 3 minus item 4</t>
  </si>
  <si>
    <t>7) Item 3 minus item 5</t>
  </si>
  <si>
    <t>8) Maximum permissible bank finance</t>
  </si>
  <si>
    <t xml:space="preserve">   (Item 6 or 7 whichever is lower)</t>
  </si>
  <si>
    <t>9) Excess borrowings representing</t>
  </si>
  <si>
    <t xml:space="preserve">   short fall in NWC(4-5)</t>
  </si>
  <si>
    <t>FORM VI ( IND )</t>
  </si>
  <si>
    <t>FUNDS FLOW STATEMENT</t>
  </si>
  <si>
    <t>1) SOURCES</t>
  </si>
  <si>
    <t xml:space="preserve">   a) Net profit(after tax)</t>
  </si>
  <si>
    <t xml:space="preserve">         Others reserves </t>
  </si>
  <si>
    <t xml:space="preserve">   b) Depreciation</t>
  </si>
  <si>
    <t xml:space="preserve">   c) Increase in capital</t>
  </si>
  <si>
    <t xml:space="preserve">   d) Increase in Term Liabilities</t>
  </si>
  <si>
    <t xml:space="preserve">      (incldg. public deposits)</t>
  </si>
  <si>
    <t xml:space="preserve">   e) Decrease in</t>
  </si>
  <si>
    <t xml:space="preserve">      i) Fixed Assets</t>
  </si>
  <si>
    <t xml:space="preserve">     ii) Other non-current assets</t>
  </si>
  <si>
    <t xml:space="preserve">   f) Others - Deferred tax</t>
  </si>
  <si>
    <t xml:space="preserve">   g) T O T A L</t>
  </si>
  <si>
    <t>2) USES:</t>
  </si>
  <si>
    <t xml:space="preserve">   a) Net loss</t>
  </si>
  <si>
    <t xml:space="preserve">   b) Decrease in Term Liabilities</t>
  </si>
  <si>
    <t xml:space="preserve">   c) Increase in:</t>
  </si>
  <si>
    <t xml:space="preserve">  d) Dividend payments</t>
  </si>
  <si>
    <t xml:space="preserve">  e) Others</t>
  </si>
  <si>
    <t xml:space="preserve">  f) T O T A L</t>
  </si>
  <si>
    <t>3) long Term Surplus(+)/</t>
  </si>
  <si>
    <t xml:space="preserve">   Deficit(-)        (1-2)</t>
  </si>
  <si>
    <t>4) Increase/decrease in current</t>
  </si>
  <si>
    <t xml:space="preserve">   assets(as per details given below)   </t>
  </si>
  <si>
    <t xml:space="preserve">       </t>
  </si>
  <si>
    <t>5) Increase/decrease in current liabilities</t>
  </si>
  <si>
    <t xml:space="preserve">   other than Bank borrowings</t>
  </si>
  <si>
    <t>6) Increase/decrease in working capital gap</t>
  </si>
  <si>
    <t>7) Net surplus (+)/deficit(-)</t>
  </si>
  <si>
    <t xml:space="preserve">   (Difference of 3 &amp; 6)</t>
  </si>
  <si>
    <t>8) Increase/decrease in Bank borrowings</t>
  </si>
  <si>
    <t>INCREASE/DECREASE IN NET SALES</t>
  </si>
  <si>
    <t xml:space="preserve">   Break-up of (4)</t>
  </si>
  <si>
    <t xml:space="preserve">  i) Increase/Decrease in Raw Materials</t>
  </si>
  <si>
    <t xml:space="preserve">  ii) Increase/Decrease in stocks in-process</t>
  </si>
  <si>
    <t xml:space="preserve"> iii) Increase/Decrease in Finished Goods</t>
  </si>
  <si>
    <t xml:space="preserve">  iv) Increase/Decrease in Receivables</t>
  </si>
  <si>
    <t xml:space="preserve">     a) Domestic</t>
  </si>
  <si>
    <t xml:space="preserve">     b) Export</t>
  </si>
  <si>
    <t xml:space="preserve">  v) Increase/Decrease in Stores &amp; spares</t>
  </si>
  <si>
    <t xml:space="preserve"> vi) Increase/Decrease in others current assets</t>
  </si>
  <si>
    <t xml:space="preserve">                    TOTAL  :</t>
  </si>
  <si>
    <t xml:space="preserve">NOTE: Inc./dec. under items 4 to 8, as also under break-ìup of (4) should be indicated by </t>
  </si>
  <si>
    <t xml:space="preserve">            (+) (-).</t>
  </si>
  <si>
    <t>2021-22</t>
  </si>
  <si>
    <t>2022-23</t>
  </si>
  <si>
    <t>2023-24</t>
  </si>
  <si>
    <t>2024-25</t>
  </si>
  <si>
    <t>2025-26</t>
  </si>
  <si>
    <t>2026-27</t>
  </si>
  <si>
    <t>2027-28</t>
  </si>
  <si>
    <t>3032-33</t>
  </si>
  <si>
    <t>Statament showing penal interest</t>
  </si>
  <si>
    <t>Bank Name</t>
  </si>
  <si>
    <t>Bank Account No</t>
  </si>
  <si>
    <t xml:space="preserve">Closing Balance </t>
  </si>
  <si>
    <t>Interest Rate</t>
  </si>
  <si>
    <t>Interest Calculation</t>
  </si>
  <si>
    <t>Interest as per Tally</t>
  </si>
  <si>
    <t>Penal Ineterst @2%</t>
  </si>
  <si>
    <t>Diff</t>
  </si>
  <si>
    <t>Punjab National Bank</t>
  </si>
  <si>
    <t>009100IL00000113 (Covid Loan)</t>
  </si>
  <si>
    <t>7.50% - 10.00%</t>
  </si>
  <si>
    <t>&lt;&lt; paid more</t>
  </si>
  <si>
    <t>009100EG00000387</t>
  </si>
  <si>
    <t>8.50% - 10.10%</t>
  </si>
  <si>
    <t>&lt;&lt; paid less</t>
  </si>
  <si>
    <t>009100IB00000292</t>
  </si>
  <si>
    <t>10.75% - 12.40%</t>
  </si>
  <si>
    <t>009100IB00000023</t>
  </si>
  <si>
    <t>921060053368902</t>
  </si>
  <si>
    <t>8.50% - 10.95%</t>
  </si>
  <si>
    <t>CRPL</t>
  </si>
  <si>
    <t>Principal</t>
  </si>
  <si>
    <t>23-24</t>
  </si>
  <si>
    <t>24-25</t>
  </si>
  <si>
    <t>25-26</t>
  </si>
  <si>
    <t>26-27</t>
  </si>
  <si>
    <t>27-28</t>
  </si>
  <si>
    <t>28-29</t>
  </si>
  <si>
    <t>29-30</t>
  </si>
  <si>
    <t>30-31</t>
  </si>
  <si>
    <t>Total</t>
  </si>
  <si>
    <t>Interest</t>
  </si>
  <si>
    <t>Grand Total</t>
  </si>
  <si>
    <t>Activities</t>
  </si>
  <si>
    <t>Amount</t>
  </si>
  <si>
    <t>Remarks</t>
  </si>
  <si>
    <t>Tally Customisation Charges</t>
  </si>
  <si>
    <t>verfified with physical tally file</t>
  </si>
  <si>
    <t xml:space="preserve">Advance Paid as per PO - CRPL/DO/22-23/148 </t>
  </si>
  <si>
    <t>Verified from Tally Ledger</t>
  </si>
  <si>
    <t>Balance Remaining</t>
  </si>
  <si>
    <t>* No aditional loan factored in</t>
  </si>
  <si>
    <t>Category</t>
  </si>
  <si>
    <t>Old</t>
  </si>
  <si>
    <t>New</t>
  </si>
  <si>
    <t>CMLTD</t>
  </si>
  <si>
    <t>Excess Payments</t>
  </si>
  <si>
    <t>Closing Term Loan</t>
  </si>
  <si>
    <t>Term Loan - Opening</t>
  </si>
  <si>
    <t>Payout</t>
  </si>
  <si>
    <t>Closing</t>
  </si>
  <si>
    <t xml:space="preserve">Debt </t>
  </si>
  <si>
    <t>Min DSCR</t>
  </si>
  <si>
    <t>Avg DSCR</t>
  </si>
  <si>
    <t>Description</t>
  </si>
  <si>
    <t>FY19</t>
  </si>
  <si>
    <t>FY20</t>
  </si>
  <si>
    <t>FY21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</si>
  <si>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</si>
  <si>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</si>
  <si>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</si>
  <si>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</si>
  <si>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</si>
  <si>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</si>
  <si>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</si>
  <si>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</si>
  <si>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</si>
  <si>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</si>
  <si>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Q-1</t>
  </si>
  <si>
    <t>Opening Balance</t>
  </si>
  <si>
    <t>Addition</t>
  </si>
  <si>
    <t>Repayment</t>
  </si>
  <si>
    <t>Closing Balance</t>
  </si>
  <si>
    <t xml:space="preserve">Interest </t>
  </si>
  <si>
    <t>Quarter ending</t>
  </si>
  <si>
    <t xml:space="preserve">% of debt repayment </t>
  </si>
  <si>
    <t>Q-2</t>
  </si>
  <si>
    <t>Q-3</t>
  </si>
  <si>
    <t>Q-4</t>
  </si>
  <si>
    <t>Summary</t>
  </si>
  <si>
    <t>Evaluation</t>
  </si>
  <si>
    <t>DSCR</t>
  </si>
  <si>
    <t>Unit</t>
  </si>
  <si>
    <t>PAT</t>
  </si>
  <si>
    <t>Depreciation</t>
  </si>
  <si>
    <t>Interest New Term Loan</t>
  </si>
  <si>
    <t>Total Cash Available</t>
  </si>
  <si>
    <t>Repayment of New Long Term Debt</t>
  </si>
  <si>
    <t>Coverage</t>
  </si>
  <si>
    <t>Debt Service</t>
  </si>
  <si>
    <t>Avg. DSCR</t>
  </si>
  <si>
    <t>Outflows</t>
  </si>
  <si>
    <t>Capital Investment</t>
  </si>
  <si>
    <t>Margin Money</t>
  </si>
  <si>
    <t>Total Outflow</t>
  </si>
  <si>
    <t>Operating Inflow</t>
  </si>
  <si>
    <t>Interest Coverage</t>
  </si>
  <si>
    <t>Total Opeating inflow</t>
  </si>
  <si>
    <t>Terminal Inflow</t>
  </si>
  <si>
    <t>Salvage Value</t>
  </si>
  <si>
    <t>Total Terminal Value</t>
  </si>
  <si>
    <t>Total Funds Flow</t>
  </si>
  <si>
    <t>NPV</t>
  </si>
  <si>
    <t>IRR</t>
  </si>
  <si>
    <t>WACC</t>
  </si>
  <si>
    <t xml:space="preserve">Base </t>
  </si>
  <si>
    <t>Case 1</t>
  </si>
  <si>
    <t>Case 2</t>
  </si>
  <si>
    <t>DEBT ASSESSMENT</t>
  </si>
  <si>
    <t>FY32</t>
  </si>
  <si>
    <t>FY33</t>
  </si>
  <si>
    <t>FY34</t>
  </si>
  <si>
    <t>FY35</t>
  </si>
  <si>
    <t>FY36</t>
  </si>
  <si>
    <t>ROI</t>
  </si>
  <si>
    <t>Working Capital - Interest</t>
  </si>
  <si>
    <t xml:space="preserve">  (ii)  from other bank (Axis)</t>
  </si>
  <si>
    <t>Particulars</t>
  </si>
  <si>
    <t>Current Asset</t>
  </si>
  <si>
    <t>Debtors</t>
  </si>
  <si>
    <t xml:space="preserve">  - Frozen items</t>
  </si>
  <si>
    <t xml:space="preserve">  - Chilled items</t>
  </si>
  <si>
    <t xml:space="preserve">  - Container Rent</t>
  </si>
  <si>
    <t>Total Current Asset</t>
  </si>
  <si>
    <t>Current Liability</t>
  </si>
  <si>
    <t>Creditors</t>
  </si>
  <si>
    <t>Total Current Liability</t>
  </si>
  <si>
    <t>Working Capital(CA-CL)</t>
  </si>
  <si>
    <t>Margin on WC</t>
  </si>
  <si>
    <t>Maximum Permissible Bank Finance (MPBF)</t>
  </si>
  <si>
    <t>Tax Calculation</t>
  </si>
  <si>
    <t>PBT</t>
  </si>
  <si>
    <t>Add: Dep as per companies Act</t>
  </si>
  <si>
    <t>PBDT</t>
  </si>
  <si>
    <t>Less: Dep as per IT Act</t>
  </si>
  <si>
    <t>Income/Loss</t>
  </si>
  <si>
    <t>Adjustable loss b/f</t>
  </si>
  <si>
    <t>Taxable Profit</t>
  </si>
  <si>
    <t>Income Tax under regular comp</t>
  </si>
  <si>
    <t>MAT</t>
  </si>
  <si>
    <t>Tax Payable</t>
  </si>
  <si>
    <t>MAT Utilizaton</t>
  </si>
  <si>
    <t xml:space="preserve">Mat Credit Utilized </t>
  </si>
  <si>
    <t>Net Tax Payable</t>
  </si>
  <si>
    <t>Mat Available for CF</t>
  </si>
  <si>
    <t>Mat Utilised</t>
  </si>
  <si>
    <t>Cumulative MAT Available for CF</t>
  </si>
  <si>
    <t>Net Tax payable</t>
  </si>
  <si>
    <t>Assumption</t>
  </si>
  <si>
    <t>Cost</t>
  </si>
  <si>
    <t>Fire Fighting</t>
  </si>
  <si>
    <t>Asset head</t>
  </si>
  <si>
    <t>Date of acquisition</t>
  </si>
  <si>
    <t>Year</t>
  </si>
  <si>
    <t>rate of depreciation</t>
  </si>
  <si>
    <t>Op WDV</t>
  </si>
  <si>
    <t>Dep</t>
  </si>
  <si>
    <t>Cl WDV</t>
  </si>
  <si>
    <t>Fire fighting work cost including Liasioning</t>
  </si>
  <si>
    <t>Plant &amp; equipment</t>
  </si>
  <si>
    <t>Civil Work</t>
  </si>
  <si>
    <t>Dain &amp; other civil work as per EIA Auditor</t>
  </si>
  <si>
    <t>Factory Building</t>
  </si>
  <si>
    <t>Air Curtains as per EIA Auditor for all docks</t>
  </si>
  <si>
    <t>Changes of Roof Sheet</t>
  </si>
  <si>
    <t>Labour Charges for Roof sheeting Changes work</t>
  </si>
  <si>
    <t>Roofix Screws</t>
  </si>
  <si>
    <t>ISMC for replacement of Purlin</t>
  </si>
  <si>
    <t>Steel For structural work</t>
  </si>
  <si>
    <t>Partition work at Labour Room as per EIA Auditor</t>
  </si>
  <si>
    <t>Flooring for CR 6</t>
  </si>
  <si>
    <t>PVC Drain Pipe for existing shed</t>
  </si>
  <si>
    <t>Back Side New Shade</t>
  </si>
  <si>
    <t>Labour charges for Back Side New Shade</t>
  </si>
  <si>
    <t>Painting Work</t>
  </si>
  <si>
    <t xml:space="preserve">630Kva DG </t>
  </si>
  <si>
    <t>Refer Container</t>
  </si>
  <si>
    <t>% Depreciation</t>
  </si>
  <si>
    <t>FY 22-23</t>
  </si>
  <si>
    <t>FY 23-24</t>
  </si>
  <si>
    <t>FY 24-25</t>
  </si>
  <si>
    <t>FY 25-26</t>
  </si>
  <si>
    <t>Gross Block Fixed Assets</t>
  </si>
  <si>
    <t>Accumulated Depreciation</t>
  </si>
  <si>
    <t>Net Block</t>
  </si>
  <si>
    <t>* No additiobal capex factored in. Only WIP converted into fixed assets.</t>
  </si>
  <si>
    <t>Rate</t>
  </si>
  <si>
    <t>Fixed Assets</t>
  </si>
  <si>
    <t>Fixed Assets - Future Expansion</t>
  </si>
  <si>
    <t>Opening</t>
  </si>
  <si>
    <t>Vehicle Loans</t>
  </si>
  <si>
    <t xml:space="preserve">Closing Balance - FY 22-23 </t>
  </si>
  <si>
    <t>Car Loan</t>
  </si>
  <si>
    <t>Total Loan</t>
  </si>
  <si>
    <t>to be linked with financials</t>
  </si>
  <si>
    <t>total repayment is shown</t>
  </si>
  <si>
    <t>why are we adding this</t>
  </si>
  <si>
    <t>axis average</t>
  </si>
  <si>
    <t>Turnover Ratio</t>
  </si>
  <si>
    <t>Depreciation as per the IT act for the new assets:</t>
  </si>
  <si>
    <t>Block of assets</t>
  </si>
  <si>
    <t>Plant &amp; Machienery @ 15%</t>
  </si>
  <si>
    <t>Plant &amp; Machienery @30%</t>
  </si>
  <si>
    <t>Factory Building @ 10%</t>
  </si>
  <si>
    <t>FY</t>
  </si>
  <si>
    <t>Used for</t>
  </si>
  <si>
    <t>&lt;180 days</t>
  </si>
  <si>
    <t>Full yr</t>
  </si>
  <si>
    <t>2032-33</t>
  </si>
  <si>
    <t>full yr</t>
  </si>
  <si>
    <t>This is average rate of dep</t>
  </si>
  <si>
    <t>FY22-23</t>
  </si>
  <si>
    <t>FY23-24</t>
  </si>
  <si>
    <t>FY24-25</t>
  </si>
  <si>
    <t>FY25-26</t>
  </si>
  <si>
    <t>FY26-27</t>
  </si>
  <si>
    <t>FY27-28</t>
  </si>
  <si>
    <t>FY28-29</t>
  </si>
  <si>
    <t>FY29-30</t>
  </si>
  <si>
    <t>FY30-31</t>
  </si>
  <si>
    <t>Total depn</t>
  </si>
  <si>
    <t>Dep for existing assets</t>
  </si>
  <si>
    <t>Building-Factory</t>
  </si>
  <si>
    <t>Furniture &amp; Fixtures</t>
  </si>
  <si>
    <t xml:space="preserve">Plant &amp; Machinery </t>
  </si>
  <si>
    <t>Computers</t>
  </si>
  <si>
    <t>Written down value on 31 March 2023</t>
  </si>
  <si>
    <t>dep</t>
  </si>
  <si>
    <t>2023-25</t>
  </si>
  <si>
    <t>2033-34</t>
  </si>
  <si>
    <t>2032-34</t>
  </si>
  <si>
    <t>FY31-32</t>
  </si>
  <si>
    <t>FY32-33</t>
  </si>
  <si>
    <t>EBITDA</t>
  </si>
  <si>
    <t>EBITDA %</t>
  </si>
  <si>
    <t>8.  Operating profit before interest</t>
  </si>
  <si>
    <t>Addition of WIP</t>
  </si>
  <si>
    <t xml:space="preserve"> (iii) Power &amp; fuel (% of Sales)</t>
  </si>
  <si>
    <t xml:space="preserve"> (iv)  Direct labour (% of Sales)</t>
  </si>
  <si>
    <t>Other Manufacturing Expense (% of Sales)</t>
  </si>
  <si>
    <t>Preoperative Exps</t>
  </si>
  <si>
    <t xml:space="preserve">         Bank CC / OD </t>
  </si>
  <si>
    <t>Interest on Term Loan</t>
  </si>
  <si>
    <t>Total Inflow</t>
  </si>
  <si>
    <t>Repayment of Term Loan</t>
  </si>
  <si>
    <t>Average DSCR</t>
  </si>
  <si>
    <t>Minimum DSCR</t>
  </si>
  <si>
    <t>Total existing repayment obligation</t>
  </si>
  <si>
    <t>Total New PNB 1500 repayment obligation</t>
  </si>
  <si>
    <t>TOTAL repayment</t>
  </si>
  <si>
    <t>Short term liability - CL</t>
  </si>
  <si>
    <t>Long Term Liability - TL</t>
  </si>
  <si>
    <t>Total Liability</t>
  </si>
  <si>
    <t>Total Term Loan O/S at the end of the year</t>
  </si>
  <si>
    <t>31-32</t>
  </si>
  <si>
    <t>32-33</t>
  </si>
  <si>
    <t>Interest on New Loan(PNB)</t>
  </si>
  <si>
    <t>Interest on New Loan(ICICI)</t>
  </si>
  <si>
    <t>ICICI Bank</t>
  </si>
  <si>
    <t>PNB Vehicle Loan</t>
  </si>
  <si>
    <t>Other processing charges</t>
  </si>
  <si>
    <t>009100NG00092594(Car Loan)</t>
  </si>
  <si>
    <t>009100IB00000441</t>
  </si>
  <si>
    <t>Saraswat Bank(15.45lacs)</t>
  </si>
  <si>
    <t>Saraswat Bank(18Lacs)</t>
  </si>
  <si>
    <t>Op.Balance</t>
  </si>
  <si>
    <t>Principal After Repayment</t>
  </si>
  <si>
    <t>Projected- New loan</t>
  </si>
  <si>
    <t>Projected new loan</t>
  </si>
  <si>
    <t>Projected New Loan</t>
  </si>
  <si>
    <t>Projected Plan</t>
  </si>
  <si>
    <t xml:space="preserve">2025-26 </t>
  </si>
  <si>
    <t xml:space="preserve">2026-27 </t>
  </si>
  <si>
    <t xml:space="preserve">2027-28 </t>
  </si>
  <si>
    <t xml:space="preserve">2028-29 </t>
  </si>
  <si>
    <t>New Loan</t>
  </si>
  <si>
    <t>Opening Blance-Fy-23-24</t>
  </si>
  <si>
    <t>Repayment Details</t>
  </si>
  <si>
    <t>Closed</t>
  </si>
  <si>
    <t>Total Repayment</t>
  </si>
  <si>
    <t>Dep for New Plan</t>
  </si>
  <si>
    <t>&lt;180Days</t>
  </si>
  <si>
    <t>Dep for new plan</t>
  </si>
  <si>
    <t>Projected plan</t>
  </si>
  <si>
    <t>Depreciation on projected plan</t>
  </si>
  <si>
    <t>Closing for projected plan</t>
  </si>
  <si>
    <t>Total Dep</t>
  </si>
  <si>
    <t>Closing Total</t>
  </si>
  <si>
    <t>Less: Depreciation on Deletion</t>
  </si>
  <si>
    <t>Other Manufacturing Expenses</t>
  </si>
  <si>
    <t>Adminoistrative &amp; Selling Expenses</t>
  </si>
  <si>
    <t>Interest-ICICI New</t>
  </si>
  <si>
    <t>21-22</t>
  </si>
  <si>
    <t>22-23</t>
  </si>
  <si>
    <t>PNB Old Loan</t>
  </si>
  <si>
    <t>Interest on New Loan PNB</t>
  </si>
  <si>
    <t>Interest on New Loan ICICI</t>
  </si>
  <si>
    <t>-</t>
  </si>
  <si>
    <t>total</t>
  </si>
  <si>
    <t>Domestic Sales (Rs. - Lakhs)</t>
  </si>
  <si>
    <t>Trade Receivable (Projected Plan)</t>
  </si>
  <si>
    <t>Trade Receivable (Existing)</t>
  </si>
  <si>
    <t>Power &amp; Fuel</t>
  </si>
  <si>
    <t>Direct Labour</t>
  </si>
  <si>
    <t>Total Sales during the Year</t>
  </si>
  <si>
    <t>Total Purchases/Expenses during the Year</t>
  </si>
  <si>
    <t xml:space="preserve">Sundry Creditor </t>
  </si>
  <si>
    <t>Maximum Permissible Bank Finance</t>
  </si>
  <si>
    <t>Total Trade Receivable</t>
  </si>
  <si>
    <t>Inventory</t>
  </si>
  <si>
    <t>Total Current Assets</t>
  </si>
  <si>
    <t>Pro</t>
  </si>
  <si>
    <t xml:space="preserve">  2024-25</t>
  </si>
  <si>
    <t xml:space="preserve"> 2026-27</t>
  </si>
  <si>
    <t xml:space="preserve"> 2028-29</t>
  </si>
  <si>
    <t>turnover ratio</t>
  </si>
  <si>
    <t>Addition during the year</t>
  </si>
  <si>
    <t>Repayment during the year</t>
  </si>
  <si>
    <t>PNB GECL 009100EG00000387</t>
  </si>
  <si>
    <t>Deferred Tax Liabilities</t>
  </si>
  <si>
    <t>Advances to Staff</t>
  </si>
  <si>
    <t>PNB Term Loan 009100AL00000023</t>
  </si>
  <si>
    <t>PNB Term Loan 009100IB00000292</t>
  </si>
  <si>
    <t>PNB Term Loan 009100IB00000441</t>
  </si>
  <si>
    <t>PNB Car Loan 009100NG00092594</t>
  </si>
  <si>
    <t>PNB GECL Loan 009100IL00000113</t>
  </si>
  <si>
    <t>ICICI Term Loan 991</t>
  </si>
  <si>
    <t>Axis Term Loan 902</t>
  </si>
  <si>
    <t>Proposed Loan</t>
  </si>
  <si>
    <t>Consolidated Loan</t>
  </si>
  <si>
    <t>Deletion during the year</t>
  </si>
  <si>
    <t>Leasehold Land</t>
  </si>
  <si>
    <t>Furniture &amp; Fixture</t>
  </si>
  <si>
    <t>Office Equipment</t>
  </si>
  <si>
    <t>Opening Depreciation</t>
  </si>
  <si>
    <t>Closing Depreciation</t>
  </si>
  <si>
    <t>Depreciation till Date</t>
  </si>
  <si>
    <t>Closing Balance(Gross Block)</t>
  </si>
  <si>
    <t>Closing Balance(Net Block)</t>
  </si>
  <si>
    <t>Working Capital Interest</t>
  </si>
  <si>
    <t>Cash Credit Utilization</t>
  </si>
  <si>
    <t>total Interest</t>
  </si>
  <si>
    <t>closing term loan</t>
  </si>
  <si>
    <t>Non- Current</t>
  </si>
  <si>
    <t>Current</t>
  </si>
  <si>
    <t>Opening W-I-P</t>
  </si>
  <si>
    <t>Addition during the Year</t>
  </si>
  <si>
    <t>Capitalization during the year</t>
  </si>
  <si>
    <t>Closing W-I-P</t>
  </si>
  <si>
    <t>New Plan</t>
  </si>
  <si>
    <t>Old Plan</t>
  </si>
  <si>
    <t>Month</t>
  </si>
  <si>
    <t>Warehousing Charges</t>
  </si>
  <si>
    <t>Transportation Charges</t>
  </si>
  <si>
    <t>Container Hire Charges</t>
  </si>
  <si>
    <t>Apr'24</t>
  </si>
  <si>
    <t>May'24</t>
  </si>
  <si>
    <t>Jun'24</t>
  </si>
  <si>
    <t>Jul'24</t>
  </si>
  <si>
    <t>Aug'24</t>
  </si>
  <si>
    <t>Sep'24</t>
  </si>
  <si>
    <t>Actual Sales Data</t>
  </si>
  <si>
    <t>Unbilled Revenue</t>
  </si>
  <si>
    <t>Nov'24</t>
  </si>
  <si>
    <t>Sales</t>
  </si>
  <si>
    <t>Selling &amp; Administrative Expenses</t>
  </si>
  <si>
    <t>Rent + R&amp;M</t>
  </si>
  <si>
    <t>Manpower Cost</t>
  </si>
  <si>
    <t>Total Revenue</t>
  </si>
  <si>
    <t>Administrative Expenses</t>
  </si>
  <si>
    <t>Operating Profit before Interest</t>
  </si>
  <si>
    <t>Add: Other Income</t>
  </si>
  <si>
    <t>Profit before Tax</t>
  </si>
  <si>
    <t>Provision for Taxes</t>
  </si>
  <si>
    <t>Net Profit</t>
  </si>
  <si>
    <t>Charged to P&amp;L Account</t>
  </si>
  <si>
    <t>control</t>
  </si>
  <si>
    <t>Building Factory</t>
  </si>
  <si>
    <t>Plant &amp; Machinery</t>
  </si>
  <si>
    <t>more than 180</t>
  </si>
  <si>
    <t>Less than 180 days</t>
  </si>
  <si>
    <t>Deletion</t>
  </si>
  <si>
    <t>Closing WDV</t>
  </si>
  <si>
    <t>Income Tax Rate</t>
  </si>
  <si>
    <t>Mat Rate</t>
  </si>
  <si>
    <t>Depreciation Schedule</t>
  </si>
  <si>
    <t>Loan Repayment Schedule</t>
  </si>
  <si>
    <t>Income Tax Computation</t>
  </si>
  <si>
    <t>S.N.</t>
  </si>
  <si>
    <t>*New Plan figures are taken as per CRPL New Plan.</t>
  </si>
  <si>
    <t>New*</t>
  </si>
  <si>
    <t>FY 2024-25</t>
  </si>
  <si>
    <t>FY 2025-26</t>
  </si>
  <si>
    <t>FY 2026-27</t>
  </si>
  <si>
    <t>FY 2027-28</t>
  </si>
  <si>
    <t>FY 2028-29</t>
  </si>
  <si>
    <t>FY 2029-30</t>
  </si>
  <si>
    <t>Current Liabilities</t>
  </si>
  <si>
    <t>Cash Credit</t>
  </si>
  <si>
    <t>Add:</t>
  </si>
  <si>
    <t>Less:</t>
  </si>
  <si>
    <t>Cash Credit repaid</t>
  </si>
  <si>
    <t>Cash Credit taken</t>
  </si>
  <si>
    <t>Trade Payable</t>
  </si>
  <si>
    <t>Purchases during the Year</t>
  </si>
  <si>
    <t>Paid during the year</t>
  </si>
  <si>
    <t>Advance Payment from Customer</t>
  </si>
  <si>
    <t>Other Statutory Liabilities</t>
  </si>
  <si>
    <t>Current Maturities of Long Term Debt</t>
  </si>
  <si>
    <t>Other Current Liabilities</t>
  </si>
  <si>
    <t>Capital Creditor</t>
  </si>
  <si>
    <t>Interest Accrued &amp; Due on Borrowings</t>
  </si>
  <si>
    <t>Employee Related Liabilities</t>
  </si>
  <si>
    <t>Deferred Revenue Income</t>
  </si>
  <si>
    <t>Transfer from Non- Current Liability</t>
  </si>
  <si>
    <t>Charged to Profit &amp; Loss</t>
  </si>
  <si>
    <t>Other Payable</t>
  </si>
  <si>
    <t>Created during the year</t>
  </si>
  <si>
    <t>Total Current Liabilities</t>
  </si>
  <si>
    <t>Term Loan Non- Current</t>
  </si>
  <si>
    <t>Provision for Gratuity - Short Term</t>
  </si>
  <si>
    <t>Provision for Gratuity - Long Term</t>
  </si>
  <si>
    <t xml:space="preserve">Derferred Revenue Income- Long Term </t>
  </si>
  <si>
    <t>Transfer to Short Term</t>
  </si>
  <si>
    <t>Other Term Loan - Holding Company</t>
  </si>
  <si>
    <t>Total Long Term Liability</t>
  </si>
  <si>
    <t>Net worth</t>
  </si>
  <si>
    <t>Share Capital</t>
  </si>
  <si>
    <t>General Reserve- Share Premium</t>
  </si>
  <si>
    <t>Profit &amp; Loss Account</t>
  </si>
  <si>
    <t>Profit during the year</t>
  </si>
  <si>
    <t>Transfer to Reserve</t>
  </si>
  <si>
    <t>Inner</t>
  </si>
  <si>
    <t>FY 2023-24</t>
  </si>
  <si>
    <t>Opening Balances</t>
  </si>
  <si>
    <t>Liability for Expenses</t>
  </si>
  <si>
    <t>capitalized during the year</t>
  </si>
  <si>
    <t>Total Outside Liabilities</t>
  </si>
  <si>
    <t>total: Networth</t>
  </si>
  <si>
    <t>Total Liabilities</t>
  </si>
  <si>
    <t>Purchases during the year</t>
  </si>
  <si>
    <t>1 month</t>
  </si>
  <si>
    <t>Transfer to Trade Receivables</t>
  </si>
  <si>
    <t>Trade Receivable</t>
  </si>
  <si>
    <t>Sales during the year</t>
  </si>
  <si>
    <t>Received during the year</t>
  </si>
  <si>
    <t>Less: Advance from Customer (Adjusted)</t>
  </si>
  <si>
    <t>Net Received</t>
  </si>
  <si>
    <t>WIP added during the year</t>
  </si>
  <si>
    <t>Transfer to Term Loan Current</t>
  </si>
  <si>
    <t>total term loan charged to p&amp;L</t>
  </si>
  <si>
    <t>Cash Credit Interest</t>
  </si>
  <si>
    <t>Gross Block</t>
  </si>
  <si>
    <t>CWIP</t>
  </si>
  <si>
    <t>Investment in Subsidairy</t>
  </si>
  <si>
    <t>Advances to Suppliers of Capital Goods</t>
  </si>
  <si>
    <t>Security Deposit</t>
  </si>
  <si>
    <t>Loan to Subsidairy</t>
  </si>
  <si>
    <t>Bank Deposits with Maturity more than 12 months</t>
  </si>
  <si>
    <t>Tax provision during the Year</t>
  </si>
  <si>
    <t>Current Assets</t>
  </si>
  <si>
    <t>Cash &amp; Bank Balance</t>
  </si>
  <si>
    <t>Collection from Customer</t>
  </si>
  <si>
    <t>Advance from Customer Adjusted</t>
  </si>
  <si>
    <t>Advance against Expenses/(Supplies)</t>
  </si>
  <si>
    <t>Balances with Givernment Authorities</t>
  </si>
  <si>
    <t>Security Deposits</t>
  </si>
  <si>
    <t>Other Receivable</t>
  </si>
  <si>
    <t>Other</t>
  </si>
  <si>
    <t>Deposit with Maturity of more than 3 months but less than 12 months</t>
  </si>
  <si>
    <t>total fixed assets</t>
  </si>
  <si>
    <t>Other Non - Current Assets</t>
  </si>
  <si>
    <t>Total Assets</t>
  </si>
  <si>
    <t>Control</t>
  </si>
  <si>
    <t>CWIP purchase during the year</t>
  </si>
  <si>
    <t>Capitalised during the Year</t>
  </si>
  <si>
    <t>capitalised during the year</t>
  </si>
  <si>
    <t>Sold during the year</t>
  </si>
  <si>
    <t>Opening Cash Balance</t>
  </si>
  <si>
    <t>Receipts</t>
  </si>
  <si>
    <t>Cash Credit  taken</t>
  </si>
  <si>
    <t>Payments</t>
  </si>
  <si>
    <t>Statutory Liability</t>
  </si>
  <si>
    <t>Capital Advance Adjusted</t>
  </si>
  <si>
    <t>Less: Advance adjusted from Capital Creditor</t>
  </si>
  <si>
    <t>Finance Cost (Paid)</t>
  </si>
  <si>
    <t>Adjusted from Trade Payable</t>
  </si>
  <si>
    <t>Employee Related Liability</t>
  </si>
  <si>
    <t>Term Loan- Current</t>
  </si>
  <si>
    <t>Term Loan - Non Current</t>
  </si>
  <si>
    <t>Taxes Paid</t>
  </si>
  <si>
    <t xml:space="preserve">Term Loan - Addition </t>
  </si>
  <si>
    <t>Miscellaneous Receipts</t>
  </si>
  <si>
    <t>total receipts</t>
  </si>
  <si>
    <t>total payments</t>
  </si>
  <si>
    <t>Closing Cash Balance</t>
  </si>
  <si>
    <t>CRPL Infra (Private) Limited</t>
  </si>
  <si>
    <t>Cash Flow Statement</t>
  </si>
  <si>
    <t xml:space="preserve">  Selling  general &amp; administrative  (% of Sales)</t>
  </si>
  <si>
    <t>EBITDA (% of Sales)</t>
  </si>
  <si>
    <t>Operating Cost (% of Sales)</t>
  </si>
  <si>
    <t>Computation of Trade Payable year end Balances and Payment made during the year</t>
  </si>
  <si>
    <t>Computation of Trade Payable year end Balances and Collections received during the year</t>
  </si>
  <si>
    <t>CRPL Infra Private Limited</t>
  </si>
  <si>
    <t>Computation of Depreciation as per Companies Act</t>
  </si>
  <si>
    <t>Rate of Dep.</t>
  </si>
  <si>
    <t>* Depreciation is computed on written down value method.</t>
  </si>
  <si>
    <t>Computation of Depreciation as per Income Tax Act</t>
  </si>
  <si>
    <t>Asset Class</t>
  </si>
  <si>
    <t>31/3/2025</t>
  </si>
  <si>
    <t>31/3/2026</t>
  </si>
  <si>
    <t>31/3/2028</t>
  </si>
  <si>
    <t>31/3/2029</t>
  </si>
  <si>
    <t>31/3/2030</t>
  </si>
  <si>
    <t>Plant &amp; Equipment- New Plan</t>
  </si>
  <si>
    <t>Depreciation Summary</t>
  </si>
  <si>
    <t>Fixed Assets (Summary)</t>
  </si>
  <si>
    <t>Capital work-in-progress</t>
  </si>
  <si>
    <t>Term Loan Balances- Non- Current &amp; Current</t>
  </si>
  <si>
    <t>RoI</t>
  </si>
  <si>
    <t>Utilization</t>
  </si>
  <si>
    <t>Computation of Interest on Cash Credit</t>
  </si>
  <si>
    <t>Less: Capitalised (new)</t>
  </si>
  <si>
    <t>total interest paid</t>
  </si>
  <si>
    <t>Add back :total term loan -Capitalised (new plan)</t>
  </si>
  <si>
    <t>Computation of Debt Service Coverage Ratio</t>
  </si>
  <si>
    <t>Computation of Income Tax Liabilty</t>
  </si>
  <si>
    <t>Assumptions: (1) Sales (2) Operating Cost</t>
  </si>
  <si>
    <t>CRPL Infra (Private ) Limited</t>
  </si>
  <si>
    <t>Detailed Balance -Sheet with Movement</t>
  </si>
  <si>
    <t>CMA Data</t>
  </si>
  <si>
    <t>Sheet Name</t>
  </si>
  <si>
    <t>Financials Statement as per Bank Format</t>
  </si>
  <si>
    <t>Financial Statements</t>
  </si>
  <si>
    <t>Sheet Description</t>
  </si>
  <si>
    <t>Balance- Sheet with Movement</t>
  </si>
  <si>
    <t>Detailed BS</t>
  </si>
  <si>
    <t>Assumption for Sales &amp; Operating Cost</t>
  </si>
  <si>
    <t>Detailed Profit &amp; Loss Account, Working of Trade Payable &amp; Trade Receivable</t>
  </si>
  <si>
    <t>Detailed PL, TP &amp; TR</t>
  </si>
  <si>
    <t>CFS</t>
  </si>
  <si>
    <t>IT Computation</t>
  </si>
  <si>
    <t>Loan Repayment</t>
  </si>
  <si>
    <t>Dep- Co's Act</t>
  </si>
  <si>
    <t>Dep- IT</t>
  </si>
  <si>
    <t>Oct'24</t>
  </si>
  <si>
    <t>Dec</t>
  </si>
  <si>
    <t>jan</t>
  </si>
  <si>
    <t>feb</t>
  </si>
  <si>
    <t>mar</t>
  </si>
  <si>
    <t>Projected Statement Profit &amp; Loss</t>
  </si>
  <si>
    <t>Rs.- Lakhs</t>
  </si>
  <si>
    <t>Location : ALL</t>
  </si>
  <si>
    <t>FY 2030-31</t>
  </si>
  <si>
    <t>FY 2031-32</t>
  </si>
  <si>
    <t>pre-operation Period</t>
  </si>
  <si>
    <t>Post -Operation Period</t>
  </si>
  <si>
    <t>Revenue from Operation</t>
  </si>
  <si>
    <t>Rent</t>
  </si>
  <si>
    <t>Management Fee on Rent</t>
  </si>
  <si>
    <t>Manpower Supply</t>
  </si>
  <si>
    <t>Management Fee on Manpower Supply</t>
  </si>
  <si>
    <t>Capital Reimbursement including Management Fee</t>
  </si>
  <si>
    <t>Electricity</t>
  </si>
  <si>
    <t>Management Fee on Electricity</t>
  </si>
  <si>
    <t>Expenses</t>
  </si>
  <si>
    <t>Finance Cost</t>
  </si>
  <si>
    <t>Repairs &amp; Maintenace Expenses</t>
  </si>
  <si>
    <t xml:space="preserve">Less: </t>
  </si>
  <si>
    <t>Pre-operative Expenses</t>
  </si>
  <si>
    <t>Interest Capitalised</t>
  </si>
  <si>
    <t>total Capitalised</t>
  </si>
  <si>
    <t>Charge to P&amp;L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</si>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</sst>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_);\(0.00\)"/>
    <numFmt numFmtId="166" formatCode="0.00_)"/>
    <numFmt numFmtId="167" formatCode="0_);\(0\)"/>
    <numFmt numFmtId="168" formatCode="_ * #,##0_ ;_ * \-#,##0_ ;_ * &quot;-&quot;??_ ;_ @_ "/>
    <numFmt numFmtId="169" formatCode="_-* #,##0.00_-;\-* #,##0.00_-;_-* &quot;-&quot;??_-;_-@_-"/>
    <numFmt numFmtId="170" formatCode="_-* #,##0.0_-;\-* #,##0.0_-;_-* &quot;-&quot;??_-;_-@_-"/>
    <numFmt numFmtId="171" formatCode="0.00000"/>
    <numFmt numFmtId="172" formatCode="_-* #,##0_-;\-* #,##0_-;_-* &quot;-&quot;??_-;_-@_-"/>
    <numFmt numFmtId="173" formatCode="_-* #,##0.000_-;\-* #,##0.000_-;_-* &quot;-&quot;??_-;_-@_-"/>
    <numFmt numFmtId="174" formatCode="_(* #,##0_);_(* \(#,##0\);_(* &quot;-&quot;??_);_(@_)"/>
    <numFmt numFmtId="175" formatCode="0.0000000%"/>
    <numFmt numFmtId="176" formatCode="&quot;₹&quot;\ #,##0.00"/>
    <numFmt numFmtId="177" formatCode="0.000%"/>
    <numFmt numFmtId="178" formatCode="&quot;₹&quot;\ #,##0"/>
    <numFmt numFmtId="179" formatCode="0.0000_);\(0.0000\)"/>
    <numFmt numFmtId="180" formatCode="_(* #,##0.0000_);_(* \(#,##0.0000\);_(* &quot;-&quot;??_);_(@_)"/>
  </numFmts>
  <fonts count="54" x14ac:knownFonts="1"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u/>
      <sz val="12"/>
      <color theme="1"/>
      <name val="Book Antiqua"/>
      <family val="1"/>
    </font>
    <font>
      <i/>
      <sz val="12"/>
      <color theme="1"/>
      <name val="Book Antiqua"/>
      <family val="1"/>
    </font>
    <font>
      <u/>
      <sz val="12"/>
      <color theme="1"/>
      <name val="Book Antiqua"/>
      <family val="1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Helv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4"/>
      <color theme="1"/>
      <name val="Book Antiqua"/>
      <family val="1"/>
    </font>
    <font>
      <i/>
      <sz val="12"/>
      <color theme="1"/>
      <name val="Helv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name val="Book Antiqua"/>
      <family val="1"/>
    </font>
    <font>
      <sz val="12"/>
      <color rgb="FFFF0000"/>
      <name val="Book Antiqua"/>
      <family val="1"/>
    </font>
    <font>
      <b/>
      <sz val="11"/>
      <name val="Calibri"/>
      <family val="2"/>
      <scheme val="minor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sz val="11"/>
      <color theme="0"/>
      <name val="Trebuchet MS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Book Antiqua"/>
      <family val="1"/>
    </font>
    <font>
      <sz val="11"/>
      <color theme="2"/>
      <name val="Trebuchet MS"/>
      <family val="2"/>
    </font>
    <font>
      <b/>
      <sz val="12"/>
      <color theme="0"/>
      <name val="Book Antiqua"/>
      <family val="1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Garamond"/>
      <family val="1"/>
    </font>
    <font>
      <sz val="12"/>
      <color theme="0"/>
      <name val="Book Antiqua"/>
      <family val="1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Book Antiqua"/>
      <family val="1"/>
    </font>
    <font>
      <sz val="11"/>
      <name val="Trebuchet MS"/>
      <family val="2"/>
    </font>
    <font>
      <sz val="11"/>
      <color rgb="FFFF0000"/>
      <name val="Trebuchet MS"/>
      <family val="2"/>
    </font>
    <font>
      <i/>
      <sz val="12"/>
      <name val="Book Antiqua"/>
      <family val="1"/>
    </font>
    <font>
      <b/>
      <u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1">
    <xf numFmtId="0" fontId="0" fillId="0" borderId="0" xfId="0"/>
    <xf numFmtId="165" fontId="4" fillId="0" borderId="0" xfId="1" applyNumberFormat="1" applyFont="1"/>
    <xf numFmtId="165" fontId="5" fillId="0" borderId="0" xfId="1" applyNumberFormat="1" applyFont="1"/>
    <xf numFmtId="165" fontId="5" fillId="0" borderId="0" xfId="1" quotePrefix="1" applyNumberFormat="1" applyFont="1" applyAlignment="1">
      <alignment horizontal="left"/>
    </xf>
    <xf numFmtId="165" fontId="5" fillId="0" borderId="4" xfId="1" applyNumberFormat="1" applyFont="1" applyBorder="1" applyAlignment="1">
      <alignment horizontal="center"/>
    </xf>
    <xf numFmtId="167" fontId="5" fillId="0" borderId="4" xfId="1" applyNumberFormat="1" applyFont="1" applyBorder="1" applyAlignment="1">
      <alignment horizontal="center"/>
    </xf>
    <xf numFmtId="165" fontId="4" fillId="0" borderId="4" xfId="1" applyNumberFormat="1" applyFont="1" applyBorder="1"/>
    <xf numFmtId="165" fontId="5" fillId="0" borderId="4" xfId="1" applyNumberFormat="1" applyFont="1" applyBorder="1"/>
    <xf numFmtId="165" fontId="4" fillId="0" borderId="4" xfId="1" applyNumberFormat="1" applyFont="1" applyBorder="1" applyAlignment="1">
      <alignment horizontal="fill"/>
    </xf>
    <xf numFmtId="10" fontId="4" fillId="0" borderId="4" xfId="2" applyNumberFormat="1" applyFont="1" applyFill="1" applyBorder="1"/>
    <xf numFmtId="165" fontId="6" fillId="0" borderId="4" xfId="1" applyNumberFormat="1" applyFont="1" applyBorder="1" applyAlignment="1">
      <alignment horizontal="right"/>
    </xf>
    <xf numFmtId="165" fontId="7" fillId="0" borderId="4" xfId="1" applyNumberFormat="1" applyFont="1" applyBorder="1"/>
    <xf numFmtId="10" fontId="4" fillId="0" borderId="0" xfId="2" applyNumberFormat="1" applyFont="1" applyFill="1" applyProtection="1"/>
    <xf numFmtId="10" fontId="5" fillId="0" borderId="0" xfId="2" applyNumberFormat="1" applyFont="1"/>
    <xf numFmtId="165" fontId="4" fillId="0" borderId="4" xfId="1" quotePrefix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vertical="center"/>
    </xf>
    <xf numFmtId="165" fontId="7" fillId="0" borderId="4" xfId="1" applyNumberFormat="1" applyFont="1" applyBorder="1" applyAlignment="1">
      <alignment vertical="center"/>
    </xf>
    <xf numFmtId="165" fontId="4" fillId="0" borderId="0" xfId="1" applyNumberFormat="1" applyFont="1" applyAlignment="1">
      <alignment horizontal="fill"/>
    </xf>
    <xf numFmtId="165" fontId="6" fillId="0" borderId="4" xfId="1" applyNumberFormat="1" applyFont="1" applyBorder="1" applyAlignment="1">
      <alignment horizontal="center"/>
    </xf>
    <xf numFmtId="165" fontId="4" fillId="0" borderId="0" xfId="1" quotePrefix="1" applyNumberFormat="1" applyFont="1" applyAlignment="1">
      <alignment horizontal="center"/>
    </xf>
    <xf numFmtId="165" fontId="8" fillId="0" borderId="0" xfId="1" applyNumberFormat="1" applyFont="1"/>
    <xf numFmtId="165" fontId="4" fillId="0" borderId="0" xfId="1" quotePrefix="1" applyNumberFormat="1" applyFont="1" applyAlignment="1">
      <alignment horizontal="left"/>
    </xf>
    <xf numFmtId="165" fontId="4" fillId="0" borderId="0" xfId="1" applyNumberFormat="1" applyFont="1" applyAlignment="1">
      <alignment horizontal="center"/>
    </xf>
    <xf numFmtId="166" fontId="11" fillId="0" borderId="0" xfId="1" applyNumberFormat="1" applyFont="1"/>
    <xf numFmtId="165" fontId="4" fillId="0" borderId="4" xfId="1" applyNumberFormat="1" applyFont="1" applyBorder="1" applyAlignment="1">
      <alignment horizontal="center"/>
    </xf>
    <xf numFmtId="165" fontId="4" fillId="4" borderId="4" xfId="1" applyNumberFormat="1" applyFont="1" applyFill="1" applyBorder="1"/>
    <xf numFmtId="0" fontId="12" fillId="0" borderId="0" xfId="0" applyFont="1" applyAlignment="1">
      <alignment horizontal="center" vertical="top" wrapText="1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165" fontId="13" fillId="0" borderId="0" xfId="0" applyNumberFormat="1" applyFont="1" applyAlignment="1">
      <alignment horizontal="center"/>
    </xf>
    <xf numFmtId="0" fontId="14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right"/>
    </xf>
    <xf numFmtId="0" fontId="16" fillId="3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14" fillId="5" borderId="0" xfId="0" applyFont="1" applyFill="1" applyAlignment="1">
      <alignment vertical="center" wrapText="1"/>
    </xf>
    <xf numFmtId="49" fontId="15" fillId="5" borderId="4" xfId="0" applyNumberFormat="1" applyFont="1" applyFill="1" applyBorder="1" applyAlignment="1">
      <alignment vertical="top"/>
    </xf>
    <xf numFmtId="0" fontId="15" fillId="5" borderId="4" xfId="0" applyFont="1" applyFill="1" applyBorder="1"/>
    <xf numFmtId="168" fontId="15" fillId="5" borderId="4" xfId="5" applyNumberFormat="1" applyFont="1" applyFill="1" applyBorder="1" applyAlignment="1">
      <alignment horizontal="right"/>
    </xf>
    <xf numFmtId="10" fontId="15" fillId="5" borderId="4" xfId="5" applyNumberFormat="1" applyFont="1" applyFill="1" applyBorder="1" applyAlignment="1">
      <alignment horizontal="right"/>
    </xf>
    <xf numFmtId="168" fontId="15" fillId="5" borderId="4" xfId="0" applyNumberFormat="1" applyFont="1" applyFill="1" applyBorder="1"/>
    <xf numFmtId="168" fontId="15" fillId="5" borderId="4" xfId="0" applyNumberFormat="1" applyFont="1" applyFill="1" applyBorder="1" applyAlignment="1">
      <alignment horizontal="left"/>
    </xf>
    <xf numFmtId="168" fontId="15" fillId="5" borderId="4" xfId="0" applyNumberFormat="1" applyFont="1" applyFill="1" applyBorder="1" applyAlignment="1">
      <alignment horizontal="right"/>
    </xf>
    <xf numFmtId="168" fontId="15" fillId="5" borderId="4" xfId="5" applyNumberFormat="1" applyFont="1" applyFill="1" applyBorder="1" applyAlignment="1">
      <alignment horizontal="right" vertical="top"/>
    </xf>
    <xf numFmtId="168" fontId="15" fillId="5" borderId="4" xfId="5" applyNumberFormat="1" applyFont="1" applyFill="1" applyBorder="1" applyAlignment="1"/>
    <xf numFmtId="168" fontId="15" fillId="5" borderId="4" xfId="5" applyNumberFormat="1" applyFont="1" applyFill="1" applyBorder="1" applyAlignment="1">
      <alignment horizontal="left"/>
    </xf>
    <xf numFmtId="0" fontId="15" fillId="5" borderId="4" xfId="0" quotePrefix="1" applyFont="1" applyFill="1" applyBorder="1"/>
    <xf numFmtId="0" fontId="16" fillId="3" borderId="11" xfId="0" applyFont="1" applyFill="1" applyBorder="1" applyAlignment="1">
      <alignment horizontal="center" vertical="center" wrapText="1"/>
    </xf>
    <xf numFmtId="168" fontId="15" fillId="5" borderId="3" xfId="0" applyNumberFormat="1" applyFont="1" applyFill="1" applyBorder="1" applyAlignment="1">
      <alignment horizontal="right"/>
    </xf>
    <xf numFmtId="168" fontId="15" fillId="5" borderId="13" xfId="0" applyNumberFormat="1" applyFont="1" applyFill="1" applyBorder="1" applyAlignment="1">
      <alignment horizontal="right"/>
    </xf>
    <xf numFmtId="168" fontId="15" fillId="5" borderId="13" xfId="0" applyNumberFormat="1" applyFont="1" applyFill="1" applyBorder="1"/>
    <xf numFmtId="168" fontId="15" fillId="5" borderId="0" xfId="0" applyNumberFormat="1" applyFont="1" applyFill="1"/>
    <xf numFmtId="168" fontId="15" fillId="5" borderId="1" xfId="0" applyNumberFormat="1" applyFont="1" applyFill="1" applyBorder="1" applyAlignment="1">
      <alignment horizontal="right"/>
    </xf>
    <xf numFmtId="168" fontId="15" fillId="5" borderId="1" xfId="5" applyNumberFormat="1" applyFont="1" applyFill="1" applyBorder="1" applyAlignment="1">
      <alignment horizontal="right"/>
    </xf>
    <xf numFmtId="168" fontId="15" fillId="5" borderId="14" xfId="0" applyNumberFormat="1" applyFont="1" applyFill="1" applyBorder="1" applyAlignment="1">
      <alignment horizontal="right"/>
    </xf>
    <xf numFmtId="168" fontId="15" fillId="5" borderId="1" xfId="0" applyNumberFormat="1" applyFont="1" applyFill="1" applyBorder="1"/>
    <xf numFmtId="10" fontId="15" fillId="5" borderId="1" xfId="5" applyNumberFormat="1" applyFont="1" applyFill="1" applyBorder="1" applyAlignment="1">
      <alignment horizontal="right"/>
    </xf>
    <xf numFmtId="168" fontId="14" fillId="5" borderId="4" xfId="0" applyNumberFormat="1" applyFont="1" applyFill="1" applyBorder="1" applyAlignment="1">
      <alignment horizontal="right"/>
    </xf>
    <xf numFmtId="0" fontId="15" fillId="5" borderId="4" xfId="0" applyFont="1" applyFill="1" applyBorder="1" applyAlignment="1">
      <alignment horizontal="right"/>
    </xf>
    <xf numFmtId="168" fontId="16" fillId="3" borderId="11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vertical="top"/>
    </xf>
    <xf numFmtId="3" fontId="15" fillId="5" borderId="4" xfId="0" applyNumberFormat="1" applyFont="1" applyFill="1" applyBorder="1" applyAlignment="1">
      <alignment horizontal="left" vertical="top"/>
    </xf>
    <xf numFmtId="0" fontId="15" fillId="5" borderId="4" xfId="0" applyFont="1" applyFill="1" applyBorder="1" applyAlignment="1">
      <alignment horizontal="left" vertical="top" wrapText="1"/>
    </xf>
    <xf numFmtId="165" fontId="4" fillId="0" borderId="4" xfId="1" applyNumberFormat="1" applyFont="1" applyBorder="1" applyAlignment="1">
      <alignment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168" fontId="15" fillId="5" borderId="0" xfId="0" applyNumberFormat="1" applyFont="1" applyFill="1" applyAlignment="1">
      <alignment horizontal="right"/>
    </xf>
    <xf numFmtId="49" fontId="15" fillId="5" borderId="0" xfId="0" applyNumberFormat="1" applyFont="1" applyFill="1" applyAlignment="1">
      <alignment vertical="top"/>
    </xf>
    <xf numFmtId="0" fontId="15" fillId="5" borderId="0" xfId="0" quotePrefix="1" applyFont="1" applyFill="1"/>
    <xf numFmtId="168" fontId="14" fillId="5" borderId="0" xfId="0" applyNumberFormat="1" applyFont="1" applyFill="1" applyAlignment="1">
      <alignment horizontal="right"/>
    </xf>
    <xf numFmtId="43" fontId="15" fillId="5" borderId="0" xfId="0" applyNumberFormat="1" applyFont="1" applyFill="1" applyAlignment="1">
      <alignment horizontal="right"/>
    </xf>
    <xf numFmtId="43" fontId="15" fillId="5" borderId="0" xfId="0" applyNumberFormat="1" applyFont="1" applyFill="1"/>
    <xf numFmtId="0" fontId="14" fillId="5" borderId="0" xfId="0" applyFont="1" applyFill="1" applyAlignment="1">
      <alignment horizontal="right"/>
    </xf>
    <xf numFmtId="168" fontId="14" fillId="5" borderId="0" xfId="0" applyNumberFormat="1" applyFont="1" applyFill="1"/>
    <xf numFmtId="165" fontId="17" fillId="0" borderId="0" xfId="1" applyNumberFormat="1" applyFont="1"/>
    <xf numFmtId="165" fontId="4" fillId="0" borderId="0" xfId="1" applyNumberFormat="1" applyFont="1" applyAlignment="1">
      <alignment horizontal="right"/>
    </xf>
    <xf numFmtId="165" fontId="6" fillId="0" borderId="4" xfId="1" applyNumberFormat="1" applyFont="1" applyBorder="1"/>
    <xf numFmtId="165" fontId="5" fillId="0" borderId="4" xfId="1" applyNumberFormat="1" applyFont="1" applyBorder="1" applyAlignment="1">
      <alignment horizontal="center" wrapText="1"/>
    </xf>
    <xf numFmtId="4" fontId="11" fillId="0" borderId="0" xfId="1" applyNumberFormat="1" applyFont="1"/>
    <xf numFmtId="165" fontId="4" fillId="0" borderId="4" xfId="1" quotePrefix="1" applyNumberFormat="1" applyFont="1" applyBorder="1" applyAlignment="1">
      <alignment horizontal="left"/>
    </xf>
    <xf numFmtId="10" fontId="5" fillId="0" borderId="0" xfId="1" quotePrefix="1" applyNumberFormat="1" applyFont="1" applyAlignment="1">
      <alignment horizontal="left"/>
    </xf>
    <xf numFmtId="165" fontId="7" fillId="0" borderId="4" xfId="1" applyNumberFormat="1" applyFont="1" applyBorder="1" applyAlignment="1">
      <alignment wrapText="1"/>
    </xf>
    <xf numFmtId="167" fontId="7" fillId="0" borderId="4" xfId="1" applyNumberFormat="1" applyFont="1" applyBorder="1" applyAlignment="1">
      <alignment vertical="center"/>
    </xf>
    <xf numFmtId="166" fontId="18" fillId="0" borderId="0" xfId="1" applyNumberFormat="1" applyFont="1"/>
    <xf numFmtId="165" fontId="4" fillId="0" borderId="1" xfId="1" applyNumberFormat="1" applyFont="1" applyBorder="1"/>
    <xf numFmtId="165" fontId="6" fillId="0" borderId="4" xfId="1" applyNumberFormat="1" applyFont="1" applyBorder="1" applyAlignment="1">
      <alignment horizontal="center" wrapText="1"/>
    </xf>
    <xf numFmtId="165" fontId="4" fillId="0" borderId="2" xfId="1" applyNumberFormat="1" applyFont="1" applyBorder="1"/>
    <xf numFmtId="165" fontId="4" fillId="0" borderId="3" xfId="1" applyNumberFormat="1" applyFont="1" applyBorder="1"/>
    <xf numFmtId="165" fontId="4" fillId="0" borderId="5" xfId="1" applyNumberFormat="1" applyFont="1" applyBorder="1" applyAlignment="1">
      <alignment horizontal="fill"/>
    </xf>
    <xf numFmtId="165" fontId="4" fillId="0" borderId="6" xfId="1" applyNumberFormat="1" applyFont="1" applyBorder="1"/>
    <xf numFmtId="165" fontId="4" fillId="0" borderId="7" xfId="1" applyNumberFormat="1" applyFont="1" applyBorder="1"/>
    <xf numFmtId="165" fontId="4" fillId="2" borderId="0" xfId="1" applyNumberFormat="1" applyFont="1" applyFill="1"/>
    <xf numFmtId="166" fontId="11" fillId="2" borderId="0" xfId="1" applyNumberFormat="1" applyFont="1" applyFill="1"/>
    <xf numFmtId="0" fontId="19" fillId="0" borderId="0" xfId="3" applyFont="1" applyAlignment="1">
      <alignment vertical="top" wrapText="1"/>
    </xf>
    <xf numFmtId="0" fontId="19" fillId="0" borderId="0" xfId="3" applyFont="1" applyAlignment="1">
      <alignment horizontal="justify" vertical="top" wrapText="1"/>
    </xf>
    <xf numFmtId="165" fontId="20" fillId="0" borderId="0" xfId="3" applyNumberFormat="1" applyFont="1" applyAlignment="1">
      <alignment horizontal="center" vertical="top" wrapText="1"/>
    </xf>
    <xf numFmtId="165" fontId="19" fillId="0" borderId="0" xfId="3" applyNumberFormat="1" applyFont="1" applyAlignment="1">
      <alignment horizontal="center" vertical="top" wrapText="1"/>
    </xf>
    <xf numFmtId="165" fontId="5" fillId="0" borderId="0" xfId="1" quotePrefix="1" applyNumberFormat="1" applyFont="1" applyAlignment="1">
      <alignment horizontal="right"/>
    </xf>
    <xf numFmtId="165" fontId="19" fillId="0" borderId="0" xfId="3" applyNumberFormat="1" applyFont="1" applyAlignment="1">
      <alignment vertical="top" wrapText="1"/>
    </xf>
    <xf numFmtId="0" fontId="9" fillId="0" borderId="0" xfId="3" applyFont="1" applyAlignment="1">
      <alignment horizontal="left" vertical="top" wrapText="1"/>
    </xf>
    <xf numFmtId="165" fontId="9" fillId="0" borderId="0" xfId="3" applyNumberFormat="1" applyFont="1" applyAlignment="1">
      <alignment horizontal="center" vertical="top" wrapText="1"/>
    </xf>
    <xf numFmtId="0" fontId="10" fillId="0" borderId="0" xfId="3" applyFont="1" applyAlignment="1">
      <alignment vertical="top" wrapText="1"/>
    </xf>
    <xf numFmtId="165" fontId="10" fillId="0" borderId="0" xfId="3" applyNumberFormat="1" applyFont="1" applyAlignment="1">
      <alignment horizontal="center" vertical="top" wrapText="1"/>
    </xf>
    <xf numFmtId="10" fontId="10" fillId="0" borderId="0" xfId="3" applyNumberFormat="1" applyFont="1" applyAlignment="1">
      <alignment horizontal="center" vertical="top" wrapText="1"/>
    </xf>
    <xf numFmtId="0" fontId="10" fillId="0" borderId="0" xfId="3" applyFont="1" applyAlignment="1">
      <alignment horizontal="justify" vertical="top" wrapText="1"/>
    </xf>
    <xf numFmtId="166" fontId="11" fillId="0" borderId="0" xfId="1" applyNumberFormat="1" applyFont="1" applyAlignment="1">
      <alignment horizontal="center"/>
    </xf>
    <xf numFmtId="0" fontId="10" fillId="0" borderId="0" xfId="3" applyFont="1" applyAlignment="1">
      <alignment horizontal="center" vertical="top" wrapText="1"/>
    </xf>
    <xf numFmtId="2" fontId="10" fillId="0" borderId="0" xfId="3" applyNumberFormat="1" applyFont="1" applyAlignment="1">
      <alignment horizontal="center" vertical="top" wrapText="1"/>
    </xf>
    <xf numFmtId="10" fontId="10" fillId="0" borderId="0" xfId="2" applyNumberFormat="1" applyFont="1" applyBorder="1" applyAlignment="1">
      <alignment horizontal="justify" vertical="top" wrapText="1"/>
    </xf>
    <xf numFmtId="10" fontId="10" fillId="0" borderId="0" xfId="2" applyNumberFormat="1" applyFont="1" applyFill="1" applyBorder="1" applyAlignment="1">
      <alignment horizontal="center" vertical="top" wrapText="1"/>
    </xf>
    <xf numFmtId="10" fontId="10" fillId="0" borderId="0" xfId="2" applyNumberFormat="1" applyFont="1" applyBorder="1" applyAlignment="1">
      <alignment horizontal="center" vertical="top" wrapText="1"/>
    </xf>
    <xf numFmtId="10" fontId="11" fillId="0" borderId="0" xfId="2" applyNumberFormat="1" applyFont="1" applyBorder="1"/>
    <xf numFmtId="165" fontId="5" fillId="0" borderId="0" xfId="1" applyNumberFormat="1" applyFont="1" applyAlignment="1">
      <alignment horizontal="right"/>
    </xf>
    <xf numFmtId="165" fontId="4" fillId="0" borderId="0" xfId="1" quotePrefix="1" applyNumberFormat="1" applyFont="1" applyAlignment="1">
      <alignment horizontal="left" vertical="top" wrapText="1"/>
    </xf>
    <xf numFmtId="165" fontId="4" fillId="0" borderId="0" xfId="1" quotePrefix="1" applyNumberFormat="1" applyFont="1" applyAlignment="1">
      <alignment horizontal="center" vertical="top" wrapText="1"/>
    </xf>
    <xf numFmtId="165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5" fontId="4" fillId="0" borderId="0" xfId="1" applyNumberFormat="1" applyFont="1" applyAlignment="1">
      <alignment horizontal="left" vertical="top" wrapText="1" indent="1"/>
    </xf>
    <xf numFmtId="165" fontId="4" fillId="0" borderId="0" xfId="1" quotePrefix="1" applyNumberFormat="1" applyFont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fill"/>
    </xf>
    <xf numFmtId="165" fontId="5" fillId="0" borderId="0" xfId="1" applyNumberFormat="1" applyFont="1" applyAlignment="1">
      <alignment horizontal="left" vertical="top" wrapText="1"/>
    </xf>
    <xf numFmtId="165" fontId="5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vertical="top" wrapText="1" indent="4"/>
    </xf>
    <xf numFmtId="165" fontId="4" fillId="0" borderId="0" xfId="1" applyNumberFormat="1" applyFont="1" applyAlignment="1">
      <alignment horizontal="justify" vertical="top" wrapText="1"/>
    </xf>
    <xf numFmtId="165" fontId="4" fillId="0" borderId="0" xfId="1" applyNumberFormat="1" applyFont="1" applyAlignment="1">
      <alignment wrapText="1"/>
    </xf>
    <xf numFmtId="165" fontId="4" fillId="0" borderId="0" xfId="1" applyNumberFormat="1" applyFont="1" applyAlignment="1">
      <alignment horizontal="left" vertical="top" wrapText="1" indent="2"/>
    </xf>
    <xf numFmtId="165" fontId="7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right" vertical="top" wrapText="1"/>
    </xf>
    <xf numFmtId="165" fontId="7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horizontal="left" vertical="top" wrapText="1"/>
    </xf>
    <xf numFmtId="10" fontId="4" fillId="0" borderId="4" xfId="4" applyNumberFormat="1" applyFont="1" applyBorder="1"/>
    <xf numFmtId="9" fontId="4" fillId="0" borderId="0" xfId="4" applyFont="1"/>
    <xf numFmtId="166" fontId="11" fillId="4" borderId="0" xfId="1" applyNumberFormat="1" applyFont="1" applyFill="1"/>
    <xf numFmtId="165" fontId="5" fillId="4" borderId="0" xfId="1" applyNumberFormat="1" applyFont="1" applyFill="1"/>
    <xf numFmtId="0" fontId="0" fillId="4" borderId="0" xfId="0" applyFill="1"/>
    <xf numFmtId="0" fontId="21" fillId="4" borderId="0" xfId="0" applyFont="1" applyFill="1"/>
    <xf numFmtId="170" fontId="21" fillId="4" borderId="0" xfId="6" applyNumberFormat="1" applyFont="1" applyFill="1"/>
    <xf numFmtId="171" fontId="0" fillId="4" borderId="0" xfId="0" applyNumberFormat="1" applyFill="1"/>
    <xf numFmtId="169" fontId="0" fillId="4" borderId="0" xfId="6" applyFont="1" applyFill="1"/>
    <xf numFmtId="9" fontId="0" fillId="4" borderId="0" xfId="0" applyNumberFormat="1" applyFill="1"/>
    <xf numFmtId="43" fontId="0" fillId="4" borderId="0" xfId="0" applyNumberFormat="1" applyFill="1"/>
    <xf numFmtId="43" fontId="0" fillId="4" borderId="0" xfId="7" applyFont="1" applyFill="1"/>
    <xf numFmtId="0" fontId="3" fillId="4" borderId="0" xfId="0" applyFont="1" applyFill="1"/>
    <xf numFmtId="0" fontId="21" fillId="4" borderId="4" xfId="0" applyFont="1" applyFill="1" applyBorder="1"/>
    <xf numFmtId="0" fontId="0" fillId="4" borderId="4" xfId="0" applyFill="1" applyBorder="1"/>
    <xf numFmtId="0" fontId="21" fillId="4" borderId="4" xfId="0" applyFont="1" applyFill="1" applyBorder="1" applyAlignment="1">
      <alignment horizontal="right"/>
    </xf>
    <xf numFmtId="10" fontId="0" fillId="4" borderId="4" xfId="0" applyNumberFormat="1" applyFill="1" applyBorder="1"/>
    <xf numFmtId="10" fontId="0" fillId="4" borderId="4" xfId="4" applyNumberFormat="1" applyFont="1" applyFill="1" applyBorder="1"/>
    <xf numFmtId="10" fontId="0" fillId="4" borderId="0" xfId="0" applyNumberFormat="1" applyFill="1"/>
    <xf numFmtId="10" fontId="0" fillId="4" borderId="0" xfId="4" applyNumberFormat="1" applyFont="1" applyFill="1"/>
    <xf numFmtId="43" fontId="0" fillId="4" borderId="4" xfId="7" applyFont="1" applyFill="1" applyBorder="1"/>
    <xf numFmtId="170" fontId="0" fillId="4" borderId="4" xfId="6" applyNumberFormat="1" applyFont="1" applyFill="1" applyBorder="1"/>
    <xf numFmtId="172" fontId="0" fillId="4" borderId="0" xfId="6" applyNumberFormat="1" applyFont="1" applyFill="1"/>
    <xf numFmtId="169" fontId="0" fillId="4" borderId="4" xfId="6" applyFont="1" applyFill="1" applyBorder="1"/>
    <xf numFmtId="173" fontId="0" fillId="4" borderId="4" xfId="6" applyNumberFormat="1" applyFont="1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17" fontId="0" fillId="4" borderId="29" xfId="0" applyNumberFormat="1" applyFill="1" applyBorder="1"/>
    <xf numFmtId="9" fontId="0" fillId="4" borderId="4" xfId="0" applyNumberFormat="1" applyFill="1" applyBorder="1"/>
    <xf numFmtId="2" fontId="0" fillId="4" borderId="30" xfId="0" applyNumberFormat="1" applyFill="1" applyBorder="1"/>
    <xf numFmtId="170" fontId="0" fillId="4" borderId="0" xfId="6" applyNumberFormat="1" applyFont="1" applyFill="1"/>
    <xf numFmtId="174" fontId="0" fillId="4" borderId="4" xfId="7" applyNumberFormat="1" applyFont="1" applyFill="1" applyBorder="1"/>
    <xf numFmtId="173" fontId="0" fillId="4" borderId="0" xfId="6" applyNumberFormat="1" applyFont="1" applyFill="1"/>
    <xf numFmtId="17" fontId="0" fillId="4" borderId="31" xfId="0" applyNumberFormat="1" applyFill="1" applyBorder="1"/>
    <xf numFmtId="9" fontId="0" fillId="4" borderId="32" xfId="0" applyNumberFormat="1" applyFill="1" applyBorder="1"/>
    <xf numFmtId="2" fontId="0" fillId="4" borderId="33" xfId="7" applyNumberFormat="1" applyFont="1" applyFill="1" applyBorder="1"/>
    <xf numFmtId="0" fontId="21" fillId="4" borderId="0" xfId="0" applyFont="1" applyFill="1" applyAlignment="1">
      <alignment horizontal="right"/>
    </xf>
    <xf numFmtId="0" fontId="2" fillId="4" borderId="0" xfId="0" applyFont="1" applyFill="1" applyAlignment="1">
      <alignment horizontal="left"/>
    </xf>
    <xf numFmtId="0" fontId="23" fillId="6" borderId="0" xfId="0" applyFont="1" applyFill="1" applyAlignment="1">
      <alignment horizontal="center"/>
    </xf>
    <xf numFmtId="0" fontId="24" fillId="4" borderId="4" xfId="0" applyFont="1" applyFill="1" applyBorder="1"/>
    <xf numFmtId="174" fontId="21" fillId="4" borderId="4" xfId="7" applyNumberFormat="1" applyFont="1" applyFill="1" applyBorder="1"/>
    <xf numFmtId="174" fontId="21" fillId="4" borderId="4" xfId="0" applyNumberFormat="1" applyFont="1" applyFill="1" applyBorder="1"/>
    <xf numFmtId="43" fontId="21" fillId="4" borderId="4" xfId="7" applyFont="1" applyFill="1" applyBorder="1"/>
    <xf numFmtId="43" fontId="21" fillId="4" borderId="4" xfId="0" applyNumberFormat="1" applyFont="1" applyFill="1" applyBorder="1"/>
    <xf numFmtId="174" fontId="0" fillId="4" borderId="4" xfId="0" applyNumberFormat="1" applyFill="1" applyBorder="1"/>
    <xf numFmtId="9" fontId="0" fillId="4" borderId="0" xfId="4" applyFont="1" applyFill="1"/>
    <xf numFmtId="174" fontId="0" fillId="4" borderId="0" xfId="0" applyNumberFormat="1" applyFill="1"/>
    <xf numFmtId="2" fontId="0" fillId="4" borderId="4" xfId="7" applyNumberFormat="1" applyFont="1" applyFill="1" applyBorder="1"/>
    <xf numFmtId="8" fontId="0" fillId="4" borderId="4" xfId="0" applyNumberFormat="1" applyFill="1" applyBorder="1"/>
    <xf numFmtId="8" fontId="0" fillId="4" borderId="0" xfId="0" applyNumberFormat="1" applyFill="1"/>
    <xf numFmtId="175" fontId="0" fillId="4" borderId="0" xfId="0" applyNumberFormat="1" applyFill="1"/>
    <xf numFmtId="0" fontId="22" fillId="4" borderId="5" xfId="0" applyFont="1" applyFill="1" applyBorder="1"/>
    <xf numFmtId="0" fontId="22" fillId="4" borderId="34" xfId="0" applyFont="1" applyFill="1" applyBorder="1"/>
    <xf numFmtId="174" fontId="22" fillId="4" borderId="34" xfId="0" applyNumberFormat="1" applyFont="1" applyFill="1" applyBorder="1"/>
    <xf numFmtId="8" fontId="22" fillId="4" borderId="34" xfId="0" applyNumberFormat="1" applyFont="1" applyFill="1" applyBorder="1"/>
    <xf numFmtId="0" fontId="22" fillId="4" borderId="35" xfId="0" applyFont="1" applyFill="1" applyBorder="1"/>
    <xf numFmtId="0" fontId="22" fillId="4" borderId="0" xfId="0" applyFont="1" applyFill="1"/>
    <xf numFmtId="0" fontId="22" fillId="4" borderId="6" xfId="0" applyFont="1" applyFill="1" applyBorder="1"/>
    <xf numFmtId="8" fontId="22" fillId="4" borderId="0" xfId="0" applyNumberFormat="1" applyFont="1" applyFill="1"/>
    <xf numFmtId="0" fontId="22" fillId="4" borderId="36" xfId="0" applyFont="1" applyFill="1" applyBorder="1"/>
    <xf numFmtId="0" fontId="25" fillId="4" borderId="0" xfId="0" applyFont="1" applyFill="1"/>
    <xf numFmtId="0" fontId="25" fillId="4" borderId="36" xfId="0" applyFont="1" applyFill="1" applyBorder="1"/>
    <xf numFmtId="174" fontId="22" fillId="4" borderId="0" xfId="7" applyNumberFormat="1" applyFont="1" applyFill="1" applyBorder="1"/>
    <xf numFmtId="174" fontId="22" fillId="4" borderId="36" xfId="0" applyNumberFormat="1" applyFont="1" applyFill="1" applyBorder="1"/>
    <xf numFmtId="174" fontId="22" fillId="4" borderId="0" xfId="0" applyNumberFormat="1" applyFont="1" applyFill="1"/>
    <xf numFmtId="0" fontId="22" fillId="4" borderId="7" xfId="0" applyFont="1" applyFill="1" applyBorder="1"/>
    <xf numFmtId="0" fontId="22" fillId="4" borderId="37" xfId="0" applyFont="1" applyFill="1" applyBorder="1"/>
    <xf numFmtId="174" fontId="22" fillId="4" borderId="37" xfId="7" applyNumberFormat="1" applyFont="1" applyFill="1" applyBorder="1"/>
    <xf numFmtId="174" fontId="22" fillId="4" borderId="38" xfId="0" applyNumberFormat="1" applyFont="1" applyFill="1" applyBorder="1"/>
    <xf numFmtId="165" fontId="4" fillId="7" borderId="4" xfId="1" applyNumberFormat="1" applyFont="1" applyFill="1" applyBorder="1"/>
    <xf numFmtId="165" fontId="7" fillId="8" borderId="4" xfId="1" applyNumberFormat="1" applyFont="1" applyFill="1" applyBorder="1"/>
    <xf numFmtId="166" fontId="11" fillId="8" borderId="0" xfId="1" applyNumberFormat="1" applyFont="1" applyFill="1"/>
    <xf numFmtId="0" fontId="26" fillId="6" borderId="0" xfId="0" applyFont="1" applyFill="1" applyAlignment="1">
      <alignment horizontal="center"/>
    </xf>
    <xf numFmtId="0" fontId="27" fillId="4" borderId="0" xfId="0" applyFont="1" applyFill="1"/>
    <xf numFmtId="0" fontId="26" fillId="4" borderId="4" xfId="0" applyFont="1" applyFill="1" applyBorder="1"/>
    <xf numFmtId="0" fontId="27" fillId="4" borderId="4" xfId="0" applyFont="1" applyFill="1" applyBorder="1"/>
    <xf numFmtId="174" fontId="26" fillId="4" borderId="4" xfId="7" applyNumberFormat="1" applyFont="1" applyFill="1" applyBorder="1"/>
    <xf numFmtId="43" fontId="27" fillId="4" borderId="4" xfId="7" applyFont="1" applyFill="1" applyBorder="1"/>
    <xf numFmtId="43" fontId="26" fillId="4" borderId="4" xfId="0" applyNumberFormat="1" applyFont="1" applyFill="1" applyBorder="1"/>
    <xf numFmtId="43" fontId="27" fillId="4" borderId="4" xfId="0" applyNumberFormat="1" applyFont="1" applyFill="1" applyBorder="1"/>
    <xf numFmtId="9" fontId="27" fillId="4" borderId="4" xfId="0" applyNumberFormat="1" applyFont="1" applyFill="1" applyBorder="1"/>
    <xf numFmtId="174" fontId="27" fillId="4" borderId="4" xfId="7" applyNumberFormat="1" applyFont="1" applyFill="1" applyBorder="1"/>
    <xf numFmtId="0" fontId="28" fillId="4" borderId="0" xfId="0" applyFont="1" applyFill="1"/>
    <xf numFmtId="0" fontId="28" fillId="4" borderId="4" xfId="0" applyFont="1" applyFill="1" applyBorder="1"/>
    <xf numFmtId="174" fontId="28" fillId="4" borderId="4" xfId="7" applyNumberFormat="1" applyFont="1" applyFill="1" applyBorder="1"/>
    <xf numFmtId="0" fontId="29" fillId="7" borderId="4" xfId="0" applyFont="1" applyFill="1" applyBorder="1"/>
    <xf numFmtId="1" fontId="29" fillId="7" borderId="4" xfId="0" applyNumberFormat="1" applyFont="1" applyFill="1" applyBorder="1"/>
    <xf numFmtId="165" fontId="30" fillId="0" borderId="4" xfId="1" applyNumberFormat="1" applyFont="1" applyBorder="1" applyAlignment="1">
      <alignment horizontal="center"/>
    </xf>
    <xf numFmtId="165" fontId="4" fillId="9" borderId="4" xfId="1" applyNumberFormat="1" applyFont="1" applyFill="1" applyBorder="1"/>
    <xf numFmtId="165" fontId="31" fillId="0" borderId="4" xfId="1" applyNumberFormat="1" applyFont="1" applyBorder="1"/>
    <xf numFmtId="164" fontId="27" fillId="4" borderId="0" xfId="0" applyNumberFormat="1" applyFont="1" applyFill="1"/>
    <xf numFmtId="0" fontId="21" fillId="0" borderId="0" xfId="0" applyFont="1" applyAlignment="1">
      <alignment horizontal="center"/>
    </xf>
    <xf numFmtId="0" fontId="32" fillId="10" borderId="4" xfId="0" applyFont="1" applyFill="1" applyBorder="1" applyAlignment="1">
      <alignment vertical="center" wrapText="1"/>
    </xf>
    <xf numFmtId="0" fontId="32" fillId="10" borderId="1" xfId="0" applyFont="1" applyFill="1" applyBorder="1" applyAlignment="1">
      <alignment vertical="center" wrapText="1"/>
    </xf>
    <xf numFmtId="0" fontId="32" fillId="10" borderId="0" xfId="0" applyFont="1" applyFill="1" applyAlignment="1">
      <alignment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/>
    <xf numFmtId="14" fontId="21" fillId="0" borderId="4" xfId="0" applyNumberFormat="1" applyFont="1" applyBorder="1"/>
    <xf numFmtId="10" fontId="0" fillId="0" borderId="4" xfId="4" applyNumberFormat="1" applyFont="1" applyBorder="1"/>
    <xf numFmtId="176" fontId="0" fillId="0" borderId="0" xfId="0" applyNumberFormat="1"/>
    <xf numFmtId="0" fontId="21" fillId="0" borderId="4" xfId="0" applyFont="1" applyBorder="1"/>
    <xf numFmtId="176" fontId="0" fillId="0" borderId="4" xfId="0" applyNumberFormat="1" applyBorder="1"/>
    <xf numFmtId="176" fontId="22" fillId="10" borderId="3" xfId="0" applyNumberFormat="1" applyFont="1" applyFill="1" applyBorder="1" applyAlignment="1">
      <alignment horizontal="right" vertical="center" wrapText="1"/>
    </xf>
    <xf numFmtId="176" fontId="0" fillId="0" borderId="4" xfId="0" applyNumberFormat="1" applyBorder="1" applyAlignment="1">
      <alignment horizontal="right" vertical="center" wrapText="1"/>
    </xf>
    <xf numFmtId="176" fontId="21" fillId="0" borderId="4" xfId="0" applyNumberFormat="1" applyFont="1" applyBorder="1" applyAlignment="1">
      <alignment horizontal="right" vertical="center" wrapText="1"/>
    </xf>
    <xf numFmtId="0" fontId="21" fillId="0" borderId="0" xfId="0" applyFont="1"/>
    <xf numFmtId="177" fontId="0" fillId="0" borderId="0" xfId="4" applyNumberFormat="1" applyFont="1" applyBorder="1"/>
    <xf numFmtId="0" fontId="0" fillId="0" borderId="1" xfId="0" applyBorder="1" applyAlignment="1">
      <alignment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76" fontId="21" fillId="0" borderId="3" xfId="0" applyNumberFormat="1" applyFont="1" applyBorder="1" applyAlignment="1">
      <alignment horizontal="right" vertical="center" wrapText="1"/>
    </xf>
    <xf numFmtId="0" fontId="21" fillId="0" borderId="3" xfId="0" applyFont="1" applyBorder="1"/>
    <xf numFmtId="0" fontId="0" fillId="0" borderId="0" xfId="0" applyAlignment="1">
      <alignment vertical="center" wrapText="1"/>
    </xf>
    <xf numFmtId="176" fontId="21" fillId="0" borderId="0" xfId="0" applyNumberFormat="1" applyFont="1" applyAlignment="1">
      <alignment horizontal="right" vertical="center" wrapText="1"/>
    </xf>
    <xf numFmtId="165" fontId="30" fillId="0" borderId="0" xfId="1" applyNumberFormat="1" applyFont="1" applyAlignment="1">
      <alignment horizontal="center"/>
    </xf>
    <xf numFmtId="166" fontId="18" fillId="9" borderId="0" xfId="1" applyNumberFormat="1" applyFont="1" applyFill="1"/>
    <xf numFmtId="0" fontId="33" fillId="11" borderId="0" xfId="0" applyFont="1" applyFill="1"/>
    <xf numFmtId="0" fontId="33" fillId="11" borderId="0" xfId="0" applyFont="1" applyFill="1" applyAlignment="1">
      <alignment horizontal="right"/>
    </xf>
    <xf numFmtId="0" fontId="34" fillId="11" borderId="0" xfId="0" applyFont="1" applyFill="1"/>
    <xf numFmtId="0" fontId="33" fillId="11" borderId="23" xfId="0" applyFont="1" applyFill="1" applyBorder="1"/>
    <xf numFmtId="168" fontId="33" fillId="11" borderId="3" xfId="0" applyNumberFormat="1" applyFont="1" applyFill="1" applyBorder="1" applyAlignment="1">
      <alignment horizontal="right"/>
    </xf>
    <xf numFmtId="168" fontId="33" fillId="11" borderId="3" xfId="0" applyNumberFormat="1" applyFont="1" applyFill="1" applyBorder="1"/>
    <xf numFmtId="168" fontId="33" fillId="11" borderId="4" xfId="0" applyNumberFormat="1" applyFont="1" applyFill="1" applyBorder="1"/>
    <xf numFmtId="168" fontId="33" fillId="11" borderId="0" xfId="0" applyNumberFormat="1" applyFont="1" applyFill="1" applyAlignment="1">
      <alignment horizontal="right"/>
    </xf>
    <xf numFmtId="0" fontId="33" fillId="11" borderId="4" xfId="0" applyFont="1" applyFill="1" applyBorder="1" applyAlignment="1">
      <alignment horizontal="right"/>
    </xf>
    <xf numFmtId="0" fontId="35" fillId="12" borderId="39" xfId="0" applyFont="1" applyFill="1" applyBorder="1"/>
    <xf numFmtId="0" fontId="35" fillId="12" borderId="39" xfId="0" applyFont="1" applyFill="1" applyBorder="1" applyAlignment="1">
      <alignment horizontal="right"/>
    </xf>
    <xf numFmtId="49" fontId="33" fillId="11" borderId="3" xfId="0" applyNumberFormat="1" applyFont="1" applyFill="1" applyBorder="1"/>
    <xf numFmtId="0" fontId="33" fillId="11" borderId="3" xfId="0" applyFont="1" applyFill="1" applyBorder="1"/>
    <xf numFmtId="10" fontId="33" fillId="11" borderId="3" xfId="0" applyNumberFormat="1" applyFont="1" applyFill="1" applyBorder="1" applyAlignment="1">
      <alignment horizontal="right"/>
    </xf>
    <xf numFmtId="49" fontId="33" fillId="11" borderId="4" xfId="0" applyNumberFormat="1" applyFont="1" applyFill="1" applyBorder="1"/>
    <xf numFmtId="0" fontId="33" fillId="11" borderId="4" xfId="0" applyFont="1" applyFill="1" applyBorder="1"/>
    <xf numFmtId="168" fontId="33" fillId="11" borderId="4" xfId="0" applyNumberFormat="1" applyFont="1" applyFill="1" applyBorder="1" applyAlignment="1">
      <alignment horizontal="right"/>
    </xf>
    <xf numFmtId="10" fontId="33" fillId="11" borderId="4" xfId="0" applyNumberFormat="1" applyFont="1" applyFill="1" applyBorder="1" applyAlignment="1">
      <alignment horizontal="right"/>
    </xf>
    <xf numFmtId="0" fontId="34" fillId="11" borderId="23" xfId="0" applyFont="1" applyFill="1" applyBorder="1" applyAlignment="1">
      <alignment horizontal="left"/>
    </xf>
    <xf numFmtId="0" fontId="33" fillId="11" borderId="3" xfId="0" applyFont="1" applyFill="1" applyBorder="1" applyAlignment="1">
      <alignment horizontal="left" vertical="top"/>
    </xf>
    <xf numFmtId="3" fontId="33" fillId="11" borderId="38" xfId="0" applyNumberFormat="1" applyFont="1" applyFill="1" applyBorder="1" applyAlignment="1">
      <alignment horizontal="left" vertical="top"/>
    </xf>
    <xf numFmtId="0" fontId="33" fillId="11" borderId="38" xfId="0" applyFont="1" applyFill="1" applyBorder="1" applyAlignment="1">
      <alignment horizontal="left" vertical="top" wrapText="1"/>
    </xf>
    <xf numFmtId="0" fontId="33" fillId="11" borderId="3" xfId="0" applyFont="1" applyFill="1" applyBorder="1" applyAlignment="1">
      <alignment horizontal="left" vertical="top" wrapText="1"/>
    </xf>
    <xf numFmtId="0" fontId="33" fillId="11" borderId="38" xfId="0" applyFont="1" applyFill="1" applyBorder="1" applyAlignment="1">
      <alignment horizontal="left" vertical="top"/>
    </xf>
    <xf numFmtId="3" fontId="0" fillId="0" borderId="0" xfId="0" applyNumberFormat="1"/>
    <xf numFmtId="3" fontId="0" fillId="0" borderId="4" xfId="0" applyNumberFormat="1" applyBorder="1"/>
    <xf numFmtId="0" fontId="36" fillId="0" borderId="0" xfId="0" applyFont="1"/>
    <xf numFmtId="9" fontId="36" fillId="0" borderId="0" xfId="0" applyNumberFormat="1" applyFont="1"/>
    <xf numFmtId="0" fontId="36" fillId="0" borderId="4" xfId="0" applyFont="1" applyBorder="1" applyAlignment="1">
      <alignment horizontal="left"/>
    </xf>
    <xf numFmtId="0" fontId="37" fillId="0" borderId="23" xfId="0" applyFont="1" applyBorder="1" applyAlignment="1">
      <alignment horizontal="left"/>
    </xf>
    <xf numFmtId="165" fontId="38" fillId="0" borderId="23" xfId="0" applyNumberFormat="1" applyFont="1" applyBorder="1" applyAlignment="1">
      <alignment horizontal="left"/>
    </xf>
    <xf numFmtId="165" fontId="30" fillId="0" borderId="23" xfId="0" applyNumberFormat="1" applyFont="1" applyBorder="1" applyAlignment="1">
      <alignment horizontal="left"/>
    </xf>
    <xf numFmtId="0" fontId="37" fillId="0" borderId="36" xfId="0" applyFont="1" applyBorder="1"/>
    <xf numFmtId="0" fontId="36" fillId="0" borderId="3" xfId="0" applyFont="1" applyBorder="1" applyAlignment="1">
      <alignment horizontal="left"/>
    </xf>
    <xf numFmtId="3" fontId="36" fillId="0" borderId="38" xfId="0" applyNumberFormat="1" applyFont="1" applyBorder="1" applyAlignment="1">
      <alignment horizontal="left"/>
    </xf>
    <xf numFmtId="4" fontId="36" fillId="0" borderId="38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3" fontId="36" fillId="0" borderId="0" xfId="0" applyNumberFormat="1" applyFont="1" applyAlignment="1">
      <alignment horizontal="left"/>
    </xf>
    <xf numFmtId="0" fontId="36" fillId="0" borderId="3" xfId="0" applyFont="1" applyBorder="1"/>
    <xf numFmtId="0" fontId="36" fillId="0" borderId="38" xfId="0" applyFont="1" applyBorder="1"/>
    <xf numFmtId="3" fontId="36" fillId="0" borderId="38" xfId="0" applyNumberFormat="1" applyFont="1" applyBorder="1"/>
    <xf numFmtId="0" fontId="37" fillId="0" borderId="3" xfId="0" applyFont="1" applyBorder="1"/>
    <xf numFmtId="0" fontId="36" fillId="0" borderId="4" xfId="0" applyFont="1" applyBorder="1"/>
    <xf numFmtId="165" fontId="31" fillId="4" borderId="4" xfId="1" applyNumberFormat="1" applyFont="1" applyFill="1" applyBorder="1"/>
    <xf numFmtId="10" fontId="27" fillId="4" borderId="4" xfId="0" applyNumberFormat="1" applyFont="1" applyFill="1" applyBorder="1"/>
    <xf numFmtId="164" fontId="33" fillId="11" borderId="0" xfId="0" applyNumberFormat="1" applyFont="1" applyFill="1"/>
    <xf numFmtId="49" fontId="33" fillId="11" borderId="0" xfId="0" applyNumberFormat="1" applyFont="1" applyFill="1"/>
    <xf numFmtId="10" fontId="33" fillId="11" borderId="0" xfId="0" applyNumberFormat="1" applyFont="1" applyFill="1" applyAlignment="1">
      <alignment horizontal="right"/>
    </xf>
    <xf numFmtId="168" fontId="33" fillId="11" borderId="0" xfId="0" applyNumberFormat="1" applyFont="1" applyFill="1"/>
    <xf numFmtId="0" fontId="39" fillId="12" borderId="39" xfId="0" applyFont="1" applyFill="1" applyBorder="1"/>
    <xf numFmtId="0" fontId="39" fillId="12" borderId="39" xfId="0" applyFont="1" applyFill="1" applyBorder="1" applyAlignment="1">
      <alignment horizontal="right"/>
    </xf>
    <xf numFmtId="165" fontId="31" fillId="0" borderId="0" xfId="1" applyNumberFormat="1" applyFont="1"/>
    <xf numFmtId="165" fontId="7" fillId="7" borderId="4" xfId="1" applyNumberFormat="1" applyFont="1" applyFill="1" applyBorder="1" applyAlignment="1">
      <alignment vertical="center"/>
    </xf>
    <xf numFmtId="165" fontId="40" fillId="3" borderId="0" xfId="1" applyNumberFormat="1" applyFont="1" applyFill="1"/>
    <xf numFmtId="0" fontId="41" fillId="4" borderId="4" xfId="0" applyFont="1" applyFill="1" applyBorder="1"/>
    <xf numFmtId="174" fontId="41" fillId="4" borderId="4" xfId="7" applyNumberFormat="1" applyFont="1" applyFill="1" applyBorder="1"/>
    <xf numFmtId="43" fontId="28" fillId="4" borderId="4" xfId="7" applyFont="1" applyFill="1" applyBorder="1"/>
    <xf numFmtId="174" fontId="42" fillId="4" borderId="4" xfId="7" applyNumberFormat="1" applyFont="1" applyFill="1" applyBorder="1"/>
    <xf numFmtId="43" fontId="27" fillId="4" borderId="0" xfId="0" applyNumberFormat="1" applyFont="1" applyFill="1"/>
    <xf numFmtId="165" fontId="4" fillId="4" borderId="0" xfId="1" applyNumberFormat="1" applyFont="1" applyFill="1"/>
    <xf numFmtId="165" fontId="4" fillId="4" borderId="0" xfId="1" applyNumberFormat="1" applyFont="1" applyFill="1" applyAlignment="1">
      <alignment horizontal="right"/>
    </xf>
    <xf numFmtId="165" fontId="5" fillId="4" borderId="0" xfId="1" quotePrefix="1" applyNumberFormat="1" applyFont="1" applyFill="1" applyAlignment="1">
      <alignment horizontal="left"/>
    </xf>
    <xf numFmtId="165" fontId="5" fillId="4" borderId="4" xfId="1" applyNumberFormat="1" applyFont="1" applyFill="1" applyBorder="1" applyAlignment="1">
      <alignment horizontal="center"/>
    </xf>
    <xf numFmtId="167" fontId="5" fillId="4" borderId="4" xfId="1" applyNumberFormat="1" applyFont="1" applyFill="1" applyBorder="1" applyAlignment="1">
      <alignment horizontal="center"/>
    </xf>
    <xf numFmtId="165" fontId="5" fillId="4" borderId="4" xfId="1" applyNumberFormat="1" applyFont="1" applyFill="1" applyBorder="1"/>
    <xf numFmtId="165" fontId="4" fillId="4" borderId="4" xfId="1" applyNumberFormat="1" applyFont="1" applyFill="1" applyBorder="1" applyAlignment="1">
      <alignment horizontal="fill"/>
    </xf>
    <xf numFmtId="10" fontId="4" fillId="4" borderId="4" xfId="2" applyNumberFormat="1" applyFont="1" applyFill="1" applyBorder="1"/>
    <xf numFmtId="165" fontId="7" fillId="4" borderId="4" xfId="1" applyNumberFormat="1" applyFont="1" applyFill="1" applyBorder="1"/>
    <xf numFmtId="10" fontId="4" fillId="4" borderId="4" xfId="4" applyNumberFormat="1" applyFont="1" applyFill="1" applyBorder="1"/>
    <xf numFmtId="10" fontId="4" fillId="4" borderId="0" xfId="2" applyNumberFormat="1" applyFont="1" applyFill="1" applyProtection="1"/>
    <xf numFmtId="10" fontId="5" fillId="4" borderId="0" xfId="2" applyNumberFormat="1" applyFont="1" applyFill="1"/>
    <xf numFmtId="165" fontId="4" fillId="4" borderId="4" xfId="1" applyNumberFormat="1" applyFont="1" applyFill="1" applyBorder="1" applyAlignment="1">
      <alignment horizontal="center"/>
    </xf>
    <xf numFmtId="165" fontId="7" fillId="4" borderId="4" xfId="1" applyNumberFormat="1" applyFont="1" applyFill="1" applyBorder="1" applyAlignment="1">
      <alignment vertical="center"/>
    </xf>
    <xf numFmtId="165" fontId="31" fillId="4" borderId="0" xfId="1" applyNumberFormat="1" applyFont="1" applyFill="1"/>
    <xf numFmtId="165" fontId="4" fillId="4" borderId="0" xfId="1" applyNumberFormat="1" applyFont="1" applyFill="1" applyAlignment="1">
      <alignment horizontal="fill"/>
    </xf>
    <xf numFmtId="165" fontId="6" fillId="4" borderId="4" xfId="1" applyNumberFormat="1" applyFont="1" applyFill="1" applyBorder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4" fillId="4" borderId="0" xfId="1" quotePrefix="1" applyNumberFormat="1" applyFont="1" applyFill="1" applyAlignment="1">
      <alignment horizontal="left"/>
    </xf>
    <xf numFmtId="165" fontId="5" fillId="4" borderId="0" xfId="1" quotePrefix="1" applyNumberFormat="1" applyFont="1" applyFill="1" applyAlignment="1">
      <alignment horizontal="right"/>
    </xf>
    <xf numFmtId="165" fontId="9" fillId="4" borderId="0" xfId="3" applyNumberFormat="1" applyFont="1" applyFill="1" applyAlignment="1">
      <alignment horizontal="center" vertical="top" wrapText="1"/>
    </xf>
    <xf numFmtId="165" fontId="10" fillId="4" borderId="0" xfId="3" applyNumberFormat="1" applyFont="1" applyFill="1" applyAlignment="1">
      <alignment horizontal="center" vertical="top" wrapText="1"/>
    </xf>
    <xf numFmtId="10" fontId="10" fillId="4" borderId="0" xfId="3" applyNumberFormat="1" applyFont="1" applyFill="1" applyAlignment="1">
      <alignment horizontal="center" vertical="top" wrapText="1"/>
    </xf>
    <xf numFmtId="166" fontId="11" fillId="4" borderId="0" xfId="1" applyNumberFormat="1" applyFont="1" applyFill="1" applyAlignment="1">
      <alignment horizontal="center"/>
    </xf>
    <xf numFmtId="0" fontId="10" fillId="4" borderId="0" xfId="3" applyFont="1" applyFill="1" applyAlignment="1">
      <alignment horizontal="center" vertical="top" wrapText="1"/>
    </xf>
    <xf numFmtId="2" fontId="10" fillId="4" borderId="0" xfId="3" applyNumberFormat="1" applyFont="1" applyFill="1" applyAlignment="1">
      <alignment horizontal="center" vertical="top" wrapText="1"/>
    </xf>
    <xf numFmtId="10" fontId="10" fillId="4" borderId="0" xfId="2" applyNumberFormat="1" applyFont="1" applyFill="1" applyBorder="1" applyAlignment="1">
      <alignment horizontal="center" vertical="top" wrapText="1"/>
    </xf>
    <xf numFmtId="165" fontId="5" fillId="4" borderId="0" xfId="1" applyNumberFormat="1" applyFont="1" applyFill="1" applyAlignment="1">
      <alignment horizontal="right"/>
    </xf>
    <xf numFmtId="0" fontId="12" fillId="4" borderId="0" xfId="0" applyFont="1" applyFill="1" applyAlignment="1">
      <alignment horizontal="center" vertical="top" wrapText="1"/>
    </xf>
    <xf numFmtId="2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 vertical="top" wrapText="1"/>
    </xf>
    <xf numFmtId="165" fontId="13" fillId="4" borderId="0" xfId="0" applyNumberFormat="1" applyFont="1" applyFill="1" applyAlignment="1">
      <alignment horizontal="center"/>
    </xf>
    <xf numFmtId="165" fontId="5" fillId="4" borderId="0" xfId="1" applyNumberFormat="1" applyFont="1" applyFill="1" applyAlignment="1">
      <alignment horizontal="center"/>
    </xf>
    <xf numFmtId="165" fontId="8" fillId="4" borderId="0" xfId="1" applyNumberFormat="1" applyFont="1" applyFill="1" applyAlignment="1">
      <alignment horizontal="fill"/>
    </xf>
    <xf numFmtId="165" fontId="4" fillId="4" borderId="0" xfId="1" applyNumberFormat="1" applyFont="1" applyFill="1" applyAlignment="1">
      <alignment wrapText="1"/>
    </xf>
    <xf numFmtId="165" fontId="7" fillId="4" borderId="0" xfId="1" applyNumberFormat="1" applyFont="1" applyFill="1" applyAlignment="1">
      <alignment horizontal="center" wrapText="1"/>
    </xf>
    <xf numFmtId="165" fontId="7" fillId="4" borderId="0" xfId="1" applyNumberFormat="1" applyFont="1" applyFill="1" applyAlignment="1">
      <alignment horizontal="right" vertical="top" wrapText="1"/>
    </xf>
    <xf numFmtId="165" fontId="7" fillId="7" borderId="4" xfId="1" applyNumberFormat="1" applyFont="1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21" fillId="0" borderId="42" xfId="0" applyFont="1" applyBorder="1"/>
    <xf numFmtId="0" fontId="21" fillId="0" borderId="43" xfId="0" applyFont="1" applyBorder="1"/>
    <xf numFmtId="174" fontId="28" fillId="7" borderId="4" xfId="7" applyNumberFormat="1" applyFont="1" applyFill="1" applyBorder="1"/>
    <xf numFmtId="174" fontId="27" fillId="7" borderId="4" xfId="7" applyNumberFormat="1" applyFont="1" applyFill="1" applyBorder="1"/>
    <xf numFmtId="0" fontId="21" fillId="0" borderId="40" xfId="0" applyFont="1" applyBorder="1"/>
    <xf numFmtId="0" fontId="0" fillId="0" borderId="44" xfId="0" applyBorder="1"/>
    <xf numFmtId="0" fontId="0" fillId="0" borderId="45" xfId="0" applyBorder="1"/>
    <xf numFmtId="9" fontId="0" fillId="0" borderId="45" xfId="0" applyNumberFormat="1" applyBorder="1"/>
    <xf numFmtId="0" fontId="21" fillId="0" borderId="45" xfId="0" applyFont="1" applyBorder="1"/>
    <xf numFmtId="0" fontId="0" fillId="0" borderId="46" xfId="0" applyBorder="1"/>
    <xf numFmtId="0" fontId="21" fillId="0" borderId="47" xfId="0" applyFont="1" applyBorder="1"/>
    <xf numFmtId="0" fontId="0" fillId="0" borderId="48" xfId="0" applyBorder="1"/>
    <xf numFmtId="0" fontId="0" fillId="0" borderId="47" xfId="0" applyBorder="1"/>
    <xf numFmtId="0" fontId="0" fillId="0" borderId="0" xfId="0" applyAlignment="1">
      <alignment horizontal="center"/>
    </xf>
    <xf numFmtId="9" fontId="0" fillId="0" borderId="0" xfId="0" applyNumberFormat="1"/>
    <xf numFmtId="9" fontId="21" fillId="0" borderId="0" xfId="0" applyNumberFormat="1" applyFont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44" fillId="0" borderId="0" xfId="8" applyFo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vertical="center"/>
    </xf>
    <xf numFmtId="9" fontId="44" fillId="0" borderId="0" xfId="4" applyFont="1"/>
    <xf numFmtId="0" fontId="21" fillId="0" borderId="0" xfId="0" applyFont="1" applyAlignment="1">
      <alignment horizontal="center" vertical="center"/>
    </xf>
    <xf numFmtId="0" fontId="21" fillId="0" borderId="41" xfId="0" applyFont="1" applyBorder="1"/>
    <xf numFmtId="165" fontId="45" fillId="3" borderId="4" xfId="1" applyNumberFormat="1" applyFont="1" applyFill="1" applyBorder="1"/>
    <xf numFmtId="165" fontId="31" fillId="0" borderId="4" xfId="1" applyNumberFormat="1" applyFont="1" applyBorder="1" applyAlignment="1">
      <alignment horizontal="right"/>
    </xf>
    <xf numFmtId="165" fontId="0" fillId="0" borderId="0" xfId="0" applyNumberFormat="1"/>
    <xf numFmtId="43" fontId="46" fillId="3" borderId="4" xfId="0" applyNumberFormat="1" applyFont="1" applyFill="1" applyBorder="1"/>
    <xf numFmtId="43" fontId="47" fillId="3" borderId="4" xfId="7" applyFont="1" applyFill="1" applyBorder="1"/>
    <xf numFmtId="174" fontId="33" fillId="11" borderId="4" xfId="0" applyNumberFormat="1" applyFont="1" applyFill="1" applyBorder="1" applyAlignment="1">
      <alignment horizontal="right"/>
    </xf>
    <xf numFmtId="174" fontId="33" fillId="11" borderId="4" xfId="0" applyNumberFormat="1" applyFont="1" applyFill="1" applyBorder="1"/>
    <xf numFmtId="174" fontId="34" fillId="11" borderId="4" xfId="0" applyNumberFormat="1" applyFont="1" applyFill="1" applyBorder="1" applyAlignment="1">
      <alignment horizontal="right"/>
    </xf>
    <xf numFmtId="174" fontId="34" fillId="11" borderId="4" xfId="0" applyNumberFormat="1" applyFont="1" applyFill="1" applyBorder="1"/>
    <xf numFmtId="165" fontId="32" fillId="0" borderId="4" xfId="1" applyNumberFormat="1" applyFont="1" applyBorder="1" applyAlignment="1">
      <alignment horizontal="center"/>
    </xf>
    <xf numFmtId="165" fontId="0" fillId="0" borderId="4" xfId="1" applyNumberFormat="1" applyFont="1" applyBorder="1"/>
    <xf numFmtId="9" fontId="0" fillId="0" borderId="4" xfId="0" applyNumberFormat="1" applyBorder="1"/>
    <xf numFmtId="1" fontId="0" fillId="0" borderId="4" xfId="0" applyNumberFormat="1" applyBorder="1"/>
    <xf numFmtId="1" fontId="0" fillId="0" borderId="0" xfId="0" applyNumberFormat="1"/>
    <xf numFmtId="14" fontId="21" fillId="0" borderId="0" xfId="0" applyNumberFormat="1" applyFont="1"/>
    <xf numFmtId="178" fontId="0" fillId="0" borderId="4" xfId="0" applyNumberFormat="1" applyBorder="1"/>
    <xf numFmtId="14" fontId="0" fillId="0" borderId="0" xfId="0" applyNumberFormat="1"/>
    <xf numFmtId="4" fontId="36" fillId="0" borderId="0" xfId="0" applyNumberFormat="1" applyFont="1"/>
    <xf numFmtId="3" fontId="36" fillId="0" borderId="0" xfId="0" applyNumberFormat="1" applyFont="1"/>
    <xf numFmtId="0" fontId="37" fillId="0" borderId="23" xfId="0" applyFont="1" applyBorder="1" applyAlignment="1">
      <alignment horizontal="center"/>
    </xf>
    <xf numFmtId="165" fontId="32" fillId="0" borderId="23" xfId="0" applyNumberFormat="1" applyFont="1" applyBorder="1" applyAlignment="1">
      <alignment horizontal="center"/>
    </xf>
    <xf numFmtId="3" fontId="36" fillId="0" borderId="38" xfId="0" applyNumberFormat="1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2" fontId="30" fillId="0" borderId="4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79" fontId="4" fillId="0" borderId="4" xfId="1" applyNumberFormat="1" applyFont="1" applyBorder="1"/>
    <xf numFmtId="10" fontId="0" fillId="0" borderId="4" xfId="0" applyNumberFormat="1" applyBorder="1"/>
    <xf numFmtId="164" fontId="28" fillId="4" borderId="0" xfId="0" applyNumberFormat="1" applyFont="1" applyFill="1"/>
    <xf numFmtId="2" fontId="0" fillId="0" borderId="0" xfId="0" applyNumberFormat="1"/>
    <xf numFmtId="2" fontId="33" fillId="11" borderId="0" xfId="0" applyNumberFormat="1" applyFont="1" applyFill="1" applyAlignment="1">
      <alignment horizontal="right"/>
    </xf>
    <xf numFmtId="2" fontId="0" fillId="0" borderId="4" xfId="0" applyNumberFormat="1" applyBorder="1"/>
    <xf numFmtId="2" fontId="21" fillId="0" borderId="4" xfId="0" applyNumberFormat="1" applyFont="1" applyBorder="1"/>
    <xf numFmtId="2" fontId="21" fillId="0" borderId="0" xfId="0" applyNumberFormat="1" applyFont="1"/>
    <xf numFmtId="2" fontId="23" fillId="0" borderId="4" xfId="0" applyNumberFormat="1" applyFont="1" applyBorder="1"/>
    <xf numFmtId="2" fontId="34" fillId="11" borderId="0" xfId="0" applyNumberFormat="1" applyFont="1" applyFill="1" applyAlignment="1">
      <alignment horizontal="right"/>
    </xf>
    <xf numFmtId="164" fontId="0" fillId="4" borderId="4" xfId="9" applyFont="1" applyFill="1" applyBorder="1"/>
    <xf numFmtId="2" fontId="0" fillId="4" borderId="0" xfId="0" applyNumberFormat="1" applyFill="1"/>
    <xf numFmtId="17" fontId="0" fillId="4" borderId="4" xfId="0" applyNumberFormat="1" applyFill="1" applyBorder="1"/>
    <xf numFmtId="2" fontId="0" fillId="4" borderId="4" xfId="0" applyNumberFormat="1" applyFill="1" applyBorder="1"/>
    <xf numFmtId="10" fontId="0" fillId="0" borderId="0" xfId="0" applyNumberFormat="1"/>
    <xf numFmtId="164" fontId="4" fillId="7" borderId="4" xfId="9" applyFont="1" applyFill="1" applyBorder="1"/>
    <xf numFmtId="165" fontId="49" fillId="0" borderId="4" xfId="1" applyNumberFormat="1" applyFont="1" applyBorder="1" applyAlignment="1">
      <alignment horizontal="right"/>
    </xf>
    <xf numFmtId="165" fontId="49" fillId="0" borderId="4" xfId="1" applyNumberFormat="1" applyFont="1" applyBorder="1"/>
    <xf numFmtId="168" fontId="33" fillId="0" borderId="3" xfId="0" applyNumberFormat="1" applyFont="1" applyBorder="1" applyAlignment="1">
      <alignment horizontal="right"/>
    </xf>
    <xf numFmtId="168" fontId="33" fillId="0" borderId="4" xfId="0" applyNumberFormat="1" applyFont="1" applyBorder="1" applyAlignment="1">
      <alignment horizontal="right"/>
    </xf>
    <xf numFmtId="164" fontId="33" fillId="11" borderId="4" xfId="9" applyFont="1" applyFill="1" applyBorder="1" applyAlignment="1">
      <alignment horizontal="right"/>
    </xf>
    <xf numFmtId="1" fontId="33" fillId="11" borderId="4" xfId="9" applyNumberFormat="1" applyFont="1" applyFill="1" applyBorder="1" applyAlignment="1">
      <alignment horizontal="left"/>
    </xf>
    <xf numFmtId="168" fontId="34" fillId="0" borderId="0" xfId="0" applyNumberFormat="1" applyFont="1" applyAlignment="1">
      <alignment horizontal="right"/>
    </xf>
    <xf numFmtId="168" fontId="34" fillId="11" borderId="0" xfId="0" applyNumberFormat="1" applyFont="1" applyFill="1" applyAlignment="1">
      <alignment horizontal="right"/>
    </xf>
    <xf numFmtId="168" fontId="33" fillId="13" borderId="4" xfId="0" applyNumberFormat="1" applyFont="1" applyFill="1" applyBorder="1"/>
    <xf numFmtId="168" fontId="50" fillId="0" borderId="3" xfId="0" applyNumberFormat="1" applyFont="1" applyBorder="1" applyAlignment="1">
      <alignment horizontal="right"/>
    </xf>
    <xf numFmtId="168" fontId="50" fillId="0" borderId="4" xfId="0" applyNumberFormat="1" applyFont="1" applyBorder="1" applyAlignment="1">
      <alignment horizontal="right"/>
    </xf>
    <xf numFmtId="164" fontId="50" fillId="0" borderId="4" xfId="9" applyFont="1" applyFill="1" applyBorder="1" applyAlignment="1">
      <alignment horizontal="right"/>
    </xf>
    <xf numFmtId="49" fontId="33" fillId="13" borderId="4" xfId="0" applyNumberFormat="1" applyFont="1" applyFill="1" applyBorder="1"/>
    <xf numFmtId="1" fontId="33" fillId="13" borderId="4" xfId="9" applyNumberFormat="1" applyFont="1" applyFill="1" applyBorder="1" applyAlignment="1">
      <alignment horizontal="left"/>
    </xf>
    <xf numFmtId="0" fontId="33" fillId="13" borderId="4" xfId="0" applyFont="1" applyFill="1" applyBorder="1" applyAlignment="1">
      <alignment horizontal="right"/>
    </xf>
    <xf numFmtId="0" fontId="0" fillId="7" borderId="4" xfId="0" applyFill="1" applyBorder="1"/>
    <xf numFmtId="168" fontId="50" fillId="7" borderId="4" xfId="9" applyNumberFormat="1" applyFont="1" applyFill="1" applyBorder="1" applyAlignment="1">
      <alignment horizontal="right"/>
    </xf>
    <xf numFmtId="168" fontId="33" fillId="13" borderId="4" xfId="9" applyNumberFormat="1" applyFont="1" applyFill="1" applyBorder="1" applyAlignment="1">
      <alignment horizontal="right"/>
    </xf>
    <xf numFmtId="168" fontId="33" fillId="13" borderId="4" xfId="9" applyNumberFormat="1" applyFont="1" applyFill="1" applyBorder="1"/>
    <xf numFmtId="0" fontId="33" fillId="13" borderId="4" xfId="0" applyFont="1" applyFill="1" applyBorder="1"/>
    <xf numFmtId="0" fontId="33" fillId="13" borderId="0" xfId="0" applyFont="1" applyFill="1"/>
    <xf numFmtId="0" fontId="0" fillId="7" borderId="0" xfId="0" applyFill="1"/>
    <xf numFmtId="10" fontId="4" fillId="0" borderId="4" xfId="4" applyNumberFormat="1" applyFont="1" applyFill="1" applyBorder="1"/>
    <xf numFmtId="9" fontId="4" fillId="0" borderId="0" xfId="4" applyFont="1" applyFill="1"/>
    <xf numFmtId="10" fontId="5" fillId="0" borderId="0" xfId="2" applyNumberFormat="1" applyFont="1" applyFill="1"/>
    <xf numFmtId="164" fontId="4" fillId="0" borderId="4" xfId="9" applyFont="1" applyFill="1" applyBorder="1"/>
    <xf numFmtId="165" fontId="4" fillId="3" borderId="4" xfId="1" applyNumberFormat="1" applyFont="1" applyFill="1" applyBorder="1"/>
    <xf numFmtId="166" fontId="11" fillId="3" borderId="0" xfId="1" applyNumberFormat="1" applyFont="1" applyFill="1"/>
    <xf numFmtId="165" fontId="4" fillId="0" borderId="21" xfId="1" applyNumberFormat="1" applyFont="1" applyBorder="1"/>
    <xf numFmtId="165" fontId="4" fillId="0" borderId="21" xfId="1" applyNumberFormat="1" applyFont="1" applyBorder="1" applyAlignment="1">
      <alignment horizontal="fill"/>
    </xf>
    <xf numFmtId="165" fontId="5" fillId="0" borderId="21" xfId="1" applyNumberFormat="1" applyFont="1" applyBorder="1"/>
    <xf numFmtId="165" fontId="4" fillId="0" borderId="21" xfId="1" quotePrefix="1" applyNumberFormat="1" applyFont="1" applyBorder="1" applyAlignment="1">
      <alignment horizontal="center"/>
    </xf>
    <xf numFmtId="164" fontId="4" fillId="0" borderId="21" xfId="9" applyFont="1" applyFill="1" applyBorder="1"/>
    <xf numFmtId="165" fontId="4" fillId="0" borderId="21" xfId="1" applyNumberFormat="1" applyFont="1" applyBorder="1" applyAlignment="1">
      <alignment vertical="center"/>
    </xf>
    <xf numFmtId="165" fontId="7" fillId="0" borderId="21" xfId="1" applyNumberFormat="1" applyFont="1" applyBorder="1" applyAlignment="1">
      <alignment vertical="center"/>
    </xf>
    <xf numFmtId="168" fontId="33" fillId="0" borderId="4" xfId="0" applyNumberFormat="1" applyFont="1" applyBorder="1"/>
    <xf numFmtId="168" fontId="0" fillId="0" borderId="0" xfId="9" applyNumberFormat="1" applyFont="1"/>
    <xf numFmtId="168" fontId="0" fillId="0" borderId="0" xfId="0" applyNumberFormat="1"/>
    <xf numFmtId="0" fontId="37" fillId="0" borderId="0" xfId="0" applyFont="1"/>
    <xf numFmtId="3" fontId="37" fillId="0" borderId="38" xfId="0" applyNumberFormat="1" applyFont="1" applyBorder="1" applyAlignment="1">
      <alignment horizontal="center"/>
    </xf>
    <xf numFmtId="0" fontId="37" fillId="0" borderId="4" xfId="0" applyFont="1" applyBorder="1"/>
    <xf numFmtId="3" fontId="37" fillId="0" borderId="4" xfId="0" applyNumberFormat="1" applyFont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165" fontId="7" fillId="0" borderId="0" xfId="1" applyNumberFormat="1" applyFont="1" applyAlignment="1">
      <alignment wrapText="1"/>
    </xf>
    <xf numFmtId="165" fontId="7" fillId="0" borderId="0" xfId="1" applyNumberFormat="1" applyFont="1" applyAlignment="1">
      <alignment vertical="center"/>
    </xf>
    <xf numFmtId="9" fontId="31" fillId="3" borderId="4" xfId="4" applyFont="1" applyFill="1" applyBorder="1"/>
    <xf numFmtId="9" fontId="45" fillId="3" borderId="4" xfId="4" applyFont="1" applyFill="1" applyBorder="1"/>
    <xf numFmtId="164" fontId="33" fillId="11" borderId="0" xfId="0" applyNumberFormat="1" applyFont="1" applyFill="1" applyAlignment="1">
      <alignment horizontal="right"/>
    </xf>
    <xf numFmtId="164" fontId="33" fillId="14" borderId="4" xfId="9" applyFont="1" applyFill="1" applyBorder="1" applyAlignment="1">
      <alignment horizontal="right"/>
    </xf>
    <xf numFmtId="1" fontId="51" fillId="11" borderId="4" xfId="9" applyNumberFormat="1" applyFont="1" applyFill="1" applyBorder="1" applyAlignment="1">
      <alignment horizontal="left"/>
    </xf>
    <xf numFmtId="168" fontId="51" fillId="11" borderId="4" xfId="0" applyNumberFormat="1" applyFont="1" applyFill="1" applyBorder="1" applyAlignment="1">
      <alignment horizontal="right"/>
    </xf>
    <xf numFmtId="10" fontId="51" fillId="11" borderId="4" xfId="0" applyNumberFormat="1" applyFont="1" applyFill="1" applyBorder="1" applyAlignment="1">
      <alignment horizontal="right"/>
    </xf>
    <xf numFmtId="164" fontId="28" fillId="4" borderId="4" xfId="9" applyFont="1" applyFill="1" applyBorder="1"/>
    <xf numFmtId="164" fontId="27" fillId="4" borderId="4" xfId="9" applyFont="1" applyFill="1" applyBorder="1"/>
    <xf numFmtId="164" fontId="29" fillId="7" borderId="4" xfId="9" applyFont="1" applyFill="1" applyBorder="1"/>
    <xf numFmtId="164" fontId="4" fillId="0" borderId="4" xfId="9" applyFont="1" applyBorder="1"/>
    <xf numFmtId="164" fontId="36" fillId="0" borderId="38" xfId="9" applyFont="1" applyBorder="1" applyAlignment="1">
      <alignment horizontal="center"/>
    </xf>
    <xf numFmtId="168" fontId="36" fillId="0" borderId="38" xfId="9" applyNumberFormat="1" applyFont="1" applyBorder="1" applyAlignment="1">
      <alignment horizontal="center"/>
    </xf>
    <xf numFmtId="164" fontId="27" fillId="4" borderId="0" xfId="9" applyFont="1" applyFill="1"/>
    <xf numFmtId="9" fontId="27" fillId="4" borderId="0" xfId="0" applyNumberFormat="1" applyFont="1" applyFill="1"/>
    <xf numFmtId="10" fontId="27" fillId="4" borderId="0" xfId="0" applyNumberFormat="1" applyFont="1" applyFill="1"/>
    <xf numFmtId="165" fontId="52" fillId="0" borderId="4" xfId="1" applyNumberFormat="1" applyFont="1" applyBorder="1"/>
    <xf numFmtId="165" fontId="49" fillId="4" borderId="4" xfId="1" applyNumberFormat="1" applyFont="1" applyFill="1" applyBorder="1"/>
    <xf numFmtId="164" fontId="49" fillId="0" borderId="4" xfId="9" applyFont="1" applyBorder="1"/>
    <xf numFmtId="164" fontId="49" fillId="4" borderId="4" xfId="9" applyFont="1" applyFill="1" applyBorder="1"/>
    <xf numFmtId="164" fontId="49" fillId="0" borderId="4" xfId="9" applyFont="1" applyBorder="1" applyAlignment="1">
      <alignment horizontal="right"/>
    </xf>
    <xf numFmtId="164" fontId="4" fillId="4" borderId="4" xfId="9" applyFont="1" applyFill="1" applyBorder="1"/>
    <xf numFmtId="164" fontId="7" fillId="0" borderId="4" xfId="9" applyFont="1" applyBorder="1"/>
    <xf numFmtId="165" fontId="49" fillId="4" borderId="4" xfId="1" applyNumberFormat="1" applyFont="1" applyFill="1" applyBorder="1" applyAlignment="1">
      <alignment horizontal="right"/>
    </xf>
    <xf numFmtId="164" fontId="4" fillId="0" borderId="21" xfId="9" applyFont="1" applyBorder="1"/>
    <xf numFmtId="165" fontId="4" fillId="4" borderId="21" xfId="1" applyNumberFormat="1" applyFont="1" applyFill="1" applyBorder="1"/>
    <xf numFmtId="165" fontId="49" fillId="4" borderId="21" xfId="1" applyNumberFormat="1" applyFont="1" applyFill="1" applyBorder="1"/>
    <xf numFmtId="164" fontId="4" fillId="4" borderId="21" xfId="9" applyFont="1" applyFill="1" applyBorder="1"/>
    <xf numFmtId="165" fontId="7" fillId="4" borderId="4" xfId="1" applyNumberFormat="1" applyFont="1" applyFill="1" applyBorder="1" applyAlignment="1">
      <alignment wrapText="1"/>
    </xf>
    <xf numFmtId="167" fontId="7" fillId="4" borderId="4" xfId="1" applyNumberFormat="1" applyFont="1" applyFill="1" applyBorder="1" applyAlignment="1">
      <alignment vertical="center"/>
    </xf>
    <xf numFmtId="166" fontId="18" fillId="4" borderId="0" xfId="1" applyNumberFormat="1" applyFont="1" applyFill="1"/>
    <xf numFmtId="164" fontId="31" fillId="0" borderId="4" xfId="9" applyFont="1" applyFill="1" applyBorder="1"/>
    <xf numFmtId="164" fontId="31" fillId="0" borderId="21" xfId="9" applyFont="1" applyFill="1" applyBorder="1"/>
    <xf numFmtId="164" fontId="4" fillId="0" borderId="22" xfId="9" applyFont="1" applyBorder="1"/>
    <xf numFmtId="164" fontId="4" fillId="0" borderId="0" xfId="9" applyFont="1"/>
    <xf numFmtId="164" fontId="4" fillId="4" borderId="0" xfId="9" applyFont="1" applyFill="1"/>
    <xf numFmtId="174" fontId="0" fillId="7" borderId="4" xfId="7" applyNumberFormat="1" applyFont="1" applyFill="1" applyBorder="1"/>
    <xf numFmtId="43" fontId="34" fillId="11" borderId="4" xfId="0" applyNumberFormat="1" applyFont="1" applyFill="1" applyBorder="1" applyAlignment="1">
      <alignment horizontal="left"/>
    </xf>
    <xf numFmtId="164" fontId="34" fillId="11" borderId="23" xfId="9" applyFont="1" applyFill="1" applyBorder="1" applyAlignment="1">
      <alignment horizontal="left"/>
    </xf>
    <xf numFmtId="43" fontId="33" fillId="11" borderId="3" xfId="0" applyNumberFormat="1" applyFont="1" applyFill="1" applyBorder="1" applyAlignment="1">
      <alignment horizontal="left" vertical="top" wrapText="1"/>
    </xf>
    <xf numFmtId="164" fontId="33" fillId="11" borderId="38" xfId="9" applyFont="1" applyFill="1" applyBorder="1" applyAlignment="1">
      <alignment horizontal="left" vertical="top"/>
    </xf>
    <xf numFmtId="164" fontId="33" fillId="11" borderId="38" xfId="0" applyNumberFormat="1" applyFont="1" applyFill="1" applyBorder="1" applyAlignment="1">
      <alignment horizontal="left" vertical="top"/>
    </xf>
    <xf numFmtId="0" fontId="33" fillId="11" borderId="3" xfId="0" applyFont="1" applyFill="1" applyBorder="1" applyAlignment="1">
      <alignment horizontal="right" vertical="top"/>
    </xf>
    <xf numFmtId="165" fontId="49" fillId="0" borderId="21" xfId="1" applyNumberFormat="1" applyFont="1" applyBorder="1"/>
    <xf numFmtId="165" fontId="4" fillId="0" borderId="23" xfId="1" applyNumberFormat="1" applyFont="1" applyBorder="1"/>
    <xf numFmtId="165" fontId="4" fillId="0" borderId="22" xfId="1" applyNumberFormat="1" applyFont="1" applyBorder="1"/>
    <xf numFmtId="165" fontId="4" fillId="0" borderId="23" xfId="1" applyNumberFormat="1" applyFont="1" applyBorder="1" applyAlignment="1">
      <alignment vertical="center"/>
    </xf>
    <xf numFmtId="164" fontId="4" fillId="0" borderId="22" xfId="9" applyFont="1" applyFill="1" applyBorder="1"/>
    <xf numFmtId="165" fontId="30" fillId="0" borderId="0" xfId="1" applyNumberFormat="1" applyFont="1"/>
    <xf numFmtId="164" fontId="4" fillId="0" borderId="0" xfId="9" applyFont="1" applyFill="1"/>
    <xf numFmtId="9" fontId="48" fillId="15" borderId="4" xfId="0" applyNumberFormat="1" applyFont="1" applyFill="1" applyBorder="1"/>
    <xf numFmtId="165" fontId="0" fillId="15" borderId="4" xfId="1" applyNumberFormat="1" applyFont="1" applyFill="1" applyBorder="1"/>
    <xf numFmtId="9" fontId="0" fillId="15" borderId="4" xfId="0" applyNumberFormat="1" applyFill="1" applyBorder="1"/>
    <xf numFmtId="168" fontId="33" fillId="16" borderId="4" xfId="0" applyNumberFormat="1" applyFont="1" applyFill="1" applyBorder="1" applyAlignment="1">
      <alignment horizontal="right"/>
    </xf>
    <xf numFmtId="0" fontId="33" fillId="16" borderId="4" xfId="0" applyFont="1" applyFill="1" applyBorder="1"/>
    <xf numFmtId="0" fontId="33" fillId="16" borderId="4" xfId="0" applyFont="1" applyFill="1" applyBorder="1" applyAlignment="1">
      <alignment horizontal="right"/>
    </xf>
    <xf numFmtId="168" fontId="33" fillId="16" borderId="4" xfId="0" applyNumberFormat="1" applyFont="1" applyFill="1" applyBorder="1"/>
    <xf numFmtId="168" fontId="50" fillId="11" borderId="4" xfId="0" applyNumberFormat="1" applyFont="1" applyFill="1" applyBorder="1" applyAlignment="1">
      <alignment horizontal="right"/>
    </xf>
    <xf numFmtId="0" fontId="50" fillId="16" borderId="4" xfId="0" applyFont="1" applyFill="1" applyBorder="1"/>
    <xf numFmtId="174" fontId="34" fillId="16" borderId="4" xfId="0" applyNumberFormat="1" applyFont="1" applyFill="1" applyBorder="1" applyAlignment="1">
      <alignment horizontal="right"/>
    </xf>
    <xf numFmtId="0" fontId="36" fillId="4" borderId="4" xfId="0" applyFont="1" applyFill="1" applyBorder="1"/>
    <xf numFmtId="0" fontId="37" fillId="4" borderId="3" xfId="0" applyFont="1" applyFill="1" applyBorder="1"/>
    <xf numFmtId="0" fontId="36" fillId="4" borderId="3" xfId="0" applyFont="1" applyFill="1" applyBorder="1"/>
    <xf numFmtId="164" fontId="0" fillId="0" borderId="0" xfId="9" applyFont="1"/>
    <xf numFmtId="164" fontId="21" fillId="0" borderId="0" xfId="9" applyFont="1"/>
    <xf numFmtId="164" fontId="0" fillId="0" borderId="0" xfId="0" applyNumberFormat="1"/>
    <xf numFmtId="43" fontId="0" fillId="0" borderId="0" xfId="0" applyNumberFormat="1"/>
    <xf numFmtId="2" fontId="4" fillId="4" borderId="4" xfId="10" applyNumberFormat="1" applyFont="1" applyFill="1" applyBorder="1"/>
    <xf numFmtId="165" fontId="49" fillId="4" borderId="4" xfId="1" applyNumberFormat="1" applyFont="1" applyFill="1" applyBorder="1" applyAlignment="1">
      <alignment horizontal="fill"/>
    </xf>
    <xf numFmtId="165" fontId="49" fillId="0" borderId="4" xfId="1" applyNumberFormat="1" applyFont="1" applyBorder="1" applyAlignment="1">
      <alignment horizontal="fill"/>
    </xf>
    <xf numFmtId="164" fontId="49" fillId="4" borderId="21" xfId="9" applyFont="1" applyFill="1" applyBorder="1"/>
    <xf numFmtId="164" fontId="49" fillId="0" borderId="21" xfId="9" applyFon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55" xfId="0" applyNumberFormat="1" applyBorder="1"/>
    <xf numFmtId="43" fontId="0" fillId="0" borderId="55" xfId="0" applyNumberFormat="1" applyBorder="1"/>
    <xf numFmtId="164" fontId="21" fillId="0" borderId="4" xfId="9" applyFont="1" applyBorder="1"/>
    <xf numFmtId="180" fontId="26" fillId="4" borderId="4" xfId="7" applyNumberFormat="1" applyFont="1" applyFill="1" applyBorder="1"/>
    <xf numFmtId="164" fontId="0" fillId="0" borderId="4" xfId="9" applyFont="1" applyBorder="1"/>
    <xf numFmtId="0" fontId="0" fillId="0" borderId="4" xfId="0" applyBorder="1" applyAlignment="1">
      <alignment horizontal="center"/>
    </xf>
    <xf numFmtId="0" fontId="48" fillId="0" borderId="4" xfId="0" applyFont="1" applyBorder="1"/>
    <xf numFmtId="164" fontId="0" fillId="0" borderId="4" xfId="0" applyNumberFormat="1" applyBorder="1"/>
    <xf numFmtId="43" fontId="0" fillId="0" borderId="4" xfId="0" applyNumberFormat="1" applyBorder="1"/>
    <xf numFmtId="0" fontId="32" fillId="0" borderId="4" xfId="0" applyFont="1" applyBorder="1"/>
    <xf numFmtId="164" fontId="48" fillId="0" borderId="4" xfId="9" applyFont="1" applyBorder="1"/>
    <xf numFmtId="0" fontId="0" fillId="17" borderId="4" xfId="0" applyFill="1" applyBorder="1"/>
    <xf numFmtId="0" fontId="21" fillId="17" borderId="4" xfId="0" applyFont="1" applyFill="1" applyBorder="1"/>
    <xf numFmtId="0" fontId="32" fillId="17" borderId="4" xfId="0" applyFont="1" applyFill="1" applyBorder="1"/>
    <xf numFmtId="164" fontId="32" fillId="17" borderId="4" xfId="9" applyFont="1" applyFill="1" applyBorder="1"/>
    <xf numFmtId="164" fontId="0" fillId="17" borderId="4" xfId="9" applyFont="1" applyFill="1" applyBorder="1"/>
    <xf numFmtId="164" fontId="0" fillId="17" borderId="4" xfId="0" applyNumberFormat="1" applyFill="1" applyBorder="1"/>
    <xf numFmtId="164" fontId="21" fillId="17" borderId="4" xfId="9" applyFont="1" applyFill="1" applyBorder="1"/>
    <xf numFmtId="43" fontId="21" fillId="17" borderId="4" xfId="0" applyNumberFormat="1" applyFont="1" applyFill="1" applyBorder="1"/>
    <xf numFmtId="0" fontId="0" fillId="0" borderId="4" xfId="0" applyBorder="1" applyAlignment="1">
      <alignment wrapText="1"/>
    </xf>
    <xf numFmtId="43" fontId="0" fillId="17" borderId="4" xfId="0" applyNumberFormat="1" applyFill="1" applyBorder="1"/>
    <xf numFmtId="0" fontId="21" fillId="18" borderId="4" xfId="0" applyFont="1" applyFill="1" applyBorder="1"/>
    <xf numFmtId="165" fontId="32" fillId="18" borderId="4" xfId="1" applyNumberFormat="1" applyFont="1" applyFill="1" applyBorder="1" applyAlignment="1">
      <alignment horizontal="center"/>
    </xf>
    <xf numFmtId="0" fontId="53" fillId="0" borderId="0" xfId="0" applyFont="1"/>
    <xf numFmtId="0" fontId="21" fillId="0" borderId="5" xfId="0" applyFont="1" applyBorder="1"/>
    <xf numFmtId="0" fontId="0" fillId="0" borderId="34" xfId="0" applyBorder="1"/>
    <xf numFmtId="0" fontId="0" fillId="0" borderId="35" xfId="0" applyBorder="1"/>
    <xf numFmtId="0" fontId="21" fillId="0" borderId="6" xfId="0" applyFont="1" applyBorder="1"/>
    <xf numFmtId="0" fontId="0" fillId="0" borderId="36" xfId="0" applyBorder="1"/>
    <xf numFmtId="0" fontId="0" fillId="0" borderId="6" xfId="0" applyBorder="1"/>
    <xf numFmtId="0" fontId="0" fillId="0" borderId="7" xfId="0" applyBorder="1"/>
    <xf numFmtId="0" fontId="0" fillId="0" borderId="37" xfId="0" applyBorder="1"/>
    <xf numFmtId="0" fontId="0" fillId="0" borderId="3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1" fillId="0" borderId="7" xfId="0" applyFont="1" applyBorder="1"/>
    <xf numFmtId="0" fontId="21" fillId="0" borderId="4" xfId="0" applyFont="1" applyBorder="1" applyAlignment="1">
      <alignment horizontal="center"/>
    </xf>
    <xf numFmtId="0" fontId="21" fillId="18" borderId="4" xfId="0" applyFont="1" applyFill="1" applyBorder="1" applyAlignment="1">
      <alignment wrapText="1"/>
    </xf>
    <xf numFmtId="0" fontId="0" fillId="18" borderId="4" xfId="0" applyFill="1" applyBorder="1"/>
    <xf numFmtId="14" fontId="0" fillId="18" borderId="4" xfId="0" applyNumberFormat="1" applyFill="1" applyBorder="1" applyAlignment="1">
      <alignment vertical="top"/>
    </xf>
    <xf numFmtId="0" fontId="0" fillId="18" borderId="4" xfId="0" applyFill="1" applyBorder="1" applyAlignment="1">
      <alignment vertical="top" wrapText="1"/>
    </xf>
    <xf numFmtId="0" fontId="0" fillId="18" borderId="4" xfId="0" applyFill="1" applyBorder="1" applyAlignment="1">
      <alignment vertical="top"/>
    </xf>
    <xf numFmtId="0" fontId="21" fillId="18" borderId="4" xfId="0" applyFont="1" applyFill="1" applyBorder="1" applyAlignment="1">
      <alignment horizontal="center"/>
    </xf>
    <xf numFmtId="10" fontId="21" fillId="18" borderId="4" xfId="0" applyNumberFormat="1" applyFont="1" applyFill="1" applyBorder="1"/>
    <xf numFmtId="10" fontId="0" fillId="18" borderId="4" xfId="0" applyNumberFormat="1" applyFill="1" applyBorder="1"/>
    <xf numFmtId="10" fontId="0" fillId="17" borderId="4" xfId="0" applyNumberFormat="1" applyFill="1" applyBorder="1"/>
    <xf numFmtId="0" fontId="21" fillId="17" borderId="4" xfId="0" applyFont="1" applyFill="1" applyBorder="1" applyAlignment="1">
      <alignment horizontal="center"/>
    </xf>
    <xf numFmtId="10" fontId="48" fillId="17" borderId="4" xfId="0" applyNumberFormat="1" applyFont="1" applyFill="1" applyBorder="1"/>
    <xf numFmtId="164" fontId="49" fillId="0" borderId="4" xfId="9" applyFont="1" applyFill="1" applyBorder="1"/>
    <xf numFmtId="164" fontId="49" fillId="0" borderId="21" xfId="9" applyFont="1" applyFill="1" applyBorder="1"/>
    <xf numFmtId="4" fontId="0" fillId="0" borderId="0" xfId="0" applyNumberFormat="1"/>
    <xf numFmtId="0" fontId="21" fillId="17" borderId="4" xfId="0" applyFont="1" applyFill="1" applyBorder="1" applyAlignment="1">
      <alignment vertical="top"/>
    </xf>
    <xf numFmtId="0" fontId="21" fillId="17" borderId="4" xfId="0" applyFont="1" applyFill="1" applyBorder="1" applyAlignment="1">
      <alignment wrapText="1"/>
    </xf>
    <xf numFmtId="4" fontId="0" fillId="0" borderId="0" xfId="9" applyNumberFormat="1" applyFont="1"/>
    <xf numFmtId="4" fontId="0" fillId="0" borderId="55" xfId="0" applyNumberFormat="1" applyBorder="1"/>
    <xf numFmtId="0" fontId="21" fillId="17" borderId="21" xfId="0" applyFont="1" applyFill="1" applyBorder="1" applyAlignment="1">
      <alignment horizontal="center"/>
    </xf>
    <xf numFmtId="0" fontId="21" fillId="17" borderId="23" xfId="0" applyFont="1" applyFill="1" applyBorder="1" applyAlignment="1">
      <alignment horizontal="center"/>
    </xf>
    <xf numFmtId="164" fontId="0" fillId="0" borderId="21" xfId="9" applyFont="1" applyBorder="1"/>
    <xf numFmtId="0" fontId="0" fillId="0" borderId="21" xfId="0" applyBorder="1"/>
    <xf numFmtId="164" fontId="0" fillId="0" borderId="23" xfId="9" applyFont="1" applyBorder="1"/>
    <xf numFmtId="0" fontId="0" fillId="0" borderId="23" xfId="0" applyBorder="1"/>
    <xf numFmtId="165" fontId="38" fillId="0" borderId="0" xfId="1" applyNumberFormat="1" applyFont="1"/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26" fillId="6" borderId="0" xfId="0" applyFont="1" applyFill="1" applyAlignment="1">
      <alignment horizontal="center"/>
    </xf>
    <xf numFmtId="168" fontId="34" fillId="11" borderId="52" xfId="0" applyNumberFormat="1" applyFont="1" applyFill="1" applyBorder="1" applyAlignment="1">
      <alignment horizontal="center"/>
    </xf>
    <xf numFmtId="168" fontId="34" fillId="11" borderId="53" xfId="0" applyNumberFormat="1" applyFont="1" applyFill="1" applyBorder="1" applyAlignment="1">
      <alignment horizontal="center"/>
    </xf>
    <xf numFmtId="168" fontId="34" fillId="11" borderId="54" xfId="0" applyNumberFormat="1" applyFont="1" applyFill="1" applyBorder="1" applyAlignment="1">
      <alignment horizontal="center"/>
    </xf>
    <xf numFmtId="168" fontId="34" fillId="11" borderId="21" xfId="0" applyNumberFormat="1" applyFont="1" applyFill="1" applyBorder="1" applyAlignment="1">
      <alignment horizontal="center"/>
    </xf>
    <xf numFmtId="168" fontId="34" fillId="11" borderId="22" xfId="0" applyNumberFormat="1" applyFont="1" applyFill="1" applyBorder="1" applyAlignment="1">
      <alignment horizontal="center"/>
    </xf>
    <xf numFmtId="168" fontId="34" fillId="11" borderId="23" xfId="0" applyNumberFormat="1" applyFont="1" applyFill="1" applyBorder="1" applyAlignment="1">
      <alignment horizontal="center"/>
    </xf>
    <xf numFmtId="0" fontId="35" fillId="12" borderId="39" xfId="0" applyFont="1" applyFill="1" applyBorder="1" applyAlignment="1">
      <alignment horizontal="center"/>
    </xf>
    <xf numFmtId="0" fontId="39" fillId="12" borderId="39" xfId="0" applyFont="1" applyFill="1" applyBorder="1" applyAlignment="1">
      <alignment horizontal="center"/>
    </xf>
    <xf numFmtId="0" fontId="39" fillId="12" borderId="9" xfId="0" applyFont="1" applyFill="1" applyBorder="1" applyAlignment="1">
      <alignment horizontal="center" vertical="center" wrapText="1"/>
    </xf>
    <xf numFmtId="0" fontId="39" fillId="12" borderId="12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0" fillId="18" borderId="21" xfId="0" applyFill="1" applyBorder="1" applyAlignment="1">
      <alignment horizontal="center" vertical="top"/>
    </xf>
    <xf numFmtId="0" fontId="0" fillId="18" borderId="23" xfId="0" applyFill="1" applyBorder="1" applyAlignment="1">
      <alignment horizontal="center" vertical="top"/>
    </xf>
    <xf numFmtId="0" fontId="0" fillId="18" borderId="21" xfId="0" applyFill="1" applyBorder="1" applyAlignment="1">
      <alignment horizontal="center" vertical="top" wrapText="1"/>
    </xf>
    <xf numFmtId="0" fontId="0" fillId="18" borderId="23" xfId="0" applyFill="1" applyBorder="1" applyAlignment="1">
      <alignment horizontal="center" vertical="top" wrapText="1"/>
    </xf>
    <xf numFmtId="0" fontId="21" fillId="17" borderId="21" xfId="0" applyFont="1" applyFill="1" applyBorder="1" applyAlignment="1">
      <alignment horizontal="center"/>
    </xf>
    <xf numFmtId="0" fontId="21" fillId="17" borderId="23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</cellXfs>
  <cellStyles count="11">
    <cellStyle name="Comma" xfId="9" builtinId="3"/>
    <cellStyle name="Comma 2" xfId="5"/>
    <cellStyle name="Comma 3" xfId="6"/>
    <cellStyle name="Comma 4" xfId="7"/>
    <cellStyle name="Currency" xfId="10" builtinId="4"/>
    <cellStyle name="Normal" xfId="0" builtinId="0"/>
    <cellStyle name="Normal 2" xfId="3"/>
    <cellStyle name="Normal 6 2 2" xfId="8"/>
    <cellStyle name="Normal_company as a whole-final." xfId="1"/>
    <cellStyle name="Percent" xfId="4" builtinId="5"/>
    <cellStyle name="Percent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pl2\Downloads\Aniketyadav\CRPLPLAN_PA_v6(4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PL\Downloads\CRPL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SSUMPTION"/>
      <sheetName val="PROJECT COST"/>
      <sheetName val="Location- PL"/>
      <sheetName val="Conso-PL"/>
      <sheetName val="Location -BS"/>
      <sheetName val="Conso-BS"/>
      <sheetName val="Location-CFS"/>
      <sheetName val="Conso-CFS"/>
      <sheetName val="Location-DSCR"/>
      <sheetName val="Conso-DSCR"/>
      <sheetName val="WCR"/>
      <sheetName val="List of Plant &amp; Machinery"/>
      <sheetName val="Detailed Revenue&amp;Expenses"/>
      <sheetName val="Loan Schedule"/>
      <sheetName val="Depreciation Schedule"/>
      <sheetName val="CapitalReimb. sch"/>
      <sheetName val="P&amp;L"/>
      <sheetName val="EMI Schedule(basic)"/>
      <sheetName val="CR (basic)"/>
      <sheetName val="Depreciation"/>
      <sheetName val="PL-Yearl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D21">
            <v>21.2</v>
          </cell>
          <cell r="E21">
            <v>246.80833333333334</v>
          </cell>
          <cell r="F21">
            <v>254.97125000000003</v>
          </cell>
          <cell r="G21">
            <v>263.62481250000002</v>
          </cell>
          <cell r="H21">
            <v>272.79974062500003</v>
          </cell>
          <cell r="I21">
            <v>282.52875421875001</v>
          </cell>
          <cell r="J21">
            <v>292.84670798437497</v>
          </cell>
          <cell r="K21">
            <v>299.76156897571616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O3">
            <v>0</v>
          </cell>
          <cell r="AP3">
            <v>3600</v>
          </cell>
        </row>
        <row r="4">
          <cell r="AO4">
            <v>475</v>
          </cell>
          <cell r="AP4">
            <v>3125</v>
          </cell>
        </row>
        <row r="5">
          <cell r="AO5">
            <v>600</v>
          </cell>
          <cell r="AP5">
            <v>2525</v>
          </cell>
        </row>
        <row r="6">
          <cell r="AO6">
            <v>600</v>
          </cell>
          <cell r="AP6">
            <v>1925.0000000000002</v>
          </cell>
        </row>
        <row r="7">
          <cell r="AO7">
            <v>600</v>
          </cell>
          <cell r="AP7">
            <v>1325.0000000000002</v>
          </cell>
        </row>
        <row r="8">
          <cell r="AO8">
            <v>600</v>
          </cell>
          <cell r="AP8">
            <v>725.00000000000011</v>
          </cell>
        </row>
        <row r="9">
          <cell r="AO9">
            <v>600</v>
          </cell>
          <cell r="AP9">
            <v>125.00000000000017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Conso P&amp;L"/>
      <sheetName val="Profit &amp; Loss"/>
      <sheetName val="Cash Flow"/>
      <sheetName val="Conso Cash Flow"/>
      <sheetName val="Balance Sheet"/>
      <sheetName val="Balance Sheet CMA"/>
      <sheetName val="EMI Schedule"/>
    </sheetNames>
    <sheetDataSet>
      <sheetData sheetId="0"/>
      <sheetData sheetId="1">
        <row r="15">
          <cell r="B15">
            <v>0</v>
          </cell>
        </row>
        <row r="23">
          <cell r="C23">
            <v>1664383.5616438359</v>
          </cell>
        </row>
      </sheetData>
      <sheetData sheetId="2"/>
      <sheetData sheetId="3">
        <row r="16">
          <cell r="B16">
            <v>892857.14285714284</v>
          </cell>
          <cell r="C16">
            <v>892857.14285714284</v>
          </cell>
          <cell r="D16">
            <v>892857.14285714284</v>
          </cell>
          <cell r="E16">
            <v>892857.14285714284</v>
          </cell>
          <cell r="F16">
            <v>892857.14285714284</v>
          </cell>
          <cell r="G16">
            <v>10714285.714285716</v>
          </cell>
          <cell r="H16">
            <v>10714285.714285716</v>
          </cell>
          <cell r="I16">
            <v>10714285.714285716</v>
          </cell>
          <cell r="J16">
            <v>10714285.714285716</v>
          </cell>
          <cell r="K16">
            <v>10714285.714285716</v>
          </cell>
        </row>
      </sheetData>
      <sheetData sheetId="4">
        <row r="17">
          <cell r="B17">
            <v>2678571.4285714286</v>
          </cell>
        </row>
      </sheetData>
      <sheetData sheetId="5">
        <row r="6">
          <cell r="B6">
            <v>450000000</v>
          </cell>
        </row>
      </sheetData>
      <sheetData sheetId="6">
        <row r="66">
          <cell r="B66">
            <v>321428571.4285714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C15"/>
  <sheetViews>
    <sheetView workbookViewId="0">
      <selection activeCell="C15" sqref="C15"/>
    </sheetView>
  </sheetViews>
  <sheetFormatPr defaultRowHeight="14.5" x14ac:dyDescent="0.35"/>
  <cols>
    <col min="1" max="1" width="4" customWidth="1"/>
    <col min="2" max="2" width="46.54296875" customWidth="1"/>
    <col min="3" max="3" width="20.26953125" customWidth="1"/>
  </cols>
  <sheetData>
    <row r="2" spans="1:3" ht="15" x14ac:dyDescent="0.25">
      <c r="A2" t="s">
        <v>889</v>
      </c>
    </row>
    <row r="3" spans="1:3" ht="15" x14ac:dyDescent="0.25">
      <c r="A3" t="s">
        <v>891</v>
      </c>
    </row>
    <row r="5" spans="1:3" ht="15" x14ac:dyDescent="0.25">
      <c r="A5" s="240" t="s">
        <v>749</v>
      </c>
      <c r="B5" s="240" t="s">
        <v>895</v>
      </c>
      <c r="C5" s="240" t="s">
        <v>892</v>
      </c>
    </row>
    <row r="6" spans="1:3" ht="15" x14ac:dyDescent="0.25">
      <c r="A6" s="236">
        <v>1</v>
      </c>
      <c r="B6" s="236" t="s">
        <v>893</v>
      </c>
      <c r="C6" s="236" t="s">
        <v>894</v>
      </c>
    </row>
    <row r="7" spans="1:3" ht="15" x14ac:dyDescent="0.25">
      <c r="A7" s="236">
        <v>2</v>
      </c>
      <c r="B7" s="236" t="s">
        <v>896</v>
      </c>
      <c r="C7" s="236" t="s">
        <v>897</v>
      </c>
    </row>
    <row r="8" spans="1:3" ht="15" x14ac:dyDescent="0.25">
      <c r="A8" s="236">
        <v>3</v>
      </c>
      <c r="B8" s="236" t="s">
        <v>898</v>
      </c>
      <c r="C8" s="236" t="s">
        <v>509</v>
      </c>
    </row>
    <row r="9" spans="1:3" ht="30" x14ac:dyDescent="0.25">
      <c r="A9" s="236">
        <v>4</v>
      </c>
      <c r="B9" s="560" t="s">
        <v>899</v>
      </c>
      <c r="C9" s="236" t="s">
        <v>900</v>
      </c>
    </row>
    <row r="10" spans="1:3" ht="15" x14ac:dyDescent="0.25">
      <c r="A10" s="236">
        <v>5</v>
      </c>
      <c r="B10" s="236" t="s">
        <v>858</v>
      </c>
      <c r="C10" s="236" t="s">
        <v>901</v>
      </c>
    </row>
    <row r="11" spans="1:3" ht="15" x14ac:dyDescent="0.25">
      <c r="A11" s="236">
        <v>6</v>
      </c>
      <c r="B11" s="236" t="s">
        <v>748</v>
      </c>
      <c r="C11" s="236" t="s">
        <v>902</v>
      </c>
    </row>
    <row r="12" spans="1:3" ht="15" x14ac:dyDescent="0.25">
      <c r="A12" s="236">
        <v>7</v>
      </c>
      <c r="B12" s="236" t="s">
        <v>747</v>
      </c>
      <c r="C12" s="236" t="s">
        <v>903</v>
      </c>
    </row>
    <row r="13" spans="1:3" ht="15" x14ac:dyDescent="0.25">
      <c r="A13" s="236">
        <v>8</v>
      </c>
      <c r="B13" s="236" t="s">
        <v>865</v>
      </c>
      <c r="C13" s="236" t="s">
        <v>904</v>
      </c>
    </row>
    <row r="14" spans="1:3" ht="15" x14ac:dyDescent="0.25">
      <c r="A14" s="236">
        <v>9</v>
      </c>
      <c r="B14" s="236" t="s">
        <v>868</v>
      </c>
      <c r="C14" s="236" t="s">
        <v>905</v>
      </c>
    </row>
    <row r="15" spans="1:3" ht="15" x14ac:dyDescent="0.25">
      <c r="A15" s="236">
        <v>10</v>
      </c>
      <c r="B15" s="236" t="s">
        <v>886</v>
      </c>
      <c r="C15" s="236" t="s">
        <v>442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4"/>
  <sheetViews>
    <sheetView topLeftCell="A4" zoomScale="80" zoomScaleNormal="80" workbookViewId="0">
      <selection activeCell="F28" sqref="F28"/>
    </sheetView>
  </sheetViews>
  <sheetFormatPr defaultColWidth="11.453125" defaultRowHeight="14.5" x14ac:dyDescent="0.35"/>
  <cols>
    <col min="1" max="1" width="29.81640625" bestFit="1" customWidth="1"/>
    <col min="2" max="3" width="28" bestFit="1" customWidth="1"/>
    <col min="4" max="4" width="16.81640625" bestFit="1" customWidth="1"/>
    <col min="5" max="5" width="14.1796875" bestFit="1" customWidth="1"/>
    <col min="6" max="6" width="19.81640625" bestFit="1" customWidth="1"/>
    <col min="7" max="7" width="18.54296875" bestFit="1" customWidth="1"/>
    <col min="8" max="8" width="24.1796875" bestFit="1" customWidth="1"/>
    <col min="9" max="13" width="18.1796875" bestFit="1" customWidth="1"/>
    <col min="14" max="14" width="16.453125" bestFit="1" customWidth="1"/>
    <col min="15" max="15" width="15.453125" bestFit="1" customWidth="1"/>
    <col min="16" max="16" width="13.1796875" bestFit="1" customWidth="1"/>
    <col min="17" max="17" width="16.453125" bestFit="1" customWidth="1"/>
  </cols>
  <sheetData>
    <row r="1" spans="1:18" ht="16.5" x14ac:dyDescent="0.3">
      <c r="A1" s="256"/>
      <c r="B1" s="256"/>
      <c r="C1" s="257"/>
      <c r="D1" s="257"/>
      <c r="E1" s="257"/>
      <c r="F1" s="257"/>
      <c r="G1" s="257"/>
      <c r="H1" s="257"/>
      <c r="I1" s="257"/>
      <c r="J1" s="257"/>
      <c r="K1" s="256"/>
      <c r="L1" s="256"/>
      <c r="M1" s="256"/>
      <c r="N1" s="256"/>
      <c r="O1" s="256"/>
      <c r="P1" s="256"/>
      <c r="Q1" s="256"/>
      <c r="R1" s="256"/>
    </row>
    <row r="2" spans="1:18" ht="16.5" x14ac:dyDescent="0.3">
      <c r="A2" s="258"/>
      <c r="B2" s="258"/>
      <c r="C2" s="257"/>
      <c r="D2" s="257"/>
      <c r="E2" s="257"/>
      <c r="F2" s="257"/>
      <c r="G2" s="257"/>
      <c r="H2" s="257"/>
      <c r="I2" s="257"/>
      <c r="J2" s="257"/>
      <c r="K2" s="256"/>
      <c r="L2" s="256"/>
      <c r="M2" s="256"/>
      <c r="N2" s="256"/>
      <c r="O2" s="256"/>
      <c r="P2" s="256"/>
      <c r="Q2" s="256"/>
      <c r="R2" s="256"/>
    </row>
    <row r="3" spans="1:18" ht="16.5" x14ac:dyDescent="0.3">
      <c r="A3" s="258"/>
      <c r="B3" s="256"/>
      <c r="C3" s="257"/>
      <c r="D3" s="257"/>
      <c r="E3" s="257"/>
      <c r="F3" s="257"/>
      <c r="G3" s="257"/>
      <c r="H3" s="257"/>
      <c r="I3" s="257"/>
      <c r="J3" s="257"/>
      <c r="K3" s="256"/>
      <c r="L3" s="256"/>
      <c r="M3" s="256"/>
      <c r="N3" s="256"/>
      <c r="O3" s="256"/>
      <c r="P3" s="256"/>
      <c r="Q3" s="256"/>
      <c r="R3" s="256"/>
    </row>
    <row r="4" spans="1:18" ht="16.5" x14ac:dyDescent="0.3">
      <c r="A4" s="258"/>
      <c r="B4" s="256"/>
      <c r="C4" s="257"/>
      <c r="D4" s="257"/>
      <c r="E4" s="257"/>
      <c r="F4" s="263"/>
      <c r="G4" s="263"/>
      <c r="H4" s="263"/>
      <c r="I4" s="263"/>
      <c r="J4" s="263"/>
      <c r="K4" s="263"/>
      <c r="L4" s="263"/>
      <c r="M4" s="263"/>
      <c r="N4" s="263"/>
      <c r="O4" s="256"/>
      <c r="P4" s="256"/>
      <c r="Q4" s="256"/>
      <c r="R4" s="256"/>
    </row>
    <row r="5" spans="1:18" ht="16.5" x14ac:dyDescent="0.3">
      <c r="A5" s="256"/>
      <c r="B5" s="256"/>
      <c r="C5" s="257"/>
      <c r="D5" s="257"/>
      <c r="E5" s="257"/>
      <c r="F5" s="257"/>
      <c r="G5" s="257"/>
      <c r="H5" s="257"/>
      <c r="I5" s="257"/>
      <c r="J5" s="257"/>
      <c r="K5" s="256"/>
      <c r="L5" s="256"/>
      <c r="M5" s="256"/>
      <c r="N5" s="256"/>
      <c r="O5" s="256"/>
      <c r="P5" s="256"/>
      <c r="Q5" s="256"/>
      <c r="R5" s="256"/>
    </row>
    <row r="6" spans="1:18" ht="16.5" hidden="1" x14ac:dyDescent="0.3">
      <c r="A6" s="265" t="s">
        <v>361</v>
      </c>
      <c r="B6" s="265" t="s">
        <v>362</v>
      </c>
      <c r="C6" s="266" t="s">
        <v>363</v>
      </c>
      <c r="D6" s="266" t="s">
        <v>364</v>
      </c>
      <c r="E6" s="613" t="s">
        <v>382</v>
      </c>
      <c r="F6" s="613"/>
      <c r="G6" s="613"/>
      <c r="H6" s="613"/>
      <c r="I6" s="613"/>
      <c r="J6" s="613"/>
      <c r="K6" s="613"/>
      <c r="L6" s="613"/>
      <c r="M6" s="613"/>
      <c r="N6" s="613"/>
      <c r="O6" s="256"/>
      <c r="P6" s="256"/>
      <c r="Q6" s="256"/>
      <c r="R6" s="256"/>
    </row>
    <row r="7" spans="1:18" ht="16.5" hidden="1" x14ac:dyDescent="0.3">
      <c r="A7" s="265"/>
      <c r="B7" s="265"/>
      <c r="C7" s="266"/>
      <c r="D7" s="266"/>
      <c r="E7" s="266" t="s">
        <v>383</v>
      </c>
      <c r="F7" s="266" t="s">
        <v>384</v>
      </c>
      <c r="G7" s="266" t="s">
        <v>385</v>
      </c>
      <c r="H7" s="266" t="s">
        <v>386</v>
      </c>
      <c r="I7" s="266" t="s">
        <v>387</v>
      </c>
      <c r="J7" s="266" t="s">
        <v>388</v>
      </c>
      <c r="K7" s="265" t="s">
        <v>389</v>
      </c>
      <c r="L7" s="265" t="s">
        <v>390</v>
      </c>
      <c r="M7" s="265" t="s">
        <v>390</v>
      </c>
      <c r="N7" s="265" t="s">
        <v>391</v>
      </c>
      <c r="O7" s="256"/>
      <c r="P7" s="256"/>
      <c r="Q7" s="256"/>
      <c r="R7" s="256"/>
    </row>
    <row r="8" spans="1:18" ht="16.5" hidden="1" x14ac:dyDescent="0.3">
      <c r="A8" s="267" t="s">
        <v>369</v>
      </c>
      <c r="B8" s="268" t="s">
        <v>370</v>
      </c>
      <c r="C8" s="260">
        <v>100001</v>
      </c>
      <c r="D8" s="269" t="s">
        <v>371</v>
      </c>
      <c r="E8" s="260">
        <v>100001</v>
      </c>
      <c r="F8" s="260">
        <v>0</v>
      </c>
      <c r="G8" s="260"/>
      <c r="H8" s="260"/>
      <c r="I8" s="260"/>
      <c r="J8" s="260"/>
      <c r="K8" s="261">
        <v>0</v>
      </c>
      <c r="L8" s="261">
        <v>0</v>
      </c>
      <c r="M8" s="261">
        <v>0</v>
      </c>
      <c r="N8" s="261">
        <v>100001</v>
      </c>
      <c r="O8" s="256"/>
      <c r="P8" s="256"/>
      <c r="Q8" s="256"/>
      <c r="R8" s="256"/>
    </row>
    <row r="9" spans="1:18" ht="16.5" hidden="1" x14ac:dyDescent="0.3">
      <c r="A9" s="270" t="s">
        <v>369</v>
      </c>
      <c r="B9" s="271" t="s">
        <v>373</v>
      </c>
      <c r="C9" s="272">
        <v>16351000</v>
      </c>
      <c r="D9" s="273" t="s">
        <v>374</v>
      </c>
      <c r="E9" s="272">
        <v>0</v>
      </c>
      <c r="F9" s="272">
        <v>4541944.4000000004</v>
      </c>
      <c r="G9" s="272">
        <v>5450333.2800000012</v>
      </c>
      <c r="H9" s="272">
        <v>5450333.2800000012</v>
      </c>
      <c r="I9" s="272">
        <v>908388.88</v>
      </c>
      <c r="J9" s="272"/>
      <c r="K9" s="262">
        <v>0</v>
      </c>
      <c r="L9" s="262">
        <v>0</v>
      </c>
      <c r="M9" s="262">
        <v>0</v>
      </c>
      <c r="N9" s="262">
        <v>16350999.840000004</v>
      </c>
      <c r="O9" s="256"/>
      <c r="P9" s="256"/>
      <c r="Q9" s="256"/>
      <c r="R9" s="256"/>
    </row>
    <row r="10" spans="1:18" ht="16.5" hidden="1" x14ac:dyDescent="0.3">
      <c r="A10" s="270" t="s">
        <v>369</v>
      </c>
      <c r="B10" s="271" t="s">
        <v>376</v>
      </c>
      <c r="C10" s="272">
        <v>1265237</v>
      </c>
      <c r="D10" s="273" t="s">
        <v>377</v>
      </c>
      <c r="E10" s="272">
        <v>1265237</v>
      </c>
      <c r="F10" s="272">
        <v>0</v>
      </c>
      <c r="G10" s="272"/>
      <c r="H10" s="272"/>
      <c r="I10" s="272"/>
      <c r="J10" s="272"/>
      <c r="K10" s="262">
        <v>0</v>
      </c>
      <c r="L10" s="262">
        <v>0</v>
      </c>
      <c r="M10" s="262">
        <v>0</v>
      </c>
      <c r="N10" s="262">
        <v>1265237</v>
      </c>
      <c r="O10" s="256"/>
      <c r="P10" s="256"/>
      <c r="Q10" s="256"/>
      <c r="R10" s="256"/>
    </row>
    <row r="11" spans="1:18" ht="16.5" hidden="1" x14ac:dyDescent="0.3">
      <c r="A11" s="270" t="s">
        <v>369</v>
      </c>
      <c r="B11" s="271" t="s">
        <v>378</v>
      </c>
      <c r="C11" s="272">
        <v>70005426</v>
      </c>
      <c r="D11" s="273" t="s">
        <v>377</v>
      </c>
      <c r="E11" s="272">
        <v>16151440</v>
      </c>
      <c r="F11" s="272">
        <v>16151440</v>
      </c>
      <c r="G11" s="272">
        <v>16151440</v>
      </c>
      <c r="H11" s="272">
        <v>21551106</v>
      </c>
      <c r="I11" s="272"/>
      <c r="J11" s="272"/>
      <c r="K11" s="262">
        <v>0</v>
      </c>
      <c r="L11" s="262">
        <v>0</v>
      </c>
      <c r="M11" s="262">
        <v>0</v>
      </c>
      <c r="N11" s="262">
        <v>70005426</v>
      </c>
      <c r="O11" s="256"/>
      <c r="P11" s="256"/>
      <c r="Q11" s="256"/>
      <c r="R11" s="256"/>
    </row>
    <row r="12" spans="1:18" ht="16.5" hidden="1" x14ac:dyDescent="0.3">
      <c r="A12" s="270" t="s">
        <v>59</v>
      </c>
      <c r="B12" s="271" t="s">
        <v>379</v>
      </c>
      <c r="C12" s="272">
        <v>214341790</v>
      </c>
      <c r="D12" s="273" t="s">
        <v>380</v>
      </c>
      <c r="E12" s="272">
        <v>14876000</v>
      </c>
      <c r="F12" s="272">
        <v>25764000</v>
      </c>
      <c r="G12" s="272">
        <v>25764000</v>
      </c>
      <c r="H12" s="272">
        <v>25764000</v>
      </c>
      <c r="I12" s="272">
        <v>34352000</v>
      </c>
      <c r="J12" s="272">
        <v>34352000</v>
      </c>
      <c r="K12" s="262">
        <v>34352000</v>
      </c>
      <c r="L12" s="262">
        <v>19117790</v>
      </c>
      <c r="M12" s="262">
        <v>0</v>
      </c>
      <c r="N12" s="262">
        <v>214341790</v>
      </c>
      <c r="O12" s="256"/>
      <c r="P12" s="256"/>
      <c r="Q12" s="256"/>
      <c r="R12" s="256"/>
    </row>
    <row r="13" spans="1:18" ht="16.5" hidden="1" x14ac:dyDescent="0.3">
      <c r="A13" s="302" t="s">
        <v>551</v>
      </c>
      <c r="B13" s="256"/>
      <c r="C13" s="301">
        <f>53.76897*10^5</f>
        <v>5376897</v>
      </c>
      <c r="D13" s="303"/>
      <c r="E13" s="263">
        <f>$C$13/8</f>
        <v>672112.125</v>
      </c>
      <c r="F13" s="263">
        <f t="shared" ref="F13:L13" si="0">$C$13/8</f>
        <v>672112.125</v>
      </c>
      <c r="G13" s="263">
        <f t="shared" si="0"/>
        <v>672112.125</v>
      </c>
      <c r="H13" s="263">
        <f t="shared" si="0"/>
        <v>672112.125</v>
      </c>
      <c r="I13" s="263">
        <f t="shared" si="0"/>
        <v>672112.125</v>
      </c>
      <c r="J13" s="263">
        <f t="shared" si="0"/>
        <v>672112.125</v>
      </c>
      <c r="K13" s="263">
        <f t="shared" si="0"/>
        <v>672112.125</v>
      </c>
      <c r="L13" s="263">
        <f t="shared" si="0"/>
        <v>672112.125</v>
      </c>
      <c r="M13" s="304"/>
      <c r="N13" s="304"/>
      <c r="O13" s="256"/>
      <c r="P13" s="256"/>
      <c r="Q13" s="256"/>
      <c r="R13" s="256"/>
    </row>
    <row r="14" spans="1:18" ht="16.5" hidden="1" x14ac:dyDescent="0.3">
      <c r="A14" s="256"/>
      <c r="B14" s="301"/>
      <c r="C14" s="263">
        <f>SUM(C8:C12)+C13</f>
        <v>307440351</v>
      </c>
      <c r="D14" s="257"/>
      <c r="E14" s="263">
        <f>SUM(E8:E13)</f>
        <v>33064790.125</v>
      </c>
      <c r="F14" s="263">
        <f t="shared" ref="F14:M14" si="1">SUM(F8:F13)</f>
        <v>47129496.524999999</v>
      </c>
      <c r="G14" s="263">
        <f t="shared" si="1"/>
        <v>48037885.405000001</v>
      </c>
      <c r="H14" s="263">
        <f t="shared" si="1"/>
        <v>53437551.405000001</v>
      </c>
      <c r="I14" s="263">
        <f t="shared" si="1"/>
        <v>35932501.005000003</v>
      </c>
      <c r="J14" s="263">
        <f t="shared" si="1"/>
        <v>35024112.125</v>
      </c>
      <c r="K14" s="263">
        <f t="shared" si="1"/>
        <v>35024112.125</v>
      </c>
      <c r="L14" s="263">
        <f t="shared" si="1"/>
        <v>19789902.125</v>
      </c>
      <c r="M14" s="263">
        <f t="shared" si="1"/>
        <v>0</v>
      </c>
      <c r="N14" s="256"/>
      <c r="O14" s="256"/>
      <c r="P14" s="256"/>
      <c r="Q14" s="256"/>
      <c r="R14" s="256"/>
    </row>
    <row r="15" spans="1:18" ht="16.5" x14ac:dyDescent="0.3">
      <c r="A15" s="256" t="s">
        <v>381</v>
      </c>
      <c r="B15" s="256"/>
      <c r="C15" s="257"/>
      <c r="D15" s="257"/>
      <c r="E15" s="257"/>
      <c r="F15" s="257"/>
      <c r="G15" s="257"/>
      <c r="H15" s="257"/>
      <c r="I15" s="257"/>
      <c r="J15" s="257"/>
      <c r="K15" s="256"/>
      <c r="L15" s="256"/>
      <c r="M15" s="256"/>
      <c r="N15" s="256"/>
      <c r="O15" s="256"/>
      <c r="P15" s="256"/>
      <c r="Q15" s="256"/>
      <c r="R15" s="256"/>
    </row>
    <row r="16" spans="1:18" ht="16.5" x14ac:dyDescent="0.3">
      <c r="A16" s="265" t="s">
        <v>361</v>
      </c>
      <c r="B16" s="265" t="s">
        <v>362</v>
      </c>
      <c r="C16" s="266"/>
      <c r="D16" s="266"/>
      <c r="E16" s="613" t="s">
        <v>392</v>
      </c>
      <c r="F16" s="613"/>
      <c r="G16" s="613"/>
      <c r="H16" s="613"/>
      <c r="I16" s="613"/>
      <c r="J16" s="613"/>
      <c r="K16" s="613"/>
      <c r="L16" s="613"/>
      <c r="M16" s="613"/>
      <c r="N16" s="613"/>
      <c r="O16" s="256"/>
      <c r="P16" s="256"/>
      <c r="Q16" s="256"/>
      <c r="R16" s="256"/>
    </row>
    <row r="17" spans="1:18" ht="16.5" x14ac:dyDescent="0.3">
      <c r="A17" s="265"/>
      <c r="B17" s="265"/>
      <c r="C17" s="266"/>
      <c r="D17" s="266"/>
      <c r="E17" s="266" t="s">
        <v>383</v>
      </c>
      <c r="F17" s="266" t="s">
        <v>384</v>
      </c>
      <c r="G17" s="266" t="s">
        <v>385</v>
      </c>
      <c r="H17" s="266" t="s">
        <v>386</v>
      </c>
      <c r="I17" s="266" t="s">
        <v>387</v>
      </c>
      <c r="J17" s="266" t="s">
        <v>388</v>
      </c>
      <c r="K17" s="265" t="s">
        <v>389</v>
      </c>
      <c r="L17" s="265" t="s">
        <v>390</v>
      </c>
      <c r="M17" s="265" t="s">
        <v>390</v>
      </c>
      <c r="N17" s="265" t="s">
        <v>391</v>
      </c>
      <c r="O17" s="256"/>
      <c r="P17" s="256"/>
      <c r="Q17" s="256"/>
      <c r="R17" s="256"/>
    </row>
    <row r="18" spans="1:18" ht="16.5" x14ac:dyDescent="0.3">
      <c r="A18" s="267" t="s">
        <v>369</v>
      </c>
      <c r="B18" s="268" t="s">
        <v>370</v>
      </c>
      <c r="C18" s="260"/>
      <c r="D18" s="269"/>
      <c r="E18" s="260">
        <v>760.28157534246577</v>
      </c>
      <c r="F18" s="260"/>
      <c r="G18" s="260"/>
      <c r="H18" s="260"/>
      <c r="I18" s="260"/>
      <c r="J18" s="260">
        <v>0</v>
      </c>
      <c r="K18" s="261">
        <v>0</v>
      </c>
      <c r="L18" s="261">
        <v>0</v>
      </c>
      <c r="M18" s="261">
        <v>0</v>
      </c>
      <c r="N18" s="261">
        <v>760.28157534246577</v>
      </c>
      <c r="O18" s="256"/>
      <c r="P18" s="256"/>
      <c r="Q18" s="256"/>
      <c r="R18" s="256"/>
    </row>
    <row r="19" spans="1:18" ht="16.5" x14ac:dyDescent="0.3">
      <c r="A19" s="270" t="s">
        <v>369</v>
      </c>
      <c r="B19" s="271" t="s">
        <v>373</v>
      </c>
      <c r="C19" s="272"/>
      <c r="D19" s="273"/>
      <c r="E19" s="272">
        <v>1660500.0465753425</v>
      </c>
      <c r="F19" s="272">
        <v>1480147.5227569318</v>
      </c>
      <c r="G19" s="272">
        <v>941100.85078663076</v>
      </c>
      <c r="H19" s="272">
        <v>390617.1895066307</v>
      </c>
      <c r="I19" s="272">
        <v>11436.992010411052</v>
      </c>
      <c r="J19" s="272">
        <v>0</v>
      </c>
      <c r="K19" s="262">
        <v>0</v>
      </c>
      <c r="L19" s="262">
        <v>0</v>
      </c>
      <c r="M19" s="262">
        <v>0</v>
      </c>
      <c r="N19" s="262">
        <v>4483802.6016359469</v>
      </c>
      <c r="O19" s="256"/>
      <c r="P19" s="256"/>
      <c r="Q19" s="256"/>
      <c r="R19" s="256"/>
    </row>
    <row r="20" spans="1:18" ht="16.5" x14ac:dyDescent="0.3">
      <c r="A20" s="270" t="s">
        <v>369</v>
      </c>
      <c r="B20" s="271" t="s">
        <v>376</v>
      </c>
      <c r="C20" s="272"/>
      <c r="D20" s="273"/>
      <c r="E20" s="272">
        <v>26649.704263013697</v>
      </c>
      <c r="F20" s="272"/>
      <c r="G20" s="272"/>
      <c r="H20" s="272"/>
      <c r="I20" s="272"/>
      <c r="J20" s="272"/>
      <c r="K20" s="262"/>
      <c r="L20" s="262"/>
      <c r="M20" s="262"/>
      <c r="N20" s="262">
        <v>26649.704263013697</v>
      </c>
      <c r="O20" s="256"/>
      <c r="P20" s="256"/>
      <c r="Q20" s="256"/>
      <c r="R20" s="256"/>
    </row>
    <row r="21" spans="1:18" ht="16.5" x14ac:dyDescent="0.3">
      <c r="A21" s="270" t="s">
        <v>369</v>
      </c>
      <c r="B21" s="271" t="s">
        <v>378</v>
      </c>
      <c r="C21" s="272"/>
      <c r="D21" s="273"/>
      <c r="E21" s="272">
        <v>7951355.8800657541</v>
      </c>
      <c r="F21" s="272">
        <v>5928909.9532054802</v>
      </c>
      <c r="G21" s="272">
        <v>3926131.3932054797</v>
      </c>
      <c r="H21" s="272">
        <v>1575558.3126575341</v>
      </c>
      <c r="I21" s="272"/>
      <c r="J21" s="272"/>
      <c r="K21" s="262"/>
      <c r="L21" s="262"/>
      <c r="M21" s="262"/>
      <c r="N21" s="262">
        <v>19381955.539134249</v>
      </c>
      <c r="O21" s="256"/>
      <c r="P21" s="256"/>
      <c r="Q21" s="256"/>
      <c r="R21" s="256"/>
    </row>
    <row r="22" spans="1:18" ht="16.5" x14ac:dyDescent="0.3">
      <c r="A22" s="270" t="s">
        <v>59</v>
      </c>
      <c r="B22" s="271" t="s">
        <v>379</v>
      </c>
      <c r="C22" s="272"/>
      <c r="D22" s="264"/>
      <c r="E22" s="272">
        <v>21125427.420739725</v>
      </c>
      <c r="F22" s="272">
        <v>19077991.366232872</v>
      </c>
      <c r="G22" s="272">
        <v>16488709.366232878</v>
      </c>
      <c r="H22" s="272">
        <v>13899427.366232876</v>
      </c>
      <c r="I22" s="272">
        <v>11013917.565945202</v>
      </c>
      <c r="J22" s="272">
        <v>7534995.8566438351</v>
      </c>
      <c r="K22" s="262">
        <v>4082619.8566438351</v>
      </c>
      <c r="L22" s="262">
        <v>745753.93639726029</v>
      </c>
      <c r="M22" s="262"/>
      <c r="N22" s="262">
        <v>93968842.7350685</v>
      </c>
      <c r="O22" s="256"/>
      <c r="P22" s="256"/>
      <c r="Q22" s="256"/>
      <c r="R22" s="256"/>
    </row>
    <row r="23" spans="1:18" ht="16.5" x14ac:dyDescent="0.3">
      <c r="A23" s="256"/>
      <c r="B23" s="256"/>
      <c r="C23" s="257"/>
      <c r="D23" s="257"/>
      <c r="E23" s="263">
        <f>SUM(E18:E22)</f>
        <v>30764693.333219178</v>
      </c>
      <c r="F23" s="263">
        <f t="shared" ref="F23:M23" si="2">SUM(F18:F22)</f>
        <v>26487048.842195284</v>
      </c>
      <c r="G23" s="263">
        <f t="shared" si="2"/>
        <v>21355941.610224988</v>
      </c>
      <c r="H23" s="263">
        <f t="shared" si="2"/>
        <v>15865602.86839704</v>
      </c>
      <c r="I23" s="263">
        <f t="shared" si="2"/>
        <v>11025354.557955613</v>
      </c>
      <c r="J23" s="263">
        <f t="shared" si="2"/>
        <v>7534995.8566438351</v>
      </c>
      <c r="K23" s="263">
        <f t="shared" si="2"/>
        <v>4082619.8566438351</v>
      </c>
      <c r="L23" s="263">
        <f t="shared" si="2"/>
        <v>745753.93639726029</v>
      </c>
      <c r="M23" s="263">
        <f t="shared" si="2"/>
        <v>0</v>
      </c>
      <c r="N23" s="256"/>
      <c r="O23" s="256"/>
      <c r="P23" s="256"/>
      <c r="Q23" s="256"/>
      <c r="R23" s="256"/>
    </row>
    <row r="24" spans="1:18" ht="16.5" x14ac:dyDescent="0.3">
      <c r="A24" s="256"/>
      <c r="B24" s="256"/>
      <c r="C24" s="257"/>
      <c r="D24" s="257"/>
      <c r="E24" s="257"/>
      <c r="F24" s="257"/>
      <c r="G24" s="257"/>
      <c r="H24" s="257"/>
      <c r="I24" s="257"/>
      <c r="J24" s="257"/>
      <c r="K24" s="256"/>
      <c r="L24" s="256"/>
      <c r="M24" s="256"/>
      <c r="N24" s="256"/>
      <c r="O24" s="256"/>
      <c r="P24" s="256"/>
      <c r="Q24" s="256"/>
      <c r="R24" s="256"/>
    </row>
    <row r="25" spans="1:18" ht="16.5" x14ac:dyDescent="0.3">
      <c r="A25" s="256"/>
      <c r="B25" s="256"/>
      <c r="C25" s="257"/>
      <c r="D25" s="257"/>
      <c r="E25" s="257"/>
      <c r="F25" s="257"/>
      <c r="G25" s="257"/>
      <c r="H25" s="257"/>
      <c r="I25" s="257"/>
      <c r="J25" s="257"/>
      <c r="K25" s="256"/>
      <c r="L25" s="256"/>
      <c r="M25" s="256"/>
      <c r="N25" s="256"/>
      <c r="O25" s="256"/>
      <c r="P25" s="256"/>
      <c r="Q25" s="256"/>
      <c r="R25" s="256"/>
    </row>
    <row r="26" spans="1:18" s="236" customFormat="1" ht="16.5" x14ac:dyDescent="0.3">
      <c r="A26" s="305" t="s">
        <v>361</v>
      </c>
      <c r="B26" s="305" t="s">
        <v>362</v>
      </c>
      <c r="C26" s="306" t="s">
        <v>552</v>
      </c>
      <c r="D26" s="306" t="s">
        <v>364</v>
      </c>
      <c r="E26" s="306"/>
      <c r="F26" s="614" t="s">
        <v>382</v>
      </c>
      <c r="G26" s="614"/>
      <c r="H26" s="614"/>
      <c r="I26" s="614"/>
      <c r="J26" s="614"/>
      <c r="K26" s="614"/>
      <c r="L26" s="614"/>
      <c r="M26" s="614"/>
      <c r="N26" s="614"/>
      <c r="O26" s="614"/>
      <c r="P26" s="259"/>
      <c r="Q26" s="271"/>
      <c r="R26" s="271"/>
    </row>
    <row r="27" spans="1:18" s="236" customFormat="1" ht="16.5" x14ac:dyDescent="0.3">
      <c r="A27" s="305"/>
      <c r="B27" s="305"/>
      <c r="C27" s="306"/>
      <c r="D27" s="306"/>
      <c r="E27" s="306"/>
      <c r="F27" s="306" t="s">
        <v>383</v>
      </c>
      <c r="G27" s="306" t="s">
        <v>384</v>
      </c>
      <c r="H27" s="306" t="s">
        <v>385</v>
      </c>
      <c r="I27" s="306" t="s">
        <v>386</v>
      </c>
      <c r="J27" s="306" t="s">
        <v>387</v>
      </c>
      <c r="K27" s="305" t="s">
        <v>388</v>
      </c>
      <c r="L27" s="305" t="s">
        <v>389</v>
      </c>
      <c r="M27" s="305" t="s">
        <v>390</v>
      </c>
      <c r="N27" s="305" t="s">
        <v>615</v>
      </c>
      <c r="O27" s="305" t="s">
        <v>391</v>
      </c>
      <c r="P27" s="259"/>
      <c r="Q27" s="271"/>
      <c r="R27" s="271"/>
    </row>
    <row r="28" spans="1:18" s="236" customFormat="1" ht="16.5" x14ac:dyDescent="0.3">
      <c r="A28" s="267" t="s">
        <v>369</v>
      </c>
      <c r="B28" s="268" t="s">
        <v>370</v>
      </c>
      <c r="C28" s="260">
        <v>100000</v>
      </c>
      <c r="D28" s="269" t="s">
        <v>371</v>
      </c>
      <c r="E28" s="260">
        <v>100000</v>
      </c>
      <c r="F28" s="260">
        <v>100000</v>
      </c>
      <c r="G28" s="260">
        <v>0</v>
      </c>
      <c r="H28" s="260"/>
      <c r="I28" s="260"/>
      <c r="J28" s="260"/>
      <c r="K28" s="261"/>
      <c r="L28" s="261">
        <v>0</v>
      </c>
      <c r="M28" s="261">
        <v>0</v>
      </c>
      <c r="N28" s="261">
        <v>0</v>
      </c>
      <c r="O28" s="261">
        <v>100000</v>
      </c>
      <c r="P28" s="271"/>
      <c r="Q28" s="271"/>
      <c r="R28" s="271"/>
    </row>
    <row r="29" spans="1:18" s="236" customFormat="1" ht="16.5" x14ac:dyDescent="0.3">
      <c r="A29" s="270" t="s">
        <v>369</v>
      </c>
      <c r="B29" s="271" t="s">
        <v>373</v>
      </c>
      <c r="C29" s="272">
        <v>16351000</v>
      </c>
      <c r="D29" s="273" t="s">
        <v>374</v>
      </c>
      <c r="E29" s="272">
        <v>16350999.840000004</v>
      </c>
      <c r="F29" s="272">
        <v>0</v>
      </c>
      <c r="G29" s="272">
        <v>4541944.4000000004</v>
      </c>
      <c r="H29" s="272">
        <v>5450333.2800000012</v>
      </c>
      <c r="I29" s="272">
        <v>5450333.2800000012</v>
      </c>
      <c r="J29" s="272">
        <v>908388.88</v>
      </c>
      <c r="K29" s="262"/>
      <c r="L29" s="262">
        <v>0</v>
      </c>
      <c r="M29" s="262">
        <v>0</v>
      </c>
      <c r="N29" s="262">
        <v>0</v>
      </c>
      <c r="O29" s="262">
        <v>16350999.840000004</v>
      </c>
      <c r="P29" s="271"/>
      <c r="Q29" s="271"/>
      <c r="R29" s="271"/>
    </row>
    <row r="30" spans="1:18" s="236" customFormat="1" ht="16.5" x14ac:dyDescent="0.3">
      <c r="A30" s="270" t="s">
        <v>369</v>
      </c>
      <c r="B30" s="271" t="s">
        <v>376</v>
      </c>
      <c r="C30" s="272">
        <v>1265237.1100000001</v>
      </c>
      <c r="D30" s="273" t="s">
        <v>377</v>
      </c>
      <c r="E30" s="272">
        <v>1265237</v>
      </c>
      <c r="F30" s="272">
        <v>1265237</v>
      </c>
      <c r="G30" s="272">
        <v>0</v>
      </c>
      <c r="H30" s="272"/>
      <c r="I30" s="272"/>
      <c r="J30" s="272"/>
      <c r="K30" s="262"/>
      <c r="L30" s="262">
        <v>0</v>
      </c>
      <c r="M30" s="262">
        <v>0</v>
      </c>
      <c r="N30" s="262">
        <v>0</v>
      </c>
      <c r="O30" s="262">
        <v>1265237</v>
      </c>
      <c r="P30" s="271"/>
      <c r="Q30" s="271"/>
      <c r="R30" s="271"/>
    </row>
    <row r="31" spans="1:18" s="236" customFormat="1" ht="16.5" x14ac:dyDescent="0.3">
      <c r="A31" s="270" t="s">
        <v>369</v>
      </c>
      <c r="B31" s="271" t="s">
        <v>378</v>
      </c>
      <c r="C31" s="272">
        <v>63430114.399999999</v>
      </c>
      <c r="D31" s="273" t="s">
        <v>377</v>
      </c>
      <c r="E31" s="272">
        <v>63430114</v>
      </c>
      <c r="F31" s="272">
        <v>9576128</v>
      </c>
      <c r="G31" s="272">
        <v>16151440</v>
      </c>
      <c r="H31" s="272">
        <v>16151440</v>
      </c>
      <c r="I31" s="272">
        <v>21551106</v>
      </c>
      <c r="J31" s="272"/>
      <c r="K31" s="262"/>
      <c r="L31" s="262">
        <v>0</v>
      </c>
      <c r="M31" s="262">
        <v>0</v>
      </c>
      <c r="N31" s="262">
        <v>0</v>
      </c>
      <c r="O31" s="262">
        <v>63430114</v>
      </c>
      <c r="P31" s="271"/>
      <c r="Q31" s="271"/>
      <c r="R31" s="271"/>
    </row>
    <row r="32" spans="1:18" s="236" customFormat="1" ht="16.5" x14ac:dyDescent="0.3">
      <c r="A32" s="270" t="s">
        <v>59</v>
      </c>
      <c r="B32" s="271" t="s">
        <v>379</v>
      </c>
      <c r="C32" s="272">
        <v>211860000</v>
      </c>
      <c r="D32" s="273" t="s">
        <v>380</v>
      </c>
      <c r="E32" s="272">
        <v>211860000</v>
      </c>
      <c r="F32" s="272">
        <v>12394210</v>
      </c>
      <c r="G32" s="272">
        <v>25764000</v>
      </c>
      <c r="H32" s="272">
        <v>25764000</v>
      </c>
      <c r="I32" s="272">
        <v>25764000</v>
      </c>
      <c r="J32" s="272">
        <v>34352000</v>
      </c>
      <c r="K32" s="262">
        <v>34352000</v>
      </c>
      <c r="L32" s="262">
        <v>34352000</v>
      </c>
      <c r="M32" s="262">
        <v>19117790</v>
      </c>
      <c r="N32" s="262">
        <v>0</v>
      </c>
      <c r="O32" s="262">
        <v>211860000</v>
      </c>
      <c r="P32" s="271"/>
      <c r="Q32" s="271"/>
      <c r="R32" s="271"/>
    </row>
    <row r="33" spans="1:18" s="236" customFormat="1" ht="16.5" x14ac:dyDescent="0.3">
      <c r="A33" s="270"/>
      <c r="B33" s="271"/>
      <c r="C33" s="272"/>
      <c r="D33" s="273"/>
      <c r="E33" s="272"/>
      <c r="F33" s="272"/>
      <c r="G33" s="272"/>
      <c r="H33" s="272"/>
      <c r="I33" s="272"/>
      <c r="J33" s="272"/>
      <c r="K33" s="262"/>
      <c r="L33" s="262"/>
      <c r="M33" s="262"/>
      <c r="N33" s="262"/>
      <c r="O33" s="262"/>
      <c r="P33" s="271"/>
      <c r="Q33" s="271"/>
      <c r="R33" s="271"/>
    </row>
    <row r="34" spans="1:18" s="236" customFormat="1" ht="16.5" x14ac:dyDescent="0.3">
      <c r="A34" s="271"/>
      <c r="B34" s="271"/>
      <c r="C34" s="272">
        <v>293006351.50999999</v>
      </c>
      <c r="D34" s="264"/>
      <c r="E34" s="272" t="s">
        <v>406</v>
      </c>
      <c r="F34" s="272">
        <v>23335575</v>
      </c>
      <c r="G34" s="272">
        <v>46457384.399999999</v>
      </c>
      <c r="H34" s="272">
        <v>47365773.280000001</v>
      </c>
      <c r="I34" s="272">
        <v>52765439.280000001</v>
      </c>
      <c r="J34" s="272">
        <v>35260388.880000003</v>
      </c>
      <c r="K34" s="262">
        <v>34352000</v>
      </c>
      <c r="L34" s="262">
        <v>34352000</v>
      </c>
      <c r="M34" s="262">
        <v>19117790</v>
      </c>
      <c r="N34" s="271"/>
      <c r="O34" s="262">
        <f>SUM(F34:N34)</f>
        <v>293006350.84000003</v>
      </c>
      <c r="P34" s="271"/>
      <c r="Q34" s="271"/>
      <c r="R34" s="271"/>
    </row>
    <row r="35" spans="1:18" s="236" customFormat="1" ht="16.5" x14ac:dyDescent="0.3">
      <c r="A35" s="271"/>
      <c r="B35" s="271" t="s">
        <v>553</v>
      </c>
      <c r="C35" s="272">
        <v>5376897</v>
      </c>
      <c r="D35" s="264"/>
      <c r="E35" s="272" t="s">
        <v>406</v>
      </c>
      <c r="F35" s="386">
        <v>768128.14285714284</v>
      </c>
      <c r="G35" s="386">
        <v>768128.14285714284</v>
      </c>
      <c r="H35" s="386">
        <v>768128.14285714284</v>
      </c>
      <c r="I35" s="386">
        <v>768128.14285714284</v>
      </c>
      <c r="J35" s="386">
        <v>768128.14285714284</v>
      </c>
      <c r="K35" s="387">
        <v>768128.14285714284</v>
      </c>
      <c r="L35" s="387">
        <v>768128.14285714284</v>
      </c>
      <c r="M35" s="262"/>
      <c r="N35" s="271"/>
      <c r="O35" s="262">
        <f>SUM(F35:N35)</f>
        <v>5376897</v>
      </c>
      <c r="P35" s="271"/>
      <c r="Q35" s="271"/>
      <c r="R35" s="271"/>
    </row>
    <row r="36" spans="1:18" s="236" customFormat="1" ht="16.5" x14ac:dyDescent="0.3">
      <c r="A36" s="271"/>
      <c r="B36" s="271" t="s">
        <v>554</v>
      </c>
      <c r="C36" s="272">
        <v>298383248.50999999</v>
      </c>
      <c r="D36" s="264"/>
      <c r="E36" s="272"/>
      <c r="F36" s="388">
        <v>24103703.142857142</v>
      </c>
      <c r="G36" s="388">
        <v>47225512.54285714</v>
      </c>
      <c r="H36" s="388">
        <v>48133901.422857143</v>
      </c>
      <c r="I36" s="526">
        <v>53533567.422857143</v>
      </c>
      <c r="J36" s="388">
        <v>36028517.022857144</v>
      </c>
      <c r="K36" s="389">
        <v>35120128.142857142</v>
      </c>
      <c r="L36" s="389">
        <v>35120128.142857142</v>
      </c>
      <c r="M36" s="389">
        <v>19117790</v>
      </c>
      <c r="N36" s="271"/>
      <c r="O36" s="271"/>
      <c r="P36" s="271"/>
      <c r="Q36" s="271"/>
      <c r="R36" s="271"/>
    </row>
    <row r="37" spans="1:18" ht="16.5" x14ac:dyDescent="0.3">
      <c r="A37" s="256"/>
      <c r="B37" s="256" t="s">
        <v>433</v>
      </c>
      <c r="C37" s="257"/>
      <c r="D37" s="257"/>
      <c r="E37" s="257"/>
      <c r="F37" s="263">
        <f>C36-F36</f>
        <v>274279545.36714286</v>
      </c>
      <c r="G37" s="263">
        <f>F37-G36</f>
        <v>227054032.82428572</v>
      </c>
      <c r="H37" s="263">
        <f t="shared" ref="H37:N37" si="3">G37-H36</f>
        <v>178920131.40142858</v>
      </c>
      <c r="I37" s="263">
        <f t="shared" si="3"/>
        <v>125386563.97857144</v>
      </c>
      <c r="J37" s="263">
        <f t="shared" si="3"/>
        <v>89358046.9557143</v>
      </c>
      <c r="K37" s="263">
        <f t="shared" si="3"/>
        <v>54237918.812857158</v>
      </c>
      <c r="L37" s="263">
        <f t="shared" si="3"/>
        <v>19117790.670000017</v>
      </c>
      <c r="M37" s="263">
        <f t="shared" si="3"/>
        <v>0.67000001668930054</v>
      </c>
      <c r="N37" s="263">
        <f t="shared" si="3"/>
        <v>0.67000001668930054</v>
      </c>
      <c r="O37" s="256"/>
      <c r="P37" s="256"/>
      <c r="Q37" s="256"/>
      <c r="R37" s="256"/>
    </row>
    <row r="38" spans="1:18" ht="16.5" x14ac:dyDescent="0.3">
      <c r="A38" s="256"/>
      <c r="B38" s="256"/>
      <c r="C38" s="257"/>
      <c r="D38" s="257"/>
      <c r="E38" s="257"/>
      <c r="F38" s="257"/>
      <c r="G38" s="257"/>
      <c r="H38" s="504">
        <f>H36/10^5</f>
        <v>481.33901422857144</v>
      </c>
      <c r="I38" s="505">
        <f>I36/10^5</f>
        <v>535.33567422857141</v>
      </c>
      <c r="J38" s="274"/>
      <c r="K38" s="256"/>
      <c r="L38" s="256"/>
      <c r="M38" s="256"/>
      <c r="N38" s="256"/>
      <c r="O38" s="256"/>
      <c r="P38" s="256"/>
      <c r="Q38" s="256"/>
      <c r="R38" s="256"/>
    </row>
    <row r="39" spans="1:18" ht="16.5" x14ac:dyDescent="0.3">
      <c r="A39" s="256"/>
      <c r="B39" s="256"/>
      <c r="C39" s="257"/>
      <c r="D39" s="257"/>
      <c r="E39" s="257"/>
      <c r="F39" s="257"/>
      <c r="G39" s="257"/>
      <c r="H39" s="509">
        <f>Debt!F38</f>
        <v>120</v>
      </c>
      <c r="I39" s="507">
        <f>Debt!G38</f>
        <v>150</v>
      </c>
      <c r="J39" s="277"/>
      <c r="K39" s="256"/>
      <c r="L39" s="256"/>
      <c r="M39" s="256"/>
      <c r="N39" s="256"/>
      <c r="O39" s="256"/>
      <c r="P39" s="256"/>
      <c r="Q39" s="256"/>
      <c r="R39" s="256"/>
    </row>
    <row r="40" spans="1:18" x14ac:dyDescent="0.35">
      <c r="A40" s="256"/>
      <c r="B40" s="256"/>
      <c r="C40" s="257"/>
      <c r="D40" s="257"/>
      <c r="E40" s="257"/>
      <c r="F40" s="257"/>
      <c r="G40" s="257"/>
      <c r="H40" s="506">
        <f>H38+H39</f>
        <v>601.33901422857139</v>
      </c>
      <c r="I40" s="508">
        <f>I38+I39</f>
        <v>685.33567422857141</v>
      </c>
      <c r="J40" s="277"/>
      <c r="K40" s="256"/>
      <c r="L40" s="256"/>
      <c r="M40" s="256"/>
      <c r="N40" s="256"/>
      <c r="O40" s="256"/>
      <c r="P40" s="256"/>
      <c r="Q40" s="256"/>
      <c r="R40" s="256"/>
    </row>
    <row r="41" spans="1:18" x14ac:dyDescent="0.35">
      <c r="A41" s="256"/>
      <c r="B41" s="256"/>
      <c r="C41" s="257"/>
      <c r="D41" s="257"/>
      <c r="E41" s="257"/>
      <c r="F41" s="257"/>
      <c r="G41" s="257"/>
      <c r="H41" s="275"/>
      <c r="I41" s="276"/>
      <c r="J41" s="277"/>
      <c r="K41" s="256"/>
      <c r="L41" s="256"/>
      <c r="M41" s="256"/>
      <c r="N41" s="256"/>
      <c r="O41" s="256"/>
      <c r="P41" s="256"/>
      <c r="Q41" s="256"/>
      <c r="R41" s="256"/>
    </row>
    <row r="42" spans="1:18" x14ac:dyDescent="0.35">
      <c r="A42" s="256"/>
      <c r="B42" s="256"/>
      <c r="C42" s="257"/>
      <c r="D42" s="257"/>
      <c r="E42" s="257"/>
      <c r="F42" s="257"/>
      <c r="G42" s="257"/>
      <c r="H42" s="257"/>
      <c r="I42" s="257"/>
      <c r="J42" s="257"/>
      <c r="K42" s="256"/>
      <c r="L42" s="256"/>
      <c r="M42" s="256"/>
      <c r="N42" s="256"/>
      <c r="O42" s="256"/>
      <c r="P42" s="256"/>
      <c r="Q42" s="256"/>
      <c r="R42" s="256"/>
    </row>
    <row r="43" spans="1:18" x14ac:dyDescent="0.35">
      <c r="A43" s="256"/>
      <c r="B43" s="256"/>
      <c r="C43" s="257"/>
      <c r="D43" s="257"/>
      <c r="E43" s="257"/>
      <c r="F43" s="257"/>
      <c r="G43" s="257"/>
      <c r="H43" s="257"/>
      <c r="I43" s="257"/>
      <c r="J43" s="257"/>
      <c r="K43" s="256"/>
      <c r="L43" s="256"/>
      <c r="M43" s="256"/>
      <c r="N43" s="256"/>
      <c r="O43" s="256" t="s">
        <v>616</v>
      </c>
      <c r="P43" s="256"/>
      <c r="Q43" s="256"/>
      <c r="R43" s="256"/>
    </row>
    <row r="44" spans="1:18" x14ac:dyDescent="0.35">
      <c r="A44" s="256" t="s">
        <v>608</v>
      </c>
      <c r="B44" s="256"/>
      <c r="C44" s="257"/>
      <c r="D44" s="257"/>
      <c r="E44" s="410">
        <f t="shared" ref="E44:N44" si="4">F36/10^5</f>
        <v>241.03703142857142</v>
      </c>
      <c r="F44" s="410">
        <f t="shared" si="4"/>
        <v>472.25512542857138</v>
      </c>
      <c r="G44" s="410">
        <f t="shared" si="4"/>
        <v>481.33901422857144</v>
      </c>
      <c r="H44" s="410">
        <f t="shared" si="4"/>
        <v>535.33567422857141</v>
      </c>
      <c r="I44" s="410">
        <f t="shared" si="4"/>
        <v>360.28517022857142</v>
      </c>
      <c r="J44" s="410">
        <f t="shared" si="4"/>
        <v>351.20128142857141</v>
      </c>
      <c r="K44" s="410">
        <f t="shared" si="4"/>
        <v>351.20128142857141</v>
      </c>
      <c r="L44" s="410">
        <f t="shared" si="4"/>
        <v>191.17789999999999</v>
      </c>
      <c r="M44" s="410">
        <f t="shared" si="4"/>
        <v>0</v>
      </c>
      <c r="N44" s="410">
        <f t="shared" si="4"/>
        <v>0</v>
      </c>
      <c r="P44" s="256"/>
      <c r="Q44" s="256"/>
      <c r="R44" s="256"/>
    </row>
    <row r="45" spans="1:18" x14ac:dyDescent="0.35">
      <c r="A45" s="256" t="s">
        <v>609</v>
      </c>
      <c r="B45" s="256"/>
      <c r="C45" s="257"/>
      <c r="D45" s="257"/>
      <c r="E45" s="410">
        <f>+Debt!D38</f>
        <v>0</v>
      </c>
      <c r="F45" s="410">
        <f>+Debt!E38</f>
        <v>30</v>
      </c>
      <c r="G45" s="410">
        <f>+Debt!F38</f>
        <v>120</v>
      </c>
      <c r="H45" s="410">
        <f>+Debt!G38</f>
        <v>150</v>
      </c>
      <c r="I45" s="410">
        <f>+Debt!H38</f>
        <v>180</v>
      </c>
      <c r="J45" s="410">
        <f>+Debt!I38</f>
        <v>180</v>
      </c>
      <c r="K45" s="410">
        <f>+Debt!J38</f>
        <v>240</v>
      </c>
      <c r="L45" s="410">
        <f>+Debt!K38</f>
        <v>40</v>
      </c>
      <c r="M45" s="410">
        <f>+Debt!L38</f>
        <v>0</v>
      </c>
      <c r="N45" s="410">
        <f>+Debt!M38</f>
        <v>0</v>
      </c>
      <c r="P45" s="256"/>
      <c r="Q45" s="256"/>
      <c r="R45" s="256"/>
    </row>
    <row r="46" spans="1:18" x14ac:dyDescent="0.35">
      <c r="A46" s="256" t="s">
        <v>636</v>
      </c>
      <c r="B46" s="256"/>
      <c r="C46" s="257"/>
      <c r="D46" s="257"/>
      <c r="E46" s="410">
        <f>SUM('[2]Cash Flow'!$B$16:$F$16)/10^5</f>
        <v>44.642857142857146</v>
      </c>
      <c r="F46" s="410">
        <f>'[2]Cash Flow'!$G$16/10^5</f>
        <v>107.14285714285717</v>
      </c>
      <c r="G46" s="410">
        <f>'[2]Cash Flow'!$H$16/10^5</f>
        <v>107.14285714285717</v>
      </c>
      <c r="H46" s="410">
        <f>'[2]Cash Flow'!$I$16/10^5</f>
        <v>107.14285714285717</v>
      </c>
      <c r="I46" s="410">
        <f>'[2]Cash Flow'!$J$16/10^5</f>
        <v>107.14285714285717</v>
      </c>
      <c r="J46" s="410">
        <f>'[2]Cash Flow'!$K$16/10^5</f>
        <v>107.14285714285717</v>
      </c>
      <c r="K46" s="410">
        <f>'[2]Cash Flow'!$M$16/10^5</f>
        <v>0</v>
      </c>
      <c r="L46" s="410" t="e">
        <f>'[2]Cash Flow'!#REF!/10^5</f>
        <v>#REF!</v>
      </c>
      <c r="M46" s="410"/>
      <c r="N46" s="410"/>
      <c r="P46" s="256"/>
      <c r="Q46" s="256"/>
      <c r="R46" s="256"/>
    </row>
    <row r="47" spans="1:18" x14ac:dyDescent="0.35">
      <c r="A47" s="256" t="s">
        <v>610</v>
      </c>
      <c r="B47" s="256"/>
      <c r="C47" s="257"/>
      <c r="D47" s="257"/>
      <c r="E47" s="410">
        <f>SUM(E44:E46)</f>
        <v>285.67988857142859</v>
      </c>
      <c r="F47" s="410">
        <f t="shared" ref="F47:K47" si="5">SUM(F44:F46)</f>
        <v>609.39798257142854</v>
      </c>
      <c r="G47" s="410">
        <f t="shared" si="5"/>
        <v>708.4818713714285</v>
      </c>
      <c r="H47" s="410">
        <f t="shared" si="5"/>
        <v>792.47853137142852</v>
      </c>
      <c r="I47" s="410">
        <f t="shared" si="5"/>
        <v>647.42802737142847</v>
      </c>
      <c r="J47" s="410">
        <f t="shared" si="5"/>
        <v>638.34413857142863</v>
      </c>
      <c r="K47" s="410">
        <f t="shared" si="5"/>
        <v>591.20128142857141</v>
      </c>
      <c r="L47" s="410">
        <f t="shared" ref="L47:N47" si="6">SUM(L44:L45)</f>
        <v>231.17789999999999</v>
      </c>
      <c r="M47" s="410">
        <f t="shared" si="6"/>
        <v>0</v>
      </c>
      <c r="N47" s="410">
        <f t="shared" si="6"/>
        <v>0</v>
      </c>
      <c r="P47" s="256"/>
      <c r="Q47" s="256"/>
      <c r="R47" s="256"/>
    </row>
    <row r="48" spans="1:18" x14ac:dyDescent="0.35">
      <c r="A48" s="256"/>
      <c r="B48" s="256"/>
      <c r="C48" s="257"/>
      <c r="D48" s="257"/>
      <c r="E48" s="257"/>
      <c r="F48" s="257"/>
      <c r="G48" s="257"/>
      <c r="H48" s="257"/>
      <c r="I48" s="257"/>
      <c r="J48" s="257"/>
      <c r="K48" s="256"/>
      <c r="L48" s="256"/>
      <c r="M48" s="256"/>
      <c r="N48" s="256"/>
      <c r="O48" s="256"/>
      <c r="P48" s="256"/>
      <c r="Q48" s="256"/>
      <c r="R48" s="256"/>
    </row>
    <row r="49" spans="1:18" x14ac:dyDescent="0.35">
      <c r="A49" s="256" t="s">
        <v>614</v>
      </c>
      <c r="B49" s="256"/>
      <c r="C49" s="257"/>
      <c r="D49" s="257"/>
      <c r="E49" s="257"/>
      <c r="F49" s="410">
        <f>(F37/10^5)+Debt!D39</f>
        <v>2742.7954536714287</v>
      </c>
      <c r="G49" s="410">
        <f>(G37/10^5)+Debt!E39</f>
        <v>3180.540328242857</v>
      </c>
      <c r="H49" s="410">
        <f>(H37/10^5)+Debt!F39</f>
        <v>2579.2013140142858</v>
      </c>
      <c r="I49" s="410">
        <f>(I37/10^5)+Debt!G39</f>
        <v>1893.8656397857144</v>
      </c>
      <c r="J49" s="410">
        <f>(J37/10^5)+Debt!H39</f>
        <v>1353.580469557143</v>
      </c>
      <c r="K49" s="410">
        <f>(K37/10^5)+Debt!I39</f>
        <v>822.37918812857163</v>
      </c>
      <c r="L49" s="410">
        <f>(L37/10^5)+Debt!J39</f>
        <v>231.17790670000016</v>
      </c>
      <c r="M49" s="410">
        <f>(M37/10^5)+Debt!K39</f>
        <v>6.700000166893005E-6</v>
      </c>
      <c r="N49" s="410">
        <f>(N37/10^5)+Debt!L39</f>
        <v>6.700000166893005E-6</v>
      </c>
      <c r="O49" s="410">
        <f>(O37/10^5)+Debt!M39</f>
        <v>0</v>
      </c>
      <c r="P49" s="256"/>
      <c r="Q49" s="256"/>
      <c r="R49" s="256"/>
    </row>
    <row r="50" spans="1:18" x14ac:dyDescent="0.35">
      <c r="A50" s="256"/>
      <c r="B50" s="256"/>
      <c r="C50" s="257"/>
      <c r="D50" s="257"/>
      <c r="E50" s="257"/>
      <c r="F50" s="410"/>
      <c r="G50" s="410"/>
      <c r="H50" s="410"/>
      <c r="I50" s="410"/>
      <c r="J50" s="410"/>
      <c r="K50" s="410"/>
      <c r="L50" s="410"/>
      <c r="M50" s="410"/>
      <c r="N50" s="410"/>
      <c r="O50" s="410"/>
      <c r="P50" s="256"/>
      <c r="Q50" s="256"/>
      <c r="R50" s="256"/>
    </row>
    <row r="51" spans="1:18" x14ac:dyDescent="0.35">
      <c r="A51" s="256" t="s">
        <v>611</v>
      </c>
      <c r="B51" s="256"/>
      <c r="C51" s="263"/>
      <c r="D51" s="263"/>
      <c r="E51" s="263"/>
      <c r="F51" s="415">
        <f>+F47</f>
        <v>609.39798257142854</v>
      </c>
      <c r="G51" s="415">
        <f t="shared" ref="G51:O51" si="7">+G47</f>
        <v>708.4818713714285</v>
      </c>
      <c r="H51" s="415">
        <f t="shared" si="7"/>
        <v>792.47853137142852</v>
      </c>
      <c r="I51" s="415">
        <f t="shared" si="7"/>
        <v>647.42802737142847</v>
      </c>
      <c r="J51" s="415">
        <f t="shared" si="7"/>
        <v>638.34413857142863</v>
      </c>
      <c r="K51" s="415">
        <f t="shared" si="7"/>
        <v>591.20128142857141</v>
      </c>
      <c r="L51" s="415">
        <f t="shared" si="7"/>
        <v>231.17789999999999</v>
      </c>
      <c r="M51" s="415">
        <f t="shared" si="7"/>
        <v>0</v>
      </c>
      <c r="N51" s="415">
        <f t="shared" si="7"/>
        <v>0</v>
      </c>
      <c r="O51" s="415">
        <f t="shared" si="7"/>
        <v>0</v>
      </c>
      <c r="P51" s="256"/>
      <c r="Q51" s="256"/>
      <c r="R51" s="256"/>
    </row>
    <row r="52" spans="1:18" x14ac:dyDescent="0.35">
      <c r="A52" s="258" t="s">
        <v>612</v>
      </c>
      <c r="B52" s="256"/>
      <c r="C52" s="257"/>
      <c r="D52" s="257"/>
      <c r="E52" s="257"/>
      <c r="F52" s="415">
        <f>F49-F51</f>
        <v>2133.3974711000001</v>
      </c>
      <c r="G52" s="415">
        <f t="shared" ref="G52:O52" si="8">G49-G51</f>
        <v>2472.0584568714285</v>
      </c>
      <c r="H52" s="415">
        <f t="shared" si="8"/>
        <v>1786.7227826428573</v>
      </c>
      <c r="I52" s="415">
        <f t="shared" si="8"/>
        <v>1246.4376124142859</v>
      </c>
      <c r="J52" s="415">
        <f t="shared" si="8"/>
        <v>715.2363309857144</v>
      </c>
      <c r="K52" s="415">
        <f t="shared" si="8"/>
        <v>231.17790670000022</v>
      </c>
      <c r="L52" s="415">
        <f t="shared" si="8"/>
        <v>6.7000001706674084E-6</v>
      </c>
      <c r="M52" s="415">
        <f t="shared" si="8"/>
        <v>6.700000166893005E-6</v>
      </c>
      <c r="N52" s="415">
        <f t="shared" si="8"/>
        <v>6.700000166893005E-6</v>
      </c>
      <c r="O52" s="415">
        <f t="shared" si="8"/>
        <v>0</v>
      </c>
      <c r="P52" s="256"/>
      <c r="Q52" s="256"/>
      <c r="R52" s="256"/>
    </row>
    <row r="54" spans="1:18" x14ac:dyDescent="0.35">
      <c r="A54" s="256" t="s">
        <v>613</v>
      </c>
      <c r="F54" s="415">
        <f>SUM(F51:F53)</f>
        <v>2742.7954536714287</v>
      </c>
      <c r="G54" s="415">
        <f t="shared" ref="G54:O54" si="9">SUM(G51:G53)</f>
        <v>3180.540328242857</v>
      </c>
      <c r="H54" s="415">
        <f t="shared" si="9"/>
        <v>2579.2013140142858</v>
      </c>
      <c r="I54" s="415">
        <f t="shared" si="9"/>
        <v>1893.8656397857144</v>
      </c>
      <c r="J54" s="415">
        <f t="shared" si="9"/>
        <v>1353.580469557143</v>
      </c>
      <c r="K54" s="415">
        <f t="shared" si="9"/>
        <v>822.37918812857163</v>
      </c>
      <c r="L54" s="415">
        <f t="shared" si="9"/>
        <v>231.17790670000016</v>
      </c>
      <c r="M54" s="415">
        <f t="shared" si="9"/>
        <v>6.700000166893005E-6</v>
      </c>
      <c r="N54" s="415">
        <f t="shared" si="9"/>
        <v>6.700000166893005E-6</v>
      </c>
      <c r="O54" s="415">
        <f t="shared" si="9"/>
        <v>0</v>
      </c>
    </row>
  </sheetData>
  <mergeCells count="3">
    <mergeCell ref="E6:N6"/>
    <mergeCell ref="E16:N16"/>
    <mergeCell ref="F26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8"/>
  <sheetViews>
    <sheetView topLeftCell="C22" zoomScaleNormal="100" workbookViewId="0">
      <selection activeCell="N25" sqref="N25"/>
    </sheetView>
  </sheetViews>
  <sheetFormatPr defaultColWidth="9.1796875" defaultRowHeight="13" x14ac:dyDescent="0.3"/>
  <cols>
    <col min="1" max="1" width="9.1796875" style="212"/>
    <col min="2" max="2" width="40.453125" style="212" bestFit="1" customWidth="1"/>
    <col min="3" max="3" width="11" style="212" bestFit="1" customWidth="1"/>
    <col min="4" max="16384" width="9.1796875" style="212"/>
  </cols>
  <sheetData>
    <row r="1" spans="1:18" ht="12.75" hidden="1" x14ac:dyDescent="0.2">
      <c r="A1" s="606" t="s">
        <v>60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211"/>
    </row>
    <row r="2" spans="1:18" ht="12.75" hidden="1" x14ac:dyDescent="0.2">
      <c r="D2" s="212">
        <v>0</v>
      </c>
      <c r="E2" s="212">
        <v>0</v>
      </c>
      <c r="F2" s="212">
        <v>0</v>
      </c>
      <c r="G2" s="212">
        <v>90</v>
      </c>
      <c r="H2" s="212">
        <v>345</v>
      </c>
      <c r="I2" s="212">
        <v>345</v>
      </c>
      <c r="J2" s="212">
        <v>345</v>
      </c>
      <c r="K2" s="212">
        <v>345</v>
      </c>
      <c r="L2" s="212">
        <v>345</v>
      </c>
      <c r="M2" s="212">
        <v>345</v>
      </c>
      <c r="N2" s="212">
        <v>345</v>
      </c>
      <c r="O2" s="212">
        <v>345</v>
      </c>
      <c r="P2" s="212">
        <v>345</v>
      </c>
    </row>
    <row r="3" spans="1:18" ht="12.75" hidden="1" x14ac:dyDescent="0.2">
      <c r="B3" s="213" t="s">
        <v>478</v>
      </c>
      <c r="C3" s="214"/>
      <c r="D3" s="215" t="s">
        <v>416</v>
      </c>
      <c r="E3" s="215" t="s">
        <v>417</v>
      </c>
      <c r="F3" s="215" t="s">
        <v>418</v>
      </c>
      <c r="G3" s="215" t="s">
        <v>419</v>
      </c>
      <c r="H3" s="215" t="s">
        <v>420</v>
      </c>
      <c r="I3" s="215" t="s">
        <v>421</v>
      </c>
      <c r="J3" s="215" t="s">
        <v>422</v>
      </c>
      <c r="K3" s="215" t="s">
        <v>423</v>
      </c>
      <c r="L3" s="215" t="s">
        <v>424</v>
      </c>
      <c r="M3" s="215" t="s">
        <v>425</v>
      </c>
      <c r="N3" s="215" t="s">
        <v>426</v>
      </c>
      <c r="O3" s="215" t="s">
        <v>427</v>
      </c>
      <c r="P3" s="215" t="s">
        <v>428</v>
      </c>
      <c r="Q3" s="215" t="s">
        <v>470</v>
      </c>
      <c r="R3" s="215" t="s">
        <v>470</v>
      </c>
    </row>
    <row r="4" spans="1:18" ht="12.75" hidden="1" x14ac:dyDescent="0.2">
      <c r="B4" s="213" t="s">
        <v>479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</row>
    <row r="5" spans="1:18" ht="12.75" hidden="1" x14ac:dyDescent="0.2">
      <c r="B5" s="213" t="s">
        <v>480</v>
      </c>
      <c r="C5" s="214" t="s">
        <v>559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</row>
    <row r="6" spans="1:18" ht="12.75" hidden="1" x14ac:dyDescent="0.2">
      <c r="B6" s="214" t="s">
        <v>481</v>
      </c>
      <c r="C6" s="218">
        <f>'Financial Statements'!$H$20/AVERAGE(H6)</f>
        <v>10.538381070689729</v>
      </c>
      <c r="D6" s="216"/>
      <c r="E6" s="216"/>
      <c r="F6" s="216">
        <v>0</v>
      </c>
      <c r="G6" s="216">
        <v>278.27492212638396</v>
      </c>
      <c r="H6" s="216">
        <v>244.15135329999998</v>
      </c>
      <c r="I6" s="216">
        <f>'Financial Statements'!I20/WC!$C$6</f>
        <v>203.21171647096634</v>
      </c>
      <c r="J6" s="216">
        <v>275.18458295892663</v>
      </c>
      <c r="K6" s="216">
        <v>281.03937218946658</v>
      </c>
      <c r="L6" s="216">
        <v>290.33444316317059</v>
      </c>
      <c r="M6" s="216">
        <v>300.18821000870793</v>
      </c>
      <c r="N6" s="216">
        <v>310.63565319390614</v>
      </c>
      <c r="O6" s="216">
        <v>224.36215514091521</v>
      </c>
      <c r="P6" s="216">
        <v>228.8493982437335</v>
      </c>
      <c r="Q6" s="216">
        <v>233.42638620860816</v>
      </c>
      <c r="R6" s="216">
        <v>238.09491393278034</v>
      </c>
    </row>
    <row r="7" spans="1:18" ht="12.75" hidden="1" x14ac:dyDescent="0.2">
      <c r="B7" s="214" t="s">
        <v>482</v>
      </c>
      <c r="C7" s="218">
        <f>'Financial Statements'!$H$20/AVERAGE(H7)</f>
        <v>29.29181943347897</v>
      </c>
      <c r="D7" s="216"/>
      <c r="E7" s="216"/>
      <c r="F7" s="216">
        <v>0</v>
      </c>
      <c r="G7" s="216">
        <v>100.11556907361572</v>
      </c>
      <c r="H7" s="216">
        <v>87.838859099999965</v>
      </c>
      <c r="I7" s="216">
        <f>'Financial Statements'!I20/WC!$C$7</f>
        <v>73.109917636333478</v>
      </c>
      <c r="J7" s="216">
        <v>99.003751084354164</v>
      </c>
      <c r="K7" s="216">
        <v>101.11014123673509</v>
      </c>
      <c r="L7" s="216">
        <v>104.45424897379299</v>
      </c>
      <c r="M7" s="216">
        <v>107.99935992997052</v>
      </c>
      <c r="N7" s="216">
        <v>111.75805910364363</v>
      </c>
      <c r="O7" s="216">
        <v>80.719256585808921</v>
      </c>
      <c r="P7" s="216">
        <v>82.333641717525097</v>
      </c>
      <c r="Q7" s="216">
        <v>83.980314551875594</v>
      </c>
      <c r="R7" s="216">
        <v>85.65992084291311</v>
      </c>
    </row>
    <row r="8" spans="1:18" ht="12.75" hidden="1" x14ac:dyDescent="0.2">
      <c r="B8" s="222" t="s">
        <v>483</v>
      </c>
      <c r="C8" s="218">
        <f>'Financial Statements'!$H$20/AVERAGE(H8)</f>
        <v>3.0513457201980891</v>
      </c>
      <c r="D8" s="312"/>
      <c r="E8" s="312"/>
      <c r="F8" s="312">
        <v>0</v>
      </c>
      <c r="G8" s="312">
        <v>399.2</v>
      </c>
      <c r="H8" s="312">
        <v>843.22139670000001</v>
      </c>
      <c r="I8" s="312">
        <f>'Financial Statements'!I20/WC!$C$8</f>
        <v>701.82886587527526</v>
      </c>
      <c r="J8" s="312">
        <v>950.40033674444987</v>
      </c>
      <c r="K8" s="312">
        <v>970.62092321932334</v>
      </c>
      <c r="L8" s="312">
        <v>1002.7231525247724</v>
      </c>
      <c r="M8" s="312">
        <v>1036.7549403070034</v>
      </c>
      <c r="N8" s="312">
        <v>1072.8370980157183</v>
      </c>
      <c r="O8" s="312">
        <v>774.87577794451897</v>
      </c>
      <c r="P8" s="312">
        <v>790.3732935034094</v>
      </c>
      <c r="Q8" s="312">
        <v>806.1807593734776</v>
      </c>
      <c r="R8" s="312">
        <v>822.30437456094717</v>
      </c>
    </row>
    <row r="9" spans="1:18" ht="12.75" hidden="1" x14ac:dyDescent="0.2">
      <c r="B9" s="222" t="s">
        <v>631</v>
      </c>
      <c r="C9" s="218"/>
      <c r="D9" s="312"/>
      <c r="E9" s="312"/>
      <c r="F9" s="312"/>
      <c r="G9" s="312"/>
      <c r="H9" s="312"/>
      <c r="I9" s="312"/>
      <c r="J9" s="312">
        <v>204.25</v>
      </c>
      <c r="K9" s="312">
        <v>274</v>
      </c>
      <c r="L9" s="312">
        <v>274</v>
      </c>
      <c r="M9" s="312">
        <v>274</v>
      </c>
      <c r="N9" s="312">
        <v>274</v>
      </c>
      <c r="O9" s="312">
        <v>274</v>
      </c>
      <c r="P9" s="312">
        <v>274</v>
      </c>
      <c r="Q9" s="312"/>
      <c r="R9" s="312"/>
    </row>
    <row r="10" spans="1:18" ht="12.75" hidden="1" x14ac:dyDescent="0.2">
      <c r="B10" s="213" t="s">
        <v>484</v>
      </c>
      <c r="C10" s="213"/>
      <c r="D10" s="217"/>
      <c r="E10" s="217"/>
      <c r="F10" s="217">
        <f t="shared" ref="F10" si="0">SUM(F6:F8)</f>
        <v>0</v>
      </c>
      <c r="G10" s="217">
        <f t="shared" ref="G10:R10" si="1">SUM(G6:G9)</f>
        <v>777.59049119999963</v>
      </c>
      <c r="H10" s="217">
        <f t="shared" si="1"/>
        <v>1175.2116091</v>
      </c>
      <c r="I10" s="217">
        <f t="shared" si="1"/>
        <v>978.15049998257507</v>
      </c>
      <c r="J10" s="217">
        <f t="shared" si="1"/>
        <v>1528.8386707877307</v>
      </c>
      <c r="K10" s="217">
        <f t="shared" si="1"/>
        <v>1626.770436645525</v>
      </c>
      <c r="L10" s="217">
        <f t="shared" si="1"/>
        <v>1671.5118446617359</v>
      </c>
      <c r="M10" s="217">
        <f t="shared" si="1"/>
        <v>1718.9425102456819</v>
      </c>
      <c r="N10" s="217">
        <f t="shared" si="1"/>
        <v>1769.2308103132682</v>
      </c>
      <c r="O10" s="217">
        <f t="shared" si="1"/>
        <v>1353.9571896712432</v>
      </c>
      <c r="P10" s="217">
        <f t="shared" si="1"/>
        <v>1375.5563334646681</v>
      </c>
      <c r="Q10" s="217">
        <f t="shared" si="1"/>
        <v>1123.5874601339615</v>
      </c>
      <c r="R10" s="217">
        <f t="shared" si="1"/>
        <v>1146.0592093366406</v>
      </c>
    </row>
    <row r="11" spans="1:18" ht="12.75" hidden="1" x14ac:dyDescent="0.2">
      <c r="B11" s="213" t="s">
        <v>485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</row>
    <row r="12" spans="1:18" ht="12.75" hidden="1" x14ac:dyDescent="0.2">
      <c r="B12" s="214" t="s">
        <v>486</v>
      </c>
      <c r="C12" s="218">
        <f>('Financial Statements'!I46+'Financial Statements'!I48+'Financial Statements'!I51)/AVERAGE(WC!G13:H13)</f>
        <v>4.7209992917137971</v>
      </c>
      <c r="D12" s="216"/>
      <c r="E12" s="216"/>
      <c r="F12" s="216">
        <v>0</v>
      </c>
      <c r="G12" s="216">
        <v>180.15141360000004</v>
      </c>
      <c r="H12" s="216">
        <v>111.83337920000001</v>
      </c>
      <c r="I12" s="216">
        <f>('Financial Statements'!I46+'Financial Statements'!I48+'Financial Statements'!I51)/$C$12</f>
        <v>145.99239640000002</v>
      </c>
      <c r="J12" s="216">
        <f>('Financial Statements'!J46+'Financial Statements'!J48+'Financial Statements'!J51)/$C$12</f>
        <v>114.06929811347385</v>
      </c>
      <c r="K12" s="216">
        <f>('Financial Statements'!K46+'Financial Statements'!K48+'Financial Statements'!K51)/$C$12</f>
        <v>510.23095983680349</v>
      </c>
      <c r="L12" s="216">
        <f>('Financial Statements'!L46+'Financial Statements'!L48+'Financial Statements'!L51)/$C$12</f>
        <v>536.72111420295698</v>
      </c>
      <c r="M12" s="216">
        <f>('Financial Statements'!M46+'Financial Statements'!M48+'Financial Statements'!M51)/$C$12</f>
        <v>555.9446396458203</v>
      </c>
      <c r="N12" s="216">
        <f>('Financial Statements'!N46+'Financial Statements'!N48+'Financial Statements'!N51)/$C$12</f>
        <v>590.78748669701884</v>
      </c>
      <c r="O12" s="216">
        <f>('Financial Statements'!O46+'Financial Statements'!O48+'Financial Statements'!O51)/$C$12</f>
        <v>623.72635876838058</v>
      </c>
      <c r="P12" s="216" t="e">
        <f>('Financial Statements'!P46+'Financial Statements'!P48+'Financial Statements'!P51)/$C$12</f>
        <v>#REF!</v>
      </c>
      <c r="Q12" s="216" t="e">
        <f>('Financial Statements'!Q46+'Financial Statements'!Q48+'Financial Statements'!Q51)/$C$12</f>
        <v>#REF!</v>
      </c>
      <c r="R12" s="216" t="e">
        <f>('Financial Statements'!R46+'Financial Statements'!R48+'Financial Statements'!R51)/$C$12</f>
        <v>#REF!</v>
      </c>
    </row>
    <row r="13" spans="1:18" ht="12.75" hidden="1" x14ac:dyDescent="0.2">
      <c r="B13" s="213" t="s">
        <v>487</v>
      </c>
      <c r="C13" s="213"/>
      <c r="D13" s="217"/>
      <c r="E13" s="217"/>
      <c r="F13" s="217">
        <f t="shared" ref="F13:P13" si="2">F12</f>
        <v>0</v>
      </c>
      <c r="G13" s="217">
        <f t="shared" si="2"/>
        <v>180.15141360000004</v>
      </c>
      <c r="H13" s="217">
        <f t="shared" si="2"/>
        <v>111.83337920000001</v>
      </c>
      <c r="I13" s="217">
        <f t="shared" si="2"/>
        <v>145.99239640000002</v>
      </c>
      <c r="J13" s="217">
        <f t="shared" si="2"/>
        <v>114.06929811347385</v>
      </c>
      <c r="K13" s="217">
        <f t="shared" si="2"/>
        <v>510.23095983680349</v>
      </c>
      <c r="L13" s="217">
        <f t="shared" si="2"/>
        <v>536.72111420295698</v>
      </c>
      <c r="M13" s="217">
        <f t="shared" si="2"/>
        <v>555.9446396458203</v>
      </c>
      <c r="N13" s="217">
        <f t="shared" si="2"/>
        <v>590.78748669701884</v>
      </c>
      <c r="O13" s="217">
        <f t="shared" si="2"/>
        <v>623.72635876838058</v>
      </c>
      <c r="P13" s="217" t="e">
        <f t="shared" si="2"/>
        <v>#REF!</v>
      </c>
      <c r="Q13" s="217" t="e">
        <f t="shared" ref="Q13:R13" si="3">Q12</f>
        <v>#REF!</v>
      </c>
      <c r="R13" s="217" t="e">
        <f t="shared" si="3"/>
        <v>#REF!</v>
      </c>
    </row>
    <row r="14" spans="1:18" ht="12.75" hidden="1" x14ac:dyDescent="0.2">
      <c r="B14" s="214" t="s">
        <v>488</v>
      </c>
      <c r="C14" s="214"/>
      <c r="D14" s="218"/>
      <c r="E14" s="218"/>
      <c r="F14" s="218">
        <f t="shared" ref="F14:P14" si="4">F10-F13</f>
        <v>0</v>
      </c>
      <c r="G14" s="384">
        <f t="shared" si="4"/>
        <v>597.43907759999956</v>
      </c>
      <c r="H14" s="384">
        <f t="shared" si="4"/>
        <v>1063.3782299</v>
      </c>
      <c r="I14" s="384">
        <f t="shared" si="4"/>
        <v>832.158103582575</v>
      </c>
      <c r="J14" s="384">
        <f t="shared" si="4"/>
        <v>1414.7693726742568</v>
      </c>
      <c r="K14" s="384">
        <f t="shared" si="4"/>
        <v>1116.5394768087215</v>
      </c>
      <c r="L14" s="384">
        <f t="shared" si="4"/>
        <v>1134.7907304587789</v>
      </c>
      <c r="M14" s="384">
        <f t="shared" si="4"/>
        <v>1162.9978705998615</v>
      </c>
      <c r="N14" s="384">
        <f t="shared" si="4"/>
        <v>1178.4433236162495</v>
      </c>
      <c r="O14" s="384">
        <f t="shared" si="4"/>
        <v>730.23083090286264</v>
      </c>
      <c r="P14" s="384" t="e">
        <f t="shared" si="4"/>
        <v>#REF!</v>
      </c>
      <c r="Q14" s="384" t="e">
        <f t="shared" ref="Q14:R14" si="5">Q10-Q13</f>
        <v>#REF!</v>
      </c>
      <c r="R14" s="384" t="e">
        <f t="shared" si="5"/>
        <v>#REF!</v>
      </c>
    </row>
    <row r="15" spans="1:18" ht="12.75" hidden="1" x14ac:dyDescent="0.2">
      <c r="B15" s="214" t="s">
        <v>489</v>
      </c>
      <c r="C15" s="219">
        <v>0.25</v>
      </c>
      <c r="D15" s="218"/>
      <c r="E15" s="218"/>
      <c r="F15" s="218">
        <f>$C$15*F14</f>
        <v>0</v>
      </c>
      <c r="G15" s="218">
        <f t="shared" ref="G15:P15" si="6">$C$15*G14</f>
        <v>149.35976939999989</v>
      </c>
      <c r="H15" s="218">
        <f t="shared" si="6"/>
        <v>265.84455747499999</v>
      </c>
      <c r="I15" s="218">
        <f t="shared" si="6"/>
        <v>208.03952589564375</v>
      </c>
      <c r="J15" s="218">
        <f t="shared" si="6"/>
        <v>353.69234316856421</v>
      </c>
      <c r="K15" s="218">
        <f t="shared" si="6"/>
        <v>279.13486920218037</v>
      </c>
      <c r="L15" s="218">
        <f t="shared" si="6"/>
        <v>283.69768261469471</v>
      </c>
      <c r="M15" s="218">
        <f t="shared" si="6"/>
        <v>290.74946764996537</v>
      </c>
      <c r="N15" s="218">
        <f t="shared" si="6"/>
        <v>294.61083090406237</v>
      </c>
      <c r="O15" s="218">
        <f t="shared" si="6"/>
        <v>182.55770772571566</v>
      </c>
      <c r="P15" s="218" t="e">
        <f t="shared" si="6"/>
        <v>#REF!</v>
      </c>
      <c r="Q15" s="218" t="e">
        <f t="shared" ref="Q15:R15" si="7">$C$15*Q14</f>
        <v>#REF!</v>
      </c>
      <c r="R15" s="218" t="e">
        <f t="shared" si="7"/>
        <v>#REF!</v>
      </c>
    </row>
    <row r="16" spans="1:18" ht="12.75" hidden="1" x14ac:dyDescent="0.2">
      <c r="B16" s="214" t="s">
        <v>490</v>
      </c>
      <c r="C16" s="214"/>
      <c r="D16" s="218"/>
      <c r="E16" s="218"/>
      <c r="F16" s="218">
        <f t="shared" ref="F16:P16" si="8">F14-F15</f>
        <v>0</v>
      </c>
      <c r="G16" s="218">
        <f t="shared" si="8"/>
        <v>448.07930819999967</v>
      </c>
      <c r="H16" s="218">
        <f t="shared" si="8"/>
        <v>797.53367242499996</v>
      </c>
      <c r="I16" s="218">
        <f t="shared" si="8"/>
        <v>624.1185776869313</v>
      </c>
      <c r="J16" s="218">
        <f t="shared" si="8"/>
        <v>1061.0770295056927</v>
      </c>
      <c r="K16" s="218">
        <f t="shared" si="8"/>
        <v>837.40460760654105</v>
      </c>
      <c r="L16" s="218">
        <f t="shared" si="8"/>
        <v>851.09304784408414</v>
      </c>
      <c r="M16" s="218">
        <f t="shared" si="8"/>
        <v>872.2484029498961</v>
      </c>
      <c r="N16" s="218">
        <f t="shared" si="8"/>
        <v>883.8324927121871</v>
      </c>
      <c r="O16" s="218">
        <f t="shared" si="8"/>
        <v>547.67312317714698</v>
      </c>
      <c r="P16" s="218" t="e">
        <f t="shared" si="8"/>
        <v>#REF!</v>
      </c>
      <c r="Q16" s="218" t="e">
        <f t="shared" ref="Q16:R16" si="9">Q14-Q15</f>
        <v>#REF!</v>
      </c>
      <c r="R16" s="218" t="e">
        <f t="shared" si="9"/>
        <v>#REF!</v>
      </c>
    </row>
    <row r="17" spans="2:18" ht="12.75" hidden="1" x14ac:dyDescent="0.2">
      <c r="B17" s="214" t="s">
        <v>364</v>
      </c>
      <c r="C17" s="300">
        <f>(11.8%+10.7%)/2</f>
        <v>0.1125</v>
      </c>
      <c r="D17" s="214"/>
      <c r="E17" s="214"/>
      <c r="F17" s="214"/>
      <c r="G17" s="218"/>
      <c r="H17" s="218"/>
      <c r="I17" s="218">
        <f>$C$17*I16</f>
        <v>70.213339989779769</v>
      </c>
      <c r="J17" s="218">
        <f t="shared" ref="J17:P17" si="10">$C$17*J16</f>
        <v>119.37116581939044</v>
      </c>
      <c r="K17" s="218">
        <f t="shared" si="10"/>
        <v>94.208018355735874</v>
      </c>
      <c r="L17" s="218">
        <f t="shared" si="10"/>
        <v>95.747967882459463</v>
      </c>
      <c r="M17" s="218">
        <f t="shared" si="10"/>
        <v>98.127945331863316</v>
      </c>
      <c r="N17" s="218">
        <f t="shared" si="10"/>
        <v>99.431155430121052</v>
      </c>
      <c r="O17" s="218">
        <f t="shared" si="10"/>
        <v>61.613226357429035</v>
      </c>
      <c r="P17" s="218" t="e">
        <f t="shared" si="10"/>
        <v>#REF!</v>
      </c>
      <c r="Q17" s="218" t="e">
        <f t="shared" ref="Q17:R17" si="11">$C$17*Q16</f>
        <v>#REF!</v>
      </c>
      <c r="R17" s="218" t="e">
        <f t="shared" si="11"/>
        <v>#REF!</v>
      </c>
    </row>
    <row r="18" spans="2:18" ht="12.75" hidden="1" x14ac:dyDescent="0.2">
      <c r="B18" s="214"/>
      <c r="C18" s="214" t="s">
        <v>558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</row>
    <row r="19" spans="2:18" ht="12.75" hidden="1" x14ac:dyDescent="0.2">
      <c r="H19" s="314"/>
    </row>
    <row r="20" spans="2:18" ht="12.75" hidden="1" x14ac:dyDescent="0.2">
      <c r="F20" s="212">
        <f>94388952</f>
        <v>94388952</v>
      </c>
      <c r="I20" s="314"/>
    </row>
    <row r="21" spans="2:18" ht="12.75" hidden="1" x14ac:dyDescent="0.2">
      <c r="F21" s="212">
        <f>F20-1322860-5598</f>
        <v>93060494</v>
      </c>
      <c r="H21" s="229"/>
      <c r="I21" s="314"/>
    </row>
    <row r="22" spans="2:18" ht="12.75" x14ac:dyDescent="0.2">
      <c r="I22" s="215" t="s">
        <v>421</v>
      </c>
      <c r="J22" s="215" t="s">
        <v>422</v>
      </c>
      <c r="K22" s="215" t="s">
        <v>423</v>
      </c>
      <c r="L22" s="215" t="s">
        <v>424</v>
      </c>
      <c r="M22" s="215" t="s">
        <v>425</v>
      </c>
      <c r="N22" s="215" t="s">
        <v>426</v>
      </c>
      <c r="O22" s="215" t="s">
        <v>427</v>
      </c>
    </row>
    <row r="23" spans="2:18" ht="15" x14ac:dyDescent="0.25">
      <c r="B23" s="212" t="s">
        <v>665</v>
      </c>
      <c r="I23" s="212">
        <v>2141.52</v>
      </c>
      <c r="J23" s="411">
        <f>2175+230</f>
        <v>2405</v>
      </c>
      <c r="K23" s="411">
        <v>2300</v>
      </c>
      <c r="L23" s="411">
        <v>2400</v>
      </c>
      <c r="M23" s="411">
        <v>2400</v>
      </c>
      <c r="N23" s="411">
        <v>2500</v>
      </c>
      <c r="O23" s="411">
        <v>2600</v>
      </c>
    </row>
    <row r="24" spans="2:18" ht="12.75" x14ac:dyDescent="0.2">
      <c r="B24" s="212" t="s">
        <v>662</v>
      </c>
      <c r="J24" s="480">
        <f>J23/2.5</f>
        <v>962</v>
      </c>
      <c r="K24" s="480">
        <f>K23/$D$26</f>
        <v>657.14285714285711</v>
      </c>
      <c r="L24" s="480">
        <f>L23/$D$26</f>
        <v>685.71428571428567</v>
      </c>
      <c r="M24" s="480">
        <f>M23/$D$26</f>
        <v>685.71428571428567</v>
      </c>
      <c r="N24" s="480">
        <f>N23/$D$26</f>
        <v>714.28571428571433</v>
      </c>
      <c r="O24" s="480">
        <f>O23/$D$26</f>
        <v>742.85714285714289</v>
      </c>
    </row>
    <row r="25" spans="2:18" ht="12.75" x14ac:dyDescent="0.2">
      <c r="B25" s="212" t="s">
        <v>661</v>
      </c>
      <c r="J25" s="480">
        <f>'[1]Conso-BS'!D21</f>
        <v>21.2</v>
      </c>
      <c r="K25" s="480">
        <f>'[1]Conso-BS'!E21</f>
        <v>246.80833333333334</v>
      </c>
      <c r="L25" s="480">
        <f>'[1]Conso-BS'!F21</f>
        <v>254.97125000000003</v>
      </c>
      <c r="M25" s="480">
        <f>'[1]Conso-BS'!G21</f>
        <v>263.62481250000002</v>
      </c>
      <c r="N25" s="480">
        <f>'[1]Conso-BS'!H21</f>
        <v>272.79974062500003</v>
      </c>
      <c r="O25" s="480">
        <f>'[1]Conso-BS'!I21</f>
        <v>282.52875421875001</v>
      </c>
      <c r="P25" s="480">
        <f>'[1]Conso-BS'!J21</f>
        <v>292.84670798437497</v>
      </c>
      <c r="Q25" s="480">
        <f>'[1]Conso-BS'!K21</f>
        <v>299.76156897571616</v>
      </c>
      <c r="R25" s="480">
        <f>'[1]Conso-BS'!L21</f>
        <v>0</v>
      </c>
    </row>
    <row r="26" spans="2:18" ht="12.75" x14ac:dyDescent="0.2">
      <c r="B26" s="212" t="s">
        <v>669</v>
      </c>
      <c r="C26" s="212" t="s">
        <v>676</v>
      </c>
      <c r="D26" s="480">
        <v>3.5</v>
      </c>
      <c r="I26" s="480">
        <f>'Financial Statements'!I266</f>
        <v>557.88</v>
      </c>
      <c r="J26" s="314">
        <f>J24+J25</f>
        <v>983.2</v>
      </c>
      <c r="K26" s="314">
        <f t="shared" ref="K26:Q26" si="12">K24+K25</f>
        <v>903.9511904761905</v>
      </c>
      <c r="L26" s="314">
        <f t="shared" si="12"/>
        <v>940.68553571428572</v>
      </c>
      <c r="M26" s="314">
        <f t="shared" si="12"/>
        <v>949.33909821428574</v>
      </c>
      <c r="N26" s="314">
        <f t="shared" si="12"/>
        <v>987.08545491071436</v>
      </c>
      <c r="O26" s="314">
        <f t="shared" si="12"/>
        <v>1025.3858970758929</v>
      </c>
      <c r="P26" s="314">
        <f t="shared" si="12"/>
        <v>292.84670798437497</v>
      </c>
      <c r="Q26" s="314">
        <f t="shared" si="12"/>
        <v>299.76156897571616</v>
      </c>
    </row>
    <row r="27" spans="2:18" ht="12.75" x14ac:dyDescent="0.2">
      <c r="B27" s="212" t="s">
        <v>670</v>
      </c>
      <c r="C27" s="481">
        <v>0.1</v>
      </c>
      <c r="J27" s="314">
        <f>J33*$C$27/4</f>
        <v>14.730624999999998</v>
      </c>
      <c r="K27" s="314">
        <f t="shared" ref="K27:O27" si="13">K33*$C$27/4</f>
        <v>16.100000000000001</v>
      </c>
      <c r="L27" s="314">
        <f t="shared" si="13"/>
        <v>16.8</v>
      </c>
      <c r="M27" s="314">
        <f t="shared" si="13"/>
        <v>16.8</v>
      </c>
      <c r="N27" s="314">
        <f t="shared" si="13"/>
        <v>17.5</v>
      </c>
      <c r="O27" s="314">
        <f t="shared" si="13"/>
        <v>18.2</v>
      </c>
      <c r="P27" s="314">
        <f t="shared" ref="P27:Q27" si="14">P33*$C$27</f>
        <v>0</v>
      </c>
      <c r="Q27" s="314">
        <f t="shared" si="14"/>
        <v>0</v>
      </c>
    </row>
    <row r="28" spans="2:18" ht="12.75" x14ac:dyDescent="0.2">
      <c r="B28" s="212" t="s">
        <v>671</v>
      </c>
      <c r="J28" s="314">
        <f>J26+J27</f>
        <v>997.93062500000008</v>
      </c>
      <c r="K28" s="314">
        <f t="shared" ref="K28:O28" si="15">K26+K27</f>
        <v>920.05119047619053</v>
      </c>
      <c r="L28" s="314">
        <f t="shared" si="15"/>
        <v>957.48553571428567</v>
      </c>
      <c r="M28" s="314">
        <f t="shared" si="15"/>
        <v>966.1390982142857</v>
      </c>
      <c r="N28" s="314">
        <f t="shared" si="15"/>
        <v>1004.5854549107144</v>
      </c>
      <c r="O28" s="314">
        <f t="shared" si="15"/>
        <v>1043.5858970758929</v>
      </c>
    </row>
    <row r="30" spans="2:18" ht="12.75" x14ac:dyDescent="0.2">
      <c r="B30" s="212" t="s">
        <v>663</v>
      </c>
      <c r="C30" s="481">
        <v>0.09</v>
      </c>
      <c r="I30" s="212">
        <v>354.17</v>
      </c>
      <c r="J30" s="480">
        <f>J23*8%</f>
        <v>192.4</v>
      </c>
      <c r="K30" s="212">
        <f t="shared" ref="K30:O30" si="16">K23*$C$30</f>
        <v>207</v>
      </c>
      <c r="L30" s="212">
        <f t="shared" si="16"/>
        <v>216</v>
      </c>
      <c r="M30" s="212">
        <f t="shared" si="16"/>
        <v>216</v>
      </c>
      <c r="N30" s="212">
        <f t="shared" si="16"/>
        <v>225</v>
      </c>
      <c r="O30" s="212">
        <f t="shared" si="16"/>
        <v>234</v>
      </c>
    </row>
    <row r="31" spans="2:18" ht="12.75" x14ac:dyDescent="0.2">
      <c r="B31" s="212" t="s">
        <v>664</v>
      </c>
      <c r="C31" s="481">
        <v>0.11</v>
      </c>
      <c r="I31" s="212">
        <v>335.06</v>
      </c>
      <c r="J31" s="480">
        <f>J23*10.5%</f>
        <v>252.52499999999998</v>
      </c>
      <c r="K31" s="212">
        <f t="shared" ref="K31:O31" si="17">K23*$C$31</f>
        <v>253</v>
      </c>
      <c r="L31" s="212">
        <f t="shared" si="17"/>
        <v>264</v>
      </c>
      <c r="M31" s="212">
        <f t="shared" si="17"/>
        <v>264</v>
      </c>
      <c r="N31" s="212">
        <f t="shared" si="17"/>
        <v>275</v>
      </c>
      <c r="O31" s="212">
        <f t="shared" si="17"/>
        <v>286</v>
      </c>
    </row>
    <row r="32" spans="2:18" ht="12.75" x14ac:dyDescent="0.2">
      <c r="B32" s="212" t="s">
        <v>650</v>
      </c>
      <c r="C32" s="481">
        <v>0.08</v>
      </c>
      <c r="J32" s="480">
        <f>J23*6%</f>
        <v>144.29999999999998</v>
      </c>
      <c r="K32" s="212">
        <f t="shared" ref="K32:O32" si="18">K23*$C$32</f>
        <v>184</v>
      </c>
      <c r="L32" s="212">
        <f t="shared" si="18"/>
        <v>192</v>
      </c>
      <c r="M32" s="212">
        <f t="shared" si="18"/>
        <v>192</v>
      </c>
      <c r="N32" s="212">
        <f t="shared" si="18"/>
        <v>200</v>
      </c>
      <c r="O32" s="212">
        <f t="shared" si="18"/>
        <v>208</v>
      </c>
    </row>
    <row r="33" spans="2:15" ht="12.75" x14ac:dyDescent="0.2">
      <c r="B33" s="212" t="s">
        <v>666</v>
      </c>
      <c r="I33" s="212">
        <f>SUM(I30:I32)</f>
        <v>689.23</v>
      </c>
      <c r="J33" s="480">
        <f>SUM(J30:J32)</f>
        <v>589.22499999999991</v>
      </c>
      <c r="K33" s="212">
        <f t="shared" ref="K33:O33" si="19">SUM(K30:K32)</f>
        <v>644</v>
      </c>
      <c r="L33" s="212">
        <f t="shared" si="19"/>
        <v>672</v>
      </c>
      <c r="M33" s="212">
        <f t="shared" si="19"/>
        <v>672</v>
      </c>
      <c r="N33" s="212">
        <f t="shared" si="19"/>
        <v>700</v>
      </c>
      <c r="O33" s="212">
        <f t="shared" si="19"/>
        <v>728</v>
      </c>
    </row>
    <row r="34" spans="2:15" ht="12.75" x14ac:dyDescent="0.2">
      <c r="B34" s="212" t="s">
        <v>667</v>
      </c>
      <c r="C34" s="480">
        <f>I33/I34</f>
        <v>7.8375028428473961</v>
      </c>
      <c r="I34" s="212">
        <v>87.94</v>
      </c>
      <c r="J34" s="480">
        <f>J33/12</f>
        <v>49.102083333333326</v>
      </c>
      <c r="K34" s="480">
        <f t="shared" ref="K34:O34" si="20">K33/12</f>
        <v>53.666666666666664</v>
      </c>
      <c r="L34" s="480">
        <f t="shared" si="20"/>
        <v>56</v>
      </c>
      <c r="M34" s="480">
        <f t="shared" si="20"/>
        <v>56</v>
      </c>
      <c r="N34" s="480">
        <f t="shared" si="20"/>
        <v>58.333333333333336</v>
      </c>
      <c r="O34" s="480">
        <f t="shared" si="20"/>
        <v>60.666666666666664</v>
      </c>
    </row>
    <row r="35" spans="2:15" ht="12.75" x14ac:dyDescent="0.2">
      <c r="B35" s="212" t="s">
        <v>60</v>
      </c>
      <c r="J35" s="314">
        <f>J28-J34</f>
        <v>948.82854166666675</v>
      </c>
      <c r="K35" s="314">
        <f t="shared" ref="K35:O35" si="21">K28-K34</f>
        <v>866.3845238095239</v>
      </c>
      <c r="L35" s="314">
        <f t="shared" si="21"/>
        <v>901.48553571428567</v>
      </c>
      <c r="M35" s="314">
        <f t="shared" si="21"/>
        <v>910.1390982142857</v>
      </c>
      <c r="N35" s="314">
        <f t="shared" si="21"/>
        <v>946.25212157738099</v>
      </c>
      <c r="O35" s="314">
        <f t="shared" si="21"/>
        <v>982.91923040922632</v>
      </c>
    </row>
    <row r="36" spans="2:15" ht="12.75" x14ac:dyDescent="0.2">
      <c r="B36" s="212" t="s">
        <v>489</v>
      </c>
      <c r="J36" s="314">
        <f>J35*25%</f>
        <v>237.20713541666669</v>
      </c>
      <c r="K36" s="314">
        <f t="shared" ref="K36:O36" si="22">K35*25%</f>
        <v>216.59613095238097</v>
      </c>
      <c r="L36" s="314">
        <f t="shared" si="22"/>
        <v>225.37138392857142</v>
      </c>
      <c r="M36" s="314">
        <f t="shared" si="22"/>
        <v>227.53477455357142</v>
      </c>
      <c r="N36" s="314">
        <f t="shared" si="22"/>
        <v>236.56303039434525</v>
      </c>
      <c r="O36" s="314">
        <f t="shared" si="22"/>
        <v>245.72980760230658</v>
      </c>
    </row>
    <row r="37" spans="2:15" ht="12.75" x14ac:dyDescent="0.2">
      <c r="B37" s="212" t="s">
        <v>668</v>
      </c>
      <c r="J37" s="314">
        <f>J35-J36</f>
        <v>711.62140625000006</v>
      </c>
      <c r="K37" s="314">
        <f t="shared" ref="K37:O37" si="23">K35-K36</f>
        <v>649.78839285714298</v>
      </c>
      <c r="L37" s="314">
        <f t="shared" si="23"/>
        <v>676.11415178571428</v>
      </c>
      <c r="M37" s="314">
        <f t="shared" si="23"/>
        <v>682.60432366071427</v>
      </c>
      <c r="N37" s="314">
        <f t="shared" si="23"/>
        <v>709.68909118303577</v>
      </c>
      <c r="O37" s="314">
        <f t="shared" si="23"/>
        <v>737.18942280691977</v>
      </c>
    </row>
    <row r="38" spans="2:15" ht="12.75" x14ac:dyDescent="0.2">
      <c r="B38" s="212" t="s">
        <v>392</v>
      </c>
      <c r="C38" s="482">
        <v>0.1125</v>
      </c>
      <c r="J38" s="314">
        <f>J37*$C$38</f>
        <v>80.057408203125007</v>
      </c>
      <c r="K38" s="314">
        <f t="shared" ref="K38:O38" si="24">K37*$C$38</f>
        <v>73.101194196428594</v>
      </c>
      <c r="L38" s="314">
        <f t="shared" si="24"/>
        <v>76.06284207589286</v>
      </c>
      <c r="M38" s="314">
        <f t="shared" si="24"/>
        <v>76.792986411830356</v>
      </c>
      <c r="N38" s="314">
        <f t="shared" si="24"/>
        <v>79.840022758091521</v>
      </c>
      <c r="O38" s="314">
        <f t="shared" si="24"/>
        <v>82.933810065778474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0"/>
  <sheetViews>
    <sheetView zoomScale="110" workbookViewId="0">
      <pane xSplit="2" ySplit="13" topLeftCell="C40" activePane="bottomRight" state="frozen"/>
      <selection pane="topRight" activeCell="C1" sqref="C1"/>
      <selection pane="bottomLeft" activeCell="A14" sqref="A14"/>
      <selection pane="bottomRight" activeCell="D57" sqref="D57"/>
    </sheetView>
  </sheetViews>
  <sheetFormatPr defaultColWidth="9.1796875" defaultRowHeight="14.5" x14ac:dyDescent="0.35"/>
  <cols>
    <col min="1" max="1" width="22" style="31" customWidth="1"/>
    <col min="2" max="2" width="28" style="31" bestFit="1" customWidth="1"/>
    <col min="3" max="3" width="28" style="31" customWidth="1"/>
    <col min="4" max="4" width="16.81640625" style="32" bestFit="1" customWidth="1"/>
    <col min="5" max="5" width="14.453125" style="32" bestFit="1" customWidth="1"/>
    <col min="6" max="6" width="14.81640625" style="32" bestFit="1" customWidth="1"/>
    <col min="7" max="7" width="25" style="32" customWidth="1"/>
    <col min="8" max="8" width="15.453125" style="32" bestFit="1" customWidth="1"/>
    <col min="9" max="9" width="20.81640625" style="32" customWidth="1"/>
    <col min="10" max="14" width="14.81640625" style="31" bestFit="1" customWidth="1"/>
    <col min="15" max="15" width="16.1796875" style="31" bestFit="1" customWidth="1"/>
    <col min="16" max="16" width="15.453125" style="31" bestFit="1" customWidth="1"/>
    <col min="17" max="17" width="17.453125" style="31" bestFit="1" customWidth="1"/>
    <col min="18" max="18" width="18" style="31" bestFit="1" customWidth="1"/>
    <col min="19" max="19" width="12.1796875" style="31" bestFit="1" customWidth="1"/>
    <col min="20" max="20" width="16.1796875" style="31" bestFit="1" customWidth="1"/>
    <col min="21" max="21" width="9" style="31" bestFit="1" customWidth="1"/>
    <col min="22" max="22" width="17.453125" style="31" bestFit="1" customWidth="1"/>
    <col min="23" max="23" width="18" style="31" bestFit="1" customWidth="1"/>
    <col min="24" max="24" width="13.453125" style="31" bestFit="1" customWidth="1"/>
    <col min="25" max="25" width="15.1796875" style="31" bestFit="1" customWidth="1"/>
    <col min="26" max="26" width="9" style="31" bestFit="1" customWidth="1"/>
    <col min="27" max="27" width="17.453125" style="31" bestFit="1" customWidth="1"/>
    <col min="28" max="28" width="18" style="31" bestFit="1" customWidth="1"/>
    <col min="29" max="29" width="18" style="31" customWidth="1"/>
    <col min="30" max="30" width="13.453125" style="31" bestFit="1" customWidth="1"/>
    <col min="31" max="16384" width="9.1796875" style="31"/>
  </cols>
  <sheetData>
    <row r="2" spans="1:18" ht="16.5" x14ac:dyDescent="0.3">
      <c r="A2" s="30" t="s">
        <v>360</v>
      </c>
    </row>
    <row r="3" spans="1:18" s="35" customFormat="1" ht="33" x14ac:dyDescent="0.25">
      <c r="A3" s="33" t="s">
        <v>361</v>
      </c>
      <c r="B3" s="33" t="s">
        <v>362</v>
      </c>
      <c r="C3" s="33"/>
      <c r="D3" s="34" t="s">
        <v>363</v>
      </c>
      <c r="E3" s="34" t="s">
        <v>364</v>
      </c>
      <c r="F3" s="34" t="s">
        <v>365</v>
      </c>
      <c r="G3" s="34" t="s">
        <v>366</v>
      </c>
      <c r="H3" s="34" t="s">
        <v>367</v>
      </c>
      <c r="I3" s="34" t="s">
        <v>368</v>
      </c>
    </row>
    <row r="4" spans="1:18" ht="16.5" x14ac:dyDescent="0.3">
      <c r="A4" s="36" t="s">
        <v>369</v>
      </c>
      <c r="B4" s="37" t="s">
        <v>370</v>
      </c>
      <c r="C4" s="37"/>
      <c r="D4" s="38">
        <v>100001</v>
      </c>
      <c r="E4" s="39" t="s">
        <v>371</v>
      </c>
      <c r="F4" s="40">
        <v>1300416.0717260272</v>
      </c>
      <c r="G4" s="41">
        <v>1303028</v>
      </c>
      <c r="H4" s="42">
        <v>0</v>
      </c>
      <c r="I4" s="42">
        <v>2611.9282739728224</v>
      </c>
      <c r="J4" s="31" t="s">
        <v>372</v>
      </c>
    </row>
    <row r="5" spans="1:18" ht="15.75" customHeight="1" x14ac:dyDescent="0.3">
      <c r="A5" s="36" t="s">
        <v>369</v>
      </c>
      <c r="B5" s="37" t="s">
        <v>373</v>
      </c>
      <c r="C5" s="37"/>
      <c r="D5" s="43">
        <v>16351000</v>
      </c>
      <c r="E5" s="39" t="s">
        <v>374</v>
      </c>
      <c r="F5" s="44">
        <v>1213602.5780821918</v>
      </c>
      <c r="G5" s="45">
        <v>1165933</v>
      </c>
      <c r="H5" s="42">
        <v>0</v>
      </c>
      <c r="I5" s="42">
        <v>-47669.578082191758</v>
      </c>
      <c r="J5" s="31" t="s">
        <v>375</v>
      </c>
    </row>
    <row r="6" spans="1:18" ht="16.5" x14ac:dyDescent="0.3">
      <c r="A6" s="36" t="s">
        <v>369</v>
      </c>
      <c r="B6" s="37" t="s">
        <v>376</v>
      </c>
      <c r="C6" s="37"/>
      <c r="D6" s="38">
        <v>1265237</v>
      </c>
      <c r="E6" s="39" t="s">
        <v>377</v>
      </c>
      <c r="F6" s="40">
        <v>1316390.2379753422</v>
      </c>
      <c r="G6" s="45">
        <v>1064671</v>
      </c>
      <c r="H6" s="42">
        <v>0</v>
      </c>
      <c r="I6" s="42">
        <v>-251719.2379753422</v>
      </c>
      <c r="J6" s="31" t="s">
        <v>375</v>
      </c>
    </row>
    <row r="7" spans="1:18" ht="16.5" x14ac:dyDescent="0.3">
      <c r="A7" s="36" t="s">
        <v>369</v>
      </c>
      <c r="B7" s="37" t="s">
        <v>378</v>
      </c>
      <c r="C7" s="37"/>
      <c r="D7" s="38">
        <v>70005426</v>
      </c>
      <c r="E7" s="39" t="s">
        <v>377</v>
      </c>
      <c r="F7" s="40">
        <v>10903611.213201372</v>
      </c>
      <c r="G7" s="45">
        <v>8586961</v>
      </c>
      <c r="H7" s="42">
        <v>0</v>
      </c>
      <c r="I7" s="42">
        <v>-2316650.213201372</v>
      </c>
      <c r="J7" s="31" t="s">
        <v>375</v>
      </c>
    </row>
    <row r="8" spans="1:18" ht="16.5" x14ac:dyDescent="0.3">
      <c r="A8" s="36" t="s">
        <v>59</v>
      </c>
      <c r="B8" s="46" t="s">
        <v>379</v>
      </c>
      <c r="C8" s="46"/>
      <c r="D8" s="38">
        <v>214341790</v>
      </c>
      <c r="E8" s="39" t="s">
        <v>380</v>
      </c>
      <c r="F8" s="40">
        <v>18463730.231734246</v>
      </c>
      <c r="G8" s="45">
        <v>19055232</v>
      </c>
      <c r="H8" s="42">
        <v>0</v>
      </c>
      <c r="I8" s="42">
        <v>591501.76826575398</v>
      </c>
      <c r="J8" s="31" t="s">
        <v>372</v>
      </c>
    </row>
    <row r="11" spans="1:18" ht="16.5" x14ac:dyDescent="0.3">
      <c r="A11" s="30" t="s">
        <v>381</v>
      </c>
    </row>
    <row r="12" spans="1:18" ht="14.15" customHeight="1" x14ac:dyDescent="0.35">
      <c r="A12" s="622" t="s">
        <v>361</v>
      </c>
      <c r="B12" s="624" t="s">
        <v>362</v>
      </c>
      <c r="C12" s="65"/>
      <c r="D12" s="626" t="s">
        <v>363</v>
      </c>
      <c r="E12" s="628" t="s">
        <v>364</v>
      </c>
      <c r="F12" s="617" t="s">
        <v>382</v>
      </c>
      <c r="G12" s="618"/>
      <c r="H12" s="618"/>
      <c r="I12" s="618"/>
      <c r="J12" s="618"/>
      <c r="K12" s="618"/>
      <c r="L12" s="618"/>
      <c r="M12" s="618"/>
      <c r="N12" s="618"/>
      <c r="O12" s="619"/>
      <c r="P12" s="620" t="s">
        <v>368</v>
      </c>
    </row>
    <row r="13" spans="1:18" x14ac:dyDescent="0.35">
      <c r="A13" s="623"/>
      <c r="B13" s="625"/>
      <c r="C13" s="66" t="s">
        <v>403</v>
      </c>
      <c r="D13" s="627"/>
      <c r="E13" s="629"/>
      <c r="F13" s="47" t="s">
        <v>383</v>
      </c>
      <c r="G13" s="47" t="s">
        <v>384</v>
      </c>
      <c r="H13" s="47" t="s">
        <v>385</v>
      </c>
      <c r="I13" s="47" t="s">
        <v>386</v>
      </c>
      <c r="J13" s="47" t="s">
        <v>387</v>
      </c>
      <c r="K13" s="47" t="s">
        <v>388</v>
      </c>
      <c r="L13" s="47" t="s">
        <v>389</v>
      </c>
      <c r="M13" s="47" t="s">
        <v>390</v>
      </c>
      <c r="N13" s="47" t="s">
        <v>390</v>
      </c>
      <c r="O13" s="47" t="s">
        <v>391</v>
      </c>
      <c r="P13" s="621"/>
      <c r="Q13" s="31" t="s">
        <v>407</v>
      </c>
    </row>
    <row r="14" spans="1:18" ht="16.5" x14ac:dyDescent="0.3">
      <c r="A14" s="36" t="s">
        <v>369</v>
      </c>
      <c r="B14" s="37" t="s">
        <v>370</v>
      </c>
      <c r="C14" s="37" t="s">
        <v>404</v>
      </c>
      <c r="D14" s="38">
        <v>68435</v>
      </c>
      <c r="E14" s="39" t="s">
        <v>371</v>
      </c>
      <c r="F14" s="48">
        <v>68435</v>
      </c>
      <c r="G14" s="48">
        <v>0</v>
      </c>
      <c r="H14" s="48"/>
      <c r="I14" s="48"/>
      <c r="J14" s="48"/>
      <c r="K14" s="48"/>
      <c r="L14" s="48">
        <v>0</v>
      </c>
      <c r="M14" s="49">
        <v>0</v>
      </c>
      <c r="N14" s="49">
        <v>0</v>
      </c>
      <c r="O14" s="49">
        <v>68435</v>
      </c>
      <c r="P14" s="50">
        <v>0</v>
      </c>
      <c r="Q14" s="31">
        <v>2724999</v>
      </c>
    </row>
    <row r="15" spans="1:18" ht="16.5" x14ac:dyDescent="0.3">
      <c r="A15" s="36" t="s">
        <v>369</v>
      </c>
      <c r="B15" s="37" t="s">
        <v>373</v>
      </c>
      <c r="C15" s="37" t="s">
        <v>405</v>
      </c>
      <c r="D15" s="43">
        <v>16351000</v>
      </c>
      <c r="E15" s="39" t="s">
        <v>374</v>
      </c>
      <c r="F15" s="42">
        <v>0</v>
      </c>
      <c r="G15" s="38">
        <v>4541944.4000000004</v>
      </c>
      <c r="H15" s="38">
        <v>5450333.2800000012</v>
      </c>
      <c r="I15" s="42">
        <v>5450333.2800000012</v>
      </c>
      <c r="J15" s="42">
        <v>908388.88</v>
      </c>
      <c r="K15" s="42"/>
      <c r="L15" s="42">
        <v>0</v>
      </c>
      <c r="M15" s="42">
        <v>0</v>
      </c>
      <c r="N15" s="42">
        <v>0</v>
      </c>
      <c r="O15" s="49">
        <v>16350999.840000004</v>
      </c>
      <c r="P15" s="40">
        <v>0.15999999642372131</v>
      </c>
      <c r="Q15" s="51"/>
    </row>
    <row r="16" spans="1:18" ht="16.5" x14ac:dyDescent="0.3">
      <c r="A16" s="36" t="s">
        <v>369</v>
      </c>
      <c r="B16" s="37" t="s">
        <v>376</v>
      </c>
      <c r="C16" s="37" t="s">
        <v>404</v>
      </c>
      <c r="D16" s="38">
        <v>1265237</v>
      </c>
      <c r="E16" s="39" t="s">
        <v>377</v>
      </c>
      <c r="F16" s="42">
        <v>1265237</v>
      </c>
      <c r="G16" s="38">
        <v>0</v>
      </c>
      <c r="H16" s="42"/>
      <c r="I16" s="42"/>
      <c r="J16" s="42"/>
      <c r="K16" s="42"/>
      <c r="L16" s="42">
        <v>0</v>
      </c>
      <c r="M16" s="42">
        <v>0</v>
      </c>
      <c r="N16" s="42">
        <v>0</v>
      </c>
      <c r="O16" s="49">
        <v>1265237</v>
      </c>
      <c r="P16" s="40">
        <v>0</v>
      </c>
      <c r="Q16" s="31">
        <v>5000000</v>
      </c>
      <c r="R16" s="51">
        <f>O16-Q16</f>
        <v>-3734763</v>
      </c>
    </row>
    <row r="17" spans="1:19" ht="16.5" x14ac:dyDescent="0.3">
      <c r="A17" s="36" t="s">
        <v>369</v>
      </c>
      <c r="B17" s="37" t="s">
        <v>378</v>
      </c>
      <c r="C17" s="37" t="s">
        <v>404</v>
      </c>
      <c r="D17" s="38">
        <v>70005426</v>
      </c>
      <c r="E17" s="39" t="s">
        <v>377</v>
      </c>
      <c r="F17" s="52">
        <v>0</v>
      </c>
      <c r="G17" s="53">
        <f>16151440-16151440</f>
        <v>0</v>
      </c>
      <c r="H17" s="53">
        <f>16151440</f>
        <v>16151440</v>
      </c>
      <c r="I17" s="52">
        <v>21551106</v>
      </c>
      <c r="J17" s="52"/>
      <c r="K17" s="52"/>
      <c r="L17" s="52">
        <v>0</v>
      </c>
      <c r="M17" s="52">
        <v>0</v>
      </c>
      <c r="N17" s="52">
        <v>0</v>
      </c>
      <c r="O17" s="54">
        <v>70005426</v>
      </c>
      <c r="P17" s="55">
        <v>0</v>
      </c>
      <c r="Q17" s="31">
        <v>16151440</v>
      </c>
      <c r="R17" s="51">
        <f>O17-Q17</f>
        <v>53853986</v>
      </c>
      <c r="S17" s="51">
        <f>Q17-16151440</f>
        <v>0</v>
      </c>
    </row>
    <row r="18" spans="1:19" ht="16.5" x14ac:dyDescent="0.3">
      <c r="A18" s="36" t="s">
        <v>59</v>
      </c>
      <c r="B18" s="46" t="s">
        <v>379</v>
      </c>
      <c r="C18" s="46"/>
      <c r="D18" s="38">
        <v>214341790</v>
      </c>
      <c r="E18" s="39" t="s">
        <v>380</v>
      </c>
      <c r="F18" s="42">
        <v>14876000</v>
      </c>
      <c r="G18" s="42">
        <v>25764000</v>
      </c>
      <c r="H18" s="42">
        <v>25764000</v>
      </c>
      <c r="I18" s="42">
        <v>25764000</v>
      </c>
      <c r="J18" s="42">
        <v>34352000</v>
      </c>
      <c r="K18" s="42">
        <v>34352000</v>
      </c>
      <c r="L18" s="42">
        <v>34352000</v>
      </c>
      <c r="M18" s="42">
        <v>19117790</v>
      </c>
      <c r="N18" s="42">
        <v>0</v>
      </c>
      <c r="O18" s="54">
        <v>214341790</v>
      </c>
      <c r="P18" s="55">
        <v>0</v>
      </c>
    </row>
    <row r="19" spans="1:19" ht="16.5" x14ac:dyDescent="0.3">
      <c r="E19" s="32" t="s">
        <v>406</v>
      </c>
      <c r="F19" s="67">
        <f>SUM(F14:F18)</f>
        <v>16209672</v>
      </c>
      <c r="G19" s="67">
        <f>SUM(G14:G18)</f>
        <v>30305944.399999999</v>
      </c>
      <c r="H19" s="67">
        <f t="shared" ref="H19:M19" si="0">SUM(H14:H18)</f>
        <v>47365773.280000001</v>
      </c>
      <c r="I19" s="67">
        <f t="shared" si="0"/>
        <v>52765439.280000001</v>
      </c>
      <c r="J19" s="67">
        <f t="shared" si="0"/>
        <v>35260388.880000003</v>
      </c>
      <c r="K19" s="67">
        <f t="shared" si="0"/>
        <v>34352000</v>
      </c>
      <c r="L19" s="67">
        <f t="shared" si="0"/>
        <v>34352000</v>
      </c>
      <c r="M19" s="67">
        <f t="shared" si="0"/>
        <v>19117790</v>
      </c>
    </row>
    <row r="20" spans="1:19" ht="16.5" x14ac:dyDescent="0.3">
      <c r="A20" s="30" t="s">
        <v>381</v>
      </c>
    </row>
    <row r="21" spans="1:19" ht="14.15" customHeight="1" x14ac:dyDescent="0.35">
      <c r="A21" s="622" t="s">
        <v>361</v>
      </c>
      <c r="B21" s="624" t="s">
        <v>362</v>
      </c>
      <c r="C21" s="65"/>
      <c r="D21" s="626"/>
      <c r="E21" s="628"/>
      <c r="F21" s="617" t="s">
        <v>392</v>
      </c>
      <c r="G21" s="618"/>
      <c r="H21" s="618"/>
      <c r="I21" s="618"/>
      <c r="J21" s="618"/>
      <c r="K21" s="618"/>
      <c r="L21" s="618"/>
      <c r="M21" s="618"/>
      <c r="N21" s="618"/>
      <c r="O21" s="619"/>
      <c r="P21" s="620"/>
    </row>
    <row r="22" spans="1:19" x14ac:dyDescent="0.35">
      <c r="A22" s="623"/>
      <c r="B22" s="625"/>
      <c r="C22" s="66"/>
      <c r="D22" s="627"/>
      <c r="E22" s="629"/>
      <c r="F22" s="47" t="s">
        <v>383</v>
      </c>
      <c r="G22" s="47" t="s">
        <v>384</v>
      </c>
      <c r="H22" s="47" t="s">
        <v>385</v>
      </c>
      <c r="I22" s="47" t="s">
        <v>386</v>
      </c>
      <c r="J22" s="47" t="s">
        <v>387</v>
      </c>
      <c r="K22" s="47" t="s">
        <v>388</v>
      </c>
      <c r="L22" s="47" t="s">
        <v>389</v>
      </c>
      <c r="M22" s="47" t="s">
        <v>390</v>
      </c>
      <c r="N22" s="47" t="s">
        <v>390</v>
      </c>
      <c r="O22" s="47" t="s">
        <v>391</v>
      </c>
      <c r="P22" s="621"/>
    </row>
    <row r="23" spans="1:19" ht="16.5" x14ac:dyDescent="0.3">
      <c r="A23" s="36" t="s">
        <v>369</v>
      </c>
      <c r="B23" s="37" t="s">
        <v>370</v>
      </c>
      <c r="C23" s="37" t="s">
        <v>404</v>
      </c>
      <c r="D23" s="38"/>
      <c r="E23" s="39"/>
      <c r="F23" s="48">
        <v>562.47945205479448</v>
      </c>
      <c r="G23" s="48"/>
      <c r="H23" s="48"/>
      <c r="I23" s="48"/>
      <c r="J23" s="48"/>
      <c r="K23" s="48">
        <v>0</v>
      </c>
      <c r="L23" s="48">
        <v>0</v>
      </c>
      <c r="M23" s="49">
        <v>0</v>
      </c>
      <c r="N23" s="49">
        <v>0</v>
      </c>
      <c r="O23" s="49">
        <v>562.47945205479448</v>
      </c>
      <c r="P23" s="50"/>
    </row>
    <row r="24" spans="1:19" ht="16.5" x14ac:dyDescent="0.3">
      <c r="A24" s="36" t="s">
        <v>369</v>
      </c>
      <c r="B24" s="37" t="s">
        <v>373</v>
      </c>
      <c r="C24" s="37" t="s">
        <v>405</v>
      </c>
      <c r="D24" s="38"/>
      <c r="E24" s="39"/>
      <c r="F24" s="42">
        <v>1655975.5232876714</v>
      </c>
      <c r="G24" s="38">
        <v>1480147.5227569318</v>
      </c>
      <c r="H24" s="42">
        <v>941100.85078663076</v>
      </c>
      <c r="I24" s="42">
        <v>390617.1895066307</v>
      </c>
      <c r="J24" s="42">
        <v>11436.992010411052</v>
      </c>
      <c r="K24" s="42">
        <v>0</v>
      </c>
      <c r="L24" s="42">
        <v>0</v>
      </c>
      <c r="M24" s="42">
        <v>0</v>
      </c>
      <c r="N24" s="42">
        <v>0</v>
      </c>
      <c r="O24" s="49">
        <v>4479278.0783482753</v>
      </c>
      <c r="P24" s="40"/>
    </row>
    <row r="25" spans="1:19" ht="16.5" x14ac:dyDescent="0.3">
      <c r="A25" s="36" t="s">
        <v>369</v>
      </c>
      <c r="B25" s="37" t="s">
        <v>376</v>
      </c>
      <c r="C25" s="37" t="s">
        <v>404</v>
      </c>
      <c r="D25" s="38"/>
      <c r="E25" s="39"/>
      <c r="F25" s="42">
        <v>26649.704263013697</v>
      </c>
      <c r="G25" s="38"/>
      <c r="H25" s="42"/>
      <c r="I25" s="42"/>
      <c r="J25" s="42"/>
      <c r="K25" s="42"/>
      <c r="L25" s="42"/>
      <c r="M25" s="42"/>
      <c r="N25" s="42"/>
      <c r="O25" s="49">
        <v>26649.704263013697</v>
      </c>
      <c r="P25" s="40"/>
    </row>
    <row r="26" spans="1:19" ht="16.5" x14ac:dyDescent="0.3">
      <c r="A26" s="36" t="s">
        <v>369</v>
      </c>
      <c r="B26" s="37" t="s">
        <v>378</v>
      </c>
      <c r="C26" s="37" t="s">
        <v>404</v>
      </c>
      <c r="D26" s="53"/>
      <c r="E26" s="56"/>
      <c r="F26" s="52">
        <v>7951355.8800657541</v>
      </c>
      <c r="G26" s="53">
        <v>5928909.9532054802</v>
      </c>
      <c r="H26" s="53">
        <v>3926131.3932054797</v>
      </c>
      <c r="I26" s="52">
        <v>1575558.3126575341</v>
      </c>
      <c r="J26" s="52"/>
      <c r="K26" s="52"/>
      <c r="L26" s="52"/>
      <c r="M26" s="52"/>
      <c r="N26" s="52"/>
      <c r="O26" s="49">
        <v>19381955.539134249</v>
      </c>
      <c r="P26" s="55"/>
    </row>
    <row r="27" spans="1:19" ht="16.5" x14ac:dyDescent="0.3">
      <c r="A27" s="36" t="s">
        <v>59</v>
      </c>
      <c r="B27" s="46" t="s">
        <v>379</v>
      </c>
      <c r="C27" s="46"/>
      <c r="D27" s="57"/>
      <c r="E27" s="58"/>
      <c r="F27" s="57">
        <v>21125427.420739725</v>
      </c>
      <c r="G27" s="57">
        <v>19077991.366232872</v>
      </c>
      <c r="H27" s="57">
        <v>16488709.366232878</v>
      </c>
      <c r="I27" s="57">
        <v>13899427.366232876</v>
      </c>
      <c r="J27" s="57">
        <v>11013917.565945202</v>
      </c>
      <c r="K27" s="57">
        <v>7534995.8566438351</v>
      </c>
      <c r="L27" s="57">
        <v>4082619.8566438351</v>
      </c>
      <c r="M27" s="57">
        <v>745753.93639726029</v>
      </c>
      <c r="N27" s="57"/>
      <c r="O27" s="49">
        <v>93968842.7350685</v>
      </c>
      <c r="P27" s="40"/>
    </row>
    <row r="28" spans="1:19" ht="16.5" x14ac:dyDescent="0.3">
      <c r="A28" s="68"/>
      <c r="B28" s="69"/>
      <c r="C28" s="69"/>
      <c r="D28" s="70"/>
      <c r="F28" s="67">
        <f t="shared" ref="F28:M28" si="1">SUM(F23:F27)</f>
        <v>30759971.00780822</v>
      </c>
      <c r="G28" s="67">
        <f t="shared" si="1"/>
        <v>26487048.842195284</v>
      </c>
      <c r="H28" s="67">
        <f t="shared" si="1"/>
        <v>21355941.610224988</v>
      </c>
      <c r="I28" s="67">
        <f t="shared" si="1"/>
        <v>15865602.86839704</v>
      </c>
      <c r="J28" s="67">
        <f t="shared" si="1"/>
        <v>11025354.557955613</v>
      </c>
      <c r="K28" s="67">
        <f t="shared" si="1"/>
        <v>7534995.8566438351</v>
      </c>
      <c r="L28" s="67">
        <f t="shared" si="1"/>
        <v>4082619.8566438351</v>
      </c>
      <c r="M28" s="67">
        <f t="shared" si="1"/>
        <v>745753.93639726029</v>
      </c>
      <c r="N28" s="70"/>
      <c r="O28" s="67"/>
      <c r="P28" s="51"/>
    </row>
    <row r="30" spans="1:19" ht="16.5" x14ac:dyDescent="0.3">
      <c r="A30" s="630" t="s">
        <v>393</v>
      </c>
      <c r="B30" s="631"/>
      <c r="C30" s="631"/>
      <c r="D30" s="631"/>
      <c r="E30" s="632"/>
      <c r="F30" s="59">
        <v>36001427.420739725</v>
      </c>
      <c r="G30" s="59">
        <v>44841991.366232872</v>
      </c>
      <c r="H30" s="59">
        <v>42252709.366232879</v>
      </c>
      <c r="I30" s="59">
        <v>39663427.366232872</v>
      </c>
      <c r="J30" s="59">
        <v>45365917.565945201</v>
      </c>
      <c r="K30" s="59">
        <v>41886995.856643833</v>
      </c>
      <c r="L30" s="59">
        <v>38434619.856643833</v>
      </c>
      <c r="M30" s="59">
        <v>19863543.936397262</v>
      </c>
      <c r="N30" s="59">
        <v>0</v>
      </c>
      <c r="O30" s="59">
        <v>308310632.7350685</v>
      </c>
    </row>
    <row r="32" spans="1:19" ht="16.5" x14ac:dyDescent="0.3">
      <c r="F32" s="32" t="s">
        <v>402</v>
      </c>
    </row>
    <row r="34" spans="4:11" ht="16.5" x14ac:dyDescent="0.3">
      <c r="F34" s="32">
        <v>39028</v>
      </c>
      <c r="H34" s="67">
        <v>51139624</v>
      </c>
    </row>
    <row r="35" spans="4:11" ht="16.5" x14ac:dyDescent="0.3">
      <c r="F35" s="32">
        <v>78057</v>
      </c>
    </row>
    <row r="36" spans="4:11" ht="16.5" x14ac:dyDescent="0.3">
      <c r="F36" s="32">
        <v>39029</v>
      </c>
    </row>
    <row r="39" spans="4:11" ht="16.5" x14ac:dyDescent="0.3">
      <c r="G39" s="60" t="s">
        <v>394</v>
      </c>
      <c r="H39" s="60" t="s">
        <v>395</v>
      </c>
      <c r="I39" s="60" t="s">
        <v>396</v>
      </c>
    </row>
    <row r="40" spans="4:11" ht="33" x14ac:dyDescent="0.3">
      <c r="G40" s="61" t="s">
        <v>397</v>
      </c>
      <c r="H40" s="62">
        <v>78057</v>
      </c>
      <c r="I40" s="63" t="s">
        <v>398</v>
      </c>
    </row>
    <row r="41" spans="4:11" ht="33" x14ac:dyDescent="0.3">
      <c r="G41" s="63" t="s">
        <v>399</v>
      </c>
      <c r="H41" s="61">
        <v>39028</v>
      </c>
      <c r="I41" s="63" t="s">
        <v>400</v>
      </c>
    </row>
    <row r="42" spans="4:11" ht="16.5" x14ac:dyDescent="0.3">
      <c r="G42" s="61" t="s">
        <v>401</v>
      </c>
      <c r="H42" s="62">
        <v>39029</v>
      </c>
      <c r="I42" s="63"/>
    </row>
    <row r="48" spans="4:11" ht="16.5" x14ac:dyDescent="0.3">
      <c r="D48" s="67" t="s">
        <v>406</v>
      </c>
      <c r="E48" s="67">
        <v>53418177.399999999</v>
      </c>
      <c r="F48" s="67">
        <v>47365773.280000001</v>
      </c>
      <c r="G48" s="67">
        <v>52765439.280000001</v>
      </c>
      <c r="H48" s="67">
        <v>35260388.880000003</v>
      </c>
      <c r="I48" s="67">
        <v>34352000</v>
      </c>
      <c r="J48" s="51">
        <v>34352000</v>
      </c>
      <c r="K48" s="51">
        <v>19117790</v>
      </c>
    </row>
    <row r="49" spans="4:12" ht="16.5" x14ac:dyDescent="0.3">
      <c r="D49" s="67" t="s">
        <v>406</v>
      </c>
      <c r="E49" s="71">
        <v>896149.5</v>
      </c>
      <c r="F49" s="71">
        <v>896149.5</v>
      </c>
      <c r="G49" s="71">
        <v>896149.5</v>
      </c>
      <c r="H49" s="71">
        <v>896149.5</v>
      </c>
      <c r="I49" s="71">
        <v>896149.5</v>
      </c>
      <c r="J49" s="72">
        <v>896149.5</v>
      </c>
    </row>
    <row r="50" spans="4:12" ht="16.5" x14ac:dyDescent="0.3">
      <c r="D50" s="67" t="s">
        <v>408</v>
      </c>
      <c r="E50" s="67">
        <v>227694139.60999998</v>
      </c>
      <c r="F50" s="67">
        <v>179432216.82999998</v>
      </c>
      <c r="G50" s="67">
        <v>125770628.04999998</v>
      </c>
      <c r="H50" s="67">
        <v>89614089.669999987</v>
      </c>
      <c r="I50" s="67">
        <v>54365940.169999987</v>
      </c>
      <c r="J50" s="51">
        <v>19117790.669999987</v>
      </c>
      <c r="K50" s="51">
        <v>0.66999998688697815</v>
      </c>
    </row>
    <row r="54" spans="4:12" ht="16.5" x14ac:dyDescent="0.3">
      <c r="E54" s="73" t="s">
        <v>383</v>
      </c>
      <c r="F54" s="73" t="s">
        <v>384</v>
      </c>
      <c r="G54" s="73" t="s">
        <v>385</v>
      </c>
      <c r="H54" s="73" t="s">
        <v>386</v>
      </c>
      <c r="I54" s="73" t="s">
        <v>387</v>
      </c>
      <c r="J54" s="30" t="s">
        <v>388</v>
      </c>
      <c r="K54" s="30" t="s">
        <v>389</v>
      </c>
      <c r="L54" s="30" t="s">
        <v>390</v>
      </c>
    </row>
    <row r="55" spans="4:12" ht="16.5" x14ac:dyDescent="0.3">
      <c r="D55" s="32" t="s">
        <v>409</v>
      </c>
      <c r="E55" s="67">
        <v>298383248.50999999</v>
      </c>
      <c r="F55" s="67">
        <v>274279545.36714286</v>
      </c>
      <c r="G55" s="67">
        <v>227054032.82428572</v>
      </c>
      <c r="H55" s="67">
        <v>178920131.40142858</v>
      </c>
      <c r="I55" s="67">
        <v>125386563.97857144</v>
      </c>
      <c r="J55" s="51">
        <v>89358046.9557143</v>
      </c>
      <c r="K55" s="51">
        <v>54237918.812857158</v>
      </c>
      <c r="L55" s="51">
        <v>19117790.670000017</v>
      </c>
    </row>
    <row r="56" spans="4:12" ht="16.5" x14ac:dyDescent="0.3">
      <c r="D56" s="32" t="s">
        <v>410</v>
      </c>
      <c r="E56" s="67">
        <v>16374781.999999998</v>
      </c>
      <c r="F56" s="67">
        <v>24103703.142857142</v>
      </c>
      <c r="G56" s="67">
        <v>47225512.54285714</v>
      </c>
      <c r="H56" s="67">
        <v>48133901.422857143</v>
      </c>
      <c r="I56" s="67">
        <v>53533567.422857143</v>
      </c>
      <c r="J56" s="51">
        <v>36028517.022857144</v>
      </c>
      <c r="K56" s="51">
        <v>35120128.142857142</v>
      </c>
      <c r="L56" s="51">
        <v>35120128.142857142</v>
      </c>
    </row>
    <row r="57" spans="4:12" ht="16.5" x14ac:dyDescent="0.3">
      <c r="D57" s="73" t="s">
        <v>406</v>
      </c>
      <c r="E57" s="70">
        <v>24103703.142857142</v>
      </c>
      <c r="F57" s="70">
        <v>47225512.54285714</v>
      </c>
      <c r="G57" s="70">
        <v>48133901.422857143</v>
      </c>
      <c r="H57" s="70">
        <v>53533567.422857143</v>
      </c>
      <c r="I57" s="70">
        <v>36028517.022857144</v>
      </c>
      <c r="J57" s="74">
        <v>35120128.142857142</v>
      </c>
      <c r="K57" s="74">
        <v>35120128.142857142</v>
      </c>
      <c r="L57" s="74">
        <v>19117790</v>
      </c>
    </row>
    <row r="58" spans="4:12" ht="16.5" x14ac:dyDescent="0.3">
      <c r="D58" s="32" t="s">
        <v>411</v>
      </c>
      <c r="E58" s="67">
        <v>274279545.36714286</v>
      </c>
      <c r="F58" s="67">
        <v>227054032.82428572</v>
      </c>
      <c r="G58" s="67">
        <v>178920131.40142858</v>
      </c>
      <c r="H58" s="67">
        <v>125386563.97857144</v>
      </c>
      <c r="I58" s="67">
        <v>89358046.9557143</v>
      </c>
      <c r="J58" s="51">
        <v>54237918.812857158</v>
      </c>
      <c r="K58" s="51">
        <v>19117790.670000017</v>
      </c>
      <c r="L58" s="51">
        <v>0.67000001668930054</v>
      </c>
    </row>
    <row r="59" spans="4:12" x14ac:dyDescent="0.35">
      <c r="E59" s="67"/>
    </row>
    <row r="60" spans="4:12" x14ac:dyDescent="0.35">
      <c r="E60" s="67">
        <f>E55-E56</f>
        <v>282008466.50999999</v>
      </c>
    </row>
  </sheetData>
  <mergeCells count="13">
    <mergeCell ref="A30:E30"/>
    <mergeCell ref="A21:A22"/>
    <mergeCell ref="B21:B22"/>
    <mergeCell ref="D21:D22"/>
    <mergeCell ref="E21:E22"/>
    <mergeCell ref="F21:O21"/>
    <mergeCell ref="P21:P22"/>
    <mergeCell ref="A12:A13"/>
    <mergeCell ref="B12:B13"/>
    <mergeCell ref="D12:D13"/>
    <mergeCell ref="E12:E13"/>
    <mergeCell ref="F12:O12"/>
    <mergeCell ref="P12:P13"/>
  </mergeCells>
  <pageMargins left="0.51181102362204722" right="0.31496062992125984" top="0.74803149606299213" bottom="0.74803149606299213" header="0" footer="0"/>
  <pageSetup paperSize="5"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3"/>
  <sheetViews>
    <sheetView topLeftCell="A102" workbookViewId="0">
      <selection activeCell="C113" sqref="C113:I113"/>
    </sheetView>
  </sheetViews>
  <sheetFormatPr defaultRowHeight="14.5" x14ac:dyDescent="0.35"/>
  <cols>
    <col min="1" max="1" width="11.453125" customWidth="1"/>
    <col min="2" max="2" width="27.26953125" customWidth="1"/>
    <col min="3" max="3" width="11.1796875" customWidth="1"/>
    <col min="4" max="4" width="11.26953125" customWidth="1"/>
    <col min="5" max="5" width="11.81640625" customWidth="1"/>
    <col min="6" max="6" width="13.26953125" customWidth="1"/>
    <col min="7" max="7" width="11.81640625" customWidth="1"/>
    <col min="8" max="8" width="11.54296875" customWidth="1"/>
    <col min="9" max="9" width="12.54296875" customWidth="1"/>
    <col min="10" max="10" width="10.453125" customWidth="1"/>
    <col min="11" max="11" width="10.1796875" bestFit="1" customWidth="1"/>
    <col min="12" max="12" width="10.1796875" customWidth="1"/>
    <col min="13" max="13" width="10.7265625" bestFit="1" customWidth="1"/>
  </cols>
  <sheetData>
    <row r="1" spans="1:13" ht="15" x14ac:dyDescent="0.25">
      <c r="B1" t="s">
        <v>864</v>
      </c>
    </row>
    <row r="2" spans="1:13" ht="15" x14ac:dyDescent="0.25">
      <c r="B2" t="s">
        <v>865</v>
      </c>
    </row>
    <row r="4" spans="1:13" ht="15" x14ac:dyDescent="0.25">
      <c r="A4" s="245" t="s">
        <v>866</v>
      </c>
    </row>
    <row r="5" spans="1:13" ht="15" x14ac:dyDescent="0.25">
      <c r="A5" s="585">
        <v>0</v>
      </c>
      <c r="B5" s="585" t="s">
        <v>692</v>
      </c>
      <c r="C5" s="584" t="s">
        <v>355</v>
      </c>
      <c r="D5" s="584" t="s">
        <v>356</v>
      </c>
      <c r="E5" s="584" t="s">
        <v>357</v>
      </c>
      <c r="F5" s="584" t="s">
        <v>358</v>
      </c>
      <c r="G5" s="584" t="s">
        <v>10</v>
      </c>
      <c r="H5" s="584" t="s">
        <v>11</v>
      </c>
      <c r="I5" s="584" t="s">
        <v>12</v>
      </c>
      <c r="J5" s="584" t="s">
        <v>13</v>
      </c>
      <c r="K5" s="584" t="s">
        <v>569</v>
      </c>
      <c r="L5" s="584" t="s">
        <v>590</v>
      </c>
      <c r="M5" s="584" t="s">
        <v>391</v>
      </c>
    </row>
    <row r="6" spans="1:13" ht="15" x14ac:dyDescent="0.25">
      <c r="A6" s="236"/>
      <c r="B6" s="236" t="s">
        <v>430</v>
      </c>
      <c r="C6" s="236">
        <f>242.33</f>
        <v>242.33</v>
      </c>
      <c r="D6" s="548">
        <f>C9</f>
        <v>242.33</v>
      </c>
      <c r="E6" s="548">
        <f t="shared" ref="E6:L6" si="0">D9</f>
        <v>242.33</v>
      </c>
      <c r="F6" s="548">
        <f t="shared" si="0"/>
        <v>242.33</v>
      </c>
      <c r="G6" s="548">
        <f t="shared" si="0"/>
        <v>242.33</v>
      </c>
      <c r="H6" s="548">
        <f t="shared" si="0"/>
        <v>242.33</v>
      </c>
      <c r="I6" s="548">
        <f t="shared" si="0"/>
        <v>242.33</v>
      </c>
      <c r="J6" s="548">
        <f t="shared" si="0"/>
        <v>242.33</v>
      </c>
      <c r="K6" s="548">
        <f t="shared" si="0"/>
        <v>242.33</v>
      </c>
      <c r="L6" s="548">
        <f t="shared" si="0"/>
        <v>242.33</v>
      </c>
      <c r="M6" s="236">
        <f>C6</f>
        <v>242.33</v>
      </c>
    </row>
    <row r="7" spans="1:13" ht="15" x14ac:dyDescent="0.25">
      <c r="A7" s="236"/>
      <c r="B7" s="236" t="s">
        <v>677</v>
      </c>
      <c r="C7" s="545">
        <v>0</v>
      </c>
      <c r="D7" s="545">
        <v>0</v>
      </c>
      <c r="E7" s="545">
        <v>0</v>
      </c>
      <c r="F7" s="545">
        <v>0</v>
      </c>
      <c r="G7" s="545">
        <v>0</v>
      </c>
      <c r="H7" s="545">
        <v>0</v>
      </c>
      <c r="I7" s="545">
        <v>0</v>
      </c>
      <c r="J7" s="545">
        <v>0</v>
      </c>
      <c r="K7" s="545">
        <v>0</v>
      </c>
      <c r="L7" s="545">
        <v>0</v>
      </c>
      <c r="M7" s="545">
        <f>SUM(C7:L7)</f>
        <v>0</v>
      </c>
    </row>
    <row r="8" spans="1:13" ht="15" x14ac:dyDescent="0.25">
      <c r="A8" s="236"/>
      <c r="B8" s="236" t="s">
        <v>691</v>
      </c>
      <c r="C8" s="545">
        <v>0</v>
      </c>
      <c r="D8" s="545">
        <v>0</v>
      </c>
      <c r="E8" s="545">
        <v>0</v>
      </c>
      <c r="F8" s="545">
        <v>0</v>
      </c>
      <c r="G8" s="545">
        <v>0</v>
      </c>
      <c r="H8" s="545">
        <v>0</v>
      </c>
      <c r="I8" s="545">
        <v>0</v>
      </c>
      <c r="J8" s="545">
        <v>0</v>
      </c>
      <c r="K8" s="545">
        <v>0</v>
      </c>
      <c r="L8" s="545">
        <v>0</v>
      </c>
      <c r="M8" s="545">
        <f>SUM(C8:L8)</f>
        <v>0</v>
      </c>
    </row>
    <row r="9" spans="1:13" ht="15" x14ac:dyDescent="0.25">
      <c r="A9" s="236"/>
      <c r="B9" s="236" t="s">
        <v>698</v>
      </c>
      <c r="C9" s="545">
        <f>C6+C7-C8</f>
        <v>242.33</v>
      </c>
      <c r="D9" s="545">
        <f t="shared" ref="D9:M9" si="1">D6+D7-D8</f>
        <v>242.33</v>
      </c>
      <c r="E9" s="545">
        <f t="shared" si="1"/>
        <v>242.33</v>
      </c>
      <c r="F9" s="545">
        <f t="shared" si="1"/>
        <v>242.33</v>
      </c>
      <c r="G9" s="545">
        <f t="shared" si="1"/>
        <v>242.33</v>
      </c>
      <c r="H9" s="545">
        <f t="shared" si="1"/>
        <v>242.33</v>
      </c>
      <c r="I9" s="545">
        <f t="shared" si="1"/>
        <v>242.33</v>
      </c>
      <c r="J9" s="545">
        <f t="shared" si="1"/>
        <v>242.33</v>
      </c>
      <c r="K9" s="545">
        <f t="shared" si="1"/>
        <v>242.33</v>
      </c>
      <c r="L9" s="545">
        <f t="shared" si="1"/>
        <v>242.33</v>
      </c>
      <c r="M9" s="545">
        <f t="shared" si="1"/>
        <v>242.33</v>
      </c>
    </row>
    <row r="10" spans="1:13" ht="15" x14ac:dyDescent="0.25">
      <c r="A10" s="236"/>
      <c r="B10" s="236" t="s">
        <v>697</v>
      </c>
      <c r="C10" s="545">
        <f>C15</f>
        <v>23.86</v>
      </c>
      <c r="D10" s="545">
        <f t="shared" ref="D10:L10" si="2">D15</f>
        <v>23.86</v>
      </c>
      <c r="E10" s="545">
        <f t="shared" si="2"/>
        <v>23.86</v>
      </c>
      <c r="F10" s="545">
        <f t="shared" si="2"/>
        <v>23.86</v>
      </c>
      <c r="G10" s="545">
        <f t="shared" si="2"/>
        <v>23.86</v>
      </c>
      <c r="H10" s="545">
        <f t="shared" si="2"/>
        <v>23.86</v>
      </c>
      <c r="I10" s="545">
        <f t="shared" si="2"/>
        <v>23.86</v>
      </c>
      <c r="J10" s="545">
        <f t="shared" si="2"/>
        <v>23.86</v>
      </c>
      <c r="K10" s="545">
        <f t="shared" si="2"/>
        <v>23.86</v>
      </c>
      <c r="L10" s="545">
        <f t="shared" si="2"/>
        <v>23.86</v>
      </c>
      <c r="M10" s="545">
        <f>L10</f>
        <v>23.86</v>
      </c>
    </row>
    <row r="11" spans="1:13" ht="15" x14ac:dyDescent="0.25">
      <c r="A11" s="236"/>
      <c r="B11" s="236" t="s">
        <v>699</v>
      </c>
      <c r="C11" s="549">
        <f>C9-C10</f>
        <v>218.47000000000003</v>
      </c>
      <c r="D11" s="549">
        <f t="shared" ref="D11:L11" si="3">D9-D10</f>
        <v>218.47000000000003</v>
      </c>
      <c r="E11" s="549">
        <f t="shared" si="3"/>
        <v>218.47000000000003</v>
      </c>
      <c r="F11" s="549">
        <f t="shared" si="3"/>
        <v>218.47000000000003</v>
      </c>
      <c r="G11" s="549">
        <f t="shared" si="3"/>
        <v>218.47000000000003</v>
      </c>
      <c r="H11" s="549">
        <f t="shared" si="3"/>
        <v>218.47000000000003</v>
      </c>
      <c r="I11" s="549">
        <f t="shared" si="3"/>
        <v>218.47000000000003</v>
      </c>
      <c r="J11" s="549">
        <f t="shared" si="3"/>
        <v>218.47000000000003</v>
      </c>
      <c r="K11" s="549">
        <f t="shared" si="3"/>
        <v>218.47000000000003</v>
      </c>
      <c r="L11" s="549">
        <f t="shared" si="3"/>
        <v>218.47000000000003</v>
      </c>
      <c r="M11" s="549">
        <f t="shared" ref="M11" si="4">M6+M7-M8-M10</f>
        <v>218.47000000000003</v>
      </c>
    </row>
    <row r="12" spans="1:13" ht="15" x14ac:dyDescent="0.25">
      <c r="A12" s="236"/>
      <c r="B12" s="236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</row>
    <row r="13" spans="1:13" ht="15" x14ac:dyDescent="0.25">
      <c r="A13" s="236"/>
      <c r="B13" s="236" t="s">
        <v>695</v>
      </c>
      <c r="C13" s="549">
        <v>23.86</v>
      </c>
      <c r="D13" s="549">
        <v>23.86</v>
      </c>
      <c r="E13" s="549">
        <v>23.86</v>
      </c>
      <c r="F13" s="549">
        <v>23.86</v>
      </c>
      <c r="G13" s="549">
        <v>23.86</v>
      </c>
      <c r="H13" s="549">
        <v>23.86</v>
      </c>
      <c r="I13" s="549">
        <v>23.86</v>
      </c>
      <c r="J13" s="549">
        <v>23.86</v>
      </c>
      <c r="K13" s="549">
        <v>23.86</v>
      </c>
      <c r="L13" s="549">
        <v>23.86</v>
      </c>
      <c r="M13" s="549">
        <f>C13</f>
        <v>23.86</v>
      </c>
    </row>
    <row r="14" spans="1:13" ht="15" x14ac:dyDescent="0.25">
      <c r="A14" s="236"/>
      <c r="B14" s="236" t="s">
        <v>445</v>
      </c>
      <c r="C14" s="545">
        <f>(C9-C13)*$A$5</f>
        <v>0</v>
      </c>
      <c r="D14" s="545">
        <f t="shared" ref="D14:L14" si="5">(D9-D13)*$A$5</f>
        <v>0</v>
      </c>
      <c r="E14" s="545">
        <f t="shared" si="5"/>
        <v>0</v>
      </c>
      <c r="F14" s="545">
        <f t="shared" si="5"/>
        <v>0</v>
      </c>
      <c r="G14" s="545">
        <f t="shared" si="5"/>
        <v>0</v>
      </c>
      <c r="H14" s="545">
        <f t="shared" si="5"/>
        <v>0</v>
      </c>
      <c r="I14" s="545">
        <f t="shared" si="5"/>
        <v>0</v>
      </c>
      <c r="J14" s="545">
        <f t="shared" si="5"/>
        <v>0</v>
      </c>
      <c r="K14" s="545">
        <f t="shared" si="5"/>
        <v>0</v>
      </c>
      <c r="L14" s="545">
        <f t="shared" si="5"/>
        <v>0</v>
      </c>
      <c r="M14" s="548">
        <f>SUM(C14:L14)</f>
        <v>0</v>
      </c>
    </row>
    <row r="15" spans="1:13" ht="15" x14ac:dyDescent="0.25">
      <c r="A15" s="236"/>
      <c r="B15" s="236" t="s">
        <v>696</v>
      </c>
      <c r="C15" s="545">
        <f>C13+C14</f>
        <v>23.86</v>
      </c>
      <c r="D15" s="545">
        <f t="shared" ref="D15:M15" si="6">D13+D14</f>
        <v>23.86</v>
      </c>
      <c r="E15" s="545">
        <f t="shared" si="6"/>
        <v>23.86</v>
      </c>
      <c r="F15" s="545">
        <f t="shared" si="6"/>
        <v>23.86</v>
      </c>
      <c r="G15" s="545">
        <f t="shared" si="6"/>
        <v>23.86</v>
      </c>
      <c r="H15" s="545">
        <f t="shared" si="6"/>
        <v>23.86</v>
      </c>
      <c r="I15" s="545">
        <f t="shared" si="6"/>
        <v>23.86</v>
      </c>
      <c r="J15" s="545">
        <f t="shared" si="6"/>
        <v>23.86</v>
      </c>
      <c r="K15" s="545">
        <f t="shared" si="6"/>
        <v>23.86</v>
      </c>
      <c r="L15" s="545">
        <f t="shared" si="6"/>
        <v>23.86</v>
      </c>
      <c r="M15" s="545">
        <f t="shared" si="6"/>
        <v>23.86</v>
      </c>
    </row>
    <row r="16" spans="1:13" ht="15" x14ac:dyDescent="0.25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</row>
    <row r="17" spans="1:13" ht="15" x14ac:dyDescent="0.25">
      <c r="A17" s="585">
        <v>4.87E-2</v>
      </c>
      <c r="B17" s="562" t="s">
        <v>186</v>
      </c>
      <c r="C17" s="584" t="s">
        <v>355</v>
      </c>
      <c r="D17" s="584" t="s">
        <v>356</v>
      </c>
      <c r="E17" s="584" t="s">
        <v>357</v>
      </c>
      <c r="F17" s="584" t="s">
        <v>358</v>
      </c>
      <c r="G17" s="584" t="s">
        <v>10</v>
      </c>
      <c r="H17" s="584" t="s">
        <v>11</v>
      </c>
      <c r="I17" s="584" t="s">
        <v>12</v>
      </c>
      <c r="J17" s="584" t="s">
        <v>13</v>
      </c>
      <c r="K17" s="584" t="s">
        <v>569</v>
      </c>
      <c r="L17" s="584" t="s">
        <v>590</v>
      </c>
      <c r="M17" s="584" t="s">
        <v>391</v>
      </c>
    </row>
    <row r="18" spans="1:13" ht="15" x14ac:dyDescent="0.25">
      <c r="A18" s="236"/>
      <c r="B18" s="236" t="s">
        <v>430</v>
      </c>
      <c r="C18" s="545">
        <f>548.9</f>
        <v>548.9</v>
      </c>
      <c r="D18" s="545">
        <f>C21</f>
        <v>548.9</v>
      </c>
      <c r="E18" s="545">
        <f t="shared" ref="E18:L18" si="7">D21</f>
        <v>548.9</v>
      </c>
      <c r="F18" s="545">
        <f t="shared" si="7"/>
        <v>548.9</v>
      </c>
      <c r="G18" s="545">
        <f t="shared" si="7"/>
        <v>548.9</v>
      </c>
      <c r="H18" s="545">
        <f t="shared" si="7"/>
        <v>548.9</v>
      </c>
      <c r="I18" s="545">
        <f t="shared" si="7"/>
        <v>548.9</v>
      </c>
      <c r="J18" s="545">
        <f t="shared" si="7"/>
        <v>548.9</v>
      </c>
      <c r="K18" s="545">
        <f t="shared" si="7"/>
        <v>548.9</v>
      </c>
      <c r="L18" s="545">
        <f t="shared" si="7"/>
        <v>548.9</v>
      </c>
      <c r="M18" s="545">
        <f>C18</f>
        <v>548.9</v>
      </c>
    </row>
    <row r="19" spans="1:13" ht="15" x14ac:dyDescent="0.25">
      <c r="A19" s="236"/>
      <c r="B19" s="236" t="s">
        <v>677</v>
      </c>
      <c r="C19" s="545">
        <v>0</v>
      </c>
      <c r="D19" s="545">
        <v>0</v>
      </c>
      <c r="E19" s="545">
        <v>0</v>
      </c>
      <c r="F19" s="545">
        <v>0</v>
      </c>
      <c r="G19" s="545">
        <v>0</v>
      </c>
      <c r="H19" s="545">
        <v>0</v>
      </c>
      <c r="I19" s="545">
        <v>0</v>
      </c>
      <c r="J19" s="545">
        <v>0</v>
      </c>
      <c r="K19" s="545">
        <v>0</v>
      </c>
      <c r="L19" s="545">
        <v>0</v>
      </c>
      <c r="M19" s="545">
        <f>SUM(C19:L19)</f>
        <v>0</v>
      </c>
    </row>
    <row r="20" spans="1:13" ht="15" x14ac:dyDescent="0.25">
      <c r="A20" s="236"/>
      <c r="B20" s="236" t="s">
        <v>691</v>
      </c>
      <c r="C20" s="545">
        <v>0</v>
      </c>
      <c r="D20" s="545">
        <v>0</v>
      </c>
      <c r="E20" s="545">
        <v>0</v>
      </c>
      <c r="F20" s="545">
        <v>0</v>
      </c>
      <c r="G20" s="545">
        <v>0</v>
      </c>
      <c r="H20" s="545">
        <v>0</v>
      </c>
      <c r="I20" s="545">
        <v>0</v>
      </c>
      <c r="J20" s="545">
        <v>0</v>
      </c>
      <c r="K20" s="545">
        <v>0</v>
      </c>
      <c r="L20" s="545">
        <v>0</v>
      </c>
      <c r="M20" s="545">
        <f>SUM(C20:L20)</f>
        <v>0</v>
      </c>
    </row>
    <row r="21" spans="1:13" ht="15" x14ac:dyDescent="0.25">
      <c r="A21" s="236"/>
      <c r="B21" s="236" t="s">
        <v>698</v>
      </c>
      <c r="C21" s="545">
        <f>C18+C19-C20</f>
        <v>548.9</v>
      </c>
      <c r="D21" s="545">
        <f t="shared" ref="D21:M21" si="8">D18+D19-D20</f>
        <v>548.9</v>
      </c>
      <c r="E21" s="545">
        <f t="shared" si="8"/>
        <v>548.9</v>
      </c>
      <c r="F21" s="545">
        <f t="shared" si="8"/>
        <v>548.9</v>
      </c>
      <c r="G21" s="545">
        <f t="shared" si="8"/>
        <v>548.9</v>
      </c>
      <c r="H21" s="545">
        <f t="shared" si="8"/>
        <v>548.9</v>
      </c>
      <c r="I21" s="545">
        <f t="shared" si="8"/>
        <v>548.9</v>
      </c>
      <c r="J21" s="545">
        <f t="shared" si="8"/>
        <v>548.9</v>
      </c>
      <c r="K21" s="545">
        <f t="shared" si="8"/>
        <v>548.9</v>
      </c>
      <c r="L21" s="545">
        <f t="shared" si="8"/>
        <v>548.9</v>
      </c>
      <c r="M21" s="545">
        <f t="shared" si="8"/>
        <v>548.9</v>
      </c>
    </row>
    <row r="22" spans="1:13" ht="15" x14ac:dyDescent="0.25">
      <c r="A22" s="236"/>
      <c r="B22" s="236" t="s">
        <v>697</v>
      </c>
      <c r="C22" s="545">
        <f>C27</f>
        <v>228.996836</v>
      </c>
      <c r="D22" s="545">
        <f t="shared" ref="D22:L22" si="9">D27</f>
        <v>244.57612008679999</v>
      </c>
      <c r="E22" s="545">
        <f t="shared" si="9"/>
        <v>259.39669303857283</v>
      </c>
      <c r="F22" s="545">
        <f t="shared" si="9"/>
        <v>273.49550408759433</v>
      </c>
      <c r="G22" s="545">
        <f t="shared" si="9"/>
        <v>286.9077030385285</v>
      </c>
      <c r="H22" s="545">
        <f t="shared" si="9"/>
        <v>299.66672790055213</v>
      </c>
      <c r="I22" s="545">
        <f t="shared" si="9"/>
        <v>311.80438825179522</v>
      </c>
      <c r="J22" s="545">
        <f t="shared" si="9"/>
        <v>323.35094454393277</v>
      </c>
      <c r="K22" s="545">
        <f t="shared" si="9"/>
        <v>334.33518354464326</v>
      </c>
      <c r="L22" s="545">
        <f t="shared" si="9"/>
        <v>344.78449010601912</v>
      </c>
      <c r="M22" s="545">
        <f>L22</f>
        <v>344.78449010601912</v>
      </c>
    </row>
    <row r="23" spans="1:13" ht="15" x14ac:dyDescent="0.25">
      <c r="A23" s="236"/>
      <c r="B23" s="236" t="s">
        <v>699</v>
      </c>
      <c r="C23" s="545">
        <f>C21-C22</f>
        <v>319.90316399999995</v>
      </c>
      <c r="D23" s="545">
        <f t="shared" ref="D23:M23" si="10">D21-D22</f>
        <v>304.32387991320002</v>
      </c>
      <c r="E23" s="545">
        <f t="shared" si="10"/>
        <v>289.50330696142714</v>
      </c>
      <c r="F23" s="545">
        <f t="shared" si="10"/>
        <v>275.40449591240565</v>
      </c>
      <c r="G23" s="545">
        <f t="shared" si="10"/>
        <v>261.99229696147148</v>
      </c>
      <c r="H23" s="545">
        <f t="shared" si="10"/>
        <v>249.23327209944784</v>
      </c>
      <c r="I23" s="545">
        <f t="shared" si="10"/>
        <v>237.09561174820476</v>
      </c>
      <c r="J23" s="545">
        <f t="shared" si="10"/>
        <v>225.54905545606721</v>
      </c>
      <c r="K23" s="545">
        <f t="shared" si="10"/>
        <v>214.56481645535672</v>
      </c>
      <c r="L23" s="545">
        <f t="shared" si="10"/>
        <v>204.11550989398086</v>
      </c>
      <c r="M23" s="545">
        <f t="shared" si="10"/>
        <v>204.11550989398086</v>
      </c>
    </row>
    <row r="24" spans="1:13" ht="15" x14ac:dyDescent="0.25">
      <c r="A24" s="236"/>
      <c r="B24" s="236"/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545"/>
    </row>
    <row r="25" spans="1:13" ht="15" x14ac:dyDescent="0.25">
      <c r="A25" s="236"/>
      <c r="B25" s="236" t="s">
        <v>695</v>
      </c>
      <c r="C25" s="545">
        <v>212.62</v>
      </c>
      <c r="D25" s="545">
        <f>C27</f>
        <v>228.996836</v>
      </c>
      <c r="E25" s="545">
        <f>D27</f>
        <v>244.57612008679999</v>
      </c>
      <c r="F25" s="545">
        <f t="shared" ref="F25:L25" si="11">E27</f>
        <v>259.39669303857283</v>
      </c>
      <c r="G25" s="545">
        <f t="shared" si="11"/>
        <v>273.49550408759433</v>
      </c>
      <c r="H25" s="545">
        <f t="shared" si="11"/>
        <v>286.9077030385285</v>
      </c>
      <c r="I25" s="545">
        <f t="shared" si="11"/>
        <v>299.66672790055213</v>
      </c>
      <c r="J25" s="545">
        <f t="shared" si="11"/>
        <v>311.80438825179522</v>
      </c>
      <c r="K25" s="545">
        <f t="shared" si="11"/>
        <v>323.35094454393277</v>
      </c>
      <c r="L25" s="545">
        <f t="shared" si="11"/>
        <v>334.33518354464326</v>
      </c>
      <c r="M25" s="545">
        <f>C25</f>
        <v>212.62</v>
      </c>
    </row>
    <row r="26" spans="1:13" ht="15" x14ac:dyDescent="0.25">
      <c r="A26" s="236"/>
      <c r="B26" s="236" t="s">
        <v>445</v>
      </c>
      <c r="C26" s="545">
        <f>(C21-C25)*$A$17</f>
        <v>16.376835999999997</v>
      </c>
      <c r="D26" s="545">
        <f t="shared" ref="D26:L26" si="12">(D21-D25)*$A$17</f>
        <v>15.579284086799998</v>
      </c>
      <c r="E26" s="545">
        <f t="shared" si="12"/>
        <v>14.82057295177284</v>
      </c>
      <c r="F26" s="545">
        <f t="shared" si="12"/>
        <v>14.098811049021501</v>
      </c>
      <c r="G26" s="545">
        <f t="shared" si="12"/>
        <v>13.412198950934155</v>
      </c>
      <c r="H26" s="545">
        <f t="shared" si="12"/>
        <v>12.759024862023661</v>
      </c>
      <c r="I26" s="545">
        <f t="shared" si="12"/>
        <v>12.13766035124311</v>
      </c>
      <c r="J26" s="545">
        <f t="shared" si="12"/>
        <v>11.546556292137572</v>
      </c>
      <c r="K26" s="545">
        <f t="shared" si="12"/>
        <v>10.984239000710472</v>
      </c>
      <c r="L26" s="545">
        <f t="shared" si="12"/>
        <v>10.449306561375872</v>
      </c>
      <c r="M26" s="545">
        <f>SUM(C26:L26)</f>
        <v>132.16449010601917</v>
      </c>
    </row>
    <row r="27" spans="1:13" ht="15" x14ac:dyDescent="0.25">
      <c r="A27" s="236"/>
      <c r="B27" s="236" t="s">
        <v>696</v>
      </c>
      <c r="C27" s="545">
        <f>C25+C26</f>
        <v>228.996836</v>
      </c>
      <c r="D27" s="545">
        <f t="shared" ref="D27:M27" si="13">D25+D26</f>
        <v>244.57612008679999</v>
      </c>
      <c r="E27" s="545">
        <f t="shared" si="13"/>
        <v>259.39669303857283</v>
      </c>
      <c r="F27" s="545">
        <f t="shared" si="13"/>
        <v>273.49550408759433</v>
      </c>
      <c r="G27" s="545">
        <f t="shared" si="13"/>
        <v>286.9077030385285</v>
      </c>
      <c r="H27" s="545">
        <f t="shared" si="13"/>
        <v>299.66672790055213</v>
      </c>
      <c r="I27" s="545">
        <f t="shared" si="13"/>
        <v>311.80438825179522</v>
      </c>
      <c r="J27" s="545">
        <f t="shared" si="13"/>
        <v>323.35094454393277</v>
      </c>
      <c r="K27" s="545">
        <f t="shared" si="13"/>
        <v>334.33518354464326</v>
      </c>
      <c r="L27" s="545">
        <f t="shared" si="13"/>
        <v>344.78449010601912</v>
      </c>
      <c r="M27" s="545">
        <f t="shared" si="13"/>
        <v>344.78449010601918</v>
      </c>
    </row>
    <row r="28" spans="1:13" ht="15" x14ac:dyDescent="0.25">
      <c r="A28" s="236"/>
      <c r="B28" s="236"/>
      <c r="C28" s="545"/>
      <c r="D28" s="545"/>
      <c r="E28" s="545"/>
      <c r="F28" s="545"/>
      <c r="G28" s="545"/>
      <c r="H28" s="545"/>
      <c r="I28" s="545"/>
      <c r="J28" s="545"/>
      <c r="K28" s="545"/>
      <c r="L28" s="545"/>
      <c r="M28" s="548"/>
    </row>
    <row r="29" spans="1:13" ht="15" x14ac:dyDescent="0.25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</row>
    <row r="30" spans="1:13" ht="15" x14ac:dyDescent="0.25">
      <c r="A30" s="586">
        <v>9.5000000000000001E-2</v>
      </c>
      <c r="B30" s="580" t="s">
        <v>523</v>
      </c>
      <c r="C30" s="584" t="s">
        <v>355</v>
      </c>
      <c r="D30" s="584" t="s">
        <v>356</v>
      </c>
      <c r="E30" s="584" t="s">
        <v>357</v>
      </c>
      <c r="F30" s="584" t="s">
        <v>358</v>
      </c>
      <c r="G30" s="584" t="s">
        <v>10</v>
      </c>
      <c r="H30" s="584" t="s">
        <v>11</v>
      </c>
      <c r="I30" s="584" t="s">
        <v>12</v>
      </c>
      <c r="J30" s="584" t="s">
        <v>13</v>
      </c>
      <c r="K30" s="584" t="s">
        <v>569</v>
      </c>
      <c r="L30" s="584" t="s">
        <v>590</v>
      </c>
      <c r="M30" s="584" t="s">
        <v>391</v>
      </c>
    </row>
    <row r="31" spans="1:13" ht="15" x14ac:dyDescent="0.25">
      <c r="A31" s="236"/>
      <c r="B31" s="236" t="s">
        <v>430</v>
      </c>
      <c r="C31" s="545">
        <f>2444.31</f>
        <v>2444.31</v>
      </c>
      <c r="D31" s="545">
        <f>C34</f>
        <v>2444.31</v>
      </c>
      <c r="E31" s="545">
        <f t="shared" ref="E31:L31" si="14">D34</f>
        <v>2444.31</v>
      </c>
      <c r="F31" s="545">
        <f t="shared" si="14"/>
        <v>2444.31</v>
      </c>
      <c r="G31" s="545">
        <f t="shared" si="14"/>
        <v>2444.31</v>
      </c>
      <c r="H31" s="545">
        <f t="shared" si="14"/>
        <v>2444.31</v>
      </c>
      <c r="I31" s="545">
        <f t="shared" si="14"/>
        <v>2444.31</v>
      </c>
      <c r="J31" s="545">
        <f t="shared" si="14"/>
        <v>2444.31</v>
      </c>
      <c r="K31" s="545">
        <f t="shared" si="14"/>
        <v>2444.31</v>
      </c>
      <c r="L31" s="545">
        <f t="shared" si="14"/>
        <v>2444.31</v>
      </c>
      <c r="M31" s="545">
        <f>C31</f>
        <v>2444.31</v>
      </c>
    </row>
    <row r="32" spans="1:13" ht="15" x14ac:dyDescent="0.25">
      <c r="A32" s="236"/>
      <c r="B32" s="236" t="s">
        <v>677</v>
      </c>
      <c r="C32" s="545">
        <v>0</v>
      </c>
      <c r="D32" s="545">
        <v>0</v>
      </c>
      <c r="E32" s="545">
        <v>0</v>
      </c>
      <c r="F32" s="545">
        <v>0</v>
      </c>
      <c r="G32" s="545">
        <v>0</v>
      </c>
      <c r="H32" s="545">
        <v>0</v>
      </c>
      <c r="I32" s="545">
        <v>0</v>
      </c>
      <c r="J32" s="545">
        <v>0</v>
      </c>
      <c r="K32" s="545">
        <v>0</v>
      </c>
      <c r="L32" s="545">
        <v>0</v>
      </c>
      <c r="M32" s="545">
        <f>SUM(C32:L32)</f>
        <v>0</v>
      </c>
    </row>
    <row r="33" spans="1:13" ht="15" x14ac:dyDescent="0.25">
      <c r="A33" s="236"/>
      <c r="B33" s="236" t="s">
        <v>691</v>
      </c>
      <c r="C33" s="545">
        <v>0</v>
      </c>
      <c r="D33" s="545">
        <v>0</v>
      </c>
      <c r="E33" s="545">
        <v>0</v>
      </c>
      <c r="F33" s="545">
        <v>0</v>
      </c>
      <c r="G33" s="545">
        <v>0</v>
      </c>
      <c r="H33" s="545">
        <v>0</v>
      </c>
      <c r="I33" s="545">
        <v>0</v>
      </c>
      <c r="J33" s="545">
        <v>0</v>
      </c>
      <c r="K33" s="545">
        <v>0</v>
      </c>
      <c r="L33" s="545">
        <v>0</v>
      </c>
      <c r="M33" s="545">
        <f>SUM(C33:L33)</f>
        <v>0</v>
      </c>
    </row>
    <row r="34" spans="1:13" ht="15" x14ac:dyDescent="0.25">
      <c r="A34" s="236"/>
      <c r="B34" s="236" t="s">
        <v>698</v>
      </c>
      <c r="C34" s="545">
        <f>C31+C32-C33</f>
        <v>2444.31</v>
      </c>
      <c r="D34" s="545">
        <f t="shared" ref="D34:M34" si="15">D31+D32-D33</f>
        <v>2444.31</v>
      </c>
      <c r="E34" s="545">
        <f t="shared" si="15"/>
        <v>2444.31</v>
      </c>
      <c r="F34" s="545">
        <f t="shared" si="15"/>
        <v>2444.31</v>
      </c>
      <c r="G34" s="545">
        <f t="shared" si="15"/>
        <v>2444.31</v>
      </c>
      <c r="H34" s="545">
        <f t="shared" si="15"/>
        <v>2444.31</v>
      </c>
      <c r="I34" s="545">
        <f t="shared" si="15"/>
        <v>2444.31</v>
      </c>
      <c r="J34" s="545">
        <f t="shared" si="15"/>
        <v>2444.31</v>
      </c>
      <c r="K34" s="545">
        <f t="shared" si="15"/>
        <v>2444.31</v>
      </c>
      <c r="L34" s="545">
        <f t="shared" si="15"/>
        <v>2444.31</v>
      </c>
      <c r="M34" s="545">
        <f t="shared" si="15"/>
        <v>2444.31</v>
      </c>
    </row>
    <row r="35" spans="1:13" ht="15" x14ac:dyDescent="0.25">
      <c r="A35" s="236"/>
      <c r="B35" s="236" t="s">
        <v>697</v>
      </c>
      <c r="C35" s="545">
        <f>C40</f>
        <v>918.21754999999996</v>
      </c>
      <c r="D35" s="545">
        <f t="shared" ref="D35:L35" si="16">D40</f>
        <v>1063.19633275</v>
      </c>
      <c r="E35" s="545">
        <f t="shared" si="16"/>
        <v>1194.4021311387501</v>
      </c>
      <c r="F35" s="545">
        <f t="shared" si="16"/>
        <v>1313.1433786805687</v>
      </c>
      <c r="G35" s="545">
        <f t="shared" si="16"/>
        <v>1420.6042077059146</v>
      </c>
      <c r="H35" s="545">
        <f t="shared" si="16"/>
        <v>1517.8562579738527</v>
      </c>
      <c r="I35" s="545">
        <f t="shared" si="16"/>
        <v>1605.8693634663368</v>
      </c>
      <c r="J35" s="545">
        <f t="shared" si="16"/>
        <v>1685.5212239370348</v>
      </c>
      <c r="K35" s="545">
        <f t="shared" si="16"/>
        <v>1757.6061576630166</v>
      </c>
      <c r="L35" s="545">
        <f t="shared" si="16"/>
        <v>1822.8430226850301</v>
      </c>
      <c r="M35" s="545">
        <f>L35</f>
        <v>1822.8430226850301</v>
      </c>
    </row>
    <row r="36" spans="1:13" ht="15" x14ac:dyDescent="0.25">
      <c r="A36" s="236"/>
      <c r="B36" s="236" t="s">
        <v>699</v>
      </c>
      <c r="C36" s="545">
        <f>C34-C35</f>
        <v>1526.0924500000001</v>
      </c>
      <c r="D36" s="545">
        <f t="shared" ref="D36:M36" si="17">D34-D35</f>
        <v>1381.1136672499999</v>
      </c>
      <c r="E36" s="545">
        <f t="shared" si="17"/>
        <v>1249.9078688612499</v>
      </c>
      <c r="F36" s="545">
        <f t="shared" si="17"/>
        <v>1131.1666213194312</v>
      </c>
      <c r="G36" s="545">
        <f t="shared" si="17"/>
        <v>1023.7057922940853</v>
      </c>
      <c r="H36" s="545">
        <f t="shared" si="17"/>
        <v>926.45374202614721</v>
      </c>
      <c r="I36" s="545">
        <f t="shared" si="17"/>
        <v>838.44063653366311</v>
      </c>
      <c r="J36" s="545">
        <f t="shared" si="17"/>
        <v>758.7887760629651</v>
      </c>
      <c r="K36" s="545">
        <f t="shared" si="17"/>
        <v>686.70384233698337</v>
      </c>
      <c r="L36" s="545">
        <f t="shared" si="17"/>
        <v>621.46697731496988</v>
      </c>
      <c r="M36" s="545">
        <f t="shared" si="17"/>
        <v>621.46697731496988</v>
      </c>
    </row>
    <row r="37" spans="1:13" ht="15" x14ac:dyDescent="0.25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</row>
    <row r="38" spans="1:13" ht="15" x14ac:dyDescent="0.25">
      <c r="A38" s="236"/>
      <c r="B38" s="236" t="s">
        <v>695</v>
      </c>
      <c r="C38" s="236">
        <v>758.02</v>
      </c>
      <c r="D38" s="549">
        <f>C40</f>
        <v>918.21754999999996</v>
      </c>
      <c r="E38" s="549">
        <f t="shared" ref="E38:L38" si="18">D40</f>
        <v>1063.19633275</v>
      </c>
      <c r="F38" s="549">
        <f t="shared" si="18"/>
        <v>1194.4021311387501</v>
      </c>
      <c r="G38" s="549">
        <f t="shared" si="18"/>
        <v>1313.1433786805687</v>
      </c>
      <c r="H38" s="549">
        <f t="shared" si="18"/>
        <v>1420.6042077059146</v>
      </c>
      <c r="I38" s="549">
        <f t="shared" si="18"/>
        <v>1517.8562579738527</v>
      </c>
      <c r="J38" s="549">
        <f t="shared" si="18"/>
        <v>1605.8693634663368</v>
      </c>
      <c r="K38" s="549">
        <f t="shared" si="18"/>
        <v>1685.5212239370348</v>
      </c>
      <c r="L38" s="549">
        <f t="shared" si="18"/>
        <v>1757.6061576630166</v>
      </c>
      <c r="M38" s="549">
        <f>C38</f>
        <v>758.02</v>
      </c>
    </row>
    <row r="39" spans="1:13" ht="15" x14ac:dyDescent="0.25">
      <c r="A39" s="236"/>
      <c r="B39" s="236" t="s">
        <v>445</v>
      </c>
      <c r="C39" s="545">
        <f>(C34-C38)*$A$30</f>
        <v>160.19755000000001</v>
      </c>
      <c r="D39" s="545">
        <f t="shared" ref="D39:L39" si="19">(D34-D38)*$A$30</f>
        <v>144.97878275000002</v>
      </c>
      <c r="E39" s="545">
        <f t="shared" si="19"/>
        <v>131.20579838875</v>
      </c>
      <c r="F39" s="545">
        <f t="shared" si="19"/>
        <v>118.74124754181874</v>
      </c>
      <c r="G39" s="545">
        <f t="shared" si="19"/>
        <v>107.46082902534597</v>
      </c>
      <c r="H39" s="545">
        <f t="shared" si="19"/>
        <v>97.252050267938102</v>
      </c>
      <c r="I39" s="545">
        <f t="shared" si="19"/>
        <v>88.013105492483987</v>
      </c>
      <c r="J39" s="545">
        <f t="shared" si="19"/>
        <v>79.651860470697997</v>
      </c>
      <c r="K39" s="545">
        <f t="shared" si="19"/>
        <v>72.084933725981685</v>
      </c>
      <c r="L39" s="545">
        <f t="shared" si="19"/>
        <v>65.236865022013419</v>
      </c>
      <c r="M39" s="548">
        <f>SUM(C39:L39)</f>
        <v>1064.8230226850301</v>
      </c>
    </row>
    <row r="40" spans="1:13" ht="15" x14ac:dyDescent="0.25">
      <c r="A40" s="236"/>
      <c r="B40" s="236" t="s">
        <v>696</v>
      </c>
      <c r="C40" s="549">
        <f>C38+C39</f>
        <v>918.21754999999996</v>
      </c>
      <c r="D40" s="549">
        <f>D38+D39</f>
        <v>1063.19633275</v>
      </c>
      <c r="E40" s="549">
        <f t="shared" ref="E40:M40" si="20">E38+E39</f>
        <v>1194.4021311387501</v>
      </c>
      <c r="F40" s="549">
        <f t="shared" si="20"/>
        <v>1313.1433786805687</v>
      </c>
      <c r="G40" s="549">
        <f t="shared" si="20"/>
        <v>1420.6042077059146</v>
      </c>
      <c r="H40" s="549">
        <f t="shared" si="20"/>
        <v>1517.8562579738527</v>
      </c>
      <c r="I40" s="549">
        <f t="shared" si="20"/>
        <v>1605.8693634663368</v>
      </c>
      <c r="J40" s="549">
        <f t="shared" si="20"/>
        <v>1685.5212239370348</v>
      </c>
      <c r="K40" s="549">
        <f t="shared" si="20"/>
        <v>1757.6061576630166</v>
      </c>
      <c r="L40" s="549">
        <f t="shared" si="20"/>
        <v>1822.8430226850301</v>
      </c>
      <c r="M40" s="549">
        <f t="shared" si="20"/>
        <v>1822.8430226850301</v>
      </c>
    </row>
    <row r="41" spans="1:13" ht="15" x14ac:dyDescent="0.25">
      <c r="A41" s="236"/>
      <c r="B41" s="236"/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</row>
    <row r="42" spans="1:13" ht="15" x14ac:dyDescent="0.25">
      <c r="A42" s="585">
        <v>0.2</v>
      </c>
      <c r="B42" s="562" t="s">
        <v>187</v>
      </c>
      <c r="C42" s="584" t="s">
        <v>355</v>
      </c>
      <c r="D42" s="584" t="s">
        <v>356</v>
      </c>
      <c r="E42" s="584" t="s">
        <v>357</v>
      </c>
      <c r="F42" s="584" t="s">
        <v>358</v>
      </c>
      <c r="G42" s="584" t="s">
        <v>10</v>
      </c>
      <c r="H42" s="584" t="s">
        <v>11</v>
      </c>
      <c r="I42" s="584" t="s">
        <v>12</v>
      </c>
      <c r="J42" s="584" t="s">
        <v>13</v>
      </c>
      <c r="K42" s="584" t="s">
        <v>569</v>
      </c>
      <c r="L42" s="584" t="s">
        <v>590</v>
      </c>
      <c r="M42" s="584" t="s">
        <v>391</v>
      </c>
    </row>
    <row r="43" spans="1:13" ht="15" x14ac:dyDescent="0.25">
      <c r="A43" s="236"/>
      <c r="B43" s="236" t="s">
        <v>430</v>
      </c>
      <c r="C43" s="545">
        <f>6052.98</f>
        <v>6052.98</v>
      </c>
      <c r="D43" s="545">
        <f>C46</f>
        <v>6052.98</v>
      </c>
      <c r="E43" s="545">
        <f t="shared" ref="E43:L43" si="21">D46</f>
        <v>6450.3899999999994</v>
      </c>
      <c r="F43" s="545">
        <f t="shared" si="21"/>
        <v>6984.82</v>
      </c>
      <c r="G43" s="545">
        <f t="shared" si="21"/>
        <v>6984.82</v>
      </c>
      <c r="H43" s="545">
        <f t="shared" si="21"/>
        <v>6984.82</v>
      </c>
      <c r="I43" s="545">
        <f t="shared" si="21"/>
        <v>6984.82</v>
      </c>
      <c r="J43" s="545">
        <f t="shared" si="21"/>
        <v>6984.82</v>
      </c>
      <c r="K43" s="545">
        <f t="shared" si="21"/>
        <v>6984.82</v>
      </c>
      <c r="L43" s="545">
        <f t="shared" si="21"/>
        <v>6984.82</v>
      </c>
      <c r="M43" s="548">
        <f>C43</f>
        <v>6052.98</v>
      </c>
    </row>
    <row r="44" spans="1:13" ht="15" x14ac:dyDescent="0.25">
      <c r="A44" s="236"/>
      <c r="B44" s="236" t="s">
        <v>677</v>
      </c>
      <c r="C44" s="545">
        <v>0</v>
      </c>
      <c r="D44" s="545">
        <f>D142</f>
        <v>397.41</v>
      </c>
      <c r="E44" s="545">
        <f>E142</f>
        <v>534.42999999999995</v>
      </c>
      <c r="F44" s="545">
        <v>0</v>
      </c>
      <c r="G44" s="545">
        <v>0</v>
      </c>
      <c r="H44" s="545">
        <v>0</v>
      </c>
      <c r="I44" s="545">
        <v>0</v>
      </c>
      <c r="J44" s="545">
        <v>0</v>
      </c>
      <c r="K44" s="545">
        <v>0</v>
      </c>
      <c r="L44" s="545">
        <v>0</v>
      </c>
      <c r="M44" s="545">
        <f>SUM(C44:L44)</f>
        <v>931.83999999999992</v>
      </c>
    </row>
    <row r="45" spans="1:13" ht="15" x14ac:dyDescent="0.25">
      <c r="A45" s="236"/>
      <c r="B45" s="236" t="s">
        <v>691</v>
      </c>
      <c r="C45" s="545">
        <v>0</v>
      </c>
      <c r="D45" s="545">
        <v>0</v>
      </c>
      <c r="E45" s="545">
        <v>0</v>
      </c>
      <c r="F45" s="545">
        <v>0</v>
      </c>
      <c r="G45" s="545">
        <v>0</v>
      </c>
      <c r="H45" s="545">
        <v>0</v>
      </c>
      <c r="I45" s="545">
        <v>0</v>
      </c>
      <c r="J45" s="545">
        <v>0</v>
      </c>
      <c r="K45" s="545">
        <v>0</v>
      </c>
      <c r="L45" s="545">
        <v>0</v>
      </c>
      <c r="M45" s="545">
        <f>SUM(C45:L45)</f>
        <v>0</v>
      </c>
    </row>
    <row r="46" spans="1:13" ht="15" x14ac:dyDescent="0.25">
      <c r="A46" s="236"/>
      <c r="B46" s="236" t="s">
        <v>698</v>
      </c>
      <c r="C46" s="545">
        <f>C43+C44-C45</f>
        <v>6052.98</v>
      </c>
      <c r="D46" s="545">
        <f t="shared" ref="D46:M46" si="22">D43+D44-D45</f>
        <v>6450.3899999999994</v>
      </c>
      <c r="E46" s="545">
        <f t="shared" si="22"/>
        <v>6984.82</v>
      </c>
      <c r="F46" s="545">
        <f t="shared" si="22"/>
        <v>6984.82</v>
      </c>
      <c r="G46" s="545">
        <f t="shared" si="22"/>
        <v>6984.82</v>
      </c>
      <c r="H46" s="545">
        <f t="shared" si="22"/>
        <v>6984.82</v>
      </c>
      <c r="I46" s="545">
        <f t="shared" si="22"/>
        <v>6984.82</v>
      </c>
      <c r="J46" s="545">
        <f t="shared" si="22"/>
        <v>6984.82</v>
      </c>
      <c r="K46" s="545">
        <f t="shared" si="22"/>
        <v>6984.82</v>
      </c>
      <c r="L46" s="545">
        <f t="shared" si="22"/>
        <v>6984.82</v>
      </c>
      <c r="M46" s="545">
        <f t="shared" si="22"/>
        <v>6984.82</v>
      </c>
    </row>
    <row r="47" spans="1:13" ht="15" x14ac:dyDescent="0.25">
      <c r="A47" s="236"/>
      <c r="B47" s="236" t="s">
        <v>697</v>
      </c>
      <c r="C47" s="545">
        <f>C52</f>
        <v>4228.4279999999999</v>
      </c>
      <c r="D47" s="545">
        <f t="shared" ref="D47:L47" si="23">D52</f>
        <v>4672.8203999999996</v>
      </c>
      <c r="E47" s="545">
        <f t="shared" si="23"/>
        <v>5135.2203199999994</v>
      </c>
      <c r="F47" s="545">
        <f t="shared" si="23"/>
        <v>5505.1402559999997</v>
      </c>
      <c r="G47" s="545">
        <f t="shared" si="23"/>
        <v>5801.0762047999997</v>
      </c>
      <c r="H47" s="545">
        <f t="shared" si="23"/>
        <v>6037.8249638399993</v>
      </c>
      <c r="I47" s="545">
        <f t="shared" si="23"/>
        <v>6227.2239710719996</v>
      </c>
      <c r="J47" s="545">
        <f t="shared" si="23"/>
        <v>6378.7431768575998</v>
      </c>
      <c r="K47" s="545">
        <f t="shared" si="23"/>
        <v>6499.9585414860794</v>
      </c>
      <c r="L47" s="545">
        <f t="shared" si="23"/>
        <v>6596.9308331888633</v>
      </c>
      <c r="M47" s="545">
        <f>L47</f>
        <v>6596.9308331888633</v>
      </c>
    </row>
    <row r="48" spans="1:13" ht="15" x14ac:dyDescent="0.25">
      <c r="A48" s="236"/>
      <c r="B48" s="236" t="s">
        <v>699</v>
      </c>
      <c r="C48" s="545">
        <f>C46-C47</f>
        <v>1824.5519999999997</v>
      </c>
      <c r="D48" s="545">
        <f t="shared" ref="D48:M48" si="24">D46-D47</f>
        <v>1777.5695999999998</v>
      </c>
      <c r="E48" s="545">
        <f t="shared" si="24"/>
        <v>1849.5996800000003</v>
      </c>
      <c r="F48" s="545">
        <f t="shared" si="24"/>
        <v>1479.679744</v>
      </c>
      <c r="G48" s="545">
        <f t="shared" si="24"/>
        <v>1183.7437952</v>
      </c>
      <c r="H48" s="545">
        <f t="shared" si="24"/>
        <v>946.99503616000038</v>
      </c>
      <c r="I48" s="545">
        <f t="shared" si="24"/>
        <v>757.59602892800012</v>
      </c>
      <c r="J48" s="545">
        <f t="shared" si="24"/>
        <v>606.07682314239992</v>
      </c>
      <c r="K48" s="545">
        <f t="shared" si="24"/>
        <v>484.8614585139203</v>
      </c>
      <c r="L48" s="545">
        <f t="shared" si="24"/>
        <v>387.88916681113642</v>
      </c>
      <c r="M48" s="545">
        <f t="shared" si="24"/>
        <v>387.88916681113642</v>
      </c>
    </row>
    <row r="49" spans="1:13" ht="15" x14ac:dyDescent="0.25">
      <c r="A49" s="236"/>
      <c r="B49" s="236"/>
      <c r="C49" s="545"/>
      <c r="D49" s="545"/>
      <c r="E49" s="545"/>
      <c r="F49" s="545"/>
      <c r="G49" s="545"/>
      <c r="H49" s="545"/>
      <c r="I49" s="545"/>
      <c r="J49" s="545"/>
      <c r="K49" s="545"/>
      <c r="L49" s="545"/>
      <c r="M49" s="545"/>
    </row>
    <row r="50" spans="1:13" ht="15" x14ac:dyDescent="0.25">
      <c r="A50" s="236"/>
      <c r="B50" s="236" t="s">
        <v>695</v>
      </c>
      <c r="C50" s="545">
        <v>3772.29</v>
      </c>
      <c r="D50" s="545">
        <f t="shared" ref="D50:L50" si="25">C52</f>
        <v>4228.4279999999999</v>
      </c>
      <c r="E50" s="545">
        <f t="shared" si="25"/>
        <v>4672.8203999999996</v>
      </c>
      <c r="F50" s="545">
        <f t="shared" si="25"/>
        <v>5135.2203199999994</v>
      </c>
      <c r="G50" s="545">
        <f t="shared" si="25"/>
        <v>5505.1402559999997</v>
      </c>
      <c r="H50" s="545">
        <f t="shared" si="25"/>
        <v>5801.0762047999997</v>
      </c>
      <c r="I50" s="545">
        <f t="shared" si="25"/>
        <v>6037.8249638399993</v>
      </c>
      <c r="J50" s="545">
        <f t="shared" si="25"/>
        <v>6227.2239710719996</v>
      </c>
      <c r="K50" s="545">
        <f t="shared" si="25"/>
        <v>6378.7431768575998</v>
      </c>
      <c r="L50" s="545">
        <f t="shared" si="25"/>
        <v>6499.9585414860794</v>
      </c>
      <c r="M50" s="545">
        <f>C50</f>
        <v>3772.29</v>
      </c>
    </row>
    <row r="51" spans="1:13" ht="15" x14ac:dyDescent="0.25">
      <c r="A51" s="236"/>
      <c r="B51" s="236" t="s">
        <v>445</v>
      </c>
      <c r="C51" s="545">
        <f>(C46-C50)*$A$42</f>
        <v>456.13799999999992</v>
      </c>
      <c r="D51" s="545">
        <f t="shared" ref="D51:L51" si="26">(D46-D50)*$A$42</f>
        <v>444.39239999999995</v>
      </c>
      <c r="E51" s="545">
        <f t="shared" si="26"/>
        <v>462.39992000000007</v>
      </c>
      <c r="F51" s="545">
        <f t="shared" si="26"/>
        <v>369.91993600000006</v>
      </c>
      <c r="G51" s="545">
        <f t="shared" si="26"/>
        <v>295.93594880000001</v>
      </c>
      <c r="H51" s="545">
        <f t="shared" si="26"/>
        <v>236.74875904000001</v>
      </c>
      <c r="I51" s="545">
        <f t="shared" si="26"/>
        <v>189.39900723200009</v>
      </c>
      <c r="J51" s="545">
        <f t="shared" si="26"/>
        <v>151.51920578560004</v>
      </c>
      <c r="K51" s="545">
        <f t="shared" si="26"/>
        <v>121.21536462847999</v>
      </c>
      <c r="L51" s="545">
        <f t="shared" si="26"/>
        <v>96.972291702784062</v>
      </c>
      <c r="M51" s="545">
        <f>SUM(C51:L51)</f>
        <v>2824.6408331888642</v>
      </c>
    </row>
    <row r="52" spans="1:13" ht="15" x14ac:dyDescent="0.25">
      <c r="A52" s="236"/>
      <c r="B52" s="236" t="s">
        <v>696</v>
      </c>
      <c r="C52" s="545">
        <f t="shared" ref="C52:M52" si="27">C50+C51</f>
        <v>4228.4279999999999</v>
      </c>
      <c r="D52" s="545">
        <f t="shared" si="27"/>
        <v>4672.8203999999996</v>
      </c>
      <c r="E52" s="545">
        <f t="shared" si="27"/>
        <v>5135.2203199999994</v>
      </c>
      <c r="F52" s="545">
        <f t="shared" si="27"/>
        <v>5505.1402559999997</v>
      </c>
      <c r="G52" s="545">
        <f t="shared" si="27"/>
        <v>5801.0762047999997</v>
      </c>
      <c r="H52" s="545">
        <f t="shared" si="27"/>
        <v>6037.8249638399993</v>
      </c>
      <c r="I52" s="545">
        <f t="shared" si="27"/>
        <v>6227.2239710719996</v>
      </c>
      <c r="J52" s="545">
        <f t="shared" si="27"/>
        <v>6378.7431768575998</v>
      </c>
      <c r="K52" s="545">
        <f t="shared" si="27"/>
        <v>6499.9585414860794</v>
      </c>
      <c r="L52" s="545">
        <f t="shared" si="27"/>
        <v>6596.9308331888633</v>
      </c>
      <c r="M52" s="545">
        <f t="shared" si="27"/>
        <v>6596.9308331888642</v>
      </c>
    </row>
    <row r="53" spans="1:13" ht="15" x14ac:dyDescent="0.25">
      <c r="A53" s="236"/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</row>
    <row r="54" spans="1:13" ht="15" x14ac:dyDescent="0.25">
      <c r="A54" s="585">
        <v>0.25900000000000001</v>
      </c>
      <c r="B54" s="562" t="s">
        <v>693</v>
      </c>
      <c r="C54" s="584" t="s">
        <v>355</v>
      </c>
      <c r="D54" s="584" t="s">
        <v>356</v>
      </c>
      <c r="E54" s="584" t="s">
        <v>357</v>
      </c>
      <c r="F54" s="584" t="s">
        <v>358</v>
      </c>
      <c r="G54" s="584" t="s">
        <v>10</v>
      </c>
      <c r="H54" s="584" t="s">
        <v>11</v>
      </c>
      <c r="I54" s="584" t="s">
        <v>12</v>
      </c>
      <c r="J54" s="584" t="s">
        <v>13</v>
      </c>
      <c r="K54" s="584" t="s">
        <v>569</v>
      </c>
      <c r="L54" s="584" t="s">
        <v>590</v>
      </c>
      <c r="M54" s="584" t="s">
        <v>391</v>
      </c>
    </row>
    <row r="55" spans="1:13" ht="15" x14ac:dyDescent="0.25">
      <c r="A55" s="236"/>
      <c r="B55" s="236" t="s">
        <v>430</v>
      </c>
      <c r="C55" s="236">
        <f>5.73</f>
        <v>5.73</v>
      </c>
      <c r="D55" s="545">
        <f>C58</f>
        <v>5.73</v>
      </c>
      <c r="E55" s="545">
        <f t="shared" ref="E55:L55" si="28">D58</f>
        <v>5.73</v>
      </c>
      <c r="F55" s="545">
        <f t="shared" si="28"/>
        <v>5.73</v>
      </c>
      <c r="G55" s="545">
        <f t="shared" si="28"/>
        <v>5.73</v>
      </c>
      <c r="H55" s="545">
        <f t="shared" si="28"/>
        <v>5.73</v>
      </c>
      <c r="I55" s="545">
        <f t="shared" si="28"/>
        <v>5.73</v>
      </c>
      <c r="J55" s="545">
        <f t="shared" si="28"/>
        <v>5.73</v>
      </c>
      <c r="K55" s="545">
        <f t="shared" si="28"/>
        <v>5.73</v>
      </c>
      <c r="L55" s="545">
        <f t="shared" si="28"/>
        <v>5.73</v>
      </c>
      <c r="M55" s="548">
        <f>C55</f>
        <v>5.73</v>
      </c>
    </row>
    <row r="56" spans="1:13" ht="15" x14ac:dyDescent="0.25">
      <c r="A56" s="236"/>
      <c r="B56" s="236" t="s">
        <v>677</v>
      </c>
      <c r="C56" s="545">
        <v>0</v>
      </c>
      <c r="D56" s="545">
        <v>0</v>
      </c>
      <c r="E56" s="545">
        <v>0</v>
      </c>
      <c r="F56" s="545">
        <v>0</v>
      </c>
      <c r="G56" s="545">
        <v>0</v>
      </c>
      <c r="H56" s="545">
        <v>0</v>
      </c>
      <c r="I56" s="545">
        <v>0</v>
      </c>
      <c r="J56" s="545">
        <v>0</v>
      </c>
      <c r="K56" s="545">
        <v>0</v>
      </c>
      <c r="L56" s="545">
        <v>0</v>
      </c>
      <c r="M56" s="545">
        <f>SUM(C56:L56)</f>
        <v>0</v>
      </c>
    </row>
    <row r="57" spans="1:13" ht="15" x14ac:dyDescent="0.25">
      <c r="A57" s="236"/>
      <c r="B57" s="236" t="s">
        <v>691</v>
      </c>
      <c r="C57" s="545">
        <v>0</v>
      </c>
      <c r="D57" s="545">
        <v>0</v>
      </c>
      <c r="E57" s="545">
        <v>0</v>
      </c>
      <c r="F57" s="545">
        <v>0</v>
      </c>
      <c r="G57" s="545">
        <v>0</v>
      </c>
      <c r="H57" s="545">
        <v>0</v>
      </c>
      <c r="I57" s="545">
        <v>0</v>
      </c>
      <c r="J57" s="545">
        <v>0</v>
      </c>
      <c r="K57" s="545">
        <v>0</v>
      </c>
      <c r="L57" s="545">
        <v>0</v>
      </c>
      <c r="M57" s="545">
        <f>SUM(C57:L57)</f>
        <v>0</v>
      </c>
    </row>
    <row r="58" spans="1:13" ht="15" x14ac:dyDescent="0.25">
      <c r="A58" s="236"/>
      <c r="B58" s="236" t="s">
        <v>698</v>
      </c>
      <c r="C58" s="545">
        <f>C55+C56-C57</f>
        <v>5.73</v>
      </c>
      <c r="D58" s="545">
        <f t="shared" ref="D58:M58" si="29">D55+D56-D57</f>
        <v>5.73</v>
      </c>
      <c r="E58" s="545">
        <f t="shared" si="29"/>
        <v>5.73</v>
      </c>
      <c r="F58" s="545">
        <f t="shared" si="29"/>
        <v>5.73</v>
      </c>
      <c r="G58" s="545">
        <f t="shared" si="29"/>
        <v>5.73</v>
      </c>
      <c r="H58" s="545">
        <f t="shared" si="29"/>
        <v>5.73</v>
      </c>
      <c r="I58" s="545">
        <f t="shared" si="29"/>
        <v>5.73</v>
      </c>
      <c r="J58" s="545">
        <f t="shared" si="29"/>
        <v>5.73</v>
      </c>
      <c r="K58" s="545">
        <f t="shared" si="29"/>
        <v>5.73</v>
      </c>
      <c r="L58" s="545">
        <f t="shared" si="29"/>
        <v>5.73</v>
      </c>
      <c r="M58" s="545">
        <f t="shared" si="29"/>
        <v>5.73</v>
      </c>
    </row>
    <row r="59" spans="1:13" ht="15" x14ac:dyDescent="0.25">
      <c r="A59" s="236"/>
      <c r="B59" s="236" t="s">
        <v>697</v>
      </c>
      <c r="C59" s="549">
        <f>C64</f>
        <v>5.2631699999999997</v>
      </c>
      <c r="D59" s="549">
        <f t="shared" ref="D59:L59" si="30">D64</f>
        <v>5.38407897</v>
      </c>
      <c r="E59" s="549">
        <f t="shared" si="30"/>
        <v>5.4736725167699998</v>
      </c>
      <c r="F59" s="549">
        <f t="shared" si="30"/>
        <v>5.5400613349265697</v>
      </c>
      <c r="G59" s="549">
        <f t="shared" si="30"/>
        <v>5.5892554491805884</v>
      </c>
      <c r="H59" s="549">
        <f t="shared" si="30"/>
        <v>5.6257082878428157</v>
      </c>
      <c r="I59" s="549">
        <f t="shared" si="30"/>
        <v>5.6527198412915265</v>
      </c>
      <c r="J59" s="549">
        <f t="shared" si="30"/>
        <v>5.6727354023970209</v>
      </c>
      <c r="K59" s="549">
        <f t="shared" si="30"/>
        <v>5.6875669331761927</v>
      </c>
      <c r="L59" s="549">
        <f t="shared" si="30"/>
        <v>5.6985570974835591</v>
      </c>
      <c r="M59" s="549">
        <f>L59</f>
        <v>5.6985570974835591</v>
      </c>
    </row>
    <row r="60" spans="1:13" ht="15" x14ac:dyDescent="0.25">
      <c r="A60" s="236"/>
      <c r="B60" s="236" t="s">
        <v>699</v>
      </c>
      <c r="C60" s="545">
        <f>C58-C59</f>
        <v>0.46683000000000074</v>
      </c>
      <c r="D60" s="545">
        <f t="shared" ref="D60:M60" si="31">D58-D59</f>
        <v>0.34592103000000041</v>
      </c>
      <c r="E60" s="545">
        <f t="shared" si="31"/>
        <v>0.25632748323000065</v>
      </c>
      <c r="F60" s="545">
        <f t="shared" si="31"/>
        <v>0.18993866507343071</v>
      </c>
      <c r="G60" s="545">
        <f t="shared" si="31"/>
        <v>0.14074455081941206</v>
      </c>
      <c r="H60" s="545">
        <f t="shared" si="31"/>
        <v>0.10429171215718469</v>
      </c>
      <c r="I60" s="545">
        <f t="shared" si="31"/>
        <v>7.7280158708473934E-2</v>
      </c>
      <c r="J60" s="545">
        <f t="shared" si="31"/>
        <v>5.7264597602979528E-2</v>
      </c>
      <c r="K60" s="545">
        <f t="shared" si="31"/>
        <v>4.2433066823807764E-2</v>
      </c>
      <c r="L60" s="545">
        <f t="shared" si="31"/>
        <v>3.1442902516441329E-2</v>
      </c>
      <c r="M60" s="545">
        <f t="shared" si="31"/>
        <v>3.1442902516441329E-2</v>
      </c>
    </row>
    <row r="61" spans="1:13" ht="15" x14ac:dyDescent="0.25">
      <c r="A61" s="236"/>
      <c r="B61" s="236"/>
      <c r="C61" s="545"/>
      <c r="D61" s="545"/>
      <c r="E61" s="545"/>
      <c r="F61" s="545"/>
      <c r="G61" s="545"/>
      <c r="H61" s="545"/>
      <c r="I61" s="545"/>
      <c r="J61" s="545"/>
      <c r="K61" s="545"/>
      <c r="L61" s="545"/>
      <c r="M61" s="545"/>
    </row>
    <row r="62" spans="1:13" ht="15" x14ac:dyDescent="0.25">
      <c r="A62" s="236"/>
      <c r="B62" s="236" t="s">
        <v>695</v>
      </c>
      <c r="C62" s="545">
        <v>5.0999999999999996</v>
      </c>
      <c r="D62" s="545">
        <f>C64</f>
        <v>5.2631699999999997</v>
      </c>
      <c r="E62" s="545">
        <f t="shared" ref="E62:L62" si="32">D64</f>
        <v>5.38407897</v>
      </c>
      <c r="F62" s="545">
        <f t="shared" si="32"/>
        <v>5.4736725167699998</v>
      </c>
      <c r="G62" s="545">
        <f t="shared" si="32"/>
        <v>5.5400613349265697</v>
      </c>
      <c r="H62" s="545">
        <f t="shared" si="32"/>
        <v>5.5892554491805884</v>
      </c>
      <c r="I62" s="545">
        <f t="shared" si="32"/>
        <v>5.6257082878428157</v>
      </c>
      <c r="J62" s="545">
        <f t="shared" si="32"/>
        <v>5.6527198412915265</v>
      </c>
      <c r="K62" s="545">
        <f t="shared" si="32"/>
        <v>5.6727354023970209</v>
      </c>
      <c r="L62" s="545">
        <f t="shared" si="32"/>
        <v>5.6875669331761927</v>
      </c>
      <c r="M62" s="545">
        <f>C62</f>
        <v>5.0999999999999996</v>
      </c>
    </row>
    <row r="63" spans="1:13" ht="15" x14ac:dyDescent="0.25">
      <c r="A63" s="236"/>
      <c r="B63" s="236" t="s">
        <v>445</v>
      </c>
      <c r="C63" s="545">
        <f>(C58-C62)*$A$54</f>
        <v>0.1631700000000002</v>
      </c>
      <c r="D63" s="545">
        <f t="shared" ref="D63:L63" si="33">(D58-D62)*$A$54</f>
        <v>0.1209089700000002</v>
      </c>
      <c r="E63" s="545">
        <f t="shared" si="33"/>
        <v>8.9593546770000101E-2</v>
      </c>
      <c r="F63" s="545">
        <f t="shared" si="33"/>
        <v>6.6388818156570176E-2</v>
      </c>
      <c r="G63" s="545">
        <f t="shared" si="33"/>
        <v>4.9194114254018553E-2</v>
      </c>
      <c r="H63" s="545">
        <f t="shared" si="33"/>
        <v>3.6452838662227725E-2</v>
      </c>
      <c r="I63" s="545">
        <f t="shared" si="33"/>
        <v>2.7011553448710836E-2</v>
      </c>
      <c r="J63" s="545">
        <f t="shared" si="33"/>
        <v>2.001556110549475E-2</v>
      </c>
      <c r="K63" s="545">
        <f t="shared" si="33"/>
        <v>1.4831530779171698E-2</v>
      </c>
      <c r="L63" s="545">
        <f t="shared" si="33"/>
        <v>1.0990164307366211E-2</v>
      </c>
      <c r="M63" s="545">
        <f>SUM(C63:L63)</f>
        <v>0.59855709748356034</v>
      </c>
    </row>
    <row r="64" spans="1:13" ht="15" x14ac:dyDescent="0.25">
      <c r="A64" s="236"/>
      <c r="B64" s="236" t="s">
        <v>696</v>
      </c>
      <c r="C64" s="545">
        <f>C62+C63</f>
        <v>5.2631699999999997</v>
      </c>
      <c r="D64" s="545">
        <f t="shared" ref="D64:M64" si="34">D62+D63</f>
        <v>5.38407897</v>
      </c>
      <c r="E64" s="545">
        <f t="shared" si="34"/>
        <v>5.4736725167699998</v>
      </c>
      <c r="F64" s="545">
        <f t="shared" si="34"/>
        <v>5.5400613349265697</v>
      </c>
      <c r="G64" s="545">
        <f t="shared" si="34"/>
        <v>5.5892554491805884</v>
      </c>
      <c r="H64" s="545">
        <f t="shared" si="34"/>
        <v>5.6257082878428157</v>
      </c>
      <c r="I64" s="545">
        <f t="shared" si="34"/>
        <v>5.6527198412915265</v>
      </c>
      <c r="J64" s="545">
        <f t="shared" si="34"/>
        <v>5.6727354023970209</v>
      </c>
      <c r="K64" s="545">
        <f t="shared" si="34"/>
        <v>5.6875669331761927</v>
      </c>
      <c r="L64" s="545">
        <f t="shared" si="34"/>
        <v>5.6985570974835591</v>
      </c>
      <c r="M64" s="545">
        <f t="shared" si="34"/>
        <v>5.69855709748356</v>
      </c>
    </row>
    <row r="65" spans="1:13" ht="15" x14ac:dyDescent="0.25">
      <c r="A65" s="236"/>
      <c r="B65" s="236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</row>
    <row r="66" spans="1:13" ht="15" x14ac:dyDescent="0.25">
      <c r="A66" s="585">
        <v>0.25900000000000001</v>
      </c>
      <c r="B66" s="562" t="s">
        <v>188</v>
      </c>
      <c r="C66" s="584" t="s">
        <v>355</v>
      </c>
      <c r="D66" s="584" t="s">
        <v>356</v>
      </c>
      <c r="E66" s="584" t="s">
        <v>357</v>
      </c>
      <c r="F66" s="584" t="s">
        <v>358</v>
      </c>
      <c r="G66" s="584" t="s">
        <v>10</v>
      </c>
      <c r="H66" s="584" t="s">
        <v>11</v>
      </c>
      <c r="I66" s="584" t="s">
        <v>12</v>
      </c>
      <c r="J66" s="584" t="s">
        <v>13</v>
      </c>
      <c r="K66" s="584" t="s">
        <v>569</v>
      </c>
      <c r="L66" s="584" t="s">
        <v>590</v>
      </c>
      <c r="M66" s="584" t="s">
        <v>391</v>
      </c>
    </row>
    <row r="67" spans="1:13" ht="15" x14ac:dyDescent="0.25">
      <c r="A67" s="236"/>
      <c r="B67" s="236" t="s">
        <v>430</v>
      </c>
      <c r="C67" s="236">
        <f>712.74</f>
        <v>712.74</v>
      </c>
      <c r="D67" s="549">
        <f>C70</f>
        <v>712.74</v>
      </c>
      <c r="E67" s="549">
        <f>D70</f>
        <v>712.74</v>
      </c>
      <c r="F67" s="549">
        <f t="shared" ref="F67:L67" si="35">E70</f>
        <v>712.74</v>
      </c>
      <c r="G67" s="549">
        <f t="shared" si="35"/>
        <v>712.74</v>
      </c>
      <c r="H67" s="549">
        <f t="shared" si="35"/>
        <v>712.74</v>
      </c>
      <c r="I67" s="549">
        <f t="shared" si="35"/>
        <v>712.74</v>
      </c>
      <c r="J67" s="549">
        <f t="shared" si="35"/>
        <v>712.74</v>
      </c>
      <c r="K67" s="549">
        <f t="shared" si="35"/>
        <v>712.74</v>
      </c>
      <c r="L67" s="549">
        <f t="shared" si="35"/>
        <v>712.74</v>
      </c>
      <c r="M67" s="549">
        <f>C67</f>
        <v>712.74</v>
      </c>
    </row>
    <row r="68" spans="1:13" ht="15" x14ac:dyDescent="0.25">
      <c r="A68" s="236"/>
      <c r="B68" s="236" t="s">
        <v>677</v>
      </c>
      <c r="C68" s="545">
        <v>0</v>
      </c>
      <c r="D68" s="545">
        <v>0</v>
      </c>
      <c r="E68" s="545">
        <v>0</v>
      </c>
      <c r="F68" s="545">
        <v>0</v>
      </c>
      <c r="G68" s="545">
        <v>0</v>
      </c>
      <c r="H68" s="545">
        <v>0</v>
      </c>
      <c r="I68" s="545">
        <v>0</v>
      </c>
      <c r="J68" s="545">
        <v>0</v>
      </c>
      <c r="K68" s="545">
        <v>0</v>
      </c>
      <c r="L68" s="545">
        <v>0</v>
      </c>
      <c r="M68" s="545">
        <f>SUM(C68:L68)</f>
        <v>0</v>
      </c>
    </row>
    <row r="69" spans="1:13" ht="15" x14ac:dyDescent="0.25">
      <c r="A69" s="236"/>
      <c r="B69" s="236" t="s">
        <v>691</v>
      </c>
      <c r="C69" s="545">
        <v>0</v>
      </c>
      <c r="D69" s="545">
        <v>0</v>
      </c>
      <c r="E69" s="545">
        <v>0</v>
      </c>
      <c r="F69" s="545">
        <v>0</v>
      </c>
      <c r="G69" s="545">
        <v>0</v>
      </c>
      <c r="H69" s="545">
        <v>0</v>
      </c>
      <c r="I69" s="545">
        <v>0</v>
      </c>
      <c r="J69" s="545">
        <v>0</v>
      </c>
      <c r="K69" s="545">
        <v>0</v>
      </c>
      <c r="L69" s="545">
        <v>0</v>
      </c>
      <c r="M69" s="545">
        <f>SUM(C69:L69)</f>
        <v>0</v>
      </c>
    </row>
    <row r="70" spans="1:13" ht="15" x14ac:dyDescent="0.25">
      <c r="A70" s="236"/>
      <c r="B70" s="236" t="s">
        <v>698</v>
      </c>
      <c r="C70" s="548">
        <f>C67+C68-C68</f>
        <v>712.74</v>
      </c>
      <c r="D70" s="548">
        <f t="shared" ref="D70:M70" si="36">D67+D68-D68</f>
        <v>712.74</v>
      </c>
      <c r="E70" s="548">
        <f t="shared" si="36"/>
        <v>712.74</v>
      </c>
      <c r="F70" s="548">
        <f t="shared" si="36"/>
        <v>712.74</v>
      </c>
      <c r="G70" s="548">
        <f t="shared" si="36"/>
        <v>712.74</v>
      </c>
      <c r="H70" s="548">
        <f t="shared" si="36"/>
        <v>712.74</v>
      </c>
      <c r="I70" s="548">
        <f t="shared" si="36"/>
        <v>712.74</v>
      </c>
      <c r="J70" s="548">
        <f t="shared" si="36"/>
        <v>712.74</v>
      </c>
      <c r="K70" s="548">
        <f t="shared" si="36"/>
        <v>712.74</v>
      </c>
      <c r="L70" s="548">
        <f t="shared" si="36"/>
        <v>712.74</v>
      </c>
      <c r="M70" s="548">
        <f t="shared" si="36"/>
        <v>712.74</v>
      </c>
    </row>
    <row r="71" spans="1:13" ht="15" x14ac:dyDescent="0.25">
      <c r="A71" s="236"/>
      <c r="B71" s="236" t="s">
        <v>697</v>
      </c>
      <c r="C71" s="549">
        <f>C76</f>
        <v>571.38684000000001</v>
      </c>
      <c r="D71" s="549">
        <f t="shared" ref="D71:L71" si="37">D76</f>
        <v>607.99730843999998</v>
      </c>
      <c r="E71" s="549">
        <f t="shared" si="37"/>
        <v>635.12566555403998</v>
      </c>
      <c r="F71" s="549">
        <f t="shared" si="37"/>
        <v>655.22777817554368</v>
      </c>
      <c r="G71" s="549">
        <f t="shared" si="37"/>
        <v>670.12344362807789</v>
      </c>
      <c r="H71" s="549">
        <f t="shared" si="37"/>
        <v>681.16113172840573</v>
      </c>
      <c r="I71" s="549">
        <f t="shared" si="37"/>
        <v>689.34005861074866</v>
      </c>
      <c r="J71" s="549">
        <f t="shared" si="37"/>
        <v>695.40064343056474</v>
      </c>
      <c r="K71" s="549">
        <f t="shared" si="37"/>
        <v>699.89153678204843</v>
      </c>
      <c r="L71" s="549">
        <f t="shared" si="37"/>
        <v>703.21928875549793</v>
      </c>
      <c r="M71" s="549">
        <f>L71</f>
        <v>703.21928875549793</v>
      </c>
    </row>
    <row r="72" spans="1:13" ht="15" x14ac:dyDescent="0.25">
      <c r="A72" s="236"/>
      <c r="B72" s="236" t="s">
        <v>699</v>
      </c>
      <c r="C72" s="545">
        <f>C70-C71</f>
        <v>141.35316</v>
      </c>
      <c r="D72" s="545">
        <f t="shared" ref="D72:M72" si="38">D70-D71</f>
        <v>104.74269156000003</v>
      </c>
      <c r="E72" s="545">
        <f t="shared" si="38"/>
        <v>77.614334445960026</v>
      </c>
      <c r="F72" s="545">
        <f t="shared" si="38"/>
        <v>57.512221824456333</v>
      </c>
      <c r="G72" s="545">
        <f t="shared" si="38"/>
        <v>42.616556371922115</v>
      </c>
      <c r="H72" s="545">
        <f t="shared" si="38"/>
        <v>31.578868271594274</v>
      </c>
      <c r="I72" s="545">
        <f t="shared" si="38"/>
        <v>23.399941389251353</v>
      </c>
      <c r="J72" s="545">
        <f t="shared" si="38"/>
        <v>17.339356569435267</v>
      </c>
      <c r="K72" s="545">
        <f t="shared" si="38"/>
        <v>12.848463217951576</v>
      </c>
      <c r="L72" s="545">
        <f t="shared" si="38"/>
        <v>9.5207112445020812</v>
      </c>
      <c r="M72" s="545">
        <f t="shared" si="38"/>
        <v>9.5207112445020812</v>
      </c>
    </row>
    <row r="73" spans="1:13" ht="15" x14ac:dyDescent="0.25">
      <c r="A73" s="236"/>
      <c r="B73" s="236"/>
      <c r="C73" s="545"/>
      <c r="D73" s="545"/>
      <c r="E73" s="545"/>
      <c r="F73" s="545"/>
      <c r="G73" s="545"/>
      <c r="H73" s="545"/>
      <c r="I73" s="545"/>
      <c r="J73" s="545"/>
      <c r="K73" s="545"/>
      <c r="L73" s="545"/>
      <c r="M73" s="545"/>
    </row>
    <row r="74" spans="1:13" ht="15" x14ac:dyDescent="0.25">
      <c r="A74" s="236"/>
      <c r="B74" s="236" t="s">
        <v>695</v>
      </c>
      <c r="C74" s="545">
        <v>521.98</v>
      </c>
      <c r="D74" s="545">
        <f>C76</f>
        <v>571.38684000000001</v>
      </c>
      <c r="E74" s="545">
        <f t="shared" ref="E74:L74" si="39">D76</f>
        <v>607.99730843999998</v>
      </c>
      <c r="F74" s="545">
        <f t="shared" si="39"/>
        <v>635.12566555403998</v>
      </c>
      <c r="G74" s="545">
        <f t="shared" si="39"/>
        <v>655.22777817554368</v>
      </c>
      <c r="H74" s="545">
        <f t="shared" si="39"/>
        <v>670.12344362807789</v>
      </c>
      <c r="I74" s="545">
        <f t="shared" si="39"/>
        <v>681.16113172840573</v>
      </c>
      <c r="J74" s="545">
        <f t="shared" si="39"/>
        <v>689.34005861074866</v>
      </c>
      <c r="K74" s="545">
        <f t="shared" si="39"/>
        <v>695.40064343056474</v>
      </c>
      <c r="L74" s="545">
        <f t="shared" si="39"/>
        <v>699.89153678204843</v>
      </c>
      <c r="M74" s="545">
        <f>C74</f>
        <v>521.98</v>
      </c>
    </row>
    <row r="75" spans="1:13" ht="15" x14ac:dyDescent="0.25">
      <c r="A75" s="236"/>
      <c r="B75" s="236" t="s">
        <v>445</v>
      </c>
      <c r="C75" s="545">
        <f>(C70-C74)*$A$66</f>
        <v>49.406840000000003</v>
      </c>
      <c r="D75" s="545">
        <f t="shared" ref="D75:L75" si="40">(D70-D74)*$A$66</f>
        <v>36.610468440000005</v>
      </c>
      <c r="E75" s="545">
        <f t="shared" si="40"/>
        <v>27.128357114040007</v>
      </c>
      <c r="F75" s="545">
        <f t="shared" si="40"/>
        <v>20.102112621503647</v>
      </c>
      <c r="G75" s="545">
        <f t="shared" si="40"/>
        <v>14.895665452534191</v>
      </c>
      <c r="H75" s="545">
        <f t="shared" si="40"/>
        <v>11.037688100327829</v>
      </c>
      <c r="I75" s="545">
        <f t="shared" si="40"/>
        <v>8.1789268823429175</v>
      </c>
      <c r="J75" s="545">
        <f t="shared" si="40"/>
        <v>6.0605848198161008</v>
      </c>
      <c r="K75" s="545">
        <f t="shared" si="40"/>
        <v>4.4908933514837344</v>
      </c>
      <c r="L75" s="545">
        <f t="shared" si="40"/>
        <v>3.3277519734494581</v>
      </c>
      <c r="M75" s="545">
        <f>SUM(C75:L75)</f>
        <v>181.23928875549794</v>
      </c>
    </row>
    <row r="76" spans="1:13" ht="15" x14ac:dyDescent="0.25">
      <c r="A76" s="236"/>
      <c r="B76" s="236" t="s">
        <v>696</v>
      </c>
      <c r="C76" s="545">
        <f>C74+C75</f>
        <v>571.38684000000001</v>
      </c>
      <c r="D76" s="545">
        <f t="shared" ref="D76:M76" si="41">D74+D75</f>
        <v>607.99730843999998</v>
      </c>
      <c r="E76" s="545">
        <f t="shared" si="41"/>
        <v>635.12566555403998</v>
      </c>
      <c r="F76" s="545">
        <f t="shared" si="41"/>
        <v>655.22777817554368</v>
      </c>
      <c r="G76" s="545">
        <f t="shared" si="41"/>
        <v>670.12344362807789</v>
      </c>
      <c r="H76" s="545">
        <f t="shared" si="41"/>
        <v>681.16113172840573</v>
      </c>
      <c r="I76" s="545">
        <f t="shared" si="41"/>
        <v>689.34005861074866</v>
      </c>
      <c r="J76" s="545">
        <f t="shared" si="41"/>
        <v>695.40064343056474</v>
      </c>
      <c r="K76" s="545">
        <f t="shared" si="41"/>
        <v>699.89153678204843</v>
      </c>
      <c r="L76" s="545">
        <f t="shared" si="41"/>
        <v>703.21928875549793</v>
      </c>
      <c r="M76" s="545">
        <f t="shared" si="41"/>
        <v>703.21928875549793</v>
      </c>
    </row>
    <row r="77" spans="1:13" ht="15" x14ac:dyDescent="0.25">
      <c r="A77" s="236"/>
      <c r="B77" s="236"/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</row>
    <row r="78" spans="1:13" ht="15" x14ac:dyDescent="0.25">
      <c r="A78" s="236"/>
      <c r="B78" s="236"/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</row>
    <row r="79" spans="1:13" ht="15" x14ac:dyDescent="0.25">
      <c r="A79" s="236"/>
      <c r="B79" s="236"/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</row>
    <row r="80" spans="1:13" ht="15" x14ac:dyDescent="0.25">
      <c r="A80" s="585">
        <v>0.25900000000000001</v>
      </c>
      <c r="B80" s="562" t="s">
        <v>694</v>
      </c>
      <c r="C80" s="584" t="s">
        <v>355</v>
      </c>
      <c r="D80" s="584" t="s">
        <v>356</v>
      </c>
      <c r="E80" s="584" t="s">
        <v>357</v>
      </c>
      <c r="F80" s="584" t="s">
        <v>358</v>
      </c>
      <c r="G80" s="584" t="s">
        <v>10</v>
      </c>
      <c r="H80" s="584" t="s">
        <v>11</v>
      </c>
      <c r="I80" s="584" t="s">
        <v>12</v>
      </c>
      <c r="J80" s="584" t="s">
        <v>13</v>
      </c>
      <c r="K80" s="584" t="s">
        <v>569</v>
      </c>
      <c r="L80" s="584" t="s">
        <v>590</v>
      </c>
      <c r="M80" s="584" t="s">
        <v>391</v>
      </c>
    </row>
    <row r="81" spans="1:13" ht="15" x14ac:dyDescent="0.25">
      <c r="A81" s="236"/>
      <c r="B81" s="236" t="s">
        <v>430</v>
      </c>
      <c r="C81" s="236">
        <f>66.72</f>
        <v>66.72</v>
      </c>
      <c r="D81" s="549">
        <f>C84</f>
        <v>66.72</v>
      </c>
      <c r="E81" s="549">
        <f t="shared" ref="E81:L81" si="42">D84</f>
        <v>66.72</v>
      </c>
      <c r="F81" s="549">
        <f t="shared" si="42"/>
        <v>66.72</v>
      </c>
      <c r="G81" s="549">
        <f t="shared" si="42"/>
        <v>66.72</v>
      </c>
      <c r="H81" s="549">
        <f t="shared" si="42"/>
        <v>66.72</v>
      </c>
      <c r="I81" s="549">
        <f t="shared" si="42"/>
        <v>66.72</v>
      </c>
      <c r="J81" s="549">
        <f t="shared" si="42"/>
        <v>66.72</v>
      </c>
      <c r="K81" s="549">
        <f t="shared" si="42"/>
        <v>66.72</v>
      </c>
      <c r="L81" s="549">
        <f t="shared" si="42"/>
        <v>66.72</v>
      </c>
      <c r="M81" s="549">
        <f>C81</f>
        <v>66.72</v>
      </c>
    </row>
    <row r="82" spans="1:13" ht="15" x14ac:dyDescent="0.25">
      <c r="A82" s="236"/>
      <c r="B82" s="236" t="s">
        <v>677</v>
      </c>
      <c r="C82" s="545">
        <v>0</v>
      </c>
      <c r="D82" s="545">
        <v>0</v>
      </c>
      <c r="E82" s="545">
        <v>0</v>
      </c>
      <c r="F82" s="545">
        <v>0</v>
      </c>
      <c r="G82" s="545">
        <v>0</v>
      </c>
      <c r="H82" s="545">
        <v>0</v>
      </c>
      <c r="I82" s="545">
        <v>0</v>
      </c>
      <c r="J82" s="545">
        <v>0</v>
      </c>
      <c r="K82" s="545">
        <v>0</v>
      </c>
      <c r="L82" s="545">
        <v>0</v>
      </c>
      <c r="M82" s="545">
        <f>SUM(C82:L82)</f>
        <v>0</v>
      </c>
    </row>
    <row r="83" spans="1:13" ht="15" x14ac:dyDescent="0.25">
      <c r="A83" s="236"/>
      <c r="B83" s="236" t="s">
        <v>691</v>
      </c>
      <c r="C83" s="545">
        <v>0</v>
      </c>
      <c r="D83" s="545">
        <v>0</v>
      </c>
      <c r="E83" s="545">
        <v>0</v>
      </c>
      <c r="F83" s="545">
        <v>0</v>
      </c>
      <c r="G83" s="545">
        <v>0</v>
      </c>
      <c r="H83" s="545">
        <v>0</v>
      </c>
      <c r="I83" s="545">
        <v>0</v>
      </c>
      <c r="J83" s="545">
        <v>0</v>
      </c>
      <c r="K83" s="545">
        <v>0</v>
      </c>
      <c r="L83" s="545">
        <v>0</v>
      </c>
      <c r="M83" s="545">
        <f>SUM(C83:L83)</f>
        <v>0</v>
      </c>
    </row>
    <row r="84" spans="1:13" ht="15" x14ac:dyDescent="0.25">
      <c r="A84" s="236"/>
      <c r="B84" s="236" t="s">
        <v>698</v>
      </c>
      <c r="C84" s="548">
        <f>C81+C82-C83</f>
        <v>66.72</v>
      </c>
      <c r="D84" s="548">
        <f t="shared" ref="D84:M84" si="43">D81+D82-D83</f>
        <v>66.72</v>
      </c>
      <c r="E84" s="548">
        <f t="shared" si="43"/>
        <v>66.72</v>
      </c>
      <c r="F84" s="548">
        <f t="shared" si="43"/>
        <v>66.72</v>
      </c>
      <c r="G84" s="548">
        <f t="shared" si="43"/>
        <v>66.72</v>
      </c>
      <c r="H84" s="548">
        <f t="shared" si="43"/>
        <v>66.72</v>
      </c>
      <c r="I84" s="548">
        <f t="shared" si="43"/>
        <v>66.72</v>
      </c>
      <c r="J84" s="548">
        <f t="shared" si="43"/>
        <v>66.72</v>
      </c>
      <c r="K84" s="548">
        <f t="shared" si="43"/>
        <v>66.72</v>
      </c>
      <c r="L84" s="548">
        <f t="shared" si="43"/>
        <v>66.72</v>
      </c>
      <c r="M84" s="548">
        <f t="shared" si="43"/>
        <v>66.72</v>
      </c>
    </row>
    <row r="85" spans="1:13" ht="15" x14ac:dyDescent="0.25">
      <c r="A85" s="236"/>
      <c r="B85" s="236" t="s">
        <v>697</v>
      </c>
      <c r="C85" s="549">
        <f>C90</f>
        <v>34.938510000000001</v>
      </c>
      <c r="D85" s="549">
        <f t="shared" ref="D85:L85" si="44">D90</f>
        <v>43.16991591</v>
      </c>
      <c r="E85" s="549">
        <f t="shared" si="44"/>
        <v>49.269387689310001</v>
      </c>
      <c r="F85" s="549">
        <f t="shared" si="44"/>
        <v>53.789096277778711</v>
      </c>
      <c r="G85" s="549">
        <f t="shared" si="44"/>
        <v>57.138200341834022</v>
      </c>
      <c r="H85" s="549">
        <f t="shared" si="44"/>
        <v>59.61988645329901</v>
      </c>
      <c r="I85" s="549">
        <f t="shared" si="44"/>
        <v>61.458815861894564</v>
      </c>
      <c r="J85" s="549">
        <f t="shared" si="44"/>
        <v>62.821462553663871</v>
      </c>
      <c r="K85" s="549">
        <f t="shared" si="44"/>
        <v>63.831183752264927</v>
      </c>
      <c r="L85" s="549">
        <f t="shared" si="44"/>
        <v>64.579387160428311</v>
      </c>
      <c r="M85" s="549">
        <f>L85</f>
        <v>64.579387160428311</v>
      </c>
    </row>
    <row r="86" spans="1:13" ht="15" x14ac:dyDescent="0.25">
      <c r="A86" s="236"/>
      <c r="B86" s="236" t="s">
        <v>699</v>
      </c>
      <c r="C86" s="545">
        <f>(C81+C82-C83)*$A$80</f>
        <v>17.280480000000001</v>
      </c>
      <c r="D86" s="545">
        <f t="shared" ref="D86:M86" si="45">(D81+D82-D83)*$A$80</f>
        <v>17.280480000000001</v>
      </c>
      <c r="E86" s="545">
        <f t="shared" si="45"/>
        <v>17.280480000000001</v>
      </c>
      <c r="F86" s="545">
        <f t="shared" si="45"/>
        <v>17.280480000000001</v>
      </c>
      <c r="G86" s="545">
        <f t="shared" si="45"/>
        <v>17.280480000000001</v>
      </c>
      <c r="H86" s="545">
        <f t="shared" si="45"/>
        <v>17.280480000000001</v>
      </c>
      <c r="I86" s="545">
        <f t="shared" si="45"/>
        <v>17.280480000000001</v>
      </c>
      <c r="J86" s="545">
        <f t="shared" si="45"/>
        <v>17.280480000000001</v>
      </c>
      <c r="K86" s="545">
        <f t="shared" si="45"/>
        <v>17.280480000000001</v>
      </c>
      <c r="L86" s="545">
        <f t="shared" si="45"/>
        <v>17.280480000000001</v>
      </c>
      <c r="M86" s="545">
        <f t="shared" si="45"/>
        <v>17.280480000000001</v>
      </c>
    </row>
    <row r="87" spans="1:13" ht="15" x14ac:dyDescent="0.25">
      <c r="A87" s="236"/>
      <c r="B87" s="236"/>
      <c r="C87" s="545"/>
      <c r="D87" s="545"/>
      <c r="E87" s="545"/>
      <c r="F87" s="545"/>
      <c r="G87" s="545"/>
      <c r="H87" s="545"/>
      <c r="I87" s="545"/>
      <c r="J87" s="545"/>
      <c r="K87" s="545"/>
      <c r="L87" s="545"/>
      <c r="M87" s="545"/>
    </row>
    <row r="88" spans="1:13" ht="15" x14ac:dyDescent="0.25">
      <c r="A88" s="236"/>
      <c r="B88" s="236" t="s">
        <v>695</v>
      </c>
      <c r="C88" s="545">
        <v>23.83</v>
      </c>
      <c r="D88" s="545">
        <f>C90</f>
        <v>34.938510000000001</v>
      </c>
      <c r="E88" s="545">
        <f t="shared" ref="E88:L88" si="46">D90</f>
        <v>43.16991591</v>
      </c>
      <c r="F88" s="545">
        <f t="shared" si="46"/>
        <v>49.269387689310001</v>
      </c>
      <c r="G88" s="545">
        <f t="shared" si="46"/>
        <v>53.789096277778711</v>
      </c>
      <c r="H88" s="545">
        <f t="shared" si="46"/>
        <v>57.138200341834022</v>
      </c>
      <c r="I88" s="545">
        <f t="shared" si="46"/>
        <v>59.61988645329901</v>
      </c>
      <c r="J88" s="545">
        <f t="shared" si="46"/>
        <v>61.458815861894564</v>
      </c>
      <c r="K88" s="545">
        <f t="shared" si="46"/>
        <v>62.821462553663871</v>
      </c>
      <c r="L88" s="545">
        <f t="shared" si="46"/>
        <v>63.831183752264927</v>
      </c>
      <c r="M88" s="545">
        <f>C88</f>
        <v>23.83</v>
      </c>
    </row>
    <row r="89" spans="1:13" ht="15" x14ac:dyDescent="0.25">
      <c r="A89" s="236"/>
      <c r="B89" s="236" t="s">
        <v>445</v>
      </c>
      <c r="C89" s="545">
        <f>(C84-C88)*$A$80</f>
        <v>11.108510000000001</v>
      </c>
      <c r="D89" s="545">
        <f t="shared" ref="D89:L89" si="47">(D84-D88)*$A$80</f>
        <v>8.2314059099999994</v>
      </c>
      <c r="E89" s="545">
        <f t="shared" si="47"/>
        <v>6.09947177931</v>
      </c>
      <c r="F89" s="545">
        <f t="shared" si="47"/>
        <v>4.5197085884687098</v>
      </c>
      <c r="G89" s="545">
        <f t="shared" si="47"/>
        <v>3.3491040640553136</v>
      </c>
      <c r="H89" s="545">
        <f t="shared" si="47"/>
        <v>2.4816861114649882</v>
      </c>
      <c r="I89" s="545">
        <f t="shared" si="47"/>
        <v>1.8389294085955561</v>
      </c>
      <c r="J89" s="545">
        <f t="shared" si="47"/>
        <v>1.3626466917693076</v>
      </c>
      <c r="K89" s="545">
        <f t="shared" si="47"/>
        <v>1.0097211986010572</v>
      </c>
      <c r="L89" s="545">
        <f t="shared" si="47"/>
        <v>0.7482034081633836</v>
      </c>
      <c r="M89" s="545">
        <f>SUM(C89:L89)</f>
        <v>40.749387160428313</v>
      </c>
    </row>
    <row r="90" spans="1:13" ht="15" x14ac:dyDescent="0.25">
      <c r="A90" s="236"/>
      <c r="B90" s="236" t="s">
        <v>696</v>
      </c>
      <c r="C90" s="545">
        <f>C88+C89</f>
        <v>34.938510000000001</v>
      </c>
      <c r="D90" s="545">
        <f t="shared" ref="D90:M90" si="48">D88+D89</f>
        <v>43.16991591</v>
      </c>
      <c r="E90" s="545">
        <f t="shared" si="48"/>
        <v>49.269387689310001</v>
      </c>
      <c r="F90" s="545">
        <f t="shared" si="48"/>
        <v>53.789096277778711</v>
      </c>
      <c r="G90" s="545">
        <f t="shared" si="48"/>
        <v>57.138200341834022</v>
      </c>
      <c r="H90" s="545">
        <f t="shared" si="48"/>
        <v>59.61988645329901</v>
      </c>
      <c r="I90" s="545">
        <f t="shared" si="48"/>
        <v>61.458815861894564</v>
      </c>
      <c r="J90" s="545">
        <f t="shared" si="48"/>
        <v>62.821462553663871</v>
      </c>
      <c r="K90" s="545">
        <f t="shared" si="48"/>
        <v>63.831183752264927</v>
      </c>
      <c r="L90" s="545">
        <f t="shared" si="48"/>
        <v>64.579387160428311</v>
      </c>
      <c r="M90" s="545">
        <f t="shared" si="48"/>
        <v>64.579387160428311</v>
      </c>
    </row>
    <row r="91" spans="1:13" ht="15" x14ac:dyDescent="0.25">
      <c r="A91" s="236"/>
      <c r="B91" s="236"/>
      <c r="C91" s="545"/>
      <c r="D91" s="545"/>
      <c r="E91" s="545"/>
      <c r="F91" s="545"/>
      <c r="G91" s="545"/>
      <c r="H91" s="545"/>
      <c r="I91" s="545"/>
      <c r="J91" s="545"/>
      <c r="K91" s="545"/>
      <c r="L91" s="545"/>
      <c r="M91" s="545"/>
    </row>
    <row r="92" spans="1:13" ht="15" x14ac:dyDescent="0.25">
      <c r="A92" s="585">
        <v>0.63200000000000001</v>
      </c>
      <c r="B92" s="562" t="s">
        <v>586</v>
      </c>
      <c r="C92" s="584" t="s">
        <v>355</v>
      </c>
      <c r="D92" s="584" t="s">
        <v>356</v>
      </c>
      <c r="E92" s="584" t="s">
        <v>357</v>
      </c>
      <c r="F92" s="584" t="s">
        <v>358</v>
      </c>
      <c r="G92" s="584" t="s">
        <v>10</v>
      </c>
      <c r="H92" s="584" t="s">
        <v>11</v>
      </c>
      <c r="I92" s="584" t="s">
        <v>12</v>
      </c>
      <c r="J92" s="584" t="s">
        <v>13</v>
      </c>
      <c r="K92" s="584" t="s">
        <v>569</v>
      </c>
      <c r="L92" s="584" t="s">
        <v>590</v>
      </c>
      <c r="M92" s="584" t="s">
        <v>391</v>
      </c>
    </row>
    <row r="93" spans="1:13" ht="15" x14ac:dyDescent="0.25">
      <c r="A93" s="236"/>
      <c r="B93" s="236" t="s">
        <v>430</v>
      </c>
      <c r="C93" s="236">
        <f>40.77</f>
        <v>40.770000000000003</v>
      </c>
      <c r="D93" s="549">
        <f>C96</f>
        <v>40.770000000000003</v>
      </c>
      <c r="E93" s="549">
        <f>D96</f>
        <v>40.770000000000003</v>
      </c>
      <c r="F93" s="549">
        <f t="shared" ref="F93:L93" si="49">E96</f>
        <v>40.770000000000003</v>
      </c>
      <c r="G93" s="549">
        <f t="shared" si="49"/>
        <v>40.770000000000003</v>
      </c>
      <c r="H93" s="549">
        <f t="shared" si="49"/>
        <v>40.770000000000003</v>
      </c>
      <c r="I93" s="549">
        <f t="shared" si="49"/>
        <v>40.770000000000003</v>
      </c>
      <c r="J93" s="549">
        <f t="shared" si="49"/>
        <v>40.770000000000003</v>
      </c>
      <c r="K93" s="549">
        <f t="shared" si="49"/>
        <v>40.770000000000003</v>
      </c>
      <c r="L93" s="549">
        <f t="shared" si="49"/>
        <v>40.770000000000003</v>
      </c>
      <c r="M93" s="549">
        <f>C93</f>
        <v>40.770000000000003</v>
      </c>
    </row>
    <row r="94" spans="1:13" ht="15" x14ac:dyDescent="0.25">
      <c r="A94" s="236"/>
      <c r="B94" s="236" t="s">
        <v>677</v>
      </c>
      <c r="C94" s="545">
        <v>0</v>
      </c>
      <c r="D94" s="545">
        <v>0</v>
      </c>
      <c r="E94" s="545">
        <v>0</v>
      </c>
      <c r="F94" s="545">
        <v>0</v>
      </c>
      <c r="G94" s="545">
        <v>0</v>
      </c>
      <c r="H94" s="545">
        <v>0</v>
      </c>
      <c r="I94" s="545">
        <v>0</v>
      </c>
      <c r="J94" s="545">
        <v>0</v>
      </c>
      <c r="K94" s="545">
        <v>0</v>
      </c>
      <c r="L94" s="545">
        <v>0</v>
      </c>
      <c r="M94" s="545">
        <f>SUM(C94:L94)</f>
        <v>0</v>
      </c>
    </row>
    <row r="95" spans="1:13" ht="15" x14ac:dyDescent="0.25">
      <c r="A95" s="236"/>
      <c r="B95" s="236" t="s">
        <v>691</v>
      </c>
      <c r="C95" s="545">
        <v>0</v>
      </c>
      <c r="D95" s="545">
        <v>0</v>
      </c>
      <c r="E95" s="545">
        <v>0</v>
      </c>
      <c r="F95" s="545">
        <v>0</v>
      </c>
      <c r="G95" s="545">
        <v>0</v>
      </c>
      <c r="H95" s="545">
        <v>0</v>
      </c>
      <c r="I95" s="545">
        <v>0</v>
      </c>
      <c r="J95" s="545">
        <v>0</v>
      </c>
      <c r="K95" s="545">
        <v>0</v>
      </c>
      <c r="L95" s="545">
        <v>0</v>
      </c>
      <c r="M95" s="545">
        <f>SUM(C95:L95)</f>
        <v>0</v>
      </c>
    </row>
    <row r="96" spans="1:13" ht="15" x14ac:dyDescent="0.25">
      <c r="A96" s="236"/>
      <c r="B96" s="236" t="s">
        <v>698</v>
      </c>
      <c r="C96" s="548">
        <f>C93+C94-C95</f>
        <v>40.770000000000003</v>
      </c>
      <c r="D96" s="548">
        <f t="shared" ref="D96:M96" si="50">D93+D94-D95</f>
        <v>40.770000000000003</v>
      </c>
      <c r="E96" s="548">
        <f t="shared" si="50"/>
        <v>40.770000000000003</v>
      </c>
      <c r="F96" s="548">
        <f t="shared" si="50"/>
        <v>40.770000000000003</v>
      </c>
      <c r="G96" s="548">
        <f t="shared" si="50"/>
        <v>40.770000000000003</v>
      </c>
      <c r="H96" s="548">
        <f t="shared" si="50"/>
        <v>40.770000000000003</v>
      </c>
      <c r="I96" s="548">
        <f t="shared" si="50"/>
        <v>40.770000000000003</v>
      </c>
      <c r="J96" s="548">
        <f t="shared" si="50"/>
        <v>40.770000000000003</v>
      </c>
      <c r="K96" s="548">
        <f t="shared" si="50"/>
        <v>40.770000000000003</v>
      </c>
      <c r="L96" s="548">
        <f t="shared" si="50"/>
        <v>40.770000000000003</v>
      </c>
      <c r="M96" s="548">
        <f t="shared" si="50"/>
        <v>40.770000000000003</v>
      </c>
    </row>
    <row r="97" spans="1:13" ht="15" x14ac:dyDescent="0.25">
      <c r="A97" s="236"/>
      <c r="B97" s="236" t="s">
        <v>697</v>
      </c>
      <c r="C97" s="549">
        <f>C102</f>
        <v>38.363280000000003</v>
      </c>
      <c r="D97" s="549">
        <f t="shared" ref="D97:L97" si="51">D102</f>
        <v>39.884327040000002</v>
      </c>
      <c r="E97" s="549">
        <f t="shared" si="51"/>
        <v>40.444072350720006</v>
      </c>
      <c r="F97" s="549">
        <f t="shared" si="51"/>
        <v>40.650058625064965</v>
      </c>
      <c r="G97" s="549">
        <f t="shared" si="51"/>
        <v>40.725861574023909</v>
      </c>
      <c r="H97" s="549">
        <f t="shared" si="51"/>
        <v>40.753757059240797</v>
      </c>
      <c r="I97" s="549">
        <f t="shared" si="51"/>
        <v>40.764022597800619</v>
      </c>
      <c r="J97" s="549">
        <f t="shared" si="51"/>
        <v>40.767800315990627</v>
      </c>
      <c r="K97" s="549">
        <f t="shared" si="51"/>
        <v>40.769190516284553</v>
      </c>
      <c r="L97" s="549">
        <f t="shared" si="51"/>
        <v>40.769702109992714</v>
      </c>
      <c r="M97" s="549">
        <f>L97</f>
        <v>40.769702109992714</v>
      </c>
    </row>
    <row r="98" spans="1:13" ht="15" x14ac:dyDescent="0.25">
      <c r="A98" s="236"/>
      <c r="B98" s="236" t="s">
        <v>699</v>
      </c>
      <c r="C98" s="545">
        <f>C96-C97</f>
        <v>2.40672</v>
      </c>
      <c r="D98" s="545">
        <f t="shared" ref="D98:M98" si="52">D96-D97</f>
        <v>0.88567296000000084</v>
      </c>
      <c r="E98" s="545">
        <f t="shared" si="52"/>
        <v>0.32592764927999696</v>
      </c>
      <c r="F98" s="545">
        <f t="shared" si="52"/>
        <v>0.11994137493503843</v>
      </c>
      <c r="G98" s="545">
        <f t="shared" si="52"/>
        <v>4.4138425976093743E-2</v>
      </c>
      <c r="H98" s="545">
        <f t="shared" si="52"/>
        <v>1.6242940759205737E-2</v>
      </c>
      <c r="I98" s="545">
        <f t="shared" si="52"/>
        <v>5.9774021993845849E-3</v>
      </c>
      <c r="J98" s="545">
        <f t="shared" si="52"/>
        <v>2.1996840093763126E-3</v>
      </c>
      <c r="K98" s="545">
        <f t="shared" si="52"/>
        <v>8.0948371545019882E-4</v>
      </c>
      <c r="L98" s="545">
        <f t="shared" si="52"/>
        <v>2.9789000728897008E-4</v>
      </c>
      <c r="M98" s="545">
        <f t="shared" si="52"/>
        <v>2.9789000728897008E-4</v>
      </c>
    </row>
    <row r="99" spans="1:13" ht="15" x14ac:dyDescent="0.25">
      <c r="A99" s="236"/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</row>
    <row r="100" spans="1:13" ht="15" x14ac:dyDescent="0.25">
      <c r="A100" s="236"/>
      <c r="B100" s="236" t="s">
        <v>695</v>
      </c>
      <c r="C100" s="236">
        <v>34.229999999999997</v>
      </c>
      <c r="D100" s="549">
        <f>C102</f>
        <v>38.363280000000003</v>
      </c>
      <c r="E100" s="549">
        <f t="shared" ref="E100:L100" si="53">D102</f>
        <v>39.884327040000002</v>
      </c>
      <c r="F100" s="549">
        <f t="shared" si="53"/>
        <v>40.444072350720006</v>
      </c>
      <c r="G100" s="549">
        <f t="shared" si="53"/>
        <v>40.650058625064965</v>
      </c>
      <c r="H100" s="549">
        <f t="shared" si="53"/>
        <v>40.725861574023909</v>
      </c>
      <c r="I100" s="549">
        <f t="shared" si="53"/>
        <v>40.753757059240797</v>
      </c>
      <c r="J100" s="549">
        <f t="shared" si="53"/>
        <v>40.764022597800619</v>
      </c>
      <c r="K100" s="549">
        <f t="shared" si="53"/>
        <v>40.767800315990627</v>
      </c>
      <c r="L100" s="549">
        <f t="shared" si="53"/>
        <v>40.769190516284553</v>
      </c>
      <c r="M100" s="549">
        <f>C100</f>
        <v>34.229999999999997</v>
      </c>
    </row>
    <row r="101" spans="1:13" ht="15" x14ac:dyDescent="0.25">
      <c r="A101" s="236"/>
      <c r="B101" s="236" t="s">
        <v>445</v>
      </c>
      <c r="C101" s="545">
        <f>(C96-C100)*$A$92</f>
        <v>4.1332800000000036</v>
      </c>
      <c r="D101" s="545">
        <f t="shared" ref="D101:L101" si="54">(D96-D100)*$A$92</f>
        <v>1.52104704</v>
      </c>
      <c r="E101" s="545">
        <f t="shared" si="54"/>
        <v>0.55974531072000056</v>
      </c>
      <c r="F101" s="545">
        <f t="shared" si="54"/>
        <v>0.20598627434495809</v>
      </c>
      <c r="G101" s="545">
        <f t="shared" si="54"/>
        <v>7.580294895894428E-2</v>
      </c>
      <c r="H101" s="545">
        <f t="shared" si="54"/>
        <v>2.7895485216891246E-2</v>
      </c>
      <c r="I101" s="545">
        <f t="shared" si="54"/>
        <v>1.0265538559818026E-2</v>
      </c>
      <c r="J101" s="545">
        <f t="shared" si="54"/>
        <v>3.7777181900110579E-3</v>
      </c>
      <c r="K101" s="545">
        <f t="shared" si="54"/>
        <v>1.3902002939258295E-3</v>
      </c>
      <c r="L101" s="545">
        <f t="shared" si="54"/>
        <v>5.1159370816452568E-4</v>
      </c>
      <c r="M101" s="548">
        <f>SUM(C101:L101)</f>
        <v>6.5397021099927182</v>
      </c>
    </row>
    <row r="102" spans="1:13" ht="15" x14ac:dyDescent="0.25">
      <c r="A102" s="236"/>
      <c r="B102" s="236" t="s">
        <v>696</v>
      </c>
      <c r="C102" s="549">
        <f>C100+C101</f>
        <v>38.363280000000003</v>
      </c>
      <c r="D102" s="549">
        <f t="shared" ref="D102:M102" si="55">D100+D101</f>
        <v>39.884327040000002</v>
      </c>
      <c r="E102" s="549">
        <f t="shared" si="55"/>
        <v>40.444072350720006</v>
      </c>
      <c r="F102" s="549">
        <f t="shared" si="55"/>
        <v>40.650058625064965</v>
      </c>
      <c r="G102" s="549">
        <f t="shared" si="55"/>
        <v>40.725861574023909</v>
      </c>
      <c r="H102" s="549">
        <f t="shared" si="55"/>
        <v>40.753757059240797</v>
      </c>
      <c r="I102" s="549">
        <f t="shared" si="55"/>
        <v>40.764022597800619</v>
      </c>
      <c r="J102" s="549">
        <f t="shared" si="55"/>
        <v>40.767800315990627</v>
      </c>
      <c r="K102" s="549">
        <f t="shared" si="55"/>
        <v>40.769190516284553</v>
      </c>
      <c r="L102" s="549">
        <f t="shared" si="55"/>
        <v>40.769702109992714</v>
      </c>
      <c r="M102" s="549">
        <f t="shared" si="55"/>
        <v>40.769702109992714</v>
      </c>
    </row>
    <row r="103" spans="1:13" ht="15" x14ac:dyDescent="0.25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</row>
    <row r="104" spans="1:13" ht="15" x14ac:dyDescent="0.25">
      <c r="A104" s="580"/>
      <c r="B104" s="562" t="s">
        <v>875</v>
      </c>
      <c r="C104" s="584" t="s">
        <v>355</v>
      </c>
      <c r="D104" s="584" t="s">
        <v>356</v>
      </c>
      <c r="E104" s="584" t="s">
        <v>357</v>
      </c>
      <c r="F104" s="584" t="s">
        <v>358</v>
      </c>
      <c r="G104" s="584" t="s">
        <v>10</v>
      </c>
      <c r="H104" s="584" t="s">
        <v>11</v>
      </c>
      <c r="I104" s="584" t="s">
        <v>12</v>
      </c>
      <c r="J104" s="584" t="s">
        <v>13</v>
      </c>
      <c r="K104" s="584" t="s">
        <v>569</v>
      </c>
      <c r="L104" s="584" t="s">
        <v>590</v>
      </c>
      <c r="M104" s="584" t="s">
        <v>391</v>
      </c>
    </row>
    <row r="105" spans="1:13" ht="15" x14ac:dyDescent="0.25">
      <c r="A105" s="392">
        <v>0.15</v>
      </c>
      <c r="B105" s="236" t="s">
        <v>430</v>
      </c>
      <c r="C105" s="545">
        <v>0</v>
      </c>
      <c r="D105" s="545">
        <f>C108</f>
        <v>2400</v>
      </c>
      <c r="E105" s="545">
        <f>D108</f>
        <v>4800</v>
      </c>
      <c r="F105" s="545">
        <f>E108</f>
        <v>4800</v>
      </c>
      <c r="G105" s="545">
        <f>F108</f>
        <v>4800</v>
      </c>
      <c r="H105" s="545">
        <f t="shared" ref="H105:L105" si="56">G108</f>
        <v>4800</v>
      </c>
      <c r="I105" s="545">
        <f t="shared" si="56"/>
        <v>4800</v>
      </c>
      <c r="J105" s="545">
        <f t="shared" si="56"/>
        <v>4800</v>
      </c>
      <c r="K105" s="545">
        <f t="shared" si="56"/>
        <v>4800</v>
      </c>
      <c r="L105" s="545">
        <f t="shared" si="56"/>
        <v>4800</v>
      </c>
      <c r="M105" s="548">
        <f>C105</f>
        <v>0</v>
      </c>
    </row>
    <row r="106" spans="1:13" ht="15" x14ac:dyDescent="0.25">
      <c r="A106" s="236"/>
      <c r="B106" s="236" t="s">
        <v>677</v>
      </c>
      <c r="C106" s="545">
        <v>2400</v>
      </c>
      <c r="D106" s="545">
        <v>2400</v>
      </c>
      <c r="E106" s="545">
        <v>0</v>
      </c>
      <c r="F106" s="545">
        <v>0</v>
      </c>
      <c r="G106" s="545">
        <v>0</v>
      </c>
      <c r="H106" s="545">
        <v>0</v>
      </c>
      <c r="I106" s="545">
        <v>0</v>
      </c>
      <c r="J106" s="545">
        <v>0</v>
      </c>
      <c r="K106" s="545">
        <v>0</v>
      </c>
      <c r="L106" s="545">
        <v>0</v>
      </c>
      <c r="M106" s="545">
        <f>SUM(C106:L106)</f>
        <v>4800</v>
      </c>
    </row>
    <row r="107" spans="1:13" ht="15" x14ac:dyDescent="0.25">
      <c r="A107" s="236"/>
      <c r="B107" s="236" t="s">
        <v>691</v>
      </c>
      <c r="C107" s="545">
        <v>0</v>
      </c>
      <c r="D107" s="545">
        <v>0</v>
      </c>
      <c r="E107" s="545">
        <v>0</v>
      </c>
      <c r="F107" s="545">
        <v>0</v>
      </c>
      <c r="G107" s="545">
        <v>0</v>
      </c>
      <c r="H107" s="545">
        <v>0</v>
      </c>
      <c r="I107" s="545">
        <v>0</v>
      </c>
      <c r="J107" s="545">
        <v>0</v>
      </c>
      <c r="K107" s="545">
        <v>0</v>
      </c>
      <c r="L107" s="545">
        <v>0</v>
      </c>
      <c r="M107" s="545">
        <f>SUM(C107:L107)</f>
        <v>0</v>
      </c>
    </row>
    <row r="108" spans="1:13" ht="15" x14ac:dyDescent="0.25">
      <c r="A108" s="236"/>
      <c r="B108" s="236" t="s">
        <v>698</v>
      </c>
      <c r="C108" s="545">
        <f>C105+C106-C107</f>
        <v>2400</v>
      </c>
      <c r="D108" s="545">
        <f t="shared" ref="D108:M108" si="57">D105+D106-D107</f>
        <v>4800</v>
      </c>
      <c r="E108" s="545">
        <f t="shared" si="57"/>
        <v>4800</v>
      </c>
      <c r="F108" s="545">
        <f t="shared" si="57"/>
        <v>4800</v>
      </c>
      <c r="G108" s="545">
        <f t="shared" si="57"/>
        <v>4800</v>
      </c>
      <c r="H108" s="545">
        <f t="shared" si="57"/>
        <v>4800</v>
      </c>
      <c r="I108" s="545">
        <f t="shared" si="57"/>
        <v>4800</v>
      </c>
      <c r="J108" s="545">
        <f t="shared" si="57"/>
        <v>4800</v>
      </c>
      <c r="K108" s="545">
        <f t="shared" si="57"/>
        <v>4800</v>
      </c>
      <c r="L108" s="545">
        <f t="shared" si="57"/>
        <v>4800</v>
      </c>
      <c r="M108" s="545">
        <f t="shared" si="57"/>
        <v>4800</v>
      </c>
    </row>
    <row r="109" spans="1:13" ht="15" x14ac:dyDescent="0.25">
      <c r="A109" s="236"/>
      <c r="B109" s="236" t="s">
        <v>697</v>
      </c>
      <c r="C109" s="545">
        <f>C114</f>
        <v>43.75</v>
      </c>
      <c r="D109" s="545">
        <f t="shared" ref="D109:L109" si="58">D114</f>
        <v>757.1875</v>
      </c>
      <c r="E109" s="545">
        <f t="shared" si="58"/>
        <v>1363.609375</v>
      </c>
      <c r="F109" s="545">
        <f t="shared" si="58"/>
        <v>1879.0679687500001</v>
      </c>
      <c r="G109" s="545">
        <f t="shared" si="58"/>
        <v>2317.2077734375002</v>
      </c>
      <c r="H109" s="545">
        <f t="shared" si="58"/>
        <v>2689.6266074218752</v>
      </c>
      <c r="I109" s="545">
        <f t="shared" si="58"/>
        <v>3006.1826163085939</v>
      </c>
      <c r="J109" s="545">
        <f t="shared" si="58"/>
        <v>3275.2552238623048</v>
      </c>
      <c r="K109" s="545">
        <f t="shared" si="58"/>
        <v>3503.9669402829591</v>
      </c>
      <c r="L109" s="545">
        <f t="shared" si="58"/>
        <v>3698.3718992405152</v>
      </c>
      <c r="M109" s="545">
        <f>L109</f>
        <v>3698.3718992405152</v>
      </c>
    </row>
    <row r="110" spans="1:13" ht="15" x14ac:dyDescent="0.25">
      <c r="A110" s="236"/>
      <c r="B110" s="236" t="s">
        <v>699</v>
      </c>
      <c r="C110" s="545">
        <f>C108-C109</f>
        <v>2356.25</v>
      </c>
      <c r="D110" s="545">
        <f t="shared" ref="D110:M110" si="59">D108-D109</f>
        <v>4042.8125</v>
      </c>
      <c r="E110" s="545">
        <f t="shared" si="59"/>
        <v>3436.390625</v>
      </c>
      <c r="F110" s="545">
        <f t="shared" si="59"/>
        <v>2920.9320312499999</v>
      </c>
      <c r="G110" s="545">
        <f t="shared" si="59"/>
        <v>2482.7922265624998</v>
      </c>
      <c r="H110" s="545">
        <f t="shared" si="59"/>
        <v>2110.3733925781248</v>
      </c>
      <c r="I110" s="545">
        <f t="shared" si="59"/>
        <v>1793.8173836914061</v>
      </c>
      <c r="J110" s="545">
        <f t="shared" si="59"/>
        <v>1524.7447761376952</v>
      </c>
      <c r="K110" s="545">
        <f t="shared" si="59"/>
        <v>1296.0330597170409</v>
      </c>
      <c r="L110" s="545">
        <f t="shared" si="59"/>
        <v>1101.6281007594848</v>
      </c>
      <c r="M110" s="545">
        <f t="shared" si="59"/>
        <v>1101.6281007594848</v>
      </c>
    </row>
    <row r="111" spans="1:13" ht="15" x14ac:dyDescent="0.25">
      <c r="A111" s="236"/>
      <c r="B111" s="236"/>
      <c r="C111" s="545"/>
      <c r="D111" s="545"/>
      <c r="E111" s="545"/>
      <c r="F111" s="545"/>
      <c r="G111" s="545"/>
      <c r="H111" s="545"/>
      <c r="I111" s="545"/>
      <c r="J111" s="545"/>
      <c r="K111" s="545"/>
      <c r="L111" s="545"/>
      <c r="M111" s="545"/>
    </row>
    <row r="112" spans="1:13" ht="15" x14ac:dyDescent="0.25">
      <c r="A112" s="236"/>
      <c r="B112" s="236" t="s">
        <v>695</v>
      </c>
      <c r="C112" s="545">
        <v>0</v>
      </c>
      <c r="D112" s="545">
        <f t="shared" ref="D112:L112" si="60">C114</f>
        <v>43.75</v>
      </c>
      <c r="E112" s="545">
        <f t="shared" si="60"/>
        <v>757.1875</v>
      </c>
      <c r="F112" s="545">
        <f t="shared" si="60"/>
        <v>1363.609375</v>
      </c>
      <c r="G112" s="545">
        <f t="shared" si="60"/>
        <v>1879.0679687500001</v>
      </c>
      <c r="H112" s="545">
        <f t="shared" si="60"/>
        <v>2317.2077734375002</v>
      </c>
      <c r="I112" s="545">
        <f t="shared" si="60"/>
        <v>2689.6266074218752</v>
      </c>
      <c r="J112" s="545">
        <f t="shared" si="60"/>
        <v>3006.1826163085939</v>
      </c>
      <c r="K112" s="545">
        <f t="shared" si="60"/>
        <v>3275.2552238623048</v>
      </c>
      <c r="L112" s="545">
        <f t="shared" si="60"/>
        <v>3503.9669402829591</v>
      </c>
      <c r="M112" s="545">
        <f>C112</f>
        <v>0</v>
      </c>
    </row>
    <row r="113" spans="1:13" ht="15" x14ac:dyDescent="0.25">
      <c r="A113" s="236"/>
      <c r="B113" s="236" t="s">
        <v>445</v>
      </c>
      <c r="C113" s="545">
        <f>+'new project'!C19</f>
        <v>43.75</v>
      </c>
      <c r="D113" s="545">
        <f>+'new project'!D19</f>
        <v>713.4375</v>
      </c>
      <c r="E113" s="545">
        <f>+'new project'!E19</f>
        <v>606.421875</v>
      </c>
      <c r="F113" s="545">
        <f>+'new project'!F19</f>
        <v>515.45859374999998</v>
      </c>
      <c r="G113" s="545">
        <f>+'new project'!G19</f>
        <v>438.13980468750003</v>
      </c>
      <c r="H113" s="545">
        <f>+'new project'!H19</f>
        <v>372.41883398437494</v>
      </c>
      <c r="I113" s="545">
        <f>+'new project'!I19</f>
        <v>316.5560088867187</v>
      </c>
      <c r="J113" s="545">
        <f t="shared" ref="J113:L113" si="61">(J108-J112)*$A$105</f>
        <v>269.0726075537109</v>
      </c>
      <c r="K113" s="545">
        <f t="shared" si="61"/>
        <v>228.71171642065428</v>
      </c>
      <c r="L113" s="545">
        <f t="shared" si="61"/>
        <v>194.40495895755615</v>
      </c>
      <c r="M113" s="545">
        <f>SUM(C113:L113)</f>
        <v>3698.3718992405152</v>
      </c>
    </row>
    <row r="114" spans="1:13" ht="15" x14ac:dyDescent="0.25">
      <c r="A114" s="236"/>
      <c r="B114" s="236" t="s">
        <v>696</v>
      </c>
      <c r="C114" s="545">
        <f>C112+C113</f>
        <v>43.75</v>
      </c>
      <c r="D114" s="545">
        <f t="shared" ref="D114:M114" si="62">D112+D113</f>
        <v>757.1875</v>
      </c>
      <c r="E114" s="545">
        <f t="shared" si="62"/>
        <v>1363.609375</v>
      </c>
      <c r="F114" s="545">
        <f t="shared" si="62"/>
        <v>1879.0679687500001</v>
      </c>
      <c r="G114" s="545">
        <f t="shared" si="62"/>
        <v>2317.2077734375002</v>
      </c>
      <c r="H114" s="545">
        <f t="shared" si="62"/>
        <v>2689.6266074218752</v>
      </c>
      <c r="I114" s="545">
        <f t="shared" si="62"/>
        <v>3006.1826163085939</v>
      </c>
      <c r="J114" s="545">
        <f t="shared" si="62"/>
        <v>3275.2552238623048</v>
      </c>
      <c r="K114" s="545">
        <f t="shared" si="62"/>
        <v>3503.9669402829591</v>
      </c>
      <c r="L114" s="545">
        <f t="shared" si="62"/>
        <v>3698.3718992405152</v>
      </c>
      <c r="M114" s="545">
        <f t="shared" si="62"/>
        <v>3698.3718992405152</v>
      </c>
    </row>
    <row r="115" spans="1:13" ht="15" x14ac:dyDescent="0.25">
      <c r="A115" s="236"/>
      <c r="B115" s="236"/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</row>
    <row r="116" spans="1:13" ht="15" x14ac:dyDescent="0.25">
      <c r="A116" s="580"/>
      <c r="B116" s="562" t="s">
        <v>877</v>
      </c>
      <c r="C116" s="584" t="s">
        <v>355</v>
      </c>
      <c r="D116" s="584" t="s">
        <v>356</v>
      </c>
      <c r="E116" s="584" t="s">
        <v>357</v>
      </c>
      <c r="F116" s="584" t="s">
        <v>358</v>
      </c>
      <c r="G116" s="584" t="s">
        <v>10</v>
      </c>
      <c r="H116" s="584" t="s">
        <v>11</v>
      </c>
      <c r="I116" s="584" t="s">
        <v>12</v>
      </c>
      <c r="J116" s="584" t="s">
        <v>13</v>
      </c>
      <c r="K116" s="584" t="s">
        <v>569</v>
      </c>
      <c r="L116" s="584" t="s">
        <v>590</v>
      </c>
      <c r="M116" s="584" t="s">
        <v>391</v>
      </c>
    </row>
    <row r="117" spans="1:13" ht="15" x14ac:dyDescent="0.25">
      <c r="A117" s="236"/>
      <c r="B117" s="236" t="s">
        <v>430</v>
      </c>
      <c r="C117" s="548">
        <f>SUM(C6,C18,C31,C43,C55,C67,C81,C93,C105)</f>
        <v>10114.48</v>
      </c>
      <c r="D117" s="548">
        <f t="shared" ref="D117:L119" si="63">SUM(D6,D18,D31,D43,D55,D67,D81,D93,D105)</f>
        <v>12514.48</v>
      </c>
      <c r="E117" s="548">
        <f t="shared" si="63"/>
        <v>15311.89</v>
      </c>
      <c r="F117" s="548">
        <f t="shared" si="63"/>
        <v>15846.32</v>
      </c>
      <c r="G117" s="548">
        <f t="shared" si="63"/>
        <v>15846.32</v>
      </c>
      <c r="H117" s="548">
        <f t="shared" si="63"/>
        <v>15846.32</v>
      </c>
      <c r="I117" s="548">
        <f t="shared" si="63"/>
        <v>15846.32</v>
      </c>
      <c r="J117" s="548">
        <f t="shared" si="63"/>
        <v>15846.32</v>
      </c>
      <c r="K117" s="548">
        <f t="shared" si="63"/>
        <v>15846.32</v>
      </c>
      <c r="L117" s="548">
        <f t="shared" si="63"/>
        <v>15846.32</v>
      </c>
      <c r="M117" s="548">
        <f>C117</f>
        <v>10114.48</v>
      </c>
    </row>
    <row r="118" spans="1:13" ht="15" x14ac:dyDescent="0.25">
      <c r="A118" s="236"/>
      <c r="B118" s="236" t="s">
        <v>677</v>
      </c>
      <c r="C118" s="548">
        <f>SUM(C7,C19,C32,C44,C56,C68,C82,C94,C106)</f>
        <v>2400</v>
      </c>
      <c r="D118" s="548">
        <f t="shared" si="63"/>
        <v>2797.41</v>
      </c>
      <c r="E118" s="548">
        <f t="shared" si="63"/>
        <v>534.42999999999995</v>
      </c>
      <c r="F118" s="548">
        <f t="shared" si="63"/>
        <v>0</v>
      </c>
      <c r="G118" s="548">
        <f t="shared" si="63"/>
        <v>0</v>
      </c>
      <c r="H118" s="548">
        <f t="shared" si="63"/>
        <v>0</v>
      </c>
      <c r="I118" s="548">
        <f t="shared" si="63"/>
        <v>0</v>
      </c>
      <c r="J118" s="548">
        <f t="shared" si="63"/>
        <v>0</v>
      </c>
      <c r="K118" s="548">
        <f t="shared" si="63"/>
        <v>0</v>
      </c>
      <c r="L118" s="548">
        <f t="shared" si="63"/>
        <v>0</v>
      </c>
      <c r="M118" s="545">
        <f>SUM(C118:L118)</f>
        <v>5731.84</v>
      </c>
    </row>
    <row r="119" spans="1:13" ht="15" x14ac:dyDescent="0.25">
      <c r="A119" s="236"/>
      <c r="B119" s="236" t="s">
        <v>691</v>
      </c>
      <c r="C119" s="548">
        <f>SUM(C8,C20,C33,C45,C57,C69,C83,C95,C107)</f>
        <v>0</v>
      </c>
      <c r="D119" s="548">
        <f t="shared" si="63"/>
        <v>0</v>
      </c>
      <c r="E119" s="548">
        <f t="shared" si="63"/>
        <v>0</v>
      </c>
      <c r="F119" s="548">
        <f t="shared" si="63"/>
        <v>0</v>
      </c>
      <c r="G119" s="548">
        <f t="shared" si="63"/>
        <v>0</v>
      </c>
      <c r="H119" s="548">
        <f t="shared" si="63"/>
        <v>0</v>
      </c>
      <c r="I119" s="548">
        <f t="shared" si="63"/>
        <v>0</v>
      </c>
      <c r="J119" s="548">
        <f t="shared" si="63"/>
        <v>0</v>
      </c>
      <c r="K119" s="548">
        <f t="shared" si="63"/>
        <v>0</v>
      </c>
      <c r="L119" s="548">
        <f t="shared" si="63"/>
        <v>0</v>
      </c>
      <c r="M119" s="545">
        <f>SUM(C119:L119)</f>
        <v>0</v>
      </c>
    </row>
    <row r="120" spans="1:13" ht="15" x14ac:dyDescent="0.25">
      <c r="A120" s="236"/>
      <c r="B120" s="236" t="s">
        <v>698</v>
      </c>
      <c r="C120" s="548">
        <f>C117+C118-C119</f>
        <v>12514.48</v>
      </c>
      <c r="D120" s="548">
        <f t="shared" ref="D120:M120" si="64">D117+D118-D119</f>
        <v>15311.89</v>
      </c>
      <c r="E120" s="548">
        <f t="shared" si="64"/>
        <v>15846.32</v>
      </c>
      <c r="F120" s="548">
        <f t="shared" si="64"/>
        <v>15846.32</v>
      </c>
      <c r="G120" s="548">
        <f t="shared" si="64"/>
        <v>15846.32</v>
      </c>
      <c r="H120" s="548">
        <f t="shared" si="64"/>
        <v>15846.32</v>
      </c>
      <c r="I120" s="548">
        <f t="shared" si="64"/>
        <v>15846.32</v>
      </c>
      <c r="J120" s="548">
        <f t="shared" si="64"/>
        <v>15846.32</v>
      </c>
      <c r="K120" s="548">
        <f t="shared" si="64"/>
        <v>15846.32</v>
      </c>
      <c r="L120" s="548">
        <f t="shared" si="64"/>
        <v>15846.32</v>
      </c>
      <c r="M120" s="548">
        <f t="shared" si="64"/>
        <v>15846.32</v>
      </c>
    </row>
    <row r="121" spans="1:13" ht="15" x14ac:dyDescent="0.25">
      <c r="A121" s="236"/>
      <c r="B121" s="236" t="s">
        <v>697</v>
      </c>
      <c r="C121" s="548">
        <f>SUM(C10,C22,C35,C47,C59,C71,C85,C97,C109)</f>
        <v>6093.2041859999999</v>
      </c>
      <c r="D121" s="548">
        <f t="shared" ref="D121:L121" si="65">SUM(D10,D22,D35,D47,D59,D71,D85,D97,D109)</f>
        <v>7458.0759831967989</v>
      </c>
      <c r="E121" s="548">
        <f t="shared" si="65"/>
        <v>8706.801317288162</v>
      </c>
      <c r="F121" s="548">
        <f t="shared" si="65"/>
        <v>9749.9141019314775</v>
      </c>
      <c r="G121" s="548">
        <f t="shared" si="65"/>
        <v>10623.23264997506</v>
      </c>
      <c r="H121" s="548">
        <f t="shared" si="65"/>
        <v>11355.995040665068</v>
      </c>
      <c r="I121" s="548">
        <f t="shared" si="65"/>
        <v>11972.155956010462</v>
      </c>
      <c r="J121" s="548">
        <f t="shared" si="65"/>
        <v>12491.393210903489</v>
      </c>
      <c r="K121" s="548">
        <f t="shared" si="65"/>
        <v>12929.906300960472</v>
      </c>
      <c r="L121" s="548">
        <f t="shared" si="65"/>
        <v>13301.057180343831</v>
      </c>
      <c r="M121" s="549">
        <f>L121</f>
        <v>13301.057180343831</v>
      </c>
    </row>
    <row r="122" spans="1:13" ht="15" x14ac:dyDescent="0.25">
      <c r="A122" s="236"/>
      <c r="B122" s="236" t="s">
        <v>699</v>
      </c>
      <c r="C122" s="548">
        <f>C120-C121</f>
        <v>6421.2758139999996</v>
      </c>
      <c r="D122" s="548">
        <f t="shared" ref="D122:M122" si="66">D120-D121</f>
        <v>7853.8140168032005</v>
      </c>
      <c r="E122" s="548">
        <f t="shared" si="66"/>
        <v>7139.5186827118378</v>
      </c>
      <c r="F122" s="548">
        <f t="shared" si="66"/>
        <v>6096.4058980685222</v>
      </c>
      <c r="G122" s="548">
        <f t="shared" si="66"/>
        <v>5223.08735002494</v>
      </c>
      <c r="H122" s="548">
        <f t="shared" si="66"/>
        <v>4490.3249593349319</v>
      </c>
      <c r="I122" s="548">
        <f t="shared" si="66"/>
        <v>3874.1640439895382</v>
      </c>
      <c r="J122" s="548">
        <f t="shared" si="66"/>
        <v>3354.9267890965111</v>
      </c>
      <c r="K122" s="548">
        <f t="shared" si="66"/>
        <v>2916.4136990395273</v>
      </c>
      <c r="L122" s="548">
        <f t="shared" si="66"/>
        <v>2545.2628196561691</v>
      </c>
      <c r="M122" s="548">
        <f t="shared" si="66"/>
        <v>2545.2628196561691</v>
      </c>
    </row>
    <row r="123" spans="1:13" ht="15" x14ac:dyDescent="0.25">
      <c r="A123" s="236"/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</row>
    <row r="124" spans="1:13" ht="15" x14ac:dyDescent="0.25">
      <c r="A124" s="236"/>
      <c r="B124" s="236" t="s">
        <v>695</v>
      </c>
      <c r="C124" s="548">
        <f>SUM(C13,C25,C38,C50,C62,C74,C88,C100,C112)</f>
        <v>5351.93</v>
      </c>
      <c r="D124" s="549">
        <f t="shared" ref="D124:L124" si="67">C126</f>
        <v>6093.2041859999999</v>
      </c>
      <c r="E124" s="549">
        <f t="shared" si="67"/>
        <v>7458.0759831967998</v>
      </c>
      <c r="F124" s="549">
        <f t="shared" si="67"/>
        <v>8706.801317288162</v>
      </c>
      <c r="G124" s="549">
        <f t="shared" si="67"/>
        <v>9749.9141019314757</v>
      </c>
      <c r="H124" s="549">
        <f t="shared" si="67"/>
        <v>10623.232649975058</v>
      </c>
      <c r="I124" s="549">
        <f t="shared" si="67"/>
        <v>11355.995040665066</v>
      </c>
      <c r="J124" s="549">
        <f t="shared" si="67"/>
        <v>11972.155956010458</v>
      </c>
      <c r="K124" s="549">
        <f t="shared" si="67"/>
        <v>12491.393210903485</v>
      </c>
      <c r="L124" s="549">
        <f t="shared" si="67"/>
        <v>12929.906300960469</v>
      </c>
      <c r="M124" s="548">
        <f>C124</f>
        <v>5351.93</v>
      </c>
    </row>
    <row r="125" spans="1:13" ht="15" x14ac:dyDescent="0.25">
      <c r="A125" s="236"/>
      <c r="B125" s="236" t="s">
        <v>445</v>
      </c>
      <c r="C125" s="548">
        <f>SUM(C14,C26,C39,C51,C63,C75,C89,C101,C113)</f>
        <v>741.27418599999999</v>
      </c>
      <c r="D125" s="548">
        <f t="shared" ref="D125:L125" si="68">SUM(D14,D26,D39,D51,D63,D75,D89,D101,D113)</f>
        <v>1364.8717971967999</v>
      </c>
      <c r="E125" s="548">
        <f t="shared" si="68"/>
        <v>1248.7253340913628</v>
      </c>
      <c r="F125" s="548">
        <f t="shared" si="68"/>
        <v>1043.1127846433142</v>
      </c>
      <c r="G125" s="548">
        <f t="shared" si="68"/>
        <v>873.31854804358272</v>
      </c>
      <c r="H125" s="548">
        <f t="shared" si="68"/>
        <v>732.76239069000871</v>
      </c>
      <c r="I125" s="548">
        <f t="shared" si="68"/>
        <v>616.16091534539282</v>
      </c>
      <c r="J125" s="548">
        <f t="shared" si="68"/>
        <v>519.2372548930274</v>
      </c>
      <c r="K125" s="548">
        <f t="shared" si="68"/>
        <v>438.51309005698431</v>
      </c>
      <c r="L125" s="548">
        <f t="shared" si="68"/>
        <v>371.15087938335785</v>
      </c>
      <c r="M125" s="548">
        <f>SUM(C125:L125)</f>
        <v>7949.1271803438303</v>
      </c>
    </row>
    <row r="126" spans="1:13" x14ac:dyDescent="0.35">
      <c r="A126" s="236"/>
      <c r="B126" s="236" t="s">
        <v>696</v>
      </c>
      <c r="C126" s="549">
        <f>C124+C125</f>
        <v>6093.2041859999999</v>
      </c>
      <c r="D126" s="549">
        <f t="shared" ref="D126:M126" si="69">D124+D125</f>
        <v>7458.0759831967998</v>
      </c>
      <c r="E126" s="549">
        <f t="shared" si="69"/>
        <v>8706.801317288162</v>
      </c>
      <c r="F126" s="549">
        <f t="shared" si="69"/>
        <v>9749.9141019314757</v>
      </c>
      <c r="G126" s="549">
        <f t="shared" si="69"/>
        <v>10623.232649975058</v>
      </c>
      <c r="H126" s="549">
        <f t="shared" si="69"/>
        <v>11355.995040665066</v>
      </c>
      <c r="I126" s="549">
        <f t="shared" si="69"/>
        <v>11972.155956010458</v>
      </c>
      <c r="J126" s="549">
        <f t="shared" si="69"/>
        <v>12491.393210903485</v>
      </c>
      <c r="K126" s="549">
        <f t="shared" si="69"/>
        <v>12929.906300960469</v>
      </c>
      <c r="L126" s="549">
        <f t="shared" si="69"/>
        <v>13301.057180343827</v>
      </c>
      <c r="M126" s="549">
        <f t="shared" si="69"/>
        <v>13301.057180343831</v>
      </c>
    </row>
    <row r="127" spans="1:13" x14ac:dyDescent="0.35">
      <c r="A127" s="236"/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</row>
    <row r="128" spans="1:13" x14ac:dyDescent="0.35">
      <c r="A128" s="562"/>
      <c r="B128" s="562" t="s">
        <v>876</v>
      </c>
      <c r="C128" s="584" t="s">
        <v>355</v>
      </c>
      <c r="D128" s="584" t="s">
        <v>356</v>
      </c>
      <c r="E128" s="584" t="s">
        <v>357</v>
      </c>
      <c r="F128" s="584" t="s">
        <v>358</v>
      </c>
      <c r="G128" s="584" t="s">
        <v>10</v>
      </c>
      <c r="H128" s="584" t="s">
        <v>11</v>
      </c>
      <c r="I128" s="584" t="s">
        <v>12</v>
      </c>
      <c r="J128" s="584" t="s">
        <v>13</v>
      </c>
      <c r="K128" s="584" t="s">
        <v>569</v>
      </c>
      <c r="L128" s="584" t="s">
        <v>590</v>
      </c>
      <c r="M128" s="584" t="s">
        <v>391</v>
      </c>
    </row>
    <row r="129" spans="1:13" x14ac:dyDescent="0.35">
      <c r="A129" s="236"/>
      <c r="B129" s="236" t="s">
        <v>711</v>
      </c>
      <c r="C129" s="548">
        <f>SUM(C14,C26,C39,C51,C63,C75,C89,C101)</f>
        <v>697.52418599999999</v>
      </c>
      <c r="D129" s="548">
        <f t="shared" ref="D129:L129" si="70">SUM(D14,D26,D39,D51,D63,D75,D89,D101)</f>
        <v>651.43429719679989</v>
      </c>
      <c r="E129" s="548">
        <f t="shared" si="70"/>
        <v>642.30345909136281</v>
      </c>
      <c r="F129" s="548">
        <f t="shared" si="70"/>
        <v>527.65419089331408</v>
      </c>
      <c r="G129" s="548">
        <f t="shared" si="70"/>
        <v>435.17874335608263</v>
      </c>
      <c r="H129" s="548">
        <f t="shared" si="70"/>
        <v>360.34355670563372</v>
      </c>
      <c r="I129" s="548">
        <f t="shared" si="70"/>
        <v>299.60490645867418</v>
      </c>
      <c r="J129" s="548">
        <f t="shared" si="70"/>
        <v>250.1646473393165</v>
      </c>
      <c r="K129" s="548">
        <f t="shared" si="70"/>
        <v>209.80137363633003</v>
      </c>
      <c r="L129" s="548">
        <f t="shared" si="70"/>
        <v>176.74592042580173</v>
      </c>
      <c r="M129" s="548">
        <f>SUM(C129:L129)</f>
        <v>4250.7552811033156</v>
      </c>
    </row>
    <row r="130" spans="1:13" x14ac:dyDescent="0.35">
      <c r="A130" s="236"/>
      <c r="B130" s="236" t="s">
        <v>710</v>
      </c>
      <c r="C130" s="548">
        <f>C113</f>
        <v>43.75</v>
      </c>
      <c r="D130" s="548">
        <f t="shared" ref="D130:L130" si="71">D113</f>
        <v>713.4375</v>
      </c>
      <c r="E130" s="548">
        <f t="shared" si="71"/>
        <v>606.421875</v>
      </c>
      <c r="F130" s="548">
        <f t="shared" si="71"/>
        <v>515.45859374999998</v>
      </c>
      <c r="G130" s="548">
        <f t="shared" si="71"/>
        <v>438.13980468750003</v>
      </c>
      <c r="H130" s="548">
        <f t="shared" si="71"/>
        <v>372.41883398437494</v>
      </c>
      <c r="I130" s="548">
        <f t="shared" si="71"/>
        <v>316.5560088867187</v>
      </c>
      <c r="J130" s="548">
        <f t="shared" si="71"/>
        <v>269.0726075537109</v>
      </c>
      <c r="K130" s="548">
        <f t="shared" si="71"/>
        <v>228.71171642065428</v>
      </c>
      <c r="L130" s="548">
        <f t="shared" si="71"/>
        <v>194.40495895755615</v>
      </c>
      <c r="M130" s="548">
        <f>SUM(C130:L130)</f>
        <v>3698.3718992405152</v>
      </c>
    </row>
    <row r="131" spans="1:13" x14ac:dyDescent="0.35">
      <c r="A131" s="236"/>
      <c r="B131" s="236" t="s">
        <v>659</v>
      </c>
      <c r="C131" s="549">
        <f>C129+C130</f>
        <v>741.27418599999999</v>
      </c>
      <c r="D131" s="549">
        <f t="shared" ref="D131:L131" si="72">D129+D130</f>
        <v>1364.8717971967999</v>
      </c>
      <c r="E131" s="549">
        <f t="shared" si="72"/>
        <v>1248.7253340913628</v>
      </c>
      <c r="F131" s="549">
        <f t="shared" si="72"/>
        <v>1043.1127846433142</v>
      </c>
      <c r="G131" s="549">
        <f t="shared" si="72"/>
        <v>873.31854804358272</v>
      </c>
      <c r="H131" s="549">
        <f t="shared" si="72"/>
        <v>732.76239069000871</v>
      </c>
      <c r="I131" s="549">
        <f t="shared" si="72"/>
        <v>616.16091534539282</v>
      </c>
      <c r="J131" s="549">
        <f t="shared" si="72"/>
        <v>519.2372548930274</v>
      </c>
      <c r="K131" s="549">
        <f t="shared" si="72"/>
        <v>438.51309005698431</v>
      </c>
      <c r="L131" s="549">
        <f t="shared" si="72"/>
        <v>371.15087938335785</v>
      </c>
      <c r="M131" s="548">
        <f>SUM(C131:L131)</f>
        <v>7949.1271803438303</v>
      </c>
    </row>
    <row r="132" spans="1:13" x14ac:dyDescent="0.35">
      <c r="A132" s="236"/>
      <c r="B132" s="236" t="s">
        <v>737</v>
      </c>
      <c r="C132" s="549">
        <f>C125-C131</f>
        <v>0</v>
      </c>
      <c r="D132" s="549">
        <f t="shared" ref="D132:M132" si="73">D125-D131</f>
        <v>0</v>
      </c>
      <c r="E132" s="549">
        <f t="shared" si="73"/>
        <v>0</v>
      </c>
      <c r="F132" s="549">
        <f t="shared" si="73"/>
        <v>0</v>
      </c>
      <c r="G132" s="549">
        <f t="shared" si="73"/>
        <v>0</v>
      </c>
      <c r="H132" s="549">
        <f t="shared" si="73"/>
        <v>0</v>
      </c>
      <c r="I132" s="549">
        <f t="shared" si="73"/>
        <v>0</v>
      </c>
      <c r="J132" s="549">
        <f t="shared" si="73"/>
        <v>0</v>
      </c>
      <c r="K132" s="549">
        <f t="shared" si="73"/>
        <v>0</v>
      </c>
      <c r="L132" s="549">
        <f t="shared" si="73"/>
        <v>0</v>
      </c>
      <c r="M132" s="549">
        <f t="shared" si="73"/>
        <v>0</v>
      </c>
    </row>
    <row r="134" spans="1:13" x14ac:dyDescent="0.35">
      <c r="A134" t="s">
        <v>867</v>
      </c>
    </row>
    <row r="136" spans="1:13" x14ac:dyDescent="0.35">
      <c r="B136" s="245" t="s">
        <v>878</v>
      </c>
    </row>
    <row r="137" spans="1:13" x14ac:dyDescent="0.35">
      <c r="B137" s="240" t="s">
        <v>478</v>
      </c>
      <c r="C137" s="578" t="s">
        <v>355</v>
      </c>
      <c r="D137" s="578" t="s">
        <v>356</v>
      </c>
      <c r="E137" s="578" t="s">
        <v>357</v>
      </c>
      <c r="F137" s="578" t="s">
        <v>358</v>
      </c>
      <c r="G137" s="578" t="s">
        <v>10</v>
      </c>
      <c r="H137" s="578" t="s">
        <v>11</v>
      </c>
      <c r="I137" s="578" t="s">
        <v>12</v>
      </c>
      <c r="J137" s="578" t="s">
        <v>13</v>
      </c>
      <c r="K137" s="578" t="s">
        <v>569</v>
      </c>
      <c r="L137" s="578" t="s">
        <v>590</v>
      </c>
      <c r="M137" s="578" t="s">
        <v>391</v>
      </c>
    </row>
    <row r="138" spans="1:13" x14ac:dyDescent="0.35">
      <c r="B138" s="236" t="s">
        <v>706</v>
      </c>
      <c r="C138" s="545">
        <f>931.84</f>
        <v>931.84</v>
      </c>
      <c r="D138" s="236">
        <f>C143</f>
        <v>3331.84</v>
      </c>
      <c r="E138" s="236">
        <f>D143</f>
        <v>534.43000000000029</v>
      </c>
      <c r="F138" s="236"/>
      <c r="G138" s="236"/>
      <c r="H138" s="236"/>
      <c r="I138" s="236"/>
      <c r="J138" s="236"/>
      <c r="K138" s="236"/>
      <c r="L138" s="236"/>
      <c r="M138" s="548">
        <f>C138</f>
        <v>931.84</v>
      </c>
    </row>
    <row r="139" spans="1:13" x14ac:dyDescent="0.35">
      <c r="B139" s="236" t="s">
        <v>707</v>
      </c>
      <c r="C139" s="545">
        <v>4800</v>
      </c>
      <c r="D139" s="236">
        <v>0</v>
      </c>
      <c r="E139" s="236">
        <v>0</v>
      </c>
      <c r="F139" s="236"/>
      <c r="G139" s="236"/>
      <c r="H139" s="236"/>
      <c r="I139" s="236"/>
      <c r="J139" s="236"/>
      <c r="K139" s="236"/>
      <c r="L139" s="236"/>
      <c r="M139" s="548">
        <f>SUM(C139:L139)</f>
        <v>4800</v>
      </c>
    </row>
    <row r="140" spans="1:13" x14ac:dyDescent="0.35">
      <c r="B140" s="236" t="s">
        <v>708</v>
      </c>
      <c r="C140" s="545">
        <f>C141+C142</f>
        <v>2400</v>
      </c>
      <c r="D140" s="545">
        <f>D141+D142</f>
        <v>2797.41</v>
      </c>
      <c r="E140" s="236">
        <v>534.42999999999995</v>
      </c>
      <c r="F140" s="236"/>
      <c r="G140" s="236"/>
      <c r="H140" s="236"/>
      <c r="I140" s="236"/>
      <c r="J140" s="236"/>
      <c r="K140" s="236"/>
      <c r="L140" s="236"/>
      <c r="M140" s="548">
        <f>SUM(C140:L140)</f>
        <v>5731.84</v>
      </c>
    </row>
    <row r="141" spans="1:13" x14ac:dyDescent="0.35">
      <c r="B141" s="236" t="s">
        <v>710</v>
      </c>
      <c r="C141" s="545">
        <v>2400</v>
      </c>
      <c r="D141" s="545">
        <v>2400</v>
      </c>
      <c r="E141" s="236">
        <v>0</v>
      </c>
      <c r="F141" s="236"/>
      <c r="G141" s="236"/>
      <c r="H141" s="236"/>
      <c r="I141" s="236"/>
      <c r="J141" s="236"/>
      <c r="K141" s="236"/>
      <c r="L141" s="236"/>
      <c r="M141" s="548">
        <f>SUM(C141:L141)</f>
        <v>4800</v>
      </c>
    </row>
    <row r="142" spans="1:13" x14ac:dyDescent="0.35">
      <c r="B142" s="236" t="s">
        <v>711</v>
      </c>
      <c r="C142" s="545">
        <v>0</v>
      </c>
      <c r="D142" s="236">
        <v>397.41</v>
      </c>
      <c r="E142" s="236">
        <v>534.42999999999995</v>
      </c>
      <c r="F142" s="236"/>
      <c r="G142" s="236"/>
      <c r="H142" s="236"/>
      <c r="I142" s="236"/>
      <c r="J142" s="236"/>
      <c r="K142" s="236"/>
      <c r="L142" s="236"/>
      <c r="M142" s="548">
        <f>SUM(C142:L142)</f>
        <v>931.83999999999992</v>
      </c>
    </row>
    <row r="143" spans="1:13" x14ac:dyDescent="0.35">
      <c r="B143" s="236" t="s">
        <v>709</v>
      </c>
      <c r="C143" s="545">
        <f>C138+C139-C140</f>
        <v>3331.84</v>
      </c>
      <c r="D143" s="545">
        <f>D138+D139-D140</f>
        <v>534.43000000000029</v>
      </c>
      <c r="E143" s="545">
        <f>E138+E139-E140</f>
        <v>0</v>
      </c>
      <c r="F143" s="236"/>
      <c r="G143" s="236"/>
      <c r="H143" s="236"/>
      <c r="I143" s="236"/>
      <c r="J143" s="236"/>
      <c r="K143" s="236"/>
      <c r="L143" s="236"/>
      <c r="M143" s="545">
        <f>M138+M139-M140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workbookViewId="0">
      <selection activeCell="D7" sqref="D7"/>
    </sheetView>
  </sheetViews>
  <sheetFormatPr defaultRowHeight="14.5" x14ac:dyDescent="0.35"/>
  <cols>
    <col min="2" max="2" width="16.54296875" bestFit="1" customWidth="1"/>
    <col min="4" max="4" width="10.7265625" customWidth="1"/>
    <col min="5" max="5" width="10.81640625" customWidth="1"/>
    <col min="7" max="7" width="10.54296875" customWidth="1"/>
    <col min="9" max="9" width="9.1796875" bestFit="1" customWidth="1"/>
    <col min="10" max="10" width="10.453125" customWidth="1"/>
    <col min="12" max="12" width="10" customWidth="1"/>
    <col min="13" max="13" width="9.1796875" bestFit="1" customWidth="1"/>
  </cols>
  <sheetData>
    <row r="1" spans="1:13" ht="15" x14ac:dyDescent="0.25">
      <c r="A1" s="245" t="s">
        <v>857</v>
      </c>
    </row>
    <row r="2" spans="1:13" ht="15" x14ac:dyDescent="0.25">
      <c r="A2" s="245" t="s">
        <v>868</v>
      </c>
    </row>
    <row r="4" spans="1:13" ht="29.15" customHeight="1" x14ac:dyDescent="0.25">
      <c r="A4" s="562" t="s">
        <v>514</v>
      </c>
      <c r="B4" s="562" t="s">
        <v>869</v>
      </c>
      <c r="C4" s="579" t="s">
        <v>866</v>
      </c>
      <c r="D4" s="580"/>
      <c r="E4" s="633" t="s">
        <v>431</v>
      </c>
      <c r="F4" s="634"/>
      <c r="G4" s="580"/>
      <c r="H4" s="583" t="s">
        <v>742</v>
      </c>
      <c r="I4" s="580"/>
      <c r="J4" s="635" t="s">
        <v>445</v>
      </c>
      <c r="K4" s="636"/>
      <c r="L4" s="580"/>
      <c r="M4" s="580"/>
    </row>
    <row r="5" spans="1:13" ht="30" x14ac:dyDescent="0.25">
      <c r="A5" s="562"/>
      <c r="B5" s="562"/>
      <c r="C5" s="579"/>
      <c r="D5" s="581">
        <v>45295</v>
      </c>
      <c r="E5" s="582" t="s">
        <v>740</v>
      </c>
      <c r="F5" s="582" t="s">
        <v>741</v>
      </c>
      <c r="G5" s="583" t="s">
        <v>870</v>
      </c>
      <c r="H5" s="583"/>
      <c r="I5" s="582" t="s">
        <v>433</v>
      </c>
      <c r="J5" s="582" t="s">
        <v>740</v>
      </c>
      <c r="K5" s="582" t="s">
        <v>741</v>
      </c>
      <c r="L5" s="582" t="s">
        <v>659</v>
      </c>
      <c r="M5" s="582" t="s">
        <v>743</v>
      </c>
    </row>
    <row r="6" spans="1:13" ht="15" x14ac:dyDescent="0.25">
      <c r="A6" s="236" t="s">
        <v>574</v>
      </c>
      <c r="B6" s="236" t="s">
        <v>738</v>
      </c>
      <c r="C6" s="392">
        <v>0.1</v>
      </c>
      <c r="D6" s="545">
        <f>159451630/10^5</f>
        <v>1594.5163</v>
      </c>
      <c r="E6" s="545">
        <v>0</v>
      </c>
      <c r="F6" s="545">
        <v>0</v>
      </c>
      <c r="G6" s="545">
        <f>SUM(D6:F6)</f>
        <v>1594.5163</v>
      </c>
      <c r="H6" s="545">
        <v>0</v>
      </c>
      <c r="I6" s="545">
        <f>G6-H6</f>
        <v>1594.5163</v>
      </c>
      <c r="J6" s="545">
        <f>(D6+E6)*$C6</f>
        <v>159.45163000000002</v>
      </c>
      <c r="K6" s="545">
        <f>F6*$C6*0.5</f>
        <v>0</v>
      </c>
      <c r="L6" s="545">
        <f>SUM(J6:K6)</f>
        <v>159.45163000000002</v>
      </c>
      <c r="M6" s="545">
        <f>I6-L6</f>
        <v>1435.06467</v>
      </c>
    </row>
    <row r="7" spans="1:13" ht="15" x14ac:dyDescent="0.25">
      <c r="A7" s="236" t="s">
        <v>574</v>
      </c>
      <c r="B7" s="236" t="s">
        <v>693</v>
      </c>
      <c r="C7" s="392">
        <v>0.1</v>
      </c>
      <c r="D7" s="545">
        <f>17702541/10^5</f>
        <v>177.02540999999999</v>
      </c>
      <c r="E7" s="545">
        <v>0</v>
      </c>
      <c r="F7" s="545">
        <v>0</v>
      </c>
      <c r="G7" s="545">
        <f t="shared" ref="G7:G10" si="0">SUM(D7:F7)</f>
        <v>177.02540999999999</v>
      </c>
      <c r="H7" s="545">
        <v>0</v>
      </c>
      <c r="I7" s="545">
        <f t="shared" ref="I7:I10" si="1">G7-H7</f>
        <v>177.02540999999999</v>
      </c>
      <c r="J7" s="545">
        <f t="shared" ref="J7:J10" si="2">(D7+E7)*$C7</f>
        <v>17.702541</v>
      </c>
      <c r="K7" s="545">
        <f t="shared" ref="K7:K10" si="3">F7*$C7*0.5</f>
        <v>0</v>
      </c>
      <c r="L7" s="545">
        <f t="shared" ref="L7:L10" si="4">SUM(J7:K7)</f>
        <v>17.702541</v>
      </c>
      <c r="M7" s="545">
        <f t="shared" ref="M7:M10" si="5">I7-L7</f>
        <v>159.322869</v>
      </c>
    </row>
    <row r="8" spans="1:13" ht="15" x14ac:dyDescent="0.25">
      <c r="A8" s="236" t="s">
        <v>574</v>
      </c>
      <c r="B8" s="236" t="s">
        <v>188</v>
      </c>
      <c r="C8" s="392">
        <v>0.15</v>
      </c>
      <c r="D8" s="545">
        <f>16923884/10^5</f>
        <v>169.23884000000001</v>
      </c>
      <c r="E8" s="545">
        <v>0</v>
      </c>
      <c r="F8" s="545">
        <v>0</v>
      </c>
      <c r="G8" s="545">
        <f t="shared" si="0"/>
        <v>169.23884000000001</v>
      </c>
      <c r="H8" s="545">
        <v>0</v>
      </c>
      <c r="I8" s="545">
        <f t="shared" si="1"/>
        <v>169.23884000000001</v>
      </c>
      <c r="J8" s="545">
        <f t="shared" si="2"/>
        <v>25.385826000000002</v>
      </c>
      <c r="K8" s="545">
        <f t="shared" si="3"/>
        <v>0</v>
      </c>
      <c r="L8" s="545">
        <f t="shared" si="4"/>
        <v>25.385826000000002</v>
      </c>
      <c r="M8" s="545">
        <f t="shared" si="5"/>
        <v>143.853014</v>
      </c>
    </row>
    <row r="9" spans="1:13" ht="15" x14ac:dyDescent="0.25">
      <c r="A9" s="236" t="s">
        <v>574</v>
      </c>
      <c r="B9" s="236" t="s">
        <v>739</v>
      </c>
      <c r="C9" s="392">
        <v>0.15</v>
      </c>
      <c r="D9" s="545">
        <f>268189887/10^5</f>
        <v>2681.89887</v>
      </c>
      <c r="E9" s="545">
        <v>0</v>
      </c>
      <c r="F9" s="545">
        <v>2400</v>
      </c>
      <c r="G9" s="545">
        <f t="shared" si="0"/>
        <v>5081.89887</v>
      </c>
      <c r="H9" s="545">
        <v>0</v>
      </c>
      <c r="I9" s="545">
        <f t="shared" si="1"/>
        <v>5081.89887</v>
      </c>
      <c r="J9" s="545">
        <f t="shared" si="2"/>
        <v>402.2848305</v>
      </c>
      <c r="K9" s="545">
        <f t="shared" si="3"/>
        <v>180</v>
      </c>
      <c r="L9" s="545">
        <f t="shared" si="4"/>
        <v>582.2848305</v>
      </c>
      <c r="M9" s="545">
        <f t="shared" si="5"/>
        <v>4499.6140395000002</v>
      </c>
    </row>
    <row r="10" spans="1:13" ht="15" x14ac:dyDescent="0.25">
      <c r="A10" s="236" t="s">
        <v>574</v>
      </c>
      <c r="B10" s="236" t="s">
        <v>586</v>
      </c>
      <c r="C10" s="392">
        <v>0.4</v>
      </c>
      <c r="D10" s="545">
        <f>952496/10^5</f>
        <v>9.5249600000000001</v>
      </c>
      <c r="E10" s="545">
        <v>0</v>
      </c>
      <c r="F10" s="545">
        <v>0</v>
      </c>
      <c r="G10" s="545">
        <f t="shared" si="0"/>
        <v>9.5249600000000001</v>
      </c>
      <c r="H10" s="545">
        <v>0</v>
      </c>
      <c r="I10" s="545">
        <f t="shared" si="1"/>
        <v>9.5249600000000001</v>
      </c>
      <c r="J10" s="545">
        <f t="shared" si="2"/>
        <v>3.809984</v>
      </c>
      <c r="K10" s="545">
        <f t="shared" si="3"/>
        <v>0</v>
      </c>
      <c r="L10" s="545">
        <f t="shared" si="4"/>
        <v>3.809984</v>
      </c>
      <c r="M10" s="545">
        <f t="shared" si="5"/>
        <v>5.7149760000000001</v>
      </c>
    </row>
    <row r="11" spans="1:13" ht="15" x14ac:dyDescent="0.25">
      <c r="A11" s="236"/>
      <c r="B11" s="236" t="s">
        <v>659</v>
      </c>
      <c r="C11" s="236"/>
      <c r="D11" s="545">
        <f>SUM(D6:D10)</f>
        <v>4632.2043800000001</v>
      </c>
      <c r="E11" s="545">
        <f t="shared" ref="E11:I11" si="6">SUM(E6:E10)</f>
        <v>0</v>
      </c>
      <c r="F11" s="545">
        <f t="shared" si="6"/>
        <v>2400</v>
      </c>
      <c r="G11" s="545">
        <f t="shared" si="6"/>
        <v>7032.2043800000001</v>
      </c>
      <c r="H11" s="545">
        <f t="shared" si="6"/>
        <v>0</v>
      </c>
      <c r="I11" s="545">
        <f t="shared" si="6"/>
        <v>7032.2043800000001</v>
      </c>
      <c r="J11" s="545">
        <f t="shared" ref="J11" si="7">SUM(J6:J10)</f>
        <v>608.63481150000007</v>
      </c>
      <c r="K11" s="545">
        <f t="shared" ref="K11" si="8">SUM(K6:K10)</f>
        <v>180</v>
      </c>
      <c r="L11" s="545">
        <f t="shared" ref="L11" si="9">SUM(L6:L10)</f>
        <v>788.63481150000007</v>
      </c>
      <c r="M11" s="545">
        <f t="shared" ref="M11" si="10">SUM(M6:M10)</f>
        <v>6243.5695685000001</v>
      </c>
    </row>
    <row r="12" spans="1:13" ht="15" x14ac:dyDescent="0.25">
      <c r="A12" s="236"/>
      <c r="B12" s="236"/>
      <c r="C12" s="236"/>
      <c r="D12" s="545">
        <v>45661</v>
      </c>
      <c r="E12" s="545"/>
      <c r="F12" s="545"/>
      <c r="G12" s="545" t="s">
        <v>871</v>
      </c>
      <c r="H12" s="545"/>
      <c r="I12" s="545"/>
      <c r="J12" s="545"/>
      <c r="K12" s="545"/>
      <c r="L12" s="545"/>
      <c r="M12" s="545"/>
    </row>
    <row r="13" spans="1:13" ht="15" x14ac:dyDescent="0.25">
      <c r="A13" s="236" t="s">
        <v>575</v>
      </c>
      <c r="B13" s="236" t="s">
        <v>738</v>
      </c>
      <c r="C13" s="392">
        <v>0.1</v>
      </c>
      <c r="D13" s="545">
        <f>M6</f>
        <v>1435.06467</v>
      </c>
      <c r="E13" s="545"/>
      <c r="F13" s="545">
        <v>0</v>
      </c>
      <c r="G13" s="545">
        <f>SUM(D13:F13)</f>
        <v>1435.06467</v>
      </c>
      <c r="H13" s="545">
        <v>0</v>
      </c>
      <c r="I13" s="545">
        <f>G13-H13</f>
        <v>1435.06467</v>
      </c>
      <c r="J13" s="545">
        <f>(D13+E13)*$C13</f>
        <v>143.50646700000001</v>
      </c>
      <c r="K13" s="545">
        <f>F13*$C13*0.5</f>
        <v>0</v>
      </c>
      <c r="L13" s="545">
        <f>SUM(J13:K13)</f>
        <v>143.50646700000001</v>
      </c>
      <c r="M13" s="545">
        <f>I13-L13</f>
        <v>1291.558203</v>
      </c>
    </row>
    <row r="14" spans="1:13" ht="15" x14ac:dyDescent="0.25">
      <c r="A14" s="236" t="s">
        <v>575</v>
      </c>
      <c r="B14" s="236" t="s">
        <v>693</v>
      </c>
      <c r="C14" s="392">
        <v>0.1</v>
      </c>
      <c r="D14" s="545">
        <f t="shared" ref="D14:D17" si="11">M7</f>
        <v>159.322869</v>
      </c>
      <c r="E14" s="545"/>
      <c r="F14" s="545"/>
      <c r="G14" s="545">
        <f t="shared" ref="G14:G17" si="12">SUM(D14:F14)</f>
        <v>159.322869</v>
      </c>
      <c r="H14" s="545">
        <v>0</v>
      </c>
      <c r="I14" s="545">
        <f t="shared" ref="I14:I17" si="13">G14-H14</f>
        <v>159.322869</v>
      </c>
      <c r="J14" s="545">
        <f t="shared" ref="J14:J17" si="14">(D14+E14)*$C14</f>
        <v>15.932286900000001</v>
      </c>
      <c r="K14" s="545">
        <f t="shared" ref="K14:K17" si="15">F14*$C14*0.5</f>
        <v>0</v>
      </c>
      <c r="L14" s="545">
        <f t="shared" ref="L14:L17" si="16">SUM(J14:K14)</f>
        <v>15.932286900000001</v>
      </c>
      <c r="M14" s="545">
        <f t="shared" ref="M14:M17" si="17">I14-L14</f>
        <v>143.39058209999999</v>
      </c>
    </row>
    <row r="15" spans="1:13" ht="15" x14ac:dyDescent="0.25">
      <c r="A15" s="236" t="s">
        <v>575</v>
      </c>
      <c r="B15" s="236" t="s">
        <v>188</v>
      </c>
      <c r="C15" s="392">
        <v>0.15</v>
      </c>
      <c r="D15" s="545">
        <f t="shared" si="11"/>
        <v>143.853014</v>
      </c>
      <c r="E15" s="545"/>
      <c r="F15" s="545"/>
      <c r="G15" s="545">
        <f t="shared" si="12"/>
        <v>143.853014</v>
      </c>
      <c r="H15" s="545">
        <v>0</v>
      </c>
      <c r="I15" s="545">
        <f t="shared" si="13"/>
        <v>143.853014</v>
      </c>
      <c r="J15" s="545">
        <f t="shared" si="14"/>
        <v>21.577952100000001</v>
      </c>
      <c r="K15" s="545">
        <f t="shared" si="15"/>
        <v>0</v>
      </c>
      <c r="L15" s="545">
        <f t="shared" si="16"/>
        <v>21.577952100000001</v>
      </c>
      <c r="M15" s="545">
        <f t="shared" si="17"/>
        <v>122.2750619</v>
      </c>
    </row>
    <row r="16" spans="1:13" ht="15" x14ac:dyDescent="0.25">
      <c r="A16" s="236" t="s">
        <v>575</v>
      </c>
      <c r="B16" s="236" t="s">
        <v>739</v>
      </c>
      <c r="C16" s="392">
        <v>0.15</v>
      </c>
      <c r="D16" s="545">
        <f t="shared" si="11"/>
        <v>4499.6140395000002</v>
      </c>
      <c r="E16" s="545">
        <v>2400</v>
      </c>
      <c r="F16" s="545"/>
      <c r="G16" s="545">
        <f t="shared" si="12"/>
        <v>6899.6140395000002</v>
      </c>
      <c r="H16" s="545">
        <v>0</v>
      </c>
      <c r="I16" s="545">
        <f t="shared" si="13"/>
        <v>6899.6140395000002</v>
      </c>
      <c r="J16" s="545">
        <f t="shared" si="14"/>
        <v>1034.9421059250001</v>
      </c>
      <c r="K16" s="545">
        <f t="shared" si="15"/>
        <v>0</v>
      </c>
      <c r="L16" s="545">
        <f t="shared" si="16"/>
        <v>1034.9421059250001</v>
      </c>
      <c r="M16" s="545">
        <f t="shared" si="17"/>
        <v>5864.6719335750004</v>
      </c>
    </row>
    <row r="17" spans="1:13" ht="15" x14ac:dyDescent="0.25">
      <c r="A17" s="236" t="s">
        <v>575</v>
      </c>
      <c r="B17" s="236" t="s">
        <v>586</v>
      </c>
      <c r="C17" s="392">
        <v>0.4</v>
      </c>
      <c r="D17" s="545">
        <f t="shared" si="11"/>
        <v>5.7149760000000001</v>
      </c>
      <c r="E17" s="545"/>
      <c r="F17" s="545"/>
      <c r="G17" s="545">
        <f t="shared" si="12"/>
        <v>5.7149760000000001</v>
      </c>
      <c r="H17" s="545">
        <v>0</v>
      </c>
      <c r="I17" s="545">
        <f t="shared" si="13"/>
        <v>5.7149760000000001</v>
      </c>
      <c r="J17" s="545">
        <f t="shared" si="14"/>
        <v>2.2859904000000002</v>
      </c>
      <c r="K17" s="545">
        <f t="shared" si="15"/>
        <v>0</v>
      </c>
      <c r="L17" s="545">
        <f t="shared" si="16"/>
        <v>2.2859904000000002</v>
      </c>
      <c r="M17" s="545">
        <f t="shared" si="17"/>
        <v>3.4289855999999999</v>
      </c>
    </row>
    <row r="18" spans="1:13" ht="15" x14ac:dyDescent="0.25">
      <c r="A18" s="236"/>
      <c r="B18" s="236"/>
      <c r="C18" s="236"/>
      <c r="D18" s="545">
        <f>SUM(D13:D17)</f>
        <v>6243.5695685000001</v>
      </c>
      <c r="E18" s="545">
        <f t="shared" ref="E18:M18" si="18">SUM(E13:E17)</f>
        <v>2400</v>
      </c>
      <c r="F18" s="545">
        <f t="shared" si="18"/>
        <v>0</v>
      </c>
      <c r="G18" s="545">
        <f t="shared" si="18"/>
        <v>8643.5695684999991</v>
      </c>
      <c r="H18" s="545">
        <f t="shared" si="18"/>
        <v>0</v>
      </c>
      <c r="I18" s="545">
        <f t="shared" si="18"/>
        <v>8643.5695684999991</v>
      </c>
      <c r="J18" s="545">
        <f t="shared" si="18"/>
        <v>1218.2448023250001</v>
      </c>
      <c r="K18" s="545">
        <f t="shared" si="18"/>
        <v>0</v>
      </c>
      <c r="L18" s="545">
        <f t="shared" si="18"/>
        <v>1218.2448023250001</v>
      </c>
      <c r="M18" s="545">
        <f t="shared" si="18"/>
        <v>7425.3247661750001</v>
      </c>
    </row>
    <row r="19" spans="1:13" ht="15" x14ac:dyDescent="0.25">
      <c r="A19" s="236"/>
      <c r="B19" s="236"/>
      <c r="C19" s="236"/>
      <c r="D19" s="545">
        <v>46026</v>
      </c>
      <c r="E19" s="545"/>
      <c r="F19" s="545"/>
      <c r="G19" s="545" t="s">
        <v>871</v>
      </c>
      <c r="H19" s="545"/>
      <c r="I19" s="545"/>
      <c r="J19" s="545"/>
      <c r="K19" s="545"/>
      <c r="L19" s="545"/>
      <c r="M19" s="545"/>
    </row>
    <row r="20" spans="1:13" ht="15" x14ac:dyDescent="0.25">
      <c r="A20" s="236" t="s">
        <v>576</v>
      </c>
      <c r="B20" s="236" t="s">
        <v>738</v>
      </c>
      <c r="C20" s="392">
        <v>0.1</v>
      </c>
      <c r="D20" s="545">
        <f>M13</f>
        <v>1291.558203</v>
      </c>
      <c r="E20" s="545">
        <v>0</v>
      </c>
      <c r="F20" s="545">
        <v>0</v>
      </c>
      <c r="G20" s="545">
        <f>SUM(D20:F20)</f>
        <v>1291.558203</v>
      </c>
      <c r="H20" s="545">
        <v>0</v>
      </c>
      <c r="I20" s="545">
        <f>G20-H20</f>
        <v>1291.558203</v>
      </c>
      <c r="J20" s="545">
        <f>(D20+E20)*$C20</f>
        <v>129.15582030000002</v>
      </c>
      <c r="K20" s="545">
        <f>F20*$C20*0.5</f>
        <v>0</v>
      </c>
      <c r="L20" s="545">
        <f>SUM(J20:K20)</f>
        <v>129.15582030000002</v>
      </c>
      <c r="M20" s="545">
        <f>I20-L20</f>
        <v>1162.4023827000001</v>
      </c>
    </row>
    <row r="21" spans="1:13" ht="15" x14ac:dyDescent="0.25">
      <c r="A21" s="236" t="s">
        <v>576</v>
      </c>
      <c r="B21" s="236" t="s">
        <v>693</v>
      </c>
      <c r="C21" s="392">
        <v>0.1</v>
      </c>
      <c r="D21" s="545">
        <f t="shared" ref="D21:D24" si="19">M14</f>
        <v>143.39058209999999</v>
      </c>
      <c r="E21" s="545">
        <v>0</v>
      </c>
      <c r="F21" s="545">
        <v>0</v>
      </c>
      <c r="G21" s="545">
        <f t="shared" ref="G21:G24" si="20">SUM(D21:F21)</f>
        <v>143.39058209999999</v>
      </c>
      <c r="H21" s="545">
        <v>0</v>
      </c>
      <c r="I21" s="545">
        <f t="shared" ref="I21:I24" si="21">G21-H21</f>
        <v>143.39058209999999</v>
      </c>
      <c r="J21" s="545">
        <f t="shared" ref="J21:J24" si="22">(D21+E21)*$C21</f>
        <v>14.339058209999999</v>
      </c>
      <c r="K21" s="545">
        <f t="shared" ref="K21:K24" si="23">F21*$C21*0.5</f>
        <v>0</v>
      </c>
      <c r="L21" s="545">
        <f t="shared" ref="L21:L24" si="24">SUM(J21:K21)</f>
        <v>14.339058209999999</v>
      </c>
      <c r="M21" s="545">
        <f t="shared" ref="M21:M24" si="25">I21-L21</f>
        <v>129.05152389</v>
      </c>
    </row>
    <row r="22" spans="1:13" ht="15" x14ac:dyDescent="0.25">
      <c r="A22" s="236" t="s">
        <v>576</v>
      </c>
      <c r="B22" s="236" t="s">
        <v>188</v>
      </c>
      <c r="C22" s="392">
        <v>0.15</v>
      </c>
      <c r="D22" s="545">
        <f t="shared" si="19"/>
        <v>122.2750619</v>
      </c>
      <c r="E22" s="545">
        <v>0</v>
      </c>
      <c r="F22" s="545">
        <v>0</v>
      </c>
      <c r="G22" s="545">
        <f t="shared" si="20"/>
        <v>122.2750619</v>
      </c>
      <c r="H22" s="545">
        <v>0</v>
      </c>
      <c r="I22" s="545">
        <f t="shared" si="21"/>
        <v>122.2750619</v>
      </c>
      <c r="J22" s="545">
        <f t="shared" si="22"/>
        <v>18.341259285</v>
      </c>
      <c r="K22" s="545">
        <f t="shared" si="23"/>
        <v>0</v>
      </c>
      <c r="L22" s="545">
        <f t="shared" si="24"/>
        <v>18.341259285</v>
      </c>
      <c r="M22" s="545">
        <f t="shared" si="25"/>
        <v>103.93380261499999</v>
      </c>
    </row>
    <row r="23" spans="1:13" x14ac:dyDescent="0.35">
      <c r="A23" s="236" t="s">
        <v>576</v>
      </c>
      <c r="B23" s="236" t="s">
        <v>739</v>
      </c>
      <c r="C23" s="392">
        <v>0.15</v>
      </c>
      <c r="D23" s="545">
        <f t="shared" si="19"/>
        <v>5864.6719335750004</v>
      </c>
      <c r="E23" s="545">
        <v>0</v>
      </c>
      <c r="F23" s="545">
        <v>0</v>
      </c>
      <c r="G23" s="545">
        <f t="shared" si="20"/>
        <v>5864.6719335750004</v>
      </c>
      <c r="H23" s="545">
        <v>0</v>
      </c>
      <c r="I23" s="545">
        <f t="shared" si="21"/>
        <v>5864.6719335750004</v>
      </c>
      <c r="J23" s="545">
        <f t="shared" si="22"/>
        <v>879.70079003625005</v>
      </c>
      <c r="K23" s="545">
        <f t="shared" si="23"/>
        <v>0</v>
      </c>
      <c r="L23" s="545">
        <f t="shared" si="24"/>
        <v>879.70079003625005</v>
      </c>
      <c r="M23" s="545">
        <f t="shared" si="25"/>
        <v>4984.9711435387508</v>
      </c>
    </row>
    <row r="24" spans="1:13" x14ac:dyDescent="0.35">
      <c r="A24" s="236" t="s">
        <v>576</v>
      </c>
      <c r="B24" s="236" t="s">
        <v>586</v>
      </c>
      <c r="C24" s="392">
        <v>0.4</v>
      </c>
      <c r="D24" s="545">
        <f t="shared" si="19"/>
        <v>3.4289855999999999</v>
      </c>
      <c r="E24" s="545">
        <v>0</v>
      </c>
      <c r="F24" s="545">
        <v>0</v>
      </c>
      <c r="G24" s="545">
        <f t="shared" si="20"/>
        <v>3.4289855999999999</v>
      </c>
      <c r="H24" s="545">
        <v>0</v>
      </c>
      <c r="I24" s="545">
        <f t="shared" si="21"/>
        <v>3.4289855999999999</v>
      </c>
      <c r="J24" s="545">
        <f t="shared" si="22"/>
        <v>1.3715942400000001</v>
      </c>
      <c r="K24" s="545">
        <f t="shared" si="23"/>
        <v>0</v>
      </c>
      <c r="L24" s="545">
        <f t="shared" si="24"/>
        <v>1.3715942400000001</v>
      </c>
      <c r="M24" s="545">
        <f t="shared" si="25"/>
        <v>2.0573913599999996</v>
      </c>
    </row>
    <row r="25" spans="1:13" x14ac:dyDescent="0.35">
      <c r="A25" s="236"/>
      <c r="B25" s="236"/>
      <c r="C25" s="236"/>
      <c r="D25" s="545">
        <f>SUM(D20:D24)</f>
        <v>7425.3247661750001</v>
      </c>
      <c r="E25" s="545">
        <f t="shared" ref="E25:I25" si="26">SUM(E20:E24)</f>
        <v>0</v>
      </c>
      <c r="F25" s="545">
        <f t="shared" si="26"/>
        <v>0</v>
      </c>
      <c r="G25" s="545">
        <f t="shared" si="26"/>
        <v>7425.3247661750001</v>
      </c>
      <c r="H25" s="545"/>
      <c r="I25" s="545">
        <f t="shared" si="26"/>
        <v>7425.3247661750001</v>
      </c>
      <c r="J25" s="545">
        <f t="shared" ref="J25" si="27">SUM(J20:J24)</f>
        <v>1042.90852207125</v>
      </c>
      <c r="K25" s="545">
        <f t="shared" ref="K25" si="28">SUM(K20:K24)</f>
        <v>0</v>
      </c>
      <c r="L25" s="545">
        <f t="shared" ref="L25" si="29">SUM(L20:L24)</f>
        <v>1042.90852207125</v>
      </c>
      <c r="M25" s="545">
        <f t="shared" ref="M25" si="30">SUM(M20:M24)</f>
        <v>6382.4162441037515</v>
      </c>
    </row>
    <row r="26" spans="1:13" x14ac:dyDescent="0.35">
      <c r="A26" s="236"/>
      <c r="B26" s="236"/>
      <c r="C26" s="236"/>
      <c r="D26" s="545">
        <v>46391</v>
      </c>
      <c r="E26" s="545"/>
      <c r="F26" s="545"/>
      <c r="G26" s="545" t="s">
        <v>872</v>
      </c>
      <c r="H26" s="545"/>
      <c r="I26" s="545"/>
      <c r="J26" s="545"/>
      <c r="K26" s="545"/>
      <c r="L26" s="545"/>
      <c r="M26" s="545"/>
    </row>
    <row r="27" spans="1:13" x14ac:dyDescent="0.35">
      <c r="A27" s="236" t="s">
        <v>577</v>
      </c>
      <c r="B27" s="236" t="s">
        <v>738</v>
      </c>
      <c r="C27" s="392">
        <v>0.1</v>
      </c>
      <c r="D27" s="545">
        <f>M20</f>
        <v>1162.4023827000001</v>
      </c>
      <c r="E27" s="545">
        <v>0</v>
      </c>
      <c r="F27" s="545">
        <v>0</v>
      </c>
      <c r="G27" s="545">
        <f>SUM(D27:F27)</f>
        <v>1162.4023827000001</v>
      </c>
      <c r="H27" s="545">
        <v>0</v>
      </c>
      <c r="I27" s="545">
        <f>G27-H27</f>
        <v>1162.4023827000001</v>
      </c>
      <c r="J27" s="545">
        <f>(D27+E27)*$C27</f>
        <v>116.24023827000002</v>
      </c>
      <c r="K27" s="545">
        <f>F27*$C27*0.5</f>
        <v>0</v>
      </c>
      <c r="L27" s="545">
        <f>SUM(J27:K27)</f>
        <v>116.24023827000002</v>
      </c>
      <c r="M27" s="545">
        <f>I27-L27</f>
        <v>1046.1621444300001</v>
      </c>
    </row>
    <row r="28" spans="1:13" x14ac:dyDescent="0.35">
      <c r="A28" s="236" t="s">
        <v>577</v>
      </c>
      <c r="B28" s="236" t="s">
        <v>693</v>
      </c>
      <c r="C28" s="392">
        <v>0.1</v>
      </c>
      <c r="D28" s="545">
        <f t="shared" ref="D28:D31" si="31">M21</f>
        <v>129.05152389</v>
      </c>
      <c r="E28" s="545">
        <v>0</v>
      </c>
      <c r="F28" s="545">
        <v>0</v>
      </c>
      <c r="G28" s="545">
        <f t="shared" ref="G28:G31" si="32">SUM(D28:F28)</f>
        <v>129.05152389</v>
      </c>
      <c r="H28" s="545">
        <v>0</v>
      </c>
      <c r="I28" s="545">
        <f t="shared" ref="I28:I31" si="33">G28-H28</f>
        <v>129.05152389</v>
      </c>
      <c r="J28" s="545">
        <f t="shared" ref="J28:J31" si="34">(D28+E28)*$C28</f>
        <v>12.905152389000001</v>
      </c>
      <c r="K28" s="545">
        <f t="shared" ref="K28:K31" si="35">F28*$C28*0.5</f>
        <v>0</v>
      </c>
      <c r="L28" s="545">
        <f t="shared" ref="L28:L31" si="36">SUM(J28:K28)</f>
        <v>12.905152389000001</v>
      </c>
      <c r="M28" s="545">
        <f t="shared" ref="M28:M31" si="37">I28-L28</f>
        <v>116.146371501</v>
      </c>
    </row>
    <row r="29" spans="1:13" x14ac:dyDescent="0.35">
      <c r="A29" s="236" t="s">
        <v>577</v>
      </c>
      <c r="B29" s="236" t="s">
        <v>188</v>
      </c>
      <c r="C29" s="392">
        <v>0.15</v>
      </c>
      <c r="D29" s="545">
        <f t="shared" si="31"/>
        <v>103.93380261499999</v>
      </c>
      <c r="E29" s="545">
        <v>0</v>
      </c>
      <c r="F29" s="545">
        <v>0</v>
      </c>
      <c r="G29" s="545">
        <f t="shared" si="32"/>
        <v>103.93380261499999</v>
      </c>
      <c r="H29" s="545">
        <v>0</v>
      </c>
      <c r="I29" s="545">
        <f t="shared" si="33"/>
        <v>103.93380261499999</v>
      </c>
      <c r="J29" s="545">
        <f t="shared" si="34"/>
        <v>15.590070392249999</v>
      </c>
      <c r="K29" s="545">
        <f t="shared" si="35"/>
        <v>0</v>
      </c>
      <c r="L29" s="545">
        <f t="shared" si="36"/>
        <v>15.590070392249999</v>
      </c>
      <c r="M29" s="545">
        <f t="shared" si="37"/>
        <v>88.343732222749992</v>
      </c>
    </row>
    <row r="30" spans="1:13" x14ac:dyDescent="0.35">
      <c r="A30" s="236" t="s">
        <v>577</v>
      </c>
      <c r="B30" s="236" t="s">
        <v>739</v>
      </c>
      <c r="C30" s="392">
        <v>0.15</v>
      </c>
      <c r="D30" s="545">
        <f t="shared" si="31"/>
        <v>4984.9711435387508</v>
      </c>
      <c r="E30" s="545">
        <v>0</v>
      </c>
      <c r="F30" s="545">
        <v>0</v>
      </c>
      <c r="G30" s="545">
        <f t="shared" si="32"/>
        <v>4984.9711435387508</v>
      </c>
      <c r="H30" s="545">
        <v>0</v>
      </c>
      <c r="I30" s="545">
        <f t="shared" si="33"/>
        <v>4984.9711435387508</v>
      </c>
      <c r="J30" s="545">
        <f t="shared" si="34"/>
        <v>747.74567153081261</v>
      </c>
      <c r="K30" s="545">
        <f t="shared" si="35"/>
        <v>0</v>
      </c>
      <c r="L30" s="545">
        <f t="shared" si="36"/>
        <v>747.74567153081261</v>
      </c>
      <c r="M30" s="545">
        <f t="shared" si="37"/>
        <v>4237.2254720079382</v>
      </c>
    </row>
    <row r="31" spans="1:13" x14ac:dyDescent="0.35">
      <c r="A31" s="236" t="s">
        <v>577</v>
      </c>
      <c r="B31" s="236" t="s">
        <v>586</v>
      </c>
      <c r="C31" s="392">
        <v>0.4</v>
      </c>
      <c r="D31" s="545">
        <f t="shared" si="31"/>
        <v>2.0573913599999996</v>
      </c>
      <c r="E31" s="545">
        <v>0</v>
      </c>
      <c r="F31" s="545">
        <v>0</v>
      </c>
      <c r="G31" s="545">
        <f t="shared" si="32"/>
        <v>2.0573913599999996</v>
      </c>
      <c r="H31" s="545">
        <v>0</v>
      </c>
      <c r="I31" s="545">
        <f t="shared" si="33"/>
        <v>2.0573913599999996</v>
      </c>
      <c r="J31" s="545">
        <f t="shared" si="34"/>
        <v>0.82295654399999985</v>
      </c>
      <c r="K31" s="545">
        <f t="shared" si="35"/>
        <v>0</v>
      </c>
      <c r="L31" s="545">
        <f t="shared" si="36"/>
        <v>0.82295654399999985</v>
      </c>
      <c r="M31" s="545">
        <f t="shared" si="37"/>
        <v>1.2344348159999998</v>
      </c>
    </row>
    <row r="32" spans="1:13" x14ac:dyDescent="0.35">
      <c r="A32" s="236"/>
      <c r="B32" s="236"/>
      <c r="C32" s="236"/>
      <c r="D32" s="545">
        <f>SUM(D27:D31)</f>
        <v>6382.4162441037515</v>
      </c>
      <c r="E32" s="545">
        <f t="shared" ref="E32:M32" si="38">SUM(E27:E31)</f>
        <v>0</v>
      </c>
      <c r="F32" s="545">
        <f t="shared" si="38"/>
        <v>0</v>
      </c>
      <c r="G32" s="545">
        <f t="shared" si="38"/>
        <v>6382.4162441037515</v>
      </c>
      <c r="H32" s="545">
        <f t="shared" si="38"/>
        <v>0</v>
      </c>
      <c r="I32" s="545">
        <f t="shared" si="38"/>
        <v>6382.4162441037515</v>
      </c>
      <c r="J32" s="545">
        <f t="shared" si="38"/>
        <v>893.30408912606265</v>
      </c>
      <c r="K32" s="545">
        <f t="shared" si="38"/>
        <v>0</v>
      </c>
      <c r="L32" s="545">
        <f t="shared" si="38"/>
        <v>893.30408912606265</v>
      </c>
      <c r="M32" s="545">
        <f t="shared" si="38"/>
        <v>5489.112154977689</v>
      </c>
    </row>
    <row r="33" spans="1:13" x14ac:dyDescent="0.35">
      <c r="A33" s="236"/>
      <c r="B33" s="236"/>
      <c r="C33" s="236"/>
      <c r="D33" s="545">
        <v>46756</v>
      </c>
      <c r="E33" s="545"/>
      <c r="F33" s="545"/>
      <c r="G33" s="545" t="s">
        <v>873</v>
      </c>
      <c r="H33" s="545"/>
      <c r="I33" s="545"/>
      <c r="J33" s="545"/>
      <c r="K33" s="545"/>
      <c r="L33" s="545"/>
      <c r="M33" s="545"/>
    </row>
    <row r="34" spans="1:13" x14ac:dyDescent="0.35">
      <c r="A34" s="236" t="s">
        <v>578</v>
      </c>
      <c r="B34" s="236" t="s">
        <v>738</v>
      </c>
      <c r="C34" s="392">
        <v>0.1</v>
      </c>
      <c r="D34" s="545">
        <f>M27</f>
        <v>1046.1621444300001</v>
      </c>
      <c r="E34" s="545">
        <v>0</v>
      </c>
      <c r="F34" s="545">
        <v>0</v>
      </c>
      <c r="G34" s="545">
        <f>SUM(D34:F34)</f>
        <v>1046.1621444300001</v>
      </c>
      <c r="H34" s="545">
        <v>0</v>
      </c>
      <c r="I34" s="545">
        <f>G34-H34</f>
        <v>1046.1621444300001</v>
      </c>
      <c r="J34" s="545">
        <f>(D34+E34)*$C34</f>
        <v>104.61621444300002</v>
      </c>
      <c r="K34" s="545">
        <f>F34*$C34*0.5</f>
        <v>0</v>
      </c>
      <c r="L34" s="545">
        <f>SUM(J34:K34)</f>
        <v>104.61621444300002</v>
      </c>
      <c r="M34" s="545">
        <f>I34-L34</f>
        <v>941.54592998700014</v>
      </c>
    </row>
    <row r="35" spans="1:13" x14ac:dyDescent="0.35">
      <c r="A35" s="236" t="s">
        <v>578</v>
      </c>
      <c r="B35" s="236" t="s">
        <v>693</v>
      </c>
      <c r="C35" s="392">
        <v>0.1</v>
      </c>
      <c r="D35" s="545">
        <f t="shared" ref="D35:D38" si="39">M28</f>
        <v>116.146371501</v>
      </c>
      <c r="E35" s="545">
        <v>0</v>
      </c>
      <c r="F35" s="545">
        <v>0</v>
      </c>
      <c r="G35" s="545">
        <f t="shared" ref="G35:G38" si="40">SUM(D35:F35)</f>
        <v>116.146371501</v>
      </c>
      <c r="H35" s="545">
        <v>0</v>
      </c>
      <c r="I35" s="545">
        <f t="shared" ref="I35:I38" si="41">G35-H35</f>
        <v>116.146371501</v>
      </c>
      <c r="J35" s="545">
        <f t="shared" ref="J35:J38" si="42">(D35+E35)*$C35</f>
        <v>11.614637150100002</v>
      </c>
      <c r="K35" s="545">
        <f t="shared" ref="K35:K38" si="43">F35*$C35*0.5</f>
        <v>0</v>
      </c>
      <c r="L35" s="545">
        <f t="shared" ref="L35:L38" si="44">SUM(J35:K35)</f>
        <v>11.614637150100002</v>
      </c>
      <c r="M35" s="545">
        <f t="shared" ref="M35:M38" si="45">I35-L35</f>
        <v>104.5317343509</v>
      </c>
    </row>
    <row r="36" spans="1:13" x14ac:dyDescent="0.35">
      <c r="A36" s="236" t="s">
        <v>578</v>
      </c>
      <c r="B36" s="236" t="s">
        <v>188</v>
      </c>
      <c r="C36" s="392">
        <v>0.15</v>
      </c>
      <c r="D36" s="545">
        <f t="shared" si="39"/>
        <v>88.343732222749992</v>
      </c>
      <c r="E36" s="545">
        <v>0</v>
      </c>
      <c r="F36" s="545">
        <v>0</v>
      </c>
      <c r="G36" s="545">
        <f t="shared" si="40"/>
        <v>88.343732222749992</v>
      </c>
      <c r="H36" s="545">
        <v>0</v>
      </c>
      <c r="I36" s="545">
        <f t="shared" si="41"/>
        <v>88.343732222749992</v>
      </c>
      <c r="J36" s="545">
        <f t="shared" si="42"/>
        <v>13.251559833412498</v>
      </c>
      <c r="K36" s="545">
        <f t="shared" si="43"/>
        <v>0</v>
      </c>
      <c r="L36" s="545">
        <f t="shared" si="44"/>
        <v>13.251559833412498</v>
      </c>
      <c r="M36" s="545">
        <f t="shared" si="45"/>
        <v>75.092172389337492</v>
      </c>
    </row>
    <row r="37" spans="1:13" x14ac:dyDescent="0.35">
      <c r="A37" s="236" t="s">
        <v>578</v>
      </c>
      <c r="B37" s="236" t="s">
        <v>739</v>
      </c>
      <c r="C37" s="392">
        <v>0.15</v>
      </c>
      <c r="D37" s="545">
        <f t="shared" si="39"/>
        <v>4237.2254720079382</v>
      </c>
      <c r="E37" s="545">
        <v>0</v>
      </c>
      <c r="F37" s="545">
        <v>0</v>
      </c>
      <c r="G37" s="545">
        <f t="shared" si="40"/>
        <v>4237.2254720079382</v>
      </c>
      <c r="H37" s="545">
        <v>0</v>
      </c>
      <c r="I37" s="545">
        <f t="shared" si="41"/>
        <v>4237.2254720079382</v>
      </c>
      <c r="J37" s="545">
        <f t="shared" si="42"/>
        <v>635.58382080119065</v>
      </c>
      <c r="K37" s="545">
        <f t="shared" si="43"/>
        <v>0</v>
      </c>
      <c r="L37" s="545">
        <f t="shared" si="44"/>
        <v>635.58382080119065</v>
      </c>
      <c r="M37" s="545">
        <f t="shared" si="45"/>
        <v>3601.6416512067476</v>
      </c>
    </row>
    <row r="38" spans="1:13" x14ac:dyDescent="0.35">
      <c r="A38" s="236" t="s">
        <v>578</v>
      </c>
      <c r="B38" s="236" t="s">
        <v>586</v>
      </c>
      <c r="C38" s="392">
        <v>0.4</v>
      </c>
      <c r="D38" s="545">
        <f t="shared" si="39"/>
        <v>1.2344348159999998</v>
      </c>
      <c r="E38" s="545">
        <v>0</v>
      </c>
      <c r="F38" s="545">
        <v>0</v>
      </c>
      <c r="G38" s="545">
        <f t="shared" si="40"/>
        <v>1.2344348159999998</v>
      </c>
      <c r="H38" s="545">
        <v>0</v>
      </c>
      <c r="I38" s="545">
        <f t="shared" si="41"/>
        <v>1.2344348159999998</v>
      </c>
      <c r="J38" s="545">
        <f t="shared" si="42"/>
        <v>0.49377392639999995</v>
      </c>
      <c r="K38" s="545">
        <f t="shared" si="43"/>
        <v>0</v>
      </c>
      <c r="L38" s="545">
        <f t="shared" si="44"/>
        <v>0.49377392639999995</v>
      </c>
      <c r="M38" s="545">
        <f t="shared" si="45"/>
        <v>0.74066088959999987</v>
      </c>
    </row>
    <row r="39" spans="1:13" x14ac:dyDescent="0.35">
      <c r="A39" s="236"/>
      <c r="B39" s="236"/>
      <c r="C39" s="392"/>
      <c r="D39" s="545">
        <f>SUM(D34:D38)</f>
        <v>5489.112154977689</v>
      </c>
      <c r="E39" s="545">
        <f t="shared" ref="E39:M39" si="46">SUM(E34:E38)</f>
        <v>0</v>
      </c>
      <c r="F39" s="545">
        <f t="shared" si="46"/>
        <v>0</v>
      </c>
      <c r="G39" s="545">
        <f t="shared" si="46"/>
        <v>5489.112154977689</v>
      </c>
      <c r="H39" s="545">
        <f t="shared" si="46"/>
        <v>0</v>
      </c>
      <c r="I39" s="545">
        <f t="shared" si="46"/>
        <v>5489.112154977689</v>
      </c>
      <c r="J39" s="545">
        <f t="shared" si="46"/>
        <v>765.56000615410312</v>
      </c>
      <c r="K39" s="545">
        <f t="shared" si="46"/>
        <v>0</v>
      </c>
      <c r="L39" s="545">
        <f t="shared" si="46"/>
        <v>765.56000615410312</v>
      </c>
      <c r="M39" s="545">
        <f t="shared" si="46"/>
        <v>4723.5521488235854</v>
      </c>
    </row>
    <row r="40" spans="1:13" x14ac:dyDescent="0.35">
      <c r="A40" s="236"/>
      <c r="B40" s="236"/>
      <c r="C40" s="236"/>
      <c r="D40" s="545">
        <v>47122</v>
      </c>
      <c r="E40" s="545"/>
      <c r="F40" s="545"/>
      <c r="G40" s="545" t="s">
        <v>874</v>
      </c>
      <c r="H40" s="545"/>
      <c r="I40" s="545"/>
      <c r="J40" s="545"/>
      <c r="K40" s="545"/>
      <c r="L40" s="545"/>
      <c r="M40" s="545"/>
    </row>
    <row r="41" spans="1:13" x14ac:dyDescent="0.35">
      <c r="A41" s="236" t="s">
        <v>579</v>
      </c>
      <c r="B41" s="236" t="s">
        <v>738</v>
      </c>
      <c r="C41" s="392">
        <v>0.1</v>
      </c>
      <c r="D41" s="545">
        <f>M34</f>
        <v>941.54592998700014</v>
      </c>
      <c r="E41" s="545">
        <v>0</v>
      </c>
      <c r="F41" s="545">
        <v>0</v>
      </c>
      <c r="G41" s="545">
        <f>SUM(D41:F41)</f>
        <v>941.54592998700014</v>
      </c>
      <c r="H41" s="545">
        <v>0</v>
      </c>
      <c r="I41" s="545">
        <f>G41-H41</f>
        <v>941.54592998700014</v>
      </c>
      <c r="J41" s="545">
        <f>(D41+E41)*$C41</f>
        <v>94.154592998700025</v>
      </c>
      <c r="K41" s="545">
        <f>F41*$C41*0.5</f>
        <v>0</v>
      </c>
      <c r="L41" s="545">
        <f>SUM(J41:K41)</f>
        <v>94.154592998700025</v>
      </c>
      <c r="M41" s="545">
        <f>I41-L41</f>
        <v>847.39133698830005</v>
      </c>
    </row>
    <row r="42" spans="1:13" x14ac:dyDescent="0.35">
      <c r="A42" s="236" t="s">
        <v>579</v>
      </c>
      <c r="B42" s="236" t="s">
        <v>693</v>
      </c>
      <c r="C42" s="392">
        <v>0.1</v>
      </c>
      <c r="D42" s="545">
        <f t="shared" ref="D42:D45" si="47">M35</f>
        <v>104.5317343509</v>
      </c>
      <c r="E42" s="545">
        <v>0</v>
      </c>
      <c r="F42" s="545">
        <v>0</v>
      </c>
      <c r="G42" s="545">
        <f t="shared" ref="G42:G45" si="48">SUM(D42:F42)</f>
        <v>104.5317343509</v>
      </c>
      <c r="H42" s="545">
        <v>0</v>
      </c>
      <c r="I42" s="545">
        <f t="shared" ref="I42:I45" si="49">G42-H42</f>
        <v>104.5317343509</v>
      </c>
      <c r="J42" s="545">
        <f t="shared" ref="J42:J45" si="50">(D42+E42)*$C42</f>
        <v>10.453173435090001</v>
      </c>
      <c r="K42" s="545">
        <f t="shared" ref="K42:K45" si="51">F42*$C42*0.5</f>
        <v>0</v>
      </c>
      <c r="L42" s="545">
        <f t="shared" ref="L42:L45" si="52">SUM(J42:K42)</f>
        <v>10.453173435090001</v>
      </c>
      <c r="M42" s="545">
        <f t="shared" ref="M42:M45" si="53">I42-L42</f>
        <v>94.078560915809987</v>
      </c>
    </row>
    <row r="43" spans="1:13" x14ac:dyDescent="0.35">
      <c r="A43" s="236" t="s">
        <v>579</v>
      </c>
      <c r="B43" s="236" t="s">
        <v>188</v>
      </c>
      <c r="C43" s="392">
        <v>0.15</v>
      </c>
      <c r="D43" s="545">
        <f t="shared" si="47"/>
        <v>75.092172389337492</v>
      </c>
      <c r="E43" s="545">
        <v>0</v>
      </c>
      <c r="F43" s="545">
        <v>0</v>
      </c>
      <c r="G43" s="545">
        <f t="shared" si="48"/>
        <v>75.092172389337492</v>
      </c>
      <c r="H43" s="545">
        <v>0</v>
      </c>
      <c r="I43" s="545">
        <f t="shared" si="49"/>
        <v>75.092172389337492</v>
      </c>
      <c r="J43" s="545">
        <f t="shared" si="50"/>
        <v>11.263825858400624</v>
      </c>
      <c r="K43" s="545">
        <f t="shared" si="51"/>
        <v>0</v>
      </c>
      <c r="L43" s="545">
        <f t="shared" si="52"/>
        <v>11.263825858400624</v>
      </c>
      <c r="M43" s="545">
        <f t="shared" si="53"/>
        <v>63.828346530936869</v>
      </c>
    </row>
    <row r="44" spans="1:13" x14ac:dyDescent="0.35">
      <c r="A44" s="236" t="s">
        <v>579</v>
      </c>
      <c r="B44" s="236" t="s">
        <v>739</v>
      </c>
      <c r="C44" s="392">
        <v>0.15</v>
      </c>
      <c r="D44" s="545">
        <f t="shared" si="47"/>
        <v>3601.6416512067476</v>
      </c>
      <c r="E44" s="545">
        <v>0</v>
      </c>
      <c r="F44" s="545">
        <v>0</v>
      </c>
      <c r="G44" s="545">
        <f t="shared" si="48"/>
        <v>3601.6416512067476</v>
      </c>
      <c r="H44" s="545">
        <v>0</v>
      </c>
      <c r="I44" s="545">
        <f t="shared" si="49"/>
        <v>3601.6416512067476</v>
      </c>
      <c r="J44" s="545">
        <f t="shared" si="50"/>
        <v>540.24624768101216</v>
      </c>
      <c r="K44" s="545">
        <f t="shared" si="51"/>
        <v>0</v>
      </c>
      <c r="L44" s="545">
        <f t="shared" si="52"/>
        <v>540.24624768101216</v>
      </c>
      <c r="M44" s="545">
        <f t="shared" si="53"/>
        <v>3061.3954035257357</v>
      </c>
    </row>
    <row r="45" spans="1:13" x14ac:dyDescent="0.35">
      <c r="A45" s="236" t="s">
        <v>579</v>
      </c>
      <c r="B45" s="236" t="s">
        <v>586</v>
      </c>
      <c r="C45" s="392">
        <v>0.4</v>
      </c>
      <c r="D45" s="545">
        <f t="shared" si="47"/>
        <v>0.74066088959999987</v>
      </c>
      <c r="E45" s="545">
        <v>0</v>
      </c>
      <c r="F45" s="545">
        <v>0</v>
      </c>
      <c r="G45" s="545">
        <f t="shared" si="48"/>
        <v>0.74066088959999987</v>
      </c>
      <c r="H45" s="545">
        <v>0</v>
      </c>
      <c r="I45" s="545">
        <f t="shared" si="49"/>
        <v>0.74066088959999987</v>
      </c>
      <c r="J45" s="545">
        <f t="shared" si="50"/>
        <v>0.29626435583999994</v>
      </c>
      <c r="K45" s="545">
        <f t="shared" si="51"/>
        <v>0</v>
      </c>
      <c r="L45" s="545">
        <f t="shared" si="52"/>
        <v>0.29626435583999994</v>
      </c>
      <c r="M45" s="545">
        <f t="shared" si="53"/>
        <v>0.44439653375999993</v>
      </c>
    </row>
    <row r="46" spans="1:13" x14ac:dyDescent="0.35">
      <c r="A46" s="236"/>
      <c r="B46" s="236"/>
      <c r="C46" s="236"/>
      <c r="D46" s="545">
        <f>SUM(D41:D45)</f>
        <v>4723.5521488235854</v>
      </c>
      <c r="E46" s="545">
        <f t="shared" ref="E46:M46" si="54">SUM(E41:E45)</f>
        <v>0</v>
      </c>
      <c r="F46" s="545">
        <f t="shared" si="54"/>
        <v>0</v>
      </c>
      <c r="G46" s="545">
        <f t="shared" si="54"/>
        <v>4723.5521488235854</v>
      </c>
      <c r="H46" s="545">
        <f t="shared" si="54"/>
        <v>0</v>
      </c>
      <c r="I46" s="545">
        <f t="shared" si="54"/>
        <v>4723.5521488235854</v>
      </c>
      <c r="J46" s="545">
        <f t="shared" si="54"/>
        <v>656.41410432904274</v>
      </c>
      <c r="K46" s="545">
        <f t="shared" si="54"/>
        <v>0</v>
      </c>
      <c r="L46" s="545">
        <f t="shared" si="54"/>
        <v>656.41410432904274</v>
      </c>
      <c r="M46" s="545">
        <f t="shared" si="54"/>
        <v>4067.1380444945426</v>
      </c>
    </row>
  </sheetData>
  <mergeCells count="2">
    <mergeCell ref="E4:F4"/>
    <mergeCell ref="J4:K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6"/>
  <sheetViews>
    <sheetView workbookViewId="0">
      <selection activeCell="B10" sqref="B10:E10"/>
    </sheetView>
  </sheetViews>
  <sheetFormatPr defaultRowHeight="14.5" x14ac:dyDescent="0.35"/>
  <cols>
    <col min="1" max="1" width="23.453125" bestFit="1" customWidth="1"/>
    <col min="2" max="2" width="10" bestFit="1" customWidth="1"/>
    <col min="8" max="8" width="9.1796875" customWidth="1"/>
    <col min="9" max="11" width="9.1796875" hidden="1" customWidth="1"/>
  </cols>
  <sheetData>
    <row r="1" spans="1:12" ht="15" x14ac:dyDescent="0.25">
      <c r="A1" s="245" t="s">
        <v>864</v>
      </c>
    </row>
    <row r="2" spans="1:12" ht="15" x14ac:dyDescent="0.25">
      <c r="A2" s="245" t="s">
        <v>886</v>
      </c>
    </row>
    <row r="4" spans="1:12" s="245" customFormat="1" ht="15" x14ac:dyDescent="0.25">
      <c r="A4" s="240" t="s">
        <v>478</v>
      </c>
      <c r="B4" s="240" t="str">
        <f>+'Financial Statements'!I8</f>
        <v>2023-24</v>
      </c>
      <c r="C4" s="240" t="s">
        <v>355</v>
      </c>
      <c r="D4" s="240" t="s">
        <v>632</v>
      </c>
      <c r="E4" s="240" t="s">
        <v>633</v>
      </c>
      <c r="F4" s="240" t="s">
        <v>634</v>
      </c>
      <c r="G4" s="240" t="s">
        <v>635</v>
      </c>
      <c r="H4" s="240" t="s">
        <v>11</v>
      </c>
      <c r="I4" s="240" t="str">
        <f>+'Financial Statements'!P8</f>
        <v>2030-31</v>
      </c>
      <c r="J4" s="240" t="str">
        <f>+'Financial Statements'!Q8</f>
        <v>2031-32</v>
      </c>
      <c r="K4" s="240" t="str">
        <f>+'Financial Statements'!R8</f>
        <v>2032-33</v>
      </c>
    </row>
    <row r="5" spans="1:12" ht="15" x14ac:dyDescent="0.25">
      <c r="A5" s="236" t="s">
        <v>444</v>
      </c>
      <c r="B5" s="411">
        <f>'Financial Statements'!I128</f>
        <v>242.70539620000011</v>
      </c>
      <c r="C5" s="411">
        <f>'Detailed PL, TP &amp; TR'!G16</f>
        <v>456.84200246599971</v>
      </c>
      <c r="D5" s="411">
        <f>'Financial Statements'!K128</f>
        <v>668.85606785201526</v>
      </c>
      <c r="E5" s="411">
        <f>'Financial Statements'!L128</f>
        <v>886.52193586635917</v>
      </c>
      <c r="F5" s="411">
        <f>'Financial Statements'!M128</f>
        <v>1118.4184688854191</v>
      </c>
      <c r="G5" s="411">
        <f>'Financial Statements'!N128</f>
        <v>1442.835279020946</v>
      </c>
      <c r="H5" s="411">
        <f>'Financial Statements'!O128</f>
        <v>1668.1092595642031</v>
      </c>
      <c r="I5" s="411" t="e">
        <f>'Financial Statements'!P128</f>
        <v>#REF!</v>
      </c>
      <c r="J5" s="411" t="e">
        <f>'Financial Statements'!Q128</f>
        <v>#REF!</v>
      </c>
      <c r="K5" s="411" t="e">
        <f>'Financial Statements'!R128</f>
        <v>#REF!</v>
      </c>
    </row>
    <row r="6" spans="1:12" ht="15" x14ac:dyDescent="0.25">
      <c r="A6" s="236" t="s">
        <v>445</v>
      </c>
      <c r="B6" s="411">
        <f>+'Financial Statements'!I53</f>
        <v>969.66</v>
      </c>
      <c r="C6" s="411">
        <f>'Detailed PL, TP &amp; TR'!G9</f>
        <v>741.27418599999999</v>
      </c>
      <c r="D6" s="411">
        <f>+'Financial Statements'!K53</f>
        <v>1364.8717971967999</v>
      </c>
      <c r="E6" s="411">
        <f>+'Financial Statements'!L53</f>
        <v>1248.7253340913628</v>
      </c>
      <c r="F6" s="411">
        <f>+'Financial Statements'!M53</f>
        <v>1043.1127846433142</v>
      </c>
      <c r="G6" s="411">
        <f>+'Financial Statements'!N53</f>
        <v>873.31854804358272</v>
      </c>
      <c r="H6" s="411">
        <f>+'Financial Statements'!O53</f>
        <v>732.76239069000871</v>
      </c>
      <c r="I6" s="411">
        <f>+'Financial Statements'!P53</f>
        <v>418.06011443809285</v>
      </c>
      <c r="J6" s="411">
        <f>+'Financial Statements'!Q53</f>
        <v>337.63965937522721</v>
      </c>
      <c r="K6" s="411">
        <f>+'Financial Statements'!R53</f>
        <v>264.26440811007245</v>
      </c>
    </row>
    <row r="7" spans="1:12" ht="15" x14ac:dyDescent="0.25">
      <c r="A7" s="236" t="s">
        <v>603</v>
      </c>
      <c r="B7" s="411">
        <f>'Financial Statements'!I90</f>
        <v>326.53710999999998</v>
      </c>
      <c r="C7" s="411">
        <f>'Loan Repayment'!C72</f>
        <v>466.7448225</v>
      </c>
      <c r="D7" s="411">
        <f>'Loan Repayment'!D72</f>
        <v>701.01316999999995</v>
      </c>
      <c r="E7" s="411">
        <f>'Loan Repayment'!E72</f>
        <v>578.94308000000001</v>
      </c>
      <c r="F7" s="411">
        <f>'Loan Repayment'!F72</f>
        <v>443.65719250000001</v>
      </c>
      <c r="G7" s="411">
        <f>'Loan Repayment'!G72</f>
        <v>318.00185500000003</v>
      </c>
      <c r="H7" s="411">
        <f>'Loan Repayment'!H72</f>
        <v>201.38995500000001</v>
      </c>
      <c r="I7" s="411">
        <f>+'Financial Statements'!P91+'Financial Statements'!P94+'Financial Statements'!P96</f>
        <v>8.0075393639726027</v>
      </c>
      <c r="J7" s="411">
        <f>+'Financial Statements'!Q91+'Financial Statements'!Q94+'Financial Statements'!Q96</f>
        <v>0</v>
      </c>
      <c r="K7" s="411">
        <f>+'Financial Statements'!R91+'Financial Statements'!R94+'Financial Statements'!R96</f>
        <v>0</v>
      </c>
    </row>
    <row r="8" spans="1:12" s="245" customFormat="1" ht="15" x14ac:dyDescent="0.25">
      <c r="A8" s="240" t="s">
        <v>604</v>
      </c>
      <c r="B8" s="412">
        <f>SUM(B5:B7)</f>
        <v>1538.9025062000001</v>
      </c>
      <c r="C8" s="412">
        <f t="shared" ref="C8:K8" si="0">SUM(C5:C7)</f>
        <v>1664.8610109659996</v>
      </c>
      <c r="D8" s="412">
        <f t="shared" si="0"/>
        <v>2734.7410350488153</v>
      </c>
      <c r="E8" s="412">
        <f t="shared" si="0"/>
        <v>2714.190349957722</v>
      </c>
      <c r="F8" s="412">
        <f t="shared" si="0"/>
        <v>2605.1884460287329</v>
      </c>
      <c r="G8" s="412">
        <f t="shared" si="0"/>
        <v>2634.1556820645287</v>
      </c>
      <c r="H8" s="412">
        <f t="shared" si="0"/>
        <v>2602.2616052542121</v>
      </c>
      <c r="I8" s="412" t="e">
        <f t="shared" si="0"/>
        <v>#REF!</v>
      </c>
      <c r="J8" s="412" t="e">
        <f t="shared" si="0"/>
        <v>#REF!</v>
      </c>
      <c r="K8" s="412" t="e">
        <f t="shared" si="0"/>
        <v>#REF!</v>
      </c>
    </row>
    <row r="9" spans="1:12" ht="15" x14ac:dyDescent="0.25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0" spans="1:12" ht="15" x14ac:dyDescent="0.25">
      <c r="A10" s="236" t="s">
        <v>603</v>
      </c>
      <c r="B10" s="411">
        <f>+B7</f>
        <v>326.53710999999998</v>
      </c>
      <c r="C10" s="411">
        <f t="shared" ref="C10:K10" si="1">+C7</f>
        <v>466.7448225</v>
      </c>
      <c r="D10" s="411">
        <f t="shared" si="1"/>
        <v>701.01316999999995</v>
      </c>
      <c r="E10" s="411">
        <f t="shared" si="1"/>
        <v>578.94308000000001</v>
      </c>
      <c r="F10" s="411">
        <f t="shared" si="1"/>
        <v>443.65719250000001</v>
      </c>
      <c r="G10" s="411">
        <f t="shared" si="1"/>
        <v>318.00185500000003</v>
      </c>
      <c r="H10" s="411">
        <f t="shared" si="1"/>
        <v>201.38995500000001</v>
      </c>
      <c r="I10" s="411">
        <f t="shared" si="1"/>
        <v>8.0075393639726027</v>
      </c>
      <c r="J10" s="411">
        <f t="shared" si="1"/>
        <v>0</v>
      </c>
      <c r="K10" s="411">
        <f t="shared" si="1"/>
        <v>0</v>
      </c>
    </row>
    <row r="11" spans="1:12" ht="15" x14ac:dyDescent="0.25">
      <c r="A11" s="236" t="s">
        <v>605</v>
      </c>
      <c r="B11" s="411">
        <f>'Financial Statements'!I182</f>
        <v>335.04</v>
      </c>
      <c r="C11" s="411">
        <f>'Loan Repayment'!C70</f>
        <v>384.13</v>
      </c>
      <c r="D11" s="411">
        <f>'Loan Repayment'!D70</f>
        <v>1110.2311111111112</v>
      </c>
      <c r="E11" s="411">
        <f>'Loan Repayment'!E70</f>
        <v>1406.2199999999998</v>
      </c>
      <c r="F11" s="411">
        <f>'Loan Repayment'!F70</f>
        <v>1456.06</v>
      </c>
      <c r="G11" s="411">
        <f>'Loan Repayment'!G70</f>
        <v>1218.52</v>
      </c>
      <c r="H11" s="411">
        <f>'Loan Repayment'!H70</f>
        <v>1278.52</v>
      </c>
      <c r="I11" s="411">
        <f t="shared" ref="I11:K11" si="2">SUM(I23:I24)</f>
        <v>231.17789999999999</v>
      </c>
      <c r="J11" s="411">
        <f t="shared" si="2"/>
        <v>0</v>
      </c>
      <c r="K11" s="411">
        <f t="shared" si="2"/>
        <v>0</v>
      </c>
    </row>
    <row r="12" spans="1:12" s="245" customFormat="1" ht="15" x14ac:dyDescent="0.25">
      <c r="A12" s="240" t="s">
        <v>455</v>
      </c>
      <c r="B12" s="412">
        <f>SUM(B10:B11)</f>
        <v>661.57710999999995</v>
      </c>
      <c r="C12" s="412">
        <f t="shared" ref="C12:K12" si="3">SUM(C10:C11)</f>
        <v>850.87482249999994</v>
      </c>
      <c r="D12" s="412">
        <f t="shared" si="3"/>
        <v>1811.2442811111111</v>
      </c>
      <c r="E12" s="412">
        <f t="shared" si="3"/>
        <v>1985.1630799999998</v>
      </c>
      <c r="F12" s="412">
        <f t="shared" si="3"/>
        <v>1899.7171925</v>
      </c>
      <c r="G12" s="412">
        <f t="shared" si="3"/>
        <v>1536.521855</v>
      </c>
      <c r="H12" s="412">
        <f t="shared" si="3"/>
        <v>1479.9099550000001</v>
      </c>
      <c r="I12" s="412">
        <f t="shared" si="3"/>
        <v>239.18543936397259</v>
      </c>
      <c r="J12" s="412">
        <f t="shared" si="3"/>
        <v>0</v>
      </c>
      <c r="K12" s="412">
        <f t="shared" si="3"/>
        <v>0</v>
      </c>
      <c r="L12" s="413"/>
    </row>
    <row r="13" spans="1:12" ht="15" x14ac:dyDescent="0.25">
      <c r="A13" s="236"/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09"/>
    </row>
    <row r="14" spans="1:12" s="245" customFormat="1" ht="15" x14ac:dyDescent="0.25">
      <c r="A14" s="240" t="s">
        <v>442</v>
      </c>
      <c r="B14" s="412">
        <f>B8/B12</f>
        <v>2.32611207815216</v>
      </c>
      <c r="C14" s="412">
        <f t="shared" ref="C14:K14" si="4">C8/C12</f>
        <v>1.9566462268496607</v>
      </c>
      <c r="D14" s="412">
        <f t="shared" si="4"/>
        <v>1.509868692792329</v>
      </c>
      <c r="E14" s="412">
        <f t="shared" si="4"/>
        <v>1.3672379752084258</v>
      </c>
      <c r="F14" s="412">
        <f t="shared" si="4"/>
        <v>1.3713559346169537</v>
      </c>
      <c r="G14" s="412">
        <f t="shared" si="4"/>
        <v>1.7143626519158941</v>
      </c>
      <c r="H14" s="412">
        <f t="shared" si="4"/>
        <v>1.7583918511138146</v>
      </c>
      <c r="I14" s="412" t="e">
        <f t="shared" si="4"/>
        <v>#REF!</v>
      </c>
      <c r="J14" s="412" t="e">
        <f t="shared" si="4"/>
        <v>#REF!</v>
      </c>
      <c r="K14" s="412" t="e">
        <f t="shared" si="4"/>
        <v>#REF!</v>
      </c>
    </row>
    <row r="15" spans="1:12" ht="18.75" x14ac:dyDescent="0.3">
      <c r="A15" s="236" t="s">
        <v>606</v>
      </c>
      <c r="B15" s="414">
        <f>SUM(B8:H8)/SUM(B12:H12)</f>
        <v>1.6131332276564809</v>
      </c>
      <c r="C15" s="236"/>
      <c r="D15" s="236"/>
      <c r="E15" s="236"/>
      <c r="F15" s="236"/>
      <c r="G15" s="236"/>
      <c r="H15" s="236"/>
      <c r="I15" s="236"/>
      <c r="J15" s="236"/>
      <c r="K15" s="236"/>
    </row>
    <row r="16" spans="1:12" ht="18.75" x14ac:dyDescent="0.3">
      <c r="A16" s="236" t="s">
        <v>607</v>
      </c>
      <c r="B16" s="414">
        <f>MIN(B14:H14)</f>
        <v>1.3672379752084258</v>
      </c>
      <c r="C16" s="236"/>
      <c r="D16" s="236"/>
      <c r="E16" s="236"/>
      <c r="F16" s="236"/>
      <c r="G16" s="236"/>
      <c r="H16" s="236"/>
      <c r="I16" s="236"/>
      <c r="J16" s="236"/>
      <c r="K16" s="236"/>
    </row>
    <row r="17" spans="2:11" ht="15" x14ac:dyDescent="0.25">
      <c r="B17" s="409"/>
    </row>
    <row r="18" spans="2:11" ht="15" x14ac:dyDescent="0.25">
      <c r="B18" s="409"/>
    </row>
    <row r="19" spans="2:11" ht="15" x14ac:dyDescent="0.25">
      <c r="B19" s="409"/>
    </row>
    <row r="20" spans="2:11" ht="15" x14ac:dyDescent="0.25">
      <c r="B20" s="409"/>
    </row>
    <row r="21" spans="2:11" ht="15" x14ac:dyDescent="0.25">
      <c r="B21" s="409"/>
    </row>
    <row r="23" spans="2:11" ht="15" x14ac:dyDescent="0.25">
      <c r="B23" s="409"/>
      <c r="C23" s="409"/>
      <c r="D23" s="409"/>
      <c r="E23" s="409"/>
      <c r="F23" s="409"/>
      <c r="G23" s="409"/>
      <c r="H23" s="409"/>
      <c r="I23" s="409">
        <f>+'Existing Loan Working'!M36/10^5</f>
        <v>191.17789999999999</v>
      </c>
      <c r="J23" s="409">
        <f>+'Existing Loan Working'!N36/10^5</f>
        <v>0</v>
      </c>
      <c r="K23" s="409">
        <f>+'Existing Loan Working'!O36/10^5</f>
        <v>0</v>
      </c>
    </row>
    <row r="24" spans="2:11" x14ac:dyDescent="0.35">
      <c r="B24" s="409"/>
      <c r="C24" s="409"/>
      <c r="D24" s="409"/>
      <c r="E24" s="409"/>
      <c r="F24" s="409"/>
      <c r="G24" s="409"/>
      <c r="H24" s="409"/>
      <c r="I24" s="409">
        <f>+Debt!K38</f>
        <v>40</v>
      </c>
      <c r="J24" s="409">
        <f>+Debt!L38</f>
        <v>0</v>
      </c>
      <c r="K24" s="409">
        <f>+Debt!M38</f>
        <v>0</v>
      </c>
    </row>
    <row r="26" spans="2:11" x14ac:dyDescent="0.35">
      <c r="B26" s="409"/>
      <c r="C26" s="409"/>
      <c r="D26" s="409"/>
      <c r="E26" s="409"/>
      <c r="F26" s="409"/>
      <c r="G26" s="409"/>
      <c r="H26" s="409"/>
      <c r="I26" s="409"/>
      <c r="J26" s="409"/>
      <c r="K26" s="409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28"/>
  <sheetViews>
    <sheetView workbookViewId="0">
      <selection activeCell="C11" sqref="C11:L16"/>
    </sheetView>
  </sheetViews>
  <sheetFormatPr defaultRowHeight="14.5" x14ac:dyDescent="0.35"/>
  <cols>
    <col min="3" max="3" width="12.26953125" customWidth="1"/>
    <col min="4" max="4" width="15.81640625" customWidth="1"/>
    <col min="5" max="5" width="11.81640625" customWidth="1"/>
    <col min="12" max="12" width="9.54296875" bestFit="1" customWidth="1"/>
  </cols>
  <sheetData>
    <row r="1" spans="2:13" ht="15" x14ac:dyDescent="0.25">
      <c r="B1" t="s">
        <v>722</v>
      </c>
    </row>
    <row r="2" spans="2:13" ht="45" x14ac:dyDescent="0.25">
      <c r="B2" s="539" t="s">
        <v>712</v>
      </c>
      <c r="C2" s="540" t="s">
        <v>713</v>
      </c>
      <c r="D2" s="540" t="s">
        <v>714</v>
      </c>
      <c r="E2" s="540" t="s">
        <v>723</v>
      </c>
      <c r="F2" s="540" t="s">
        <v>391</v>
      </c>
      <c r="G2" s="540" t="s">
        <v>713</v>
      </c>
      <c r="H2" s="540" t="s">
        <v>714</v>
      </c>
      <c r="I2" s="540" t="s">
        <v>715</v>
      </c>
      <c r="J2" s="540" t="s">
        <v>391</v>
      </c>
    </row>
    <row r="3" spans="2:13" ht="15" x14ac:dyDescent="0.25">
      <c r="B3" t="s">
        <v>716</v>
      </c>
      <c r="C3" s="530">
        <f>7405537/10^5</f>
        <v>74.055369999999996</v>
      </c>
      <c r="D3" s="530">
        <f>229800/10^5</f>
        <v>2.298</v>
      </c>
      <c r="E3" s="530">
        <v>40</v>
      </c>
      <c r="F3" s="532">
        <f t="shared" ref="F3:F8" si="0">SUM(C3:E3)</f>
        <v>116.35337</v>
      </c>
      <c r="G3" s="530">
        <f>1601953/10^5</f>
        <v>16.01953</v>
      </c>
      <c r="H3" s="530">
        <v>0</v>
      </c>
      <c r="I3" s="530">
        <v>0</v>
      </c>
      <c r="J3" s="532">
        <f t="shared" ref="J3:J8" si="1">SUM(G3:I3)</f>
        <v>16.01953</v>
      </c>
      <c r="L3" s="532">
        <f>+F3+J3</f>
        <v>132.37289999999999</v>
      </c>
    </row>
    <row r="4" spans="2:13" ht="15" x14ac:dyDescent="0.25">
      <c r="B4" t="s">
        <v>717</v>
      </c>
      <c r="C4" s="530">
        <f>6471260/10^5</f>
        <v>64.712599999999995</v>
      </c>
      <c r="D4" s="530">
        <f>73000/10^5</f>
        <v>0.73</v>
      </c>
      <c r="E4" s="530">
        <f>E3</f>
        <v>40</v>
      </c>
      <c r="F4" s="532">
        <f t="shared" si="0"/>
        <v>105.4426</v>
      </c>
      <c r="G4" s="530">
        <f>2012399/10^5</f>
        <v>20.123989999999999</v>
      </c>
      <c r="H4" s="530">
        <v>0</v>
      </c>
      <c r="I4" s="530">
        <v>0</v>
      </c>
      <c r="J4" s="532">
        <f t="shared" si="1"/>
        <v>20.123989999999999</v>
      </c>
      <c r="L4" s="532">
        <f t="shared" ref="L4:L8" si="2">+F4+J4</f>
        <v>125.56658999999999</v>
      </c>
    </row>
    <row r="5" spans="2:13" ht="15" x14ac:dyDescent="0.25">
      <c r="B5" t="s">
        <v>718</v>
      </c>
      <c r="C5" s="530">
        <f>5661244/10^5</f>
        <v>56.612439999999999</v>
      </c>
      <c r="D5" s="530">
        <f>272600/10^5</f>
        <v>2.726</v>
      </c>
      <c r="E5" s="530">
        <f t="shared" ref="E5:E8" si="3">E4</f>
        <v>40</v>
      </c>
      <c r="F5" s="532">
        <f t="shared" si="0"/>
        <v>99.338439999999991</v>
      </c>
      <c r="G5" s="530">
        <f>2966673/10^5</f>
        <v>29.666730000000001</v>
      </c>
      <c r="H5" s="530">
        <v>0</v>
      </c>
      <c r="I5" s="530">
        <v>0</v>
      </c>
      <c r="J5" s="532">
        <f t="shared" si="1"/>
        <v>29.666730000000001</v>
      </c>
      <c r="L5" s="532">
        <f t="shared" si="2"/>
        <v>129.00516999999999</v>
      </c>
    </row>
    <row r="6" spans="2:13" ht="15" x14ac:dyDescent="0.25">
      <c r="B6" t="s">
        <v>719</v>
      </c>
      <c r="C6" s="530">
        <f>6687015/10^5</f>
        <v>66.870149999999995</v>
      </c>
      <c r="D6" s="530">
        <f>412000/10^5+1044687/10^5</f>
        <v>14.566870000000002</v>
      </c>
      <c r="E6" s="530">
        <f t="shared" si="3"/>
        <v>40</v>
      </c>
      <c r="F6" s="532">
        <f t="shared" si="0"/>
        <v>121.43701999999999</v>
      </c>
      <c r="G6" s="530">
        <f>2760028/10^5</f>
        <v>27.600280000000001</v>
      </c>
      <c r="H6" s="530">
        <v>0</v>
      </c>
      <c r="I6" s="530">
        <v>0</v>
      </c>
      <c r="J6" s="532">
        <f t="shared" si="1"/>
        <v>27.600280000000001</v>
      </c>
      <c r="L6" s="532">
        <f t="shared" si="2"/>
        <v>149.03729999999999</v>
      </c>
    </row>
    <row r="7" spans="2:13" ht="15" x14ac:dyDescent="0.25">
      <c r="B7" t="s">
        <v>720</v>
      </c>
      <c r="C7" s="530">
        <f>8610520/10^5</f>
        <v>86.105199999999996</v>
      </c>
      <c r="D7" s="530">
        <f>193000/10^5+2114291/10^5</f>
        <v>23.07291</v>
      </c>
      <c r="E7" s="530">
        <f t="shared" si="3"/>
        <v>40</v>
      </c>
      <c r="F7" s="532">
        <f t="shared" si="0"/>
        <v>149.17811</v>
      </c>
      <c r="G7" s="530">
        <f>2359500/10^5</f>
        <v>23.594999999999999</v>
      </c>
      <c r="H7" s="530">
        <v>0</v>
      </c>
      <c r="I7" s="530">
        <v>0</v>
      </c>
      <c r="J7" s="532">
        <f t="shared" si="1"/>
        <v>23.594999999999999</v>
      </c>
      <c r="L7" s="532">
        <f t="shared" si="2"/>
        <v>172.77311</v>
      </c>
    </row>
    <row r="8" spans="2:13" ht="15" x14ac:dyDescent="0.25">
      <c r="B8" t="s">
        <v>721</v>
      </c>
      <c r="C8" s="530">
        <f>8779931/10^5</f>
        <v>87.799310000000006</v>
      </c>
      <c r="D8">
        <f>52000/10^5</f>
        <v>0.52</v>
      </c>
      <c r="E8" s="530">
        <f t="shared" si="3"/>
        <v>40</v>
      </c>
      <c r="F8" s="532">
        <f t="shared" si="0"/>
        <v>128.31931</v>
      </c>
      <c r="G8" s="530">
        <f>1810125/10^5</f>
        <v>18.10125</v>
      </c>
      <c r="H8" s="530">
        <v>0</v>
      </c>
      <c r="I8" s="530">
        <v>0</v>
      </c>
      <c r="J8" s="532">
        <f t="shared" si="1"/>
        <v>18.10125</v>
      </c>
      <c r="L8" s="532">
        <f t="shared" si="2"/>
        <v>146.42055999999999</v>
      </c>
    </row>
    <row r="9" spans="2:13" ht="15.75" thickBot="1" x14ac:dyDescent="0.3">
      <c r="C9" s="541">
        <f t="shared" ref="C9:J9" si="4">SUM(C3:C8)</f>
        <v>436.15506999999991</v>
      </c>
      <c r="D9" s="541">
        <f t="shared" si="4"/>
        <v>43.913780000000003</v>
      </c>
      <c r="E9" s="541">
        <f t="shared" si="4"/>
        <v>240</v>
      </c>
      <c r="F9" s="541">
        <f t="shared" si="4"/>
        <v>720.06885</v>
      </c>
      <c r="G9" s="541">
        <f t="shared" si="4"/>
        <v>135.10677999999999</v>
      </c>
      <c r="H9" s="541">
        <f t="shared" si="4"/>
        <v>0</v>
      </c>
      <c r="I9" s="541">
        <f t="shared" si="4"/>
        <v>0</v>
      </c>
      <c r="J9" s="541">
        <f t="shared" si="4"/>
        <v>135.10677999999999</v>
      </c>
      <c r="K9" s="542"/>
      <c r="L9" s="542">
        <f>SUM(L3:L8)</f>
        <v>855.17562999999996</v>
      </c>
      <c r="M9" s="533">
        <f>K9+L9</f>
        <v>855.17562999999996</v>
      </c>
    </row>
    <row r="10" spans="2:13" ht="15.75" thickTop="1" x14ac:dyDescent="0.25"/>
    <row r="11" spans="2:13" ht="15" x14ac:dyDescent="0.25">
      <c r="B11" t="s">
        <v>906</v>
      </c>
      <c r="C11" s="592">
        <v>90</v>
      </c>
      <c r="D11" s="592">
        <v>15</v>
      </c>
      <c r="E11" s="530">
        <v>40</v>
      </c>
      <c r="F11" s="592">
        <f>SUM(C11:E11)</f>
        <v>145</v>
      </c>
      <c r="G11" s="592">
        <v>22</v>
      </c>
      <c r="H11" s="592">
        <v>0</v>
      </c>
      <c r="I11" s="592">
        <v>0</v>
      </c>
      <c r="J11" s="532">
        <f t="shared" ref="J11:J16" si="5">SUM(G11:I11)</f>
        <v>22</v>
      </c>
      <c r="K11" s="592"/>
      <c r="L11" s="532">
        <f t="shared" ref="L11:L16" si="6">+F11+J11</f>
        <v>167</v>
      </c>
    </row>
    <row r="12" spans="2:13" ht="15" x14ac:dyDescent="0.25">
      <c r="B12" t="s">
        <v>724</v>
      </c>
      <c r="C12">
        <v>100</v>
      </c>
      <c r="D12" s="592">
        <v>15</v>
      </c>
      <c r="E12" s="592">
        <f>+E11</f>
        <v>40</v>
      </c>
      <c r="F12" s="592">
        <f t="shared" ref="F12:F16" si="7">SUM(C12:E12)</f>
        <v>155</v>
      </c>
      <c r="G12" s="592">
        <v>22</v>
      </c>
      <c r="J12" s="532">
        <f t="shared" si="5"/>
        <v>22</v>
      </c>
      <c r="L12" s="532">
        <f t="shared" si="6"/>
        <v>177</v>
      </c>
    </row>
    <row r="13" spans="2:13" ht="15" x14ac:dyDescent="0.25">
      <c r="B13" t="s">
        <v>907</v>
      </c>
      <c r="C13">
        <v>125</v>
      </c>
      <c r="D13" s="592">
        <v>15</v>
      </c>
      <c r="E13" s="592">
        <f t="shared" ref="E13:E16" si="8">+E12</f>
        <v>40</v>
      </c>
      <c r="F13" s="592">
        <f t="shared" si="7"/>
        <v>180</v>
      </c>
      <c r="G13" s="592">
        <v>28</v>
      </c>
      <c r="J13" s="532">
        <f t="shared" si="5"/>
        <v>28</v>
      </c>
      <c r="L13" s="532">
        <f t="shared" si="6"/>
        <v>208</v>
      </c>
    </row>
    <row r="14" spans="2:13" ht="15" x14ac:dyDescent="0.25">
      <c r="B14" t="s">
        <v>908</v>
      </c>
      <c r="C14">
        <v>125</v>
      </c>
      <c r="D14" s="592">
        <v>15</v>
      </c>
      <c r="E14" s="592">
        <f t="shared" si="8"/>
        <v>40</v>
      </c>
      <c r="F14" s="592">
        <f t="shared" si="7"/>
        <v>180</v>
      </c>
      <c r="G14" s="592">
        <v>28</v>
      </c>
      <c r="J14" s="532">
        <f t="shared" si="5"/>
        <v>28</v>
      </c>
      <c r="L14" s="532">
        <f t="shared" si="6"/>
        <v>208</v>
      </c>
    </row>
    <row r="15" spans="2:13" ht="15" x14ac:dyDescent="0.25">
      <c r="B15" t="s">
        <v>909</v>
      </c>
      <c r="C15">
        <v>125</v>
      </c>
      <c r="D15" s="592">
        <v>15</v>
      </c>
      <c r="E15" s="592">
        <f t="shared" si="8"/>
        <v>40</v>
      </c>
      <c r="F15" s="592">
        <f t="shared" si="7"/>
        <v>180</v>
      </c>
      <c r="G15" s="592">
        <v>28</v>
      </c>
      <c r="J15" s="532">
        <f t="shared" si="5"/>
        <v>28</v>
      </c>
      <c r="L15" s="532">
        <f t="shared" si="6"/>
        <v>208</v>
      </c>
    </row>
    <row r="16" spans="2:13" ht="15" x14ac:dyDescent="0.25">
      <c r="B16" t="s">
        <v>910</v>
      </c>
      <c r="C16">
        <v>125</v>
      </c>
      <c r="D16" s="592">
        <v>15</v>
      </c>
      <c r="E16" s="592">
        <f t="shared" si="8"/>
        <v>40</v>
      </c>
      <c r="F16" s="592">
        <f t="shared" si="7"/>
        <v>180</v>
      </c>
      <c r="G16" s="592">
        <v>22</v>
      </c>
      <c r="J16" s="532">
        <f t="shared" si="5"/>
        <v>22</v>
      </c>
      <c r="L16" s="532">
        <f t="shared" si="6"/>
        <v>202</v>
      </c>
    </row>
    <row r="17" spans="3:12" ht="15" x14ac:dyDescent="0.25">
      <c r="C17" s="592">
        <f t="shared" ref="C17:K17" si="9">SUM(C9:C16)</f>
        <v>1126.1550699999998</v>
      </c>
      <c r="D17" s="592">
        <f t="shared" si="9"/>
        <v>133.91378</v>
      </c>
      <c r="E17" s="592">
        <f t="shared" si="9"/>
        <v>480</v>
      </c>
      <c r="F17" s="592">
        <f t="shared" si="9"/>
        <v>1740.0688500000001</v>
      </c>
      <c r="G17" s="592">
        <f t="shared" si="9"/>
        <v>285.10677999999996</v>
      </c>
      <c r="H17" s="592">
        <f t="shared" si="9"/>
        <v>0</v>
      </c>
      <c r="I17" s="592">
        <f t="shared" si="9"/>
        <v>0</v>
      </c>
      <c r="J17" s="592">
        <f t="shared" si="9"/>
        <v>285.10677999999996</v>
      </c>
      <c r="K17" s="592">
        <f t="shared" si="9"/>
        <v>0</v>
      </c>
      <c r="L17" s="592">
        <f>SUM(L9:L16)</f>
        <v>2025.17563</v>
      </c>
    </row>
    <row r="22" spans="3:12" ht="15" x14ac:dyDescent="0.25">
      <c r="D22" s="533"/>
      <c r="E22" s="533"/>
    </row>
    <row r="28" spans="3:12" x14ac:dyDescent="0.35">
      <c r="K28" s="533"/>
    </row>
  </sheetData>
  <phoneticPr fontId="4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A15" sqref="A15"/>
    </sheetView>
  </sheetViews>
  <sheetFormatPr defaultRowHeight="14.5" x14ac:dyDescent="0.35"/>
  <cols>
    <col min="1" max="1" width="47.54296875" bestFit="1" customWidth="1"/>
    <col min="2" max="2" width="8.54296875" bestFit="1" customWidth="1"/>
    <col min="3" max="3" width="8.81640625" bestFit="1" customWidth="1"/>
    <col min="4" max="10" width="10.26953125" bestFit="1" customWidth="1"/>
    <col min="11" max="11" width="10" bestFit="1" customWidth="1"/>
  </cols>
  <sheetData>
    <row r="1" spans="1:11" ht="15" x14ac:dyDescent="0.25">
      <c r="A1" s="245" t="s">
        <v>911</v>
      </c>
      <c r="K1" s="230" t="s">
        <v>912</v>
      </c>
    </row>
    <row r="2" spans="1:11" ht="15" x14ac:dyDescent="0.25">
      <c r="A2" s="553" t="s">
        <v>913</v>
      </c>
      <c r="B2" s="637" t="s">
        <v>752</v>
      </c>
      <c r="C2" s="638"/>
      <c r="D2" s="588" t="s">
        <v>753</v>
      </c>
      <c r="E2" s="588" t="s">
        <v>754</v>
      </c>
      <c r="F2" s="588" t="s">
        <v>755</v>
      </c>
      <c r="G2" s="588" t="s">
        <v>756</v>
      </c>
      <c r="H2" s="588" t="s">
        <v>757</v>
      </c>
      <c r="I2" s="588" t="s">
        <v>914</v>
      </c>
      <c r="J2" s="588" t="s">
        <v>915</v>
      </c>
      <c r="K2" s="553" t="s">
        <v>391</v>
      </c>
    </row>
    <row r="3" spans="1:11" ht="45" x14ac:dyDescent="0.25">
      <c r="A3" s="593" t="s">
        <v>478</v>
      </c>
      <c r="B3" s="594" t="s">
        <v>916</v>
      </c>
      <c r="C3" s="594" t="s">
        <v>917</v>
      </c>
      <c r="D3" s="594" t="s">
        <v>917</v>
      </c>
      <c r="E3" s="594" t="s">
        <v>917</v>
      </c>
      <c r="F3" s="594" t="s">
        <v>917</v>
      </c>
      <c r="G3" s="594" t="s">
        <v>917</v>
      </c>
      <c r="H3" s="594" t="s">
        <v>917</v>
      </c>
      <c r="I3" s="594" t="s">
        <v>917</v>
      </c>
      <c r="J3" s="594" t="s">
        <v>917</v>
      </c>
      <c r="K3" s="553"/>
    </row>
    <row r="4" spans="1:11" ht="15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spans="1:11" ht="15" x14ac:dyDescent="0.25">
      <c r="A5" s="240" t="s">
        <v>918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6" spans="1:11" x14ac:dyDescent="0.35">
      <c r="A6" s="236" t="s">
        <v>919</v>
      </c>
      <c r="B6" s="548">
        <v>0</v>
      </c>
      <c r="C6" s="548">
        <v>37.5</v>
      </c>
      <c r="D6" s="548">
        <v>605</v>
      </c>
      <c r="E6" s="548">
        <v>635.25</v>
      </c>
      <c r="F6" s="548">
        <v>667.01250000000005</v>
      </c>
      <c r="G6" s="548">
        <v>700.36312500000008</v>
      </c>
      <c r="H6" s="548">
        <v>735.38128125000003</v>
      </c>
      <c r="I6" s="548">
        <v>772.15034531250001</v>
      </c>
      <c r="J6" s="548">
        <v>810.7578625781249</v>
      </c>
      <c r="K6" s="543">
        <f t="shared" ref="K6:K13" si="0">SUM(C6:J6)</f>
        <v>4963.4151141406255</v>
      </c>
    </row>
    <row r="7" spans="1:11" x14ac:dyDescent="0.35">
      <c r="A7" s="236" t="s">
        <v>920</v>
      </c>
      <c r="B7" s="548">
        <v>0</v>
      </c>
      <c r="C7" s="548">
        <v>1.5</v>
      </c>
      <c r="D7" s="548">
        <v>24.200000000000003</v>
      </c>
      <c r="E7" s="548">
        <v>25.41</v>
      </c>
      <c r="F7" s="548">
        <v>26.680500000000002</v>
      </c>
      <c r="G7" s="548">
        <v>28.014525000000006</v>
      </c>
      <c r="H7" s="548">
        <v>29.415251250000001</v>
      </c>
      <c r="I7" s="548">
        <v>30.886013812500003</v>
      </c>
      <c r="J7" s="548">
        <v>32.430314503125004</v>
      </c>
      <c r="K7" s="543">
        <f t="shared" si="0"/>
        <v>198.53660456562503</v>
      </c>
    </row>
    <row r="8" spans="1:11" x14ac:dyDescent="0.35">
      <c r="A8" s="236" t="s">
        <v>921</v>
      </c>
      <c r="B8" s="548">
        <v>0</v>
      </c>
      <c r="C8" s="548">
        <v>60</v>
      </c>
      <c r="D8" s="548">
        <v>973.5</v>
      </c>
      <c r="E8" s="548">
        <v>1046.5125</v>
      </c>
      <c r="F8" s="548">
        <v>1118.2271874999999</v>
      </c>
      <c r="G8" s="548">
        <v>1199.7789765624998</v>
      </c>
      <c r="H8" s="548">
        <v>1300.0792083984375</v>
      </c>
      <c r="I8" s="548">
        <v>1397.5851490283201</v>
      </c>
      <c r="J8" s="548">
        <v>1502.404035205444</v>
      </c>
      <c r="K8" s="543">
        <f t="shared" si="0"/>
        <v>8598.0870566947015</v>
      </c>
    </row>
    <row r="9" spans="1:11" x14ac:dyDescent="0.35">
      <c r="A9" s="236" t="s">
        <v>922</v>
      </c>
      <c r="B9" s="548">
        <v>0</v>
      </c>
      <c r="C9" s="548">
        <v>6</v>
      </c>
      <c r="D9" s="548">
        <v>97.35</v>
      </c>
      <c r="E9" s="548">
        <v>104.65125</v>
      </c>
      <c r="F9" s="548">
        <v>111.82271874999999</v>
      </c>
      <c r="G9" s="548">
        <v>119.97789765624998</v>
      </c>
      <c r="H9" s="548">
        <v>130.00792083984376</v>
      </c>
      <c r="I9" s="548">
        <v>139.75851490283205</v>
      </c>
      <c r="J9" s="548">
        <v>150.24040352054442</v>
      </c>
      <c r="K9" s="543">
        <f t="shared" si="0"/>
        <v>859.80870566947021</v>
      </c>
    </row>
    <row r="10" spans="1:11" x14ac:dyDescent="0.35">
      <c r="A10" s="236" t="s">
        <v>923</v>
      </c>
      <c r="B10" s="548">
        <v>0</v>
      </c>
      <c r="C10" s="548">
        <v>63.65</v>
      </c>
      <c r="D10" s="548">
        <v>1232.568</v>
      </c>
      <c r="E10" s="548">
        <v>1232.568</v>
      </c>
      <c r="F10" s="548">
        <v>1232.568</v>
      </c>
      <c r="G10" s="548">
        <v>1232.568</v>
      </c>
      <c r="H10" s="548">
        <v>1232.568</v>
      </c>
      <c r="I10" s="548">
        <v>1232.568</v>
      </c>
      <c r="J10" s="548">
        <v>1168.9179999999999</v>
      </c>
      <c r="K10" s="543">
        <f t="shared" si="0"/>
        <v>8627.9760000000006</v>
      </c>
    </row>
    <row r="11" spans="1:11" x14ac:dyDescent="0.35">
      <c r="A11" s="236" t="s">
        <v>924</v>
      </c>
      <c r="B11" s="548"/>
      <c r="C11" s="548">
        <v>40</v>
      </c>
      <c r="D11" s="548">
        <v>488</v>
      </c>
      <c r="E11" s="548">
        <v>512.4</v>
      </c>
      <c r="F11" s="548">
        <v>538.02</v>
      </c>
      <c r="G11" s="548">
        <v>564.92100000000005</v>
      </c>
      <c r="H11" s="548">
        <v>593.16705000000002</v>
      </c>
      <c r="I11" s="548">
        <v>622.82540250000011</v>
      </c>
      <c r="J11" s="548">
        <v>653.966672625</v>
      </c>
      <c r="K11" s="543">
        <f t="shared" si="0"/>
        <v>4013.3001251250007</v>
      </c>
    </row>
    <row r="12" spans="1:11" x14ac:dyDescent="0.35">
      <c r="A12" s="236" t="s">
        <v>925</v>
      </c>
      <c r="B12" s="548"/>
      <c r="C12" s="548">
        <v>1.6</v>
      </c>
      <c r="D12" s="548">
        <v>19.52</v>
      </c>
      <c r="E12" s="548">
        <v>20.495999999999999</v>
      </c>
      <c r="F12" s="548">
        <v>21.520800000000001</v>
      </c>
      <c r="G12" s="548">
        <v>22.596840000000004</v>
      </c>
      <c r="H12" s="548">
        <v>23.726682</v>
      </c>
      <c r="I12" s="548">
        <v>24.913016100000004</v>
      </c>
      <c r="J12" s="548">
        <v>26.158666905</v>
      </c>
      <c r="K12" s="543">
        <f t="shared" si="0"/>
        <v>160.532005005</v>
      </c>
    </row>
    <row r="13" spans="1:11" ht="15" x14ac:dyDescent="0.25">
      <c r="A13" s="240" t="s">
        <v>659</v>
      </c>
      <c r="B13" s="236"/>
      <c r="C13" s="543">
        <v>210.25</v>
      </c>
      <c r="D13" s="543">
        <v>3435.1880000000001</v>
      </c>
      <c r="E13" s="543">
        <v>3558.5190000000002</v>
      </c>
      <c r="F13" s="543">
        <v>3689.0065500000001</v>
      </c>
      <c r="G13" s="543">
        <v>3827.0827275000001</v>
      </c>
      <c r="H13" s="543">
        <v>3973.206782625</v>
      </c>
      <c r="I13" s="543">
        <v>4127.8669144125006</v>
      </c>
      <c r="J13" s="543">
        <v>4227.932167238594</v>
      </c>
      <c r="K13" s="543">
        <f t="shared" si="0"/>
        <v>27049.052141776097</v>
      </c>
    </row>
    <row r="14" spans="1:11" ht="15" x14ac:dyDescent="0.25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</row>
    <row r="15" spans="1:11" ht="15" x14ac:dyDescent="0.25">
      <c r="A15" s="240" t="s">
        <v>926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</row>
    <row r="16" spans="1:11" x14ac:dyDescent="0.35">
      <c r="A16" s="236" t="s">
        <v>919</v>
      </c>
      <c r="B16" s="548">
        <v>0</v>
      </c>
      <c r="C16" s="548">
        <v>37.5</v>
      </c>
      <c r="D16" s="548">
        <v>605</v>
      </c>
      <c r="E16" s="548">
        <v>635.25</v>
      </c>
      <c r="F16" s="548">
        <v>667.01250000000005</v>
      </c>
      <c r="G16" s="548">
        <v>700.36312500000008</v>
      </c>
      <c r="H16" s="548">
        <v>735.38128125000003</v>
      </c>
      <c r="I16" s="548">
        <v>772.15034531250001</v>
      </c>
      <c r="J16" s="548">
        <v>810.7578625781249</v>
      </c>
      <c r="K16" s="543">
        <f t="shared" ref="K16:K22" si="1">SUM(C16:J16)</f>
        <v>4963.4151141406255</v>
      </c>
    </row>
    <row r="17" spans="1:11" x14ac:dyDescent="0.35">
      <c r="A17" s="236" t="s">
        <v>921</v>
      </c>
      <c r="B17" s="548">
        <v>48</v>
      </c>
      <c r="C17" s="548">
        <v>48</v>
      </c>
      <c r="D17" s="548">
        <v>778.8</v>
      </c>
      <c r="E17" s="548">
        <v>837.21</v>
      </c>
      <c r="F17" s="548">
        <v>894.58174999999994</v>
      </c>
      <c r="G17" s="548">
        <v>959.82318124999983</v>
      </c>
      <c r="H17" s="548">
        <v>1040.0633667187501</v>
      </c>
      <c r="I17" s="548">
        <v>1118.0681192226564</v>
      </c>
      <c r="J17" s="548">
        <v>1201.9232281643554</v>
      </c>
      <c r="K17" s="543">
        <f t="shared" si="1"/>
        <v>6878.4696453557617</v>
      </c>
    </row>
    <row r="18" spans="1:11" x14ac:dyDescent="0.35">
      <c r="A18" s="236" t="s">
        <v>927</v>
      </c>
      <c r="B18" s="548">
        <v>35.42</v>
      </c>
      <c r="C18" s="548">
        <v>19.640000000000004</v>
      </c>
      <c r="D18" s="548">
        <v>308.11</v>
      </c>
      <c r="E18" s="548">
        <v>255.59</v>
      </c>
      <c r="F18" s="548">
        <v>201.56</v>
      </c>
      <c r="G18" s="548">
        <v>147.55000000000001</v>
      </c>
      <c r="H18" s="548">
        <v>93.57</v>
      </c>
      <c r="I18" s="548">
        <v>39.56</v>
      </c>
      <c r="J18" s="548">
        <v>1.52</v>
      </c>
      <c r="K18" s="543">
        <f t="shared" si="1"/>
        <v>1067.0999999999999</v>
      </c>
    </row>
    <row r="19" spans="1:11" x14ac:dyDescent="0.35">
      <c r="A19" s="236" t="s">
        <v>445</v>
      </c>
      <c r="B19" s="548">
        <v>0</v>
      </c>
      <c r="C19" s="548">
        <v>43.75</v>
      </c>
      <c r="D19" s="548">
        <v>713.4375</v>
      </c>
      <c r="E19" s="548">
        <v>606.421875</v>
      </c>
      <c r="F19" s="548">
        <v>515.45859374999998</v>
      </c>
      <c r="G19" s="548">
        <v>438.13980468750003</v>
      </c>
      <c r="H19" s="548">
        <v>372.41883398437494</v>
      </c>
      <c r="I19" s="548">
        <v>316.5560088867187</v>
      </c>
      <c r="J19" s="548">
        <v>269.0726075537109</v>
      </c>
      <c r="K19" s="543">
        <f t="shared" si="1"/>
        <v>3275.2552238623048</v>
      </c>
    </row>
    <row r="20" spans="1:11" x14ac:dyDescent="0.35">
      <c r="A20" s="236" t="s">
        <v>928</v>
      </c>
      <c r="B20" s="548"/>
      <c r="C20" s="548">
        <v>8</v>
      </c>
      <c r="D20" s="548">
        <v>96</v>
      </c>
      <c r="E20" s="548">
        <v>96</v>
      </c>
      <c r="F20" s="548">
        <v>96</v>
      </c>
      <c r="G20" s="548">
        <v>96</v>
      </c>
      <c r="H20" s="548">
        <v>96</v>
      </c>
      <c r="I20" s="548">
        <v>96</v>
      </c>
      <c r="J20" s="548">
        <v>96</v>
      </c>
      <c r="K20" s="543">
        <f t="shared" si="1"/>
        <v>680</v>
      </c>
    </row>
    <row r="21" spans="1:11" x14ac:dyDescent="0.35">
      <c r="A21" s="236" t="s">
        <v>730</v>
      </c>
      <c r="B21" s="548"/>
      <c r="C21" s="548">
        <v>6.3074999999999992</v>
      </c>
      <c r="D21" s="548">
        <v>103.20414</v>
      </c>
      <c r="E21" s="548">
        <v>107.31863249999999</v>
      </c>
      <c r="F21" s="548">
        <v>111.47555118749999</v>
      </c>
      <c r="G21" s="548">
        <v>116.04661092656249</v>
      </c>
      <c r="H21" s="548">
        <v>121.33036181214842</v>
      </c>
      <c r="I21" s="548">
        <v>126.62059324968456</v>
      </c>
      <c r="J21" s="548">
        <v>130.34627866011715</v>
      </c>
      <c r="K21" s="543">
        <f t="shared" si="1"/>
        <v>822.64966833601261</v>
      </c>
    </row>
    <row r="22" spans="1:11" x14ac:dyDescent="0.35">
      <c r="A22" s="236" t="s">
        <v>924</v>
      </c>
      <c r="B22" s="548"/>
      <c r="C22" s="548">
        <v>40</v>
      </c>
      <c r="D22" s="548">
        <v>488</v>
      </c>
      <c r="E22" s="548">
        <v>512.4</v>
      </c>
      <c r="F22" s="548">
        <v>538.02</v>
      </c>
      <c r="G22" s="548">
        <v>564.92100000000005</v>
      </c>
      <c r="H22" s="548">
        <v>593.16705000000002</v>
      </c>
      <c r="I22" s="548">
        <v>622.82540250000011</v>
      </c>
      <c r="J22" s="548">
        <v>653.966672625</v>
      </c>
      <c r="K22" s="543">
        <f t="shared" si="1"/>
        <v>4013.3001251250007</v>
      </c>
    </row>
    <row r="23" spans="1:11" x14ac:dyDescent="0.35">
      <c r="A23" s="240" t="s">
        <v>659</v>
      </c>
      <c r="B23" s="543">
        <v>83.42</v>
      </c>
      <c r="C23" s="543">
        <v>203.19749999999999</v>
      </c>
      <c r="D23" s="543">
        <v>3097.2131400000003</v>
      </c>
      <c r="E23" s="543">
        <v>3042.917445</v>
      </c>
      <c r="F23" s="543">
        <v>3009.2392902500001</v>
      </c>
      <c r="G23" s="543">
        <v>2995.6413115124997</v>
      </c>
      <c r="H23" s="543">
        <v>3000.4995637131246</v>
      </c>
      <c r="I23" s="543">
        <v>3022.440772631594</v>
      </c>
      <c r="J23" s="543">
        <v>3075.0483082302435</v>
      </c>
      <c r="K23" s="543">
        <v>21446.197331337469</v>
      </c>
    </row>
    <row r="24" spans="1:11" x14ac:dyDescent="0.35">
      <c r="A24" s="236"/>
      <c r="B24" s="545"/>
      <c r="C24" s="545"/>
      <c r="D24" s="545"/>
      <c r="E24" s="545"/>
      <c r="F24" s="545"/>
      <c r="G24" s="545"/>
      <c r="H24" s="545"/>
      <c r="I24" s="545"/>
      <c r="J24" s="545"/>
      <c r="K24" s="545"/>
    </row>
    <row r="25" spans="1:11" x14ac:dyDescent="0.35">
      <c r="A25" s="240" t="s">
        <v>733</v>
      </c>
      <c r="B25" s="543"/>
      <c r="C25" s="543">
        <v>7.0525000000000091</v>
      </c>
      <c r="D25" s="543">
        <v>337.97485999999981</v>
      </c>
      <c r="E25" s="543">
        <v>515.60155500000019</v>
      </c>
      <c r="F25" s="543">
        <v>679.76725974999999</v>
      </c>
      <c r="G25" s="543">
        <v>831.44141598750048</v>
      </c>
      <c r="H25" s="543">
        <v>972.70721891187532</v>
      </c>
      <c r="I25" s="543">
        <v>1105.4261417809066</v>
      </c>
      <c r="J25" s="543">
        <v>1152.8838590083506</v>
      </c>
      <c r="K25" s="543">
        <f>SUM(C25:J25)</f>
        <v>5602.8548104386327</v>
      </c>
    </row>
    <row r="26" spans="1:11" x14ac:dyDescent="0.35">
      <c r="A26" s="236" t="s">
        <v>929</v>
      </c>
      <c r="B26" s="545"/>
      <c r="C26" s="545"/>
      <c r="D26" s="545"/>
      <c r="E26" s="545"/>
      <c r="F26" s="545"/>
      <c r="G26" s="545"/>
      <c r="H26" s="545"/>
      <c r="I26" s="545"/>
      <c r="J26" s="545"/>
      <c r="K26" s="545"/>
    </row>
    <row r="27" spans="1:11" x14ac:dyDescent="0.35">
      <c r="A27" s="236" t="s">
        <v>930</v>
      </c>
      <c r="B27" s="548">
        <v>48</v>
      </c>
      <c r="C27" s="545"/>
      <c r="D27" s="545"/>
      <c r="E27" s="545"/>
      <c r="F27" s="545"/>
      <c r="G27" s="545"/>
      <c r="H27" s="545"/>
      <c r="I27" s="545"/>
      <c r="J27" s="545"/>
      <c r="K27" s="545"/>
    </row>
    <row r="28" spans="1:11" x14ac:dyDescent="0.35">
      <c r="A28" s="236" t="s">
        <v>931</v>
      </c>
      <c r="B28" s="548">
        <v>35.42</v>
      </c>
      <c r="C28" s="545"/>
      <c r="D28" s="545"/>
      <c r="E28" s="545"/>
      <c r="F28" s="545"/>
      <c r="G28" s="545"/>
      <c r="H28" s="545"/>
      <c r="I28" s="545"/>
      <c r="J28" s="545"/>
      <c r="K28" s="545"/>
    </row>
    <row r="29" spans="1:11" x14ac:dyDescent="0.35">
      <c r="A29" s="236" t="s">
        <v>932</v>
      </c>
      <c r="B29" s="543">
        <v>83.42</v>
      </c>
      <c r="C29" s="545"/>
      <c r="D29" s="545"/>
      <c r="E29" s="545"/>
      <c r="F29" s="545"/>
      <c r="G29" s="545"/>
      <c r="H29" s="545"/>
      <c r="I29" s="545"/>
      <c r="J29" s="545"/>
      <c r="K29" s="545"/>
    </row>
    <row r="30" spans="1:11" x14ac:dyDescent="0.35">
      <c r="A30" s="236" t="s">
        <v>933</v>
      </c>
      <c r="B30" s="545">
        <v>0</v>
      </c>
      <c r="C30" s="545"/>
      <c r="D30" s="545"/>
      <c r="E30" s="545"/>
      <c r="F30" s="545"/>
      <c r="G30" s="545"/>
      <c r="H30" s="545"/>
      <c r="I30" s="545"/>
      <c r="J30" s="545"/>
      <c r="K30" s="545"/>
    </row>
  </sheetData>
  <mergeCells count="1">
    <mergeCell ref="B2: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75"/>
  <sheetViews>
    <sheetView topLeftCell="M1" workbookViewId="0">
      <selection activeCell="T18" sqref="T17:W18"/>
    </sheetView>
  </sheetViews>
  <sheetFormatPr defaultColWidth="8.81640625" defaultRowHeight="14.5" x14ac:dyDescent="0.35"/>
  <cols>
    <col min="1" max="1" width="30.1796875" customWidth="1"/>
    <col min="2" max="2" width="16.81640625" customWidth="1"/>
    <col min="3" max="4" width="13.453125" customWidth="1"/>
    <col min="5" max="5" width="17.453125" customWidth="1"/>
    <col min="6" max="6" width="16.81640625" customWidth="1"/>
    <col min="8" max="8" width="12.54296875" bestFit="1" customWidth="1"/>
    <col min="11" max="11" width="21.1796875" bestFit="1" customWidth="1"/>
    <col min="12" max="13" width="9.81640625" customWidth="1"/>
    <col min="14" max="14" width="19.1796875" customWidth="1"/>
    <col min="15" max="15" width="16.81640625" customWidth="1"/>
    <col min="16" max="16" width="12" bestFit="1" customWidth="1"/>
    <col min="18" max="18" width="21.1796875" bestFit="1" customWidth="1"/>
    <col min="19" max="20" width="9.81640625" customWidth="1"/>
    <col min="21" max="21" width="19.1796875" customWidth="1"/>
    <col min="22" max="22" width="16.81640625" customWidth="1"/>
    <col min="23" max="23" width="14.26953125" bestFit="1" customWidth="1"/>
    <col min="24" max="24" width="15.26953125" bestFit="1" customWidth="1"/>
  </cols>
  <sheetData>
    <row r="1" spans="1:24" ht="15" x14ac:dyDescent="0.25">
      <c r="O1" s="379" t="s">
        <v>588</v>
      </c>
    </row>
    <row r="2" spans="1:24" ht="30.75" thickBot="1" x14ac:dyDescent="0.3">
      <c r="A2" s="639" t="s">
        <v>560</v>
      </c>
      <c r="B2" s="639"/>
      <c r="C2" s="639"/>
      <c r="D2" s="639"/>
      <c r="E2" s="639"/>
      <c r="F2" s="639"/>
      <c r="G2" s="639"/>
      <c r="H2" s="639"/>
      <c r="I2" s="639"/>
      <c r="K2" s="377" t="s">
        <v>582</v>
      </c>
      <c r="L2" s="377" t="s">
        <v>547</v>
      </c>
      <c r="M2" s="377"/>
      <c r="N2" s="376" t="s">
        <v>587</v>
      </c>
      <c r="R2" s="377" t="s">
        <v>641</v>
      </c>
      <c r="S2" s="377" t="s">
        <v>547</v>
      </c>
      <c r="T2" s="377"/>
      <c r="U2" s="230" t="s">
        <v>516</v>
      </c>
      <c r="V2" s="230" t="s">
        <v>566</v>
      </c>
      <c r="W2" s="230" t="s">
        <v>445</v>
      </c>
      <c r="X2" s="230" t="s">
        <v>518</v>
      </c>
    </row>
    <row r="3" spans="1:24" ht="15" x14ac:dyDescent="0.25">
      <c r="A3" s="361"/>
      <c r="B3" s="362"/>
      <c r="C3" s="362"/>
      <c r="D3" s="362"/>
      <c r="E3" s="363">
        <v>0.1</v>
      </c>
      <c r="F3" s="362"/>
      <c r="G3" s="362"/>
      <c r="H3" s="364" t="s">
        <v>581</v>
      </c>
      <c r="I3" s="365"/>
      <c r="K3" s="375" t="s">
        <v>583</v>
      </c>
      <c r="L3" s="378">
        <v>0.1</v>
      </c>
      <c r="M3" s="369" t="s">
        <v>354</v>
      </c>
      <c r="N3">
        <v>176938926.27650002</v>
      </c>
      <c r="O3">
        <f>N3*$L$3</f>
        <v>17693892.627650004</v>
      </c>
      <c r="P3">
        <f>N3-O3</f>
        <v>159245033.64885002</v>
      </c>
      <c r="R3" s="375" t="s">
        <v>585</v>
      </c>
      <c r="S3" s="378">
        <v>0.15</v>
      </c>
      <c r="T3" s="369" t="s">
        <v>355</v>
      </c>
      <c r="U3" s="458">
        <f>450000000+'[2]Conso P&amp;L'!$C$23</f>
        <v>451664383.56164384</v>
      </c>
      <c r="V3" t="s">
        <v>642</v>
      </c>
      <c r="W3" s="458">
        <f>U3*S3*0.5</f>
        <v>33874828.767123289</v>
      </c>
      <c r="X3" s="458">
        <f>U3-W3</f>
        <v>417789554.79452056</v>
      </c>
    </row>
    <row r="4" spans="1:24" ht="15" x14ac:dyDescent="0.25">
      <c r="A4" s="366" t="s">
        <v>561</v>
      </c>
      <c r="B4" s="230" t="s">
        <v>565</v>
      </c>
      <c r="C4" s="230" t="s">
        <v>516</v>
      </c>
      <c r="D4" s="230" t="s">
        <v>566</v>
      </c>
      <c r="E4" s="230" t="s">
        <v>445</v>
      </c>
      <c r="F4" s="230" t="s">
        <v>518</v>
      </c>
      <c r="H4" s="230"/>
      <c r="I4" s="367"/>
      <c r="M4" s="369" t="s">
        <v>355</v>
      </c>
      <c r="N4">
        <f>P3</f>
        <v>159245033.64885002</v>
      </c>
      <c r="O4">
        <f t="shared" ref="O4:O13" si="0">N4*$L$3</f>
        <v>15924503.364885002</v>
      </c>
      <c r="P4">
        <f>N4-O4</f>
        <v>143320530.28396502</v>
      </c>
      <c r="T4" t="s">
        <v>356</v>
      </c>
      <c r="U4" s="459">
        <f>X3+150000000</f>
        <v>567789554.79452062</v>
      </c>
      <c r="W4" s="458">
        <f>U4*S3</f>
        <v>85168433.219178095</v>
      </c>
      <c r="X4" s="458">
        <f>U4-W4</f>
        <v>482621121.57534254</v>
      </c>
    </row>
    <row r="5" spans="1:24" ht="15" x14ac:dyDescent="0.25">
      <c r="A5" s="368" t="s">
        <v>564</v>
      </c>
      <c r="B5" s="369" t="s">
        <v>354</v>
      </c>
      <c r="C5">
        <f>'Depreciation new'!C31</f>
        <v>81935193.74000001</v>
      </c>
      <c r="D5" t="s">
        <v>190</v>
      </c>
      <c r="E5">
        <v>0</v>
      </c>
      <c r="F5">
        <f>C5-E5</f>
        <v>81935193.74000001</v>
      </c>
      <c r="H5">
        <f>E5+E20+E34+O3+O15+O27+O39+O51+O63</f>
        <v>89014194.291523546</v>
      </c>
      <c r="I5" s="367">
        <f>H5/100000</f>
        <v>890.1419429152354</v>
      </c>
      <c r="M5" s="369" t="s">
        <v>356</v>
      </c>
      <c r="N5">
        <f t="shared" ref="N5:N13" si="1">P4</f>
        <v>143320530.28396502</v>
      </c>
      <c r="O5">
        <f t="shared" si="0"/>
        <v>14332053.028396502</v>
      </c>
      <c r="P5">
        <f t="shared" ref="P5:P13" si="2">N5-O5</f>
        <v>128988477.25556852</v>
      </c>
      <c r="T5" t="s">
        <v>357</v>
      </c>
      <c r="U5" s="459">
        <f>X4</f>
        <v>482621121.57534254</v>
      </c>
      <c r="W5" s="458">
        <f>U5*S3</f>
        <v>72393168.236301377</v>
      </c>
      <c r="X5" s="458">
        <f>U5-W5</f>
        <v>410227953.33904117</v>
      </c>
    </row>
    <row r="6" spans="1:24" ht="15" x14ac:dyDescent="0.25">
      <c r="A6" s="368"/>
      <c r="B6" s="369" t="s">
        <v>355</v>
      </c>
      <c r="C6">
        <f>F5</f>
        <v>81935193.74000001</v>
      </c>
      <c r="D6" t="s">
        <v>567</v>
      </c>
      <c r="E6">
        <f>C6*E3*0.5</f>
        <v>4096759.6870000008</v>
      </c>
      <c r="F6">
        <f t="shared" ref="F6:F15" si="3">C6-E6</f>
        <v>77838434.053000003</v>
      </c>
      <c r="H6" s="459">
        <f t="shared" ref="H6:H15" si="4">E6+E21+E35+O4+O16+O28+O40+O52+O64+W3</f>
        <v>103802250.09105167</v>
      </c>
      <c r="I6" s="367">
        <f t="shared" ref="I6:I15" si="5">H6/100000</f>
        <v>1038.0225009105168</v>
      </c>
      <c r="M6" s="369" t="s">
        <v>357</v>
      </c>
      <c r="N6">
        <f t="shared" si="1"/>
        <v>128988477.25556852</v>
      </c>
      <c r="O6">
        <f t="shared" si="0"/>
        <v>12898847.725556852</v>
      </c>
      <c r="P6">
        <f t="shared" si="2"/>
        <v>116089629.53001167</v>
      </c>
      <c r="T6" t="s">
        <v>358</v>
      </c>
      <c r="U6" s="459">
        <f>X5</f>
        <v>410227953.33904117</v>
      </c>
      <c r="W6" s="458">
        <f>U6*S3</f>
        <v>61534193.000856176</v>
      </c>
      <c r="X6" s="458">
        <f t="shared" ref="X6:X9" si="6">U6-W6</f>
        <v>348693760.33818501</v>
      </c>
    </row>
    <row r="7" spans="1:24" ht="15" x14ac:dyDescent="0.25">
      <c r="A7" s="368"/>
      <c r="B7" s="369" t="s">
        <v>356</v>
      </c>
      <c r="C7">
        <f>F6</f>
        <v>77838434.053000003</v>
      </c>
      <c r="D7" t="s">
        <v>568</v>
      </c>
      <c r="E7">
        <f>C7*$E$3</f>
        <v>7783843.4053000007</v>
      </c>
      <c r="F7">
        <f t="shared" si="3"/>
        <v>70054590.647699997</v>
      </c>
      <c r="H7" s="459">
        <f t="shared" si="4"/>
        <v>149432786.14890444</v>
      </c>
      <c r="I7" s="367">
        <f t="shared" si="5"/>
        <v>1494.3278614890444</v>
      </c>
      <c r="M7" s="369" t="s">
        <v>358</v>
      </c>
      <c r="N7">
        <f t="shared" si="1"/>
        <v>116089629.53001167</v>
      </c>
      <c r="O7">
        <f t="shared" si="0"/>
        <v>11608962.953001168</v>
      </c>
      <c r="P7">
        <f t="shared" si="2"/>
        <v>104480666.5770105</v>
      </c>
      <c r="T7" t="s">
        <v>10</v>
      </c>
      <c r="U7" s="459">
        <f>X6</f>
        <v>348693760.33818501</v>
      </c>
      <c r="W7" s="458">
        <f>U7*S3</f>
        <v>52304064.050727747</v>
      </c>
      <c r="X7" s="458">
        <f t="shared" si="6"/>
        <v>296389696.28745729</v>
      </c>
    </row>
    <row r="8" spans="1:24" ht="15" x14ac:dyDescent="0.25">
      <c r="A8" s="368"/>
      <c r="B8" s="369" t="s">
        <v>357</v>
      </c>
      <c r="C8">
        <f t="shared" ref="C8:C15" si="7">F7</f>
        <v>70054590.647699997</v>
      </c>
      <c r="E8">
        <f t="shared" ref="E8:E15" si="8">C8*$E$3</f>
        <v>7005459.0647700001</v>
      </c>
      <c r="F8">
        <f t="shared" si="3"/>
        <v>63049131.582929999</v>
      </c>
      <c r="H8" s="459">
        <f t="shared" si="4"/>
        <v>127510422.99681345</v>
      </c>
      <c r="I8" s="367">
        <f t="shared" si="5"/>
        <v>1275.1042299681344</v>
      </c>
      <c r="M8" s="369" t="s">
        <v>10</v>
      </c>
      <c r="N8">
        <f t="shared" si="1"/>
        <v>104480666.5770105</v>
      </c>
      <c r="O8">
        <f t="shared" si="0"/>
        <v>10448066.657701051</v>
      </c>
      <c r="P8">
        <f t="shared" si="2"/>
        <v>94032599.919309452</v>
      </c>
      <c r="T8" t="s">
        <v>11</v>
      </c>
      <c r="U8" s="459">
        <f>X7</f>
        <v>296389696.28745729</v>
      </c>
      <c r="W8" s="458">
        <f>U8*S3</f>
        <v>44458454.443118595</v>
      </c>
      <c r="X8" s="458">
        <f t="shared" si="6"/>
        <v>251931241.84433869</v>
      </c>
    </row>
    <row r="9" spans="1:24" ht="15" x14ac:dyDescent="0.25">
      <c r="A9" s="368"/>
      <c r="B9" s="369" t="s">
        <v>358</v>
      </c>
      <c r="C9">
        <f t="shared" si="7"/>
        <v>63049131.582929999</v>
      </c>
      <c r="E9">
        <f t="shared" si="8"/>
        <v>6304913.1582930004</v>
      </c>
      <c r="F9">
        <f t="shared" si="3"/>
        <v>56744218.424636997</v>
      </c>
      <c r="H9" s="459">
        <f t="shared" si="4"/>
        <v>108967823.15509838</v>
      </c>
      <c r="I9" s="367">
        <f t="shared" si="5"/>
        <v>1089.6782315509838</v>
      </c>
      <c r="M9" s="369" t="s">
        <v>11</v>
      </c>
      <c r="N9">
        <f t="shared" si="1"/>
        <v>94032599.919309452</v>
      </c>
      <c r="O9">
        <f t="shared" si="0"/>
        <v>9403259.9919309448</v>
      </c>
      <c r="P9">
        <f t="shared" si="2"/>
        <v>84629339.927378505</v>
      </c>
      <c r="T9" t="s">
        <v>12</v>
      </c>
      <c r="U9" s="459">
        <f>X8</f>
        <v>251931241.84433869</v>
      </c>
      <c r="W9" s="458">
        <f>U9*S3</f>
        <v>37789686.276650801</v>
      </c>
      <c r="X9" s="458">
        <f t="shared" si="6"/>
        <v>214141555.56768787</v>
      </c>
    </row>
    <row r="10" spans="1:24" ht="15" x14ac:dyDescent="0.25">
      <c r="A10" s="368"/>
      <c r="B10" s="369" t="s">
        <v>10</v>
      </c>
      <c r="C10">
        <f t="shared" si="7"/>
        <v>56744218.424636997</v>
      </c>
      <c r="E10">
        <f t="shared" si="8"/>
        <v>5674421.8424637001</v>
      </c>
      <c r="F10">
        <f t="shared" si="3"/>
        <v>51069796.582173295</v>
      </c>
      <c r="H10" s="459">
        <f t="shared" si="4"/>
        <v>93246051.252119258</v>
      </c>
      <c r="I10" s="367">
        <f t="shared" si="5"/>
        <v>932.46051252119253</v>
      </c>
      <c r="M10" s="369" t="s">
        <v>12</v>
      </c>
      <c r="N10">
        <f t="shared" si="1"/>
        <v>84629339.927378505</v>
      </c>
      <c r="O10">
        <f t="shared" si="0"/>
        <v>8462933.9927378502</v>
      </c>
      <c r="P10">
        <f t="shared" si="2"/>
        <v>76166405.934640661</v>
      </c>
    </row>
    <row r="11" spans="1:24" ht="15" x14ac:dyDescent="0.25">
      <c r="A11" s="368"/>
      <c r="B11" s="369" t="s">
        <v>11</v>
      </c>
      <c r="C11">
        <f t="shared" si="7"/>
        <v>51069796.582173295</v>
      </c>
      <c r="E11">
        <f t="shared" si="8"/>
        <v>5106979.6582173295</v>
      </c>
      <c r="F11">
        <f t="shared" si="3"/>
        <v>45962816.923955962</v>
      </c>
      <c r="H11" s="459">
        <f t="shared" si="4"/>
        <v>79888310.585669219</v>
      </c>
      <c r="I11" s="367">
        <f t="shared" si="5"/>
        <v>798.88310585669217</v>
      </c>
      <c r="M11" s="369" t="s">
        <v>13</v>
      </c>
      <c r="N11">
        <f t="shared" si="1"/>
        <v>76166405.934640661</v>
      </c>
      <c r="O11">
        <f t="shared" si="0"/>
        <v>7616640.5934640663</v>
      </c>
      <c r="P11">
        <f t="shared" si="2"/>
        <v>68549765.341176599</v>
      </c>
    </row>
    <row r="12" spans="1:24" ht="15" x14ac:dyDescent="0.25">
      <c r="A12" s="368"/>
      <c r="B12" s="369" t="s">
        <v>12</v>
      </c>
      <c r="C12">
        <f t="shared" si="7"/>
        <v>45962816.923955962</v>
      </c>
      <c r="E12">
        <f t="shared" si="8"/>
        <v>4596281.6923955968</v>
      </c>
      <c r="F12">
        <f t="shared" si="3"/>
        <v>41366535.231560364</v>
      </c>
      <c r="H12" s="459">
        <f t="shared" si="4"/>
        <v>68518761.191824973</v>
      </c>
      <c r="I12" s="367">
        <f t="shared" si="5"/>
        <v>685.18761191824967</v>
      </c>
      <c r="M12" s="369" t="s">
        <v>569</v>
      </c>
      <c r="N12">
        <f t="shared" si="1"/>
        <v>68549765.341176599</v>
      </c>
      <c r="O12">
        <f t="shared" si="0"/>
        <v>6854976.5341176605</v>
      </c>
      <c r="P12">
        <f t="shared" si="2"/>
        <v>61694788.807058938</v>
      </c>
    </row>
    <row r="13" spans="1:24" ht="15.75" thickBot="1" x14ac:dyDescent="0.3">
      <c r="A13" s="368"/>
      <c r="B13" s="369" t="s">
        <v>13</v>
      </c>
      <c r="C13">
        <f t="shared" si="7"/>
        <v>41366535.231560364</v>
      </c>
      <c r="E13">
        <f t="shared" si="8"/>
        <v>4136653.5231560366</v>
      </c>
      <c r="F13">
        <f t="shared" si="3"/>
        <v>37229881.708404325</v>
      </c>
      <c r="H13" s="459">
        <f t="shared" si="4"/>
        <v>26705117.734304618</v>
      </c>
      <c r="I13" s="367">
        <f t="shared" si="5"/>
        <v>267.05117734304616</v>
      </c>
      <c r="M13" s="369" t="s">
        <v>591</v>
      </c>
      <c r="N13">
        <f t="shared" si="1"/>
        <v>61694788.807058938</v>
      </c>
      <c r="O13">
        <f t="shared" si="0"/>
        <v>6169478.880705894</v>
      </c>
      <c r="P13">
        <f t="shared" si="2"/>
        <v>55525309.926353045</v>
      </c>
    </row>
    <row r="14" spans="1:24" ht="15.75" thickBot="1" x14ac:dyDescent="0.3">
      <c r="A14" s="368"/>
      <c r="B14" s="369" t="s">
        <v>569</v>
      </c>
      <c r="C14">
        <f t="shared" si="7"/>
        <v>37229881.708404325</v>
      </c>
      <c r="E14">
        <f t="shared" si="8"/>
        <v>3722988.1708404329</v>
      </c>
      <c r="F14">
        <f t="shared" si="3"/>
        <v>33506893.53756389</v>
      </c>
      <c r="H14" s="459">
        <f t="shared" si="4"/>
        <v>23249285.59386069</v>
      </c>
      <c r="I14" s="367">
        <f t="shared" si="5"/>
        <v>232.49285593860691</v>
      </c>
      <c r="M14" s="353"/>
      <c r="N14" s="354"/>
      <c r="O14" s="354">
        <f>SUM(O3:O13)</f>
        <v>121413616.35014698</v>
      </c>
      <c r="P14" s="354">
        <f>SUM(P3:P13)</f>
        <v>1092722547.1513231</v>
      </c>
    </row>
    <row r="15" spans="1:24" ht="15.75" thickBot="1" x14ac:dyDescent="0.3">
      <c r="A15" s="368"/>
      <c r="B15" s="369" t="s">
        <v>589</v>
      </c>
      <c r="C15">
        <f t="shared" si="7"/>
        <v>33506893.53756389</v>
      </c>
      <c r="E15">
        <f t="shared" si="8"/>
        <v>3350689.3537563891</v>
      </c>
      <c r="F15">
        <f t="shared" si="3"/>
        <v>30156204.1838075</v>
      </c>
      <c r="H15" s="459">
        <f t="shared" si="4"/>
        <v>20272935.987773333</v>
      </c>
      <c r="I15" s="367">
        <f t="shared" si="5"/>
        <v>202.72935987773332</v>
      </c>
      <c r="K15" s="375" t="s">
        <v>584</v>
      </c>
      <c r="L15" s="378">
        <v>0.1</v>
      </c>
      <c r="M15" s="369" t="s">
        <v>354</v>
      </c>
      <c r="N15">
        <v>19646890.280999999</v>
      </c>
      <c r="O15">
        <f>N15*$L$15</f>
        <v>1964689.0281</v>
      </c>
      <c r="P15">
        <f>N15-O15</f>
        <v>17682201.252900001</v>
      </c>
    </row>
    <row r="16" spans="1:24" ht="15.75" thickBot="1" x14ac:dyDescent="0.3">
      <c r="A16" s="368"/>
      <c r="B16" s="369"/>
      <c r="C16" s="353"/>
      <c r="D16" s="354"/>
      <c r="E16" s="356">
        <f>SUM(E5:E15)</f>
        <v>51778989.556192495</v>
      </c>
      <c r="F16" s="357">
        <f>SUM(F5:F15)</f>
        <v>588913696.61573231</v>
      </c>
      <c r="H16" s="360">
        <f>SUM(H5:H15)</f>
        <v>890607939.02894378</v>
      </c>
      <c r="I16" s="360">
        <f>SUM(I5:I15)</f>
        <v>8906.0793902894366</v>
      </c>
      <c r="M16" s="369" t="s">
        <v>355</v>
      </c>
      <c r="N16">
        <f>P15</f>
        <v>17682201.252900001</v>
      </c>
      <c r="O16">
        <f t="shared" ref="O16:O25" si="9">N16*$L$15</f>
        <v>1768220.1252900001</v>
      </c>
      <c r="P16">
        <f t="shared" ref="P16:P25" si="10">N16-O16</f>
        <v>15913981.12761</v>
      </c>
    </row>
    <row r="17" spans="1:16" ht="15" x14ac:dyDescent="0.25">
      <c r="A17" s="368"/>
      <c r="I17" s="367"/>
      <c r="M17" s="369" t="s">
        <v>356</v>
      </c>
      <c r="N17">
        <f>P16</f>
        <v>15913981.12761</v>
      </c>
      <c r="O17">
        <f t="shared" si="9"/>
        <v>1591398.1127610002</v>
      </c>
      <c r="P17">
        <f t="shared" si="10"/>
        <v>14322583.014849</v>
      </c>
    </row>
    <row r="18" spans="1:16" ht="15" x14ac:dyDescent="0.25">
      <c r="A18" s="368"/>
      <c r="E18" s="370">
        <v>0.15</v>
      </c>
      <c r="I18" s="367"/>
      <c r="M18" s="369" t="s">
        <v>357</v>
      </c>
      <c r="N18">
        <f t="shared" ref="N18:N25" si="11">P17</f>
        <v>14322583.014849</v>
      </c>
      <c r="O18">
        <f t="shared" si="9"/>
        <v>1432258.3014849001</v>
      </c>
      <c r="P18">
        <f t="shared" si="10"/>
        <v>12890324.7133641</v>
      </c>
    </row>
    <row r="19" spans="1:16" ht="15" x14ac:dyDescent="0.25">
      <c r="A19" s="368" t="s">
        <v>562</v>
      </c>
      <c r="I19" s="367"/>
      <c r="M19" s="369" t="s">
        <v>358</v>
      </c>
      <c r="N19">
        <f t="shared" si="11"/>
        <v>12890324.7133641</v>
      </c>
      <c r="O19">
        <f t="shared" si="9"/>
        <v>1289032.4713364101</v>
      </c>
      <c r="P19">
        <f t="shared" si="10"/>
        <v>11601292.242027691</v>
      </c>
    </row>
    <row r="20" spans="1:16" ht="15" x14ac:dyDescent="0.25">
      <c r="A20" s="368"/>
      <c r="B20" s="369" t="s">
        <v>354</v>
      </c>
      <c r="C20">
        <f>'Depreciation new'!C3</f>
        <v>8460600</v>
      </c>
      <c r="D20" t="s">
        <v>190</v>
      </c>
      <c r="E20">
        <v>0</v>
      </c>
      <c r="F20">
        <f>C20-E20</f>
        <v>8460600</v>
      </c>
      <c r="I20" s="367"/>
      <c r="M20" s="369" t="s">
        <v>10</v>
      </c>
      <c r="N20">
        <f t="shared" si="11"/>
        <v>11601292.242027691</v>
      </c>
      <c r="O20">
        <f t="shared" si="9"/>
        <v>1160129.2242027691</v>
      </c>
      <c r="P20">
        <f t="shared" si="10"/>
        <v>10441163.017824922</v>
      </c>
    </row>
    <row r="21" spans="1:16" ht="15" x14ac:dyDescent="0.25">
      <c r="A21" s="368"/>
      <c r="B21" s="369" t="s">
        <v>355</v>
      </c>
      <c r="C21">
        <f>F20</f>
        <v>8460600</v>
      </c>
      <c r="D21" t="s">
        <v>567</v>
      </c>
      <c r="E21">
        <f>(C21*E18)*0.5</f>
        <v>634545</v>
      </c>
      <c r="F21">
        <f>C21-E21</f>
        <v>7826055</v>
      </c>
      <c r="I21" s="367"/>
      <c r="M21" s="369" t="s">
        <v>11</v>
      </c>
      <c r="N21">
        <f t="shared" si="11"/>
        <v>10441163.017824922</v>
      </c>
      <c r="O21">
        <f t="shared" si="9"/>
        <v>1044116.3017824922</v>
      </c>
      <c r="P21">
        <f t="shared" si="10"/>
        <v>9397046.7160424292</v>
      </c>
    </row>
    <row r="22" spans="1:16" ht="15" x14ac:dyDescent="0.25">
      <c r="A22" s="368"/>
      <c r="B22" s="369" t="s">
        <v>356</v>
      </c>
      <c r="C22">
        <f>F21</f>
        <v>7826055</v>
      </c>
      <c r="D22" t="s">
        <v>568</v>
      </c>
      <c r="E22">
        <f>C22*$E$18</f>
        <v>1173908.25</v>
      </c>
      <c r="F22">
        <f t="shared" ref="F22:F30" si="12">C22-E22</f>
        <v>6652146.75</v>
      </c>
      <c r="I22" s="367"/>
      <c r="M22" s="369" t="s">
        <v>12</v>
      </c>
      <c r="N22">
        <f t="shared" si="11"/>
        <v>9397046.7160424292</v>
      </c>
      <c r="O22">
        <f t="shared" si="9"/>
        <v>939704.67160424299</v>
      </c>
      <c r="P22">
        <f t="shared" si="10"/>
        <v>8457342.044438187</v>
      </c>
    </row>
    <row r="23" spans="1:16" ht="15" x14ac:dyDescent="0.25">
      <c r="A23" s="368"/>
      <c r="B23" s="369" t="s">
        <v>357</v>
      </c>
      <c r="C23">
        <f t="shared" ref="C23:C30" si="13">F22</f>
        <v>6652146.75</v>
      </c>
      <c r="E23">
        <f t="shared" ref="E23:E30" si="14">C23*$E$18</f>
        <v>997822.01249999995</v>
      </c>
      <c r="F23">
        <f t="shared" si="12"/>
        <v>5654324.7374999998</v>
      </c>
      <c r="I23" s="367"/>
      <c r="M23" s="369" t="s">
        <v>13</v>
      </c>
      <c r="N23">
        <f t="shared" si="11"/>
        <v>8457342.044438187</v>
      </c>
      <c r="O23">
        <f t="shared" si="9"/>
        <v>845734.20444381877</v>
      </c>
      <c r="P23">
        <f t="shared" si="10"/>
        <v>7611607.8399943681</v>
      </c>
    </row>
    <row r="24" spans="1:16" x14ac:dyDescent="0.35">
      <c r="A24" s="368"/>
      <c r="B24" s="369" t="s">
        <v>358</v>
      </c>
      <c r="C24">
        <f t="shared" si="13"/>
        <v>5654324.7374999998</v>
      </c>
      <c r="E24">
        <f t="shared" si="14"/>
        <v>848148.71062499995</v>
      </c>
      <c r="F24">
        <f t="shared" si="12"/>
        <v>4806176.0268749995</v>
      </c>
      <c r="I24" s="367"/>
      <c r="M24" s="369" t="s">
        <v>569</v>
      </c>
      <c r="N24">
        <f t="shared" si="11"/>
        <v>7611607.8399943681</v>
      </c>
      <c r="O24">
        <f t="shared" si="9"/>
        <v>761160.78399943688</v>
      </c>
      <c r="P24">
        <f t="shared" si="10"/>
        <v>6850447.0559949316</v>
      </c>
    </row>
    <row r="25" spans="1:16" ht="15" thickBot="1" x14ac:dyDescent="0.4">
      <c r="A25" s="368"/>
      <c r="B25" s="369" t="s">
        <v>10</v>
      </c>
      <c r="C25">
        <f t="shared" si="13"/>
        <v>4806176.0268749995</v>
      </c>
      <c r="E25">
        <f t="shared" si="14"/>
        <v>720926.40403124993</v>
      </c>
      <c r="F25">
        <f t="shared" si="12"/>
        <v>4085249.6228437498</v>
      </c>
      <c r="I25" s="367"/>
      <c r="M25" s="369" t="s">
        <v>591</v>
      </c>
      <c r="N25">
        <f t="shared" si="11"/>
        <v>6850447.0559949316</v>
      </c>
      <c r="O25">
        <f t="shared" si="9"/>
        <v>685044.70559949323</v>
      </c>
      <c r="P25">
        <f t="shared" si="10"/>
        <v>6165402.3503954383</v>
      </c>
    </row>
    <row r="26" spans="1:16" ht="15" thickBot="1" x14ac:dyDescent="0.4">
      <c r="A26" s="368"/>
      <c r="B26" s="369" t="s">
        <v>11</v>
      </c>
      <c r="C26">
        <f t="shared" si="13"/>
        <v>4085249.6228437498</v>
      </c>
      <c r="E26">
        <f t="shared" si="14"/>
        <v>612787.44342656247</v>
      </c>
      <c r="F26">
        <f t="shared" si="12"/>
        <v>3472462.1794171873</v>
      </c>
      <c r="I26" s="367"/>
      <c r="M26" s="353"/>
      <c r="N26" s="354"/>
      <c r="O26" s="356">
        <f>SUM(O15:O25)</f>
        <v>13481487.930604562</v>
      </c>
      <c r="P26" s="356">
        <f>SUM(P15:P25)</f>
        <v>121333391.37544106</v>
      </c>
    </row>
    <row r="27" spans="1:16" x14ac:dyDescent="0.35">
      <c r="A27" s="368"/>
      <c r="B27" s="369" t="s">
        <v>12</v>
      </c>
      <c r="C27">
        <f t="shared" si="13"/>
        <v>3472462.1794171873</v>
      </c>
      <c r="E27">
        <f t="shared" si="14"/>
        <v>520869.32691257808</v>
      </c>
      <c r="F27">
        <f t="shared" si="12"/>
        <v>2951592.8525046092</v>
      </c>
      <c r="I27" s="367"/>
      <c r="K27" s="375" t="s">
        <v>188</v>
      </c>
      <c r="L27" s="378">
        <v>0.15</v>
      </c>
      <c r="M27" s="369" t="s">
        <v>354</v>
      </c>
      <c r="N27">
        <v>11493179.667149898</v>
      </c>
      <c r="O27">
        <f>N27*$L$27</f>
        <v>1723976.9500724846</v>
      </c>
      <c r="P27">
        <f>N27-O27</f>
        <v>9769202.7170774136</v>
      </c>
    </row>
    <row r="28" spans="1:16" x14ac:dyDescent="0.35">
      <c r="A28" s="368"/>
      <c r="B28" s="369" t="s">
        <v>13</v>
      </c>
      <c r="C28">
        <f t="shared" si="13"/>
        <v>2951592.8525046092</v>
      </c>
      <c r="E28">
        <f t="shared" si="14"/>
        <v>442738.92787569138</v>
      </c>
      <c r="F28">
        <f t="shared" si="12"/>
        <v>2508853.9246289176</v>
      </c>
      <c r="I28" s="367"/>
      <c r="M28" s="369" t="s">
        <v>355</v>
      </c>
      <c r="N28">
        <f>P27</f>
        <v>9769202.7170774136</v>
      </c>
      <c r="O28">
        <f t="shared" ref="O28:O37" si="15">N28*$L$27</f>
        <v>1465380.4075616121</v>
      </c>
      <c r="P28">
        <f t="shared" ref="P28:P37" si="16">N28-O28</f>
        <v>8303822.3095158013</v>
      </c>
    </row>
    <row r="29" spans="1:16" x14ac:dyDescent="0.35">
      <c r="A29" s="368"/>
      <c r="B29" s="369" t="s">
        <v>569</v>
      </c>
      <c r="C29">
        <f t="shared" si="13"/>
        <v>2508853.9246289176</v>
      </c>
      <c r="E29">
        <f t="shared" si="14"/>
        <v>376328.08869433764</v>
      </c>
      <c r="F29">
        <f t="shared" si="12"/>
        <v>2132525.8359345798</v>
      </c>
      <c r="I29" s="367"/>
      <c r="M29" s="369" t="s">
        <v>356</v>
      </c>
      <c r="N29">
        <f t="shared" ref="N29:N37" si="17">P28</f>
        <v>8303822.3095158013</v>
      </c>
      <c r="O29">
        <f t="shared" si="15"/>
        <v>1245573.3464273701</v>
      </c>
      <c r="P29">
        <f t="shared" si="16"/>
        <v>7058248.9630884314</v>
      </c>
    </row>
    <row r="30" spans="1:16" ht="15" thickBot="1" x14ac:dyDescent="0.4">
      <c r="A30" s="368"/>
      <c r="B30" s="369" t="s">
        <v>590</v>
      </c>
      <c r="C30">
        <f t="shared" si="13"/>
        <v>2132525.8359345798</v>
      </c>
      <c r="E30">
        <f t="shared" si="14"/>
        <v>319878.87539018696</v>
      </c>
      <c r="F30">
        <f t="shared" si="12"/>
        <v>1812646.9605443929</v>
      </c>
      <c r="I30" s="367"/>
      <c r="M30" s="369" t="s">
        <v>357</v>
      </c>
      <c r="N30">
        <f t="shared" si="17"/>
        <v>7058248.9630884314</v>
      </c>
      <c r="O30">
        <f t="shared" si="15"/>
        <v>1058737.3444632646</v>
      </c>
      <c r="P30">
        <f t="shared" si="16"/>
        <v>5999511.6186251668</v>
      </c>
    </row>
    <row r="31" spans="1:16" ht="15" thickBot="1" x14ac:dyDescent="0.4">
      <c r="A31" s="368"/>
      <c r="C31" s="353"/>
      <c r="D31" s="354"/>
      <c r="E31" s="356">
        <f>SUM(E20:E30)</f>
        <v>6647953.0394556066</v>
      </c>
      <c r="F31" s="357">
        <f>SUM(F20:F30)</f>
        <v>50362633.89024844</v>
      </c>
      <c r="I31" s="367"/>
      <c r="M31" s="369" t="s">
        <v>358</v>
      </c>
      <c r="N31">
        <f t="shared" si="17"/>
        <v>5999511.6186251668</v>
      </c>
      <c r="O31">
        <f t="shared" si="15"/>
        <v>899926.74279377505</v>
      </c>
      <c r="P31">
        <f t="shared" si="16"/>
        <v>5099584.8758313917</v>
      </c>
    </row>
    <row r="32" spans="1:16" x14ac:dyDescent="0.35">
      <c r="A32" s="368"/>
      <c r="I32" s="367"/>
      <c r="M32" s="369" t="s">
        <v>10</v>
      </c>
      <c r="N32">
        <f t="shared" si="17"/>
        <v>5099584.8758313917</v>
      </c>
      <c r="O32">
        <f t="shared" si="15"/>
        <v>764937.7313747087</v>
      </c>
      <c r="P32">
        <f t="shared" si="16"/>
        <v>4334647.1444566827</v>
      </c>
    </row>
    <row r="33" spans="1:16" x14ac:dyDescent="0.35">
      <c r="A33" s="368" t="s">
        <v>563</v>
      </c>
      <c r="E33" s="371">
        <v>0.3</v>
      </c>
      <c r="I33" s="367"/>
      <c r="M33" s="369" t="s">
        <v>11</v>
      </c>
      <c r="N33">
        <f t="shared" si="17"/>
        <v>4334647.1444566827</v>
      </c>
      <c r="O33">
        <f t="shared" si="15"/>
        <v>650197.07166850241</v>
      </c>
      <c r="P33">
        <f t="shared" si="16"/>
        <v>3684450.0727881803</v>
      </c>
    </row>
    <row r="34" spans="1:16" x14ac:dyDescent="0.35">
      <c r="A34" s="368"/>
      <c r="B34" s="369" t="s">
        <v>354</v>
      </c>
      <c r="C34">
        <f>'Depreciation new'!C47</f>
        <v>109601350</v>
      </c>
      <c r="D34" s="369" t="s">
        <v>567</v>
      </c>
      <c r="E34">
        <f>(C34*E33)*0.5</f>
        <v>16440202.5</v>
      </c>
      <c r="F34">
        <f>C34-E34</f>
        <v>93161147.5</v>
      </c>
      <c r="I34" s="367"/>
      <c r="M34" s="369" t="s">
        <v>12</v>
      </c>
      <c r="N34">
        <f t="shared" si="17"/>
        <v>3684450.0727881803</v>
      </c>
      <c r="O34">
        <f t="shared" si="15"/>
        <v>552667.51091822702</v>
      </c>
      <c r="P34">
        <f t="shared" si="16"/>
        <v>3131782.5618699533</v>
      </c>
    </row>
    <row r="35" spans="1:16" x14ac:dyDescent="0.35">
      <c r="A35" s="368"/>
      <c r="B35" s="369" t="s">
        <v>355</v>
      </c>
      <c r="C35">
        <f>'Depreciation new'!C48</f>
        <v>10856000</v>
      </c>
      <c r="D35" s="369" t="s">
        <v>570</v>
      </c>
      <c r="E35">
        <f>(C35*$E$33)</f>
        <v>3256800</v>
      </c>
      <c r="F35">
        <f t="shared" ref="F35:F44" si="18">C35-E35</f>
        <v>7599200</v>
      </c>
      <c r="I35" s="367"/>
      <c r="M35" s="369" t="s">
        <v>13</v>
      </c>
      <c r="N35">
        <f t="shared" si="17"/>
        <v>3131782.5618699533</v>
      </c>
      <c r="O35">
        <f t="shared" si="15"/>
        <v>469767.38428049296</v>
      </c>
      <c r="P35">
        <f t="shared" si="16"/>
        <v>2662015.1775894603</v>
      </c>
    </row>
    <row r="36" spans="1:16" x14ac:dyDescent="0.35">
      <c r="A36" s="368"/>
      <c r="B36" s="369" t="s">
        <v>356</v>
      </c>
      <c r="C36">
        <f>F35</f>
        <v>7599200</v>
      </c>
      <c r="E36">
        <f t="shared" ref="E36:E44" si="19">(C36*$E$33)</f>
        <v>2279760</v>
      </c>
      <c r="F36">
        <f t="shared" si="18"/>
        <v>5319440</v>
      </c>
      <c r="I36" s="367"/>
      <c r="M36" s="369" t="s">
        <v>569</v>
      </c>
      <c r="N36">
        <f t="shared" si="17"/>
        <v>2662015.1775894603</v>
      </c>
      <c r="O36">
        <f t="shared" si="15"/>
        <v>399302.27663841902</v>
      </c>
      <c r="P36">
        <f t="shared" si="16"/>
        <v>2262712.9009510414</v>
      </c>
    </row>
    <row r="37" spans="1:16" ht="15" thickBot="1" x14ac:dyDescent="0.4">
      <c r="A37" s="368"/>
      <c r="B37" s="369" t="s">
        <v>357</v>
      </c>
      <c r="C37">
        <f t="shared" ref="C37:C44" si="20">F36</f>
        <v>5319440</v>
      </c>
      <c r="E37">
        <f t="shared" si="19"/>
        <v>1595832</v>
      </c>
      <c r="F37">
        <f t="shared" si="18"/>
        <v>3723608</v>
      </c>
      <c r="I37" s="367"/>
      <c r="M37" s="369" t="s">
        <v>591</v>
      </c>
      <c r="N37">
        <f t="shared" si="17"/>
        <v>2262712.9009510414</v>
      </c>
      <c r="O37">
        <f t="shared" si="15"/>
        <v>339406.93514265621</v>
      </c>
      <c r="P37">
        <f t="shared" si="16"/>
        <v>1923305.9658083851</v>
      </c>
    </row>
    <row r="38" spans="1:16" ht="15" thickBot="1" x14ac:dyDescent="0.4">
      <c r="A38" s="368"/>
      <c r="B38" s="369" t="s">
        <v>358</v>
      </c>
      <c r="C38">
        <f t="shared" si="20"/>
        <v>3723608</v>
      </c>
      <c r="E38">
        <f t="shared" si="19"/>
        <v>1117082.3999999999</v>
      </c>
      <c r="F38">
        <f t="shared" si="18"/>
        <v>2606525.6</v>
      </c>
      <c r="I38" s="367"/>
      <c r="M38" s="353"/>
      <c r="N38" s="354"/>
      <c r="O38" s="354">
        <f>SUM(O27:O37)</f>
        <v>9569873.7013415117</v>
      </c>
      <c r="P38" s="355">
        <f>SUM(P27:P37)</f>
        <v>54229284.307601914</v>
      </c>
    </row>
    <row r="39" spans="1:16" x14ac:dyDescent="0.35">
      <c r="A39" s="368"/>
      <c r="B39" s="369" t="s">
        <v>10</v>
      </c>
      <c r="C39">
        <f t="shared" si="20"/>
        <v>2606525.6</v>
      </c>
      <c r="E39">
        <f t="shared" si="19"/>
        <v>781957.68</v>
      </c>
      <c r="F39">
        <f t="shared" si="18"/>
        <v>1824567.92</v>
      </c>
      <c r="I39" s="367"/>
      <c r="K39" s="375" t="s">
        <v>585</v>
      </c>
      <c r="L39" s="378">
        <v>0.15</v>
      </c>
      <c r="M39" s="369" t="s">
        <v>354</v>
      </c>
      <c r="N39">
        <v>309803051.35762703</v>
      </c>
      <c r="O39">
        <f>N39*L39</f>
        <v>46470457.703644052</v>
      </c>
      <c r="P39">
        <f>N39-O39</f>
        <v>263332593.653983</v>
      </c>
    </row>
    <row r="40" spans="1:16" x14ac:dyDescent="0.35">
      <c r="A40" s="368"/>
      <c r="B40" s="369" t="s">
        <v>11</v>
      </c>
      <c r="C40">
        <f t="shared" si="20"/>
        <v>1824567.92</v>
      </c>
      <c r="E40">
        <f t="shared" si="19"/>
        <v>547370.37599999993</v>
      </c>
      <c r="F40">
        <f t="shared" si="18"/>
        <v>1277197.544</v>
      </c>
      <c r="I40" s="367"/>
      <c r="M40" s="369" t="s">
        <v>355</v>
      </c>
      <c r="N40">
        <f>P39</f>
        <v>263332593.653983</v>
      </c>
      <c r="O40">
        <f>N40*$L$39</f>
        <v>39499889.048097447</v>
      </c>
      <c r="P40">
        <f>N40-O40</f>
        <v>223832704.60588557</v>
      </c>
    </row>
    <row r="41" spans="1:16" x14ac:dyDescent="0.35">
      <c r="A41" s="368"/>
      <c r="B41" s="369" t="s">
        <v>12</v>
      </c>
      <c r="C41">
        <f t="shared" si="20"/>
        <v>1277197.544</v>
      </c>
      <c r="E41">
        <f t="shared" si="19"/>
        <v>383159.26319999999</v>
      </c>
      <c r="F41">
        <f t="shared" si="18"/>
        <v>894038.28080000007</v>
      </c>
      <c r="I41" s="367"/>
      <c r="M41" s="369" t="s">
        <v>356</v>
      </c>
      <c r="N41">
        <f t="shared" ref="N41:N49" si="21">P40</f>
        <v>223832704.60588557</v>
      </c>
      <c r="O41">
        <f t="shared" ref="O41:O49" si="22">N41*$L$39</f>
        <v>33574905.690882832</v>
      </c>
      <c r="P41">
        <f t="shared" ref="P41:P49" si="23">N41-O41</f>
        <v>190257798.91500273</v>
      </c>
    </row>
    <row r="42" spans="1:16" x14ac:dyDescent="0.35">
      <c r="A42" s="368"/>
      <c r="B42" s="369" t="s">
        <v>13</v>
      </c>
      <c r="C42">
        <f t="shared" si="20"/>
        <v>894038.28080000007</v>
      </c>
      <c r="E42">
        <f t="shared" si="19"/>
        <v>268211.48424000002</v>
      </c>
      <c r="F42">
        <f t="shared" si="18"/>
        <v>625826.79656000005</v>
      </c>
      <c r="I42" s="367"/>
      <c r="M42" s="369" t="s">
        <v>357</v>
      </c>
      <c r="N42">
        <f t="shared" si="21"/>
        <v>190257798.91500273</v>
      </c>
      <c r="O42">
        <f t="shared" si="22"/>
        <v>28538669.837250408</v>
      </c>
      <c r="P42">
        <f t="shared" si="23"/>
        <v>161719129.07775232</v>
      </c>
    </row>
    <row r="43" spans="1:16" x14ac:dyDescent="0.35">
      <c r="A43" s="368"/>
      <c r="B43" s="369" t="s">
        <v>569</v>
      </c>
      <c r="C43">
        <f t="shared" si="20"/>
        <v>625826.79656000005</v>
      </c>
      <c r="E43">
        <f t="shared" si="19"/>
        <v>187748.03896800001</v>
      </c>
      <c r="F43">
        <f t="shared" si="18"/>
        <v>438078.75759200007</v>
      </c>
      <c r="I43" s="367"/>
      <c r="M43" s="369" t="s">
        <v>358</v>
      </c>
      <c r="N43">
        <f t="shared" si="21"/>
        <v>161719129.07775232</v>
      </c>
      <c r="O43">
        <f t="shared" si="22"/>
        <v>24257869.361662846</v>
      </c>
      <c r="P43">
        <f t="shared" si="23"/>
        <v>137461259.71608949</v>
      </c>
    </row>
    <row r="44" spans="1:16" ht="15" thickBot="1" x14ac:dyDescent="0.4">
      <c r="A44" s="368"/>
      <c r="B44" s="369" t="s">
        <v>590</v>
      </c>
      <c r="C44">
        <f t="shared" si="20"/>
        <v>438078.75759200007</v>
      </c>
      <c r="E44">
        <f t="shared" si="19"/>
        <v>131423.62727760003</v>
      </c>
      <c r="F44">
        <f t="shared" si="18"/>
        <v>306655.13031440007</v>
      </c>
      <c r="I44" s="367"/>
      <c r="M44" s="369" t="s">
        <v>10</v>
      </c>
      <c r="N44">
        <f t="shared" si="21"/>
        <v>137461259.71608949</v>
      </c>
      <c r="O44">
        <f t="shared" si="22"/>
        <v>20619188.957413424</v>
      </c>
      <c r="P44">
        <f t="shared" si="23"/>
        <v>116842070.75867607</v>
      </c>
    </row>
    <row r="45" spans="1:16" ht="15" thickBot="1" x14ac:dyDescent="0.4">
      <c r="A45" s="368"/>
      <c r="C45" s="354">
        <f t="shared" ref="C45" si="24">SUM(C33:C44)</f>
        <v>144765832.89895198</v>
      </c>
      <c r="D45" s="354"/>
      <c r="E45" s="354">
        <f>SUM(E33:E44)</f>
        <v>26989547.669685598</v>
      </c>
      <c r="F45" s="354">
        <f>SUM(F33:F44)</f>
        <v>117776285.5292664</v>
      </c>
      <c r="I45" s="367"/>
      <c r="M45" s="369" t="s">
        <v>11</v>
      </c>
      <c r="N45">
        <f t="shared" si="21"/>
        <v>116842070.75867607</v>
      </c>
      <c r="O45">
        <f t="shared" si="22"/>
        <v>17526310.613801409</v>
      </c>
      <c r="P45">
        <f t="shared" si="23"/>
        <v>99315760.144874662</v>
      </c>
    </row>
    <row r="46" spans="1:16" ht="15" thickBot="1" x14ac:dyDescent="0.4">
      <c r="A46" s="372"/>
      <c r="B46" s="373"/>
      <c r="C46" s="373"/>
      <c r="D46" s="373"/>
      <c r="E46" s="373"/>
      <c r="F46" s="373"/>
      <c r="G46" s="373"/>
      <c r="H46" s="373"/>
      <c r="I46" s="374"/>
      <c r="M46" s="369" t="s">
        <v>12</v>
      </c>
      <c r="N46">
        <f t="shared" si="21"/>
        <v>99315760.144874662</v>
      </c>
      <c r="O46">
        <f t="shared" si="22"/>
        <v>14897364.0217312</v>
      </c>
      <c r="P46">
        <f t="shared" si="23"/>
        <v>84418396.123143464</v>
      </c>
    </row>
    <row r="47" spans="1:16" x14ac:dyDescent="0.35">
      <c r="M47" s="369" t="s">
        <v>13</v>
      </c>
      <c r="N47">
        <f t="shared" si="21"/>
        <v>84418396.123143464</v>
      </c>
      <c r="O47">
        <f t="shared" si="22"/>
        <v>12662759.418471519</v>
      </c>
      <c r="P47">
        <f t="shared" si="23"/>
        <v>71755636.704671949</v>
      </c>
    </row>
    <row r="48" spans="1:16" x14ac:dyDescent="0.35">
      <c r="M48" s="369" t="s">
        <v>569</v>
      </c>
      <c r="N48">
        <f t="shared" si="21"/>
        <v>71755636.704671949</v>
      </c>
      <c r="O48">
        <f t="shared" si="22"/>
        <v>10763345.505700791</v>
      </c>
      <c r="P48">
        <f t="shared" si="23"/>
        <v>60992291.19897116</v>
      </c>
    </row>
    <row r="49" spans="11:16" ht="15" thickBot="1" x14ac:dyDescent="0.4">
      <c r="M49" s="369" t="s">
        <v>591</v>
      </c>
      <c r="N49">
        <f t="shared" si="21"/>
        <v>60992291.19897116</v>
      </c>
      <c r="O49">
        <f t="shared" si="22"/>
        <v>9148843.679845674</v>
      </c>
      <c r="P49">
        <f t="shared" si="23"/>
        <v>51843447.519125484</v>
      </c>
    </row>
    <row r="50" spans="11:16" ht="15" thickBot="1" x14ac:dyDescent="0.4">
      <c r="M50" s="380"/>
      <c r="N50" s="356"/>
      <c r="O50" s="356">
        <f>SUM(O39:O49)</f>
        <v>257959603.8385016</v>
      </c>
      <c r="P50" s="357">
        <f>SUM(P39:P49)</f>
        <v>1461771088.4181759</v>
      </c>
    </row>
    <row r="51" spans="11:16" x14ac:dyDescent="0.35">
      <c r="K51" s="375" t="s">
        <v>585</v>
      </c>
      <c r="L51" s="378">
        <v>0.3</v>
      </c>
      <c r="M51" s="369" t="s">
        <v>354</v>
      </c>
      <c r="N51">
        <v>14957946.728670001</v>
      </c>
      <c r="O51">
        <f>N51*$L$51</f>
        <v>4487384.0186010003</v>
      </c>
      <c r="P51">
        <f>N51-O51</f>
        <v>10470562.710069001</v>
      </c>
    </row>
    <row r="52" spans="11:16" x14ac:dyDescent="0.35">
      <c r="M52" s="369" t="s">
        <v>355</v>
      </c>
      <c r="N52">
        <f>P51</f>
        <v>10470562.710069001</v>
      </c>
      <c r="O52">
        <f t="shared" ref="O52:O61" si="25">N52*$L$51</f>
        <v>3141168.8130207001</v>
      </c>
      <c r="P52">
        <f t="shared" ref="P52:P61" si="26">N52-O52</f>
        <v>7329393.8970483001</v>
      </c>
    </row>
    <row r="53" spans="11:16" x14ac:dyDescent="0.35">
      <c r="M53" s="369" t="s">
        <v>356</v>
      </c>
      <c r="N53">
        <f t="shared" ref="N53:N61" si="27">P52</f>
        <v>7329393.8970483001</v>
      </c>
      <c r="O53">
        <f t="shared" si="25"/>
        <v>2198818.16911449</v>
      </c>
      <c r="P53">
        <f t="shared" si="26"/>
        <v>5130575.7279338101</v>
      </c>
    </row>
    <row r="54" spans="11:16" x14ac:dyDescent="0.35">
      <c r="M54" s="369" t="s">
        <v>357</v>
      </c>
      <c r="N54">
        <f t="shared" si="27"/>
        <v>5130575.7279338101</v>
      </c>
      <c r="O54">
        <f t="shared" si="25"/>
        <v>1539172.7183801429</v>
      </c>
      <c r="P54">
        <f t="shared" si="26"/>
        <v>3591403.0095536672</v>
      </c>
    </row>
    <row r="55" spans="11:16" x14ac:dyDescent="0.35">
      <c r="M55" s="369" t="s">
        <v>358</v>
      </c>
      <c r="N55">
        <f t="shared" si="27"/>
        <v>3591403.0095536672</v>
      </c>
      <c r="O55">
        <f t="shared" si="25"/>
        <v>1077420.9028661002</v>
      </c>
      <c r="P55">
        <f t="shared" si="26"/>
        <v>2513982.1066875672</v>
      </c>
    </row>
    <row r="56" spans="11:16" x14ac:dyDescent="0.35">
      <c r="M56" s="369" t="s">
        <v>10</v>
      </c>
      <c r="N56">
        <f t="shared" si="27"/>
        <v>2513982.1066875672</v>
      </c>
      <c r="O56">
        <f t="shared" si="25"/>
        <v>754194.63200627011</v>
      </c>
      <c r="P56">
        <f t="shared" si="26"/>
        <v>1759787.4746812971</v>
      </c>
    </row>
    <row r="57" spans="11:16" x14ac:dyDescent="0.35">
      <c r="M57" s="369" t="s">
        <v>11</v>
      </c>
      <c r="N57">
        <f t="shared" si="27"/>
        <v>1759787.4746812971</v>
      </c>
      <c r="O57">
        <f t="shared" si="25"/>
        <v>527936.24240438908</v>
      </c>
      <c r="P57">
        <f t="shared" si="26"/>
        <v>1231851.2322769081</v>
      </c>
    </row>
    <row r="58" spans="11:16" x14ac:dyDescent="0.35">
      <c r="M58" s="369" t="s">
        <v>12</v>
      </c>
      <c r="N58">
        <f t="shared" si="27"/>
        <v>1231851.2322769081</v>
      </c>
      <c r="O58">
        <f t="shared" si="25"/>
        <v>369555.36968307244</v>
      </c>
      <c r="P58">
        <f t="shared" si="26"/>
        <v>862295.86259383569</v>
      </c>
    </row>
    <row r="59" spans="11:16" x14ac:dyDescent="0.35">
      <c r="M59" s="369" t="s">
        <v>13</v>
      </c>
      <c r="N59">
        <f t="shared" si="27"/>
        <v>862295.86259383569</v>
      </c>
      <c r="O59">
        <f t="shared" si="25"/>
        <v>258688.75877815069</v>
      </c>
      <c r="P59">
        <f t="shared" si="26"/>
        <v>603607.10381568503</v>
      </c>
    </row>
    <row r="60" spans="11:16" x14ac:dyDescent="0.35">
      <c r="M60" s="369" t="s">
        <v>569</v>
      </c>
      <c r="N60">
        <f t="shared" si="27"/>
        <v>603607.10381568503</v>
      </c>
      <c r="O60">
        <f t="shared" si="25"/>
        <v>181082.13114470549</v>
      </c>
      <c r="P60">
        <f t="shared" si="26"/>
        <v>422524.97267097957</v>
      </c>
    </row>
    <row r="61" spans="11:16" ht="15" thickBot="1" x14ac:dyDescent="0.4">
      <c r="N61">
        <f t="shared" si="27"/>
        <v>422524.97267097957</v>
      </c>
      <c r="O61">
        <f t="shared" si="25"/>
        <v>126757.49180129386</v>
      </c>
      <c r="P61">
        <f t="shared" si="26"/>
        <v>295767.48086968571</v>
      </c>
    </row>
    <row r="62" spans="11:16" ht="15" thickBot="1" x14ac:dyDescent="0.4">
      <c r="M62" s="353"/>
      <c r="N62" s="354"/>
      <c r="O62" s="354">
        <f>SUM(O51:O61)</f>
        <v>14662179.247800317</v>
      </c>
      <c r="P62" s="354">
        <f>SUM(P51:P61)</f>
        <v>34211751.578200743</v>
      </c>
    </row>
    <row r="63" spans="11:16" x14ac:dyDescent="0.35">
      <c r="K63" s="375" t="s">
        <v>586</v>
      </c>
      <c r="L63" s="378">
        <v>0.4</v>
      </c>
      <c r="M63" s="369" t="s">
        <v>354</v>
      </c>
      <c r="N63">
        <v>583978.65863999992</v>
      </c>
      <c r="O63">
        <f>N63*$L$63</f>
        <v>233591.46345599997</v>
      </c>
      <c r="P63">
        <f>N63-O63</f>
        <v>350387.19518399995</v>
      </c>
    </row>
    <row r="64" spans="11:16" x14ac:dyDescent="0.35">
      <c r="M64" s="369" t="s">
        <v>355</v>
      </c>
      <c r="N64">
        <f>P63</f>
        <v>350387.19518399995</v>
      </c>
      <c r="O64">
        <f t="shared" ref="O64:O73" si="28">N64*$L$63</f>
        <v>140154.87807359998</v>
      </c>
      <c r="P64">
        <f t="shared" ref="P64:P73" si="29">N64-O64</f>
        <v>210232.31711039998</v>
      </c>
    </row>
    <row r="65" spans="13:16" x14ac:dyDescent="0.35">
      <c r="M65" s="369" t="s">
        <v>356</v>
      </c>
      <c r="N65">
        <f t="shared" ref="N65:N73" si="30">P64</f>
        <v>210232.31711039998</v>
      </c>
      <c r="O65">
        <f t="shared" si="28"/>
        <v>84092.92684416</v>
      </c>
      <c r="P65">
        <f t="shared" si="29"/>
        <v>126139.39026623998</v>
      </c>
    </row>
    <row r="66" spans="13:16" x14ac:dyDescent="0.35">
      <c r="M66" s="369" t="s">
        <v>357</v>
      </c>
      <c r="N66">
        <f t="shared" si="30"/>
        <v>126139.39026623998</v>
      </c>
      <c r="O66">
        <f t="shared" si="28"/>
        <v>50455.756106495995</v>
      </c>
      <c r="P66">
        <f t="shared" si="29"/>
        <v>75683.63415974399</v>
      </c>
    </row>
    <row r="67" spans="13:16" x14ac:dyDescent="0.35">
      <c r="M67" s="369" t="s">
        <v>358</v>
      </c>
      <c r="N67">
        <f t="shared" si="30"/>
        <v>75683.63415974399</v>
      </c>
      <c r="O67">
        <f t="shared" si="28"/>
        <v>30273.453663897599</v>
      </c>
      <c r="P67">
        <f t="shared" si="29"/>
        <v>45410.180495846391</v>
      </c>
    </row>
    <row r="68" spans="13:16" x14ac:dyDescent="0.35">
      <c r="M68" s="369" t="s">
        <v>10</v>
      </c>
      <c r="N68">
        <f t="shared" si="30"/>
        <v>45410.180495846391</v>
      </c>
      <c r="O68">
        <f t="shared" si="28"/>
        <v>18164.072198338556</v>
      </c>
      <c r="P68">
        <f t="shared" si="29"/>
        <v>27246.108297507835</v>
      </c>
    </row>
    <row r="69" spans="13:16" x14ac:dyDescent="0.35">
      <c r="M69" s="369" t="s">
        <v>11</v>
      </c>
      <c r="N69">
        <f t="shared" si="30"/>
        <v>27246.108297507835</v>
      </c>
      <c r="O69">
        <f t="shared" si="28"/>
        <v>10898.443319003134</v>
      </c>
      <c r="P69">
        <f t="shared" si="29"/>
        <v>16347.664978504701</v>
      </c>
    </row>
    <row r="70" spans="13:16" x14ac:dyDescent="0.35">
      <c r="M70" s="369" t="s">
        <v>12</v>
      </c>
      <c r="N70">
        <f t="shared" si="30"/>
        <v>16347.664978504701</v>
      </c>
      <c r="O70">
        <f t="shared" si="28"/>
        <v>6539.0659914018806</v>
      </c>
      <c r="P70">
        <f t="shared" si="29"/>
        <v>9808.5989871028214</v>
      </c>
    </row>
    <row r="71" spans="13:16" x14ac:dyDescent="0.35">
      <c r="M71" s="369" t="s">
        <v>13</v>
      </c>
      <c r="N71">
        <f t="shared" si="30"/>
        <v>9808.5989871028214</v>
      </c>
      <c r="O71">
        <f t="shared" si="28"/>
        <v>3923.4395948411288</v>
      </c>
      <c r="P71">
        <f t="shared" si="29"/>
        <v>5885.1593922616921</v>
      </c>
    </row>
    <row r="72" spans="13:16" x14ac:dyDescent="0.35">
      <c r="M72" s="369" t="s">
        <v>569</v>
      </c>
      <c r="N72">
        <f t="shared" si="30"/>
        <v>5885.1593922616921</v>
      </c>
      <c r="O72">
        <f t="shared" si="28"/>
        <v>2354.0637569046771</v>
      </c>
      <c r="P72">
        <f t="shared" si="29"/>
        <v>3531.095635357015</v>
      </c>
    </row>
    <row r="73" spans="13:16" x14ac:dyDescent="0.35">
      <c r="N73">
        <f t="shared" si="30"/>
        <v>3531.095635357015</v>
      </c>
      <c r="O73">
        <f t="shared" si="28"/>
        <v>1412.438254142806</v>
      </c>
      <c r="P73">
        <f t="shared" si="29"/>
        <v>2118.6573812142087</v>
      </c>
    </row>
    <row r="74" spans="13:16" ht="15" thickBot="1" x14ac:dyDescent="0.4"/>
    <row r="75" spans="13:16" ht="15" thickBot="1" x14ac:dyDescent="0.4">
      <c r="M75" s="353"/>
      <c r="N75" s="354"/>
      <c r="O75" s="354">
        <f>SUM(O63:O73)</f>
        <v>581860.00125878572</v>
      </c>
      <c r="P75" s="354">
        <f>SUM(P63:P73)</f>
        <v>872790.00188817852</v>
      </c>
    </row>
  </sheetData>
  <mergeCells count="1">
    <mergeCell ref="A2:I2"/>
  </mergeCells>
  <phoneticPr fontId="4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98"/>
  <sheetViews>
    <sheetView zoomScale="80" zoomScaleNormal="80" workbookViewId="0">
      <selection activeCell="C3" sqref="C3"/>
    </sheetView>
  </sheetViews>
  <sheetFormatPr defaultColWidth="9.1796875" defaultRowHeight="14.5" x14ac:dyDescent="0.35"/>
  <cols>
    <col min="1" max="1" width="9.1796875" style="142"/>
    <col min="2" max="2" width="22.453125" style="142" bestFit="1" customWidth="1"/>
    <col min="3" max="3" width="12.1796875" style="142" bestFit="1" customWidth="1"/>
    <col min="4" max="14" width="10.81640625" style="142" bestFit="1" customWidth="1"/>
    <col min="15" max="17" width="9.1796875" style="142"/>
    <col min="18" max="18" width="15.1796875" style="142" bestFit="1" customWidth="1"/>
    <col min="19" max="19" width="20.81640625" style="142" bestFit="1" customWidth="1"/>
    <col min="20" max="20" width="9.453125" style="142" bestFit="1" customWidth="1"/>
    <col min="21" max="16384" width="9.1796875" style="142"/>
  </cols>
  <sheetData>
    <row r="1" spans="1:20" ht="18.75" x14ac:dyDescent="0.3">
      <c r="A1" s="640" t="s">
        <v>469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</row>
    <row r="2" spans="1:20" ht="15" x14ac:dyDescent="0.25">
      <c r="B2" s="143"/>
      <c r="C2" s="144"/>
      <c r="E2" s="145"/>
      <c r="F2" s="146"/>
      <c r="G2" s="146"/>
      <c r="H2" s="146"/>
      <c r="I2" s="146"/>
      <c r="J2" s="146"/>
      <c r="K2" s="146"/>
      <c r="L2" s="146"/>
      <c r="M2" s="147"/>
      <c r="N2" s="147"/>
      <c r="Q2" s="147"/>
    </row>
    <row r="3" spans="1:20" ht="15" x14ac:dyDescent="0.25">
      <c r="B3" s="143" t="s">
        <v>412</v>
      </c>
      <c r="C3" s="144">
        <v>940</v>
      </c>
      <c r="E3" s="145"/>
      <c r="F3" s="146"/>
      <c r="G3" s="146"/>
      <c r="H3" s="146"/>
      <c r="I3" s="146"/>
      <c r="J3" s="146"/>
      <c r="K3" s="146"/>
      <c r="L3" s="146"/>
      <c r="M3" s="147"/>
      <c r="N3" s="147"/>
      <c r="Q3" s="147"/>
    </row>
    <row r="4" spans="1:20" ht="15" x14ac:dyDescent="0.25">
      <c r="B4" s="142" t="s">
        <v>475</v>
      </c>
      <c r="C4" s="157">
        <v>0.11</v>
      </c>
      <c r="F4" s="149">
        <f>F9*C3</f>
        <v>0</v>
      </c>
      <c r="G4" s="147"/>
      <c r="H4" s="147"/>
      <c r="I4" s="147"/>
      <c r="J4" s="147"/>
      <c r="K4" s="147"/>
      <c r="L4" s="147"/>
    </row>
    <row r="5" spans="1:20" ht="15" x14ac:dyDescent="0.25">
      <c r="B5" s="142" t="s">
        <v>414</v>
      </c>
      <c r="C5" s="148">
        <f>Evaluation!D14</f>
        <v>1.7239187683994028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1:20" ht="15" x14ac:dyDescent="0.25">
      <c r="B6" s="151" t="s">
        <v>415</v>
      </c>
      <c r="C6" s="152"/>
      <c r="D6" s="153" t="s">
        <v>421</v>
      </c>
      <c r="E6" s="153" t="s">
        <v>422</v>
      </c>
      <c r="F6" s="153" t="s">
        <v>423</v>
      </c>
      <c r="G6" s="153" t="s">
        <v>424</v>
      </c>
      <c r="H6" s="153" t="s">
        <v>425</v>
      </c>
      <c r="I6" s="153" t="s">
        <v>426</v>
      </c>
      <c r="J6" s="153" t="s">
        <v>427</v>
      </c>
      <c r="K6" s="153" t="s">
        <v>428</v>
      </c>
      <c r="L6" s="153" t="s">
        <v>470</v>
      </c>
      <c r="M6" s="153" t="s">
        <v>471</v>
      </c>
      <c r="N6" s="153" t="s">
        <v>472</v>
      </c>
      <c r="O6" s="153" t="s">
        <v>473</v>
      </c>
      <c r="P6" s="153" t="s">
        <v>474</v>
      </c>
    </row>
    <row r="7" spans="1:20" ht="15" x14ac:dyDescent="0.25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  <row r="8" spans="1:20" ht="15" x14ac:dyDescent="0.25">
      <c r="B8" s="152" t="s">
        <v>364</v>
      </c>
      <c r="C8" s="152"/>
      <c r="D8" s="155">
        <f>C4</f>
        <v>0.11</v>
      </c>
      <c r="E8" s="154">
        <f>D8</f>
        <v>0.11</v>
      </c>
      <c r="F8" s="154">
        <f t="shared" ref="F8:O8" si="0">E8</f>
        <v>0.11</v>
      </c>
      <c r="G8" s="154">
        <f t="shared" si="0"/>
        <v>0.11</v>
      </c>
      <c r="H8" s="154">
        <f t="shared" si="0"/>
        <v>0.11</v>
      </c>
      <c r="I8" s="154">
        <f t="shared" si="0"/>
        <v>0.11</v>
      </c>
      <c r="J8" s="154">
        <f t="shared" si="0"/>
        <v>0.11</v>
      </c>
      <c r="K8" s="154">
        <f t="shared" si="0"/>
        <v>0.11</v>
      </c>
      <c r="L8" s="154">
        <f t="shared" si="0"/>
        <v>0.11</v>
      </c>
      <c r="M8" s="154">
        <f t="shared" si="0"/>
        <v>0.11</v>
      </c>
      <c r="N8" s="154">
        <f t="shared" si="0"/>
        <v>0.11</v>
      </c>
      <c r="O8" s="154">
        <f t="shared" si="0"/>
        <v>0.11</v>
      </c>
      <c r="P8" s="154">
        <f>O8</f>
        <v>0.11</v>
      </c>
    </row>
    <row r="9" spans="1:20" ht="15" x14ac:dyDescent="0.25">
      <c r="B9" s="152"/>
      <c r="C9" s="152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4"/>
      <c r="P9" s="154"/>
      <c r="Q9" s="156"/>
      <c r="S9" s="157">
        <f>Q9/8</f>
        <v>0</v>
      </c>
    </row>
    <row r="10" spans="1:20" ht="15" x14ac:dyDescent="0.25">
      <c r="B10" s="152"/>
      <c r="C10" s="152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6"/>
      <c r="S10" s="157"/>
    </row>
    <row r="11" spans="1:20" ht="24" customHeight="1" x14ac:dyDescent="0.25">
      <c r="B11" s="151" t="s">
        <v>429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S11" s="148">
        <f>S9*C3</f>
        <v>0</v>
      </c>
    </row>
    <row r="12" spans="1:20" ht="15" x14ac:dyDescent="0.25">
      <c r="B12" s="152" t="s">
        <v>430</v>
      </c>
      <c r="C12" s="152"/>
      <c r="D12" s="159">
        <v>0</v>
      </c>
      <c r="E12" s="159">
        <v>940</v>
      </c>
      <c r="F12" s="159">
        <f t="shared" ref="F12:O12" si="1">E33</f>
        <v>910</v>
      </c>
      <c r="G12" s="159">
        <f t="shared" si="1"/>
        <v>790</v>
      </c>
      <c r="H12" s="159">
        <f t="shared" si="1"/>
        <v>640</v>
      </c>
      <c r="I12" s="159">
        <f t="shared" si="1"/>
        <v>460</v>
      </c>
      <c r="J12" s="159">
        <f t="shared" si="1"/>
        <v>280</v>
      </c>
      <c r="K12" s="159">
        <f t="shared" si="1"/>
        <v>40</v>
      </c>
      <c r="L12" s="159">
        <f t="shared" si="1"/>
        <v>0</v>
      </c>
      <c r="M12" s="159">
        <f t="shared" si="1"/>
        <v>0</v>
      </c>
      <c r="N12" s="159">
        <f t="shared" si="1"/>
        <v>0</v>
      </c>
      <c r="O12" s="159">
        <f t="shared" si="1"/>
        <v>0</v>
      </c>
      <c r="P12" s="159">
        <f>O39</f>
        <v>0</v>
      </c>
    </row>
    <row r="13" spans="1:20" ht="15" x14ac:dyDescent="0.25">
      <c r="B13" s="152" t="s">
        <v>431</v>
      </c>
      <c r="C13" s="152"/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/>
      <c r="Q13" s="160"/>
    </row>
    <row r="14" spans="1:20" ht="15" x14ac:dyDescent="0.25">
      <c r="B14" s="152" t="s">
        <v>432</v>
      </c>
      <c r="C14" s="152"/>
      <c r="D14" s="159">
        <v>0</v>
      </c>
      <c r="E14" s="159">
        <v>0</v>
      </c>
      <c r="F14" s="161">
        <f>T18</f>
        <v>30</v>
      </c>
      <c r="G14" s="161">
        <f>T22</f>
        <v>30</v>
      </c>
      <c r="H14" s="161">
        <f>T26</f>
        <v>45</v>
      </c>
      <c r="I14" s="161">
        <f>T30</f>
        <v>45</v>
      </c>
      <c r="J14" s="161">
        <f>T34</f>
        <v>60</v>
      </c>
      <c r="K14" s="161">
        <v>40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/>
    </row>
    <row r="15" spans="1:20" ht="15.75" thickBot="1" x14ac:dyDescent="0.3">
      <c r="B15" s="152" t="s">
        <v>433</v>
      </c>
      <c r="C15" s="152"/>
      <c r="D15" s="159">
        <f>D12+D13-D14</f>
        <v>0</v>
      </c>
      <c r="E15" s="159">
        <f>E12+E13-E14</f>
        <v>940</v>
      </c>
      <c r="F15" s="159">
        <f>F12+F13-F14</f>
        <v>880</v>
      </c>
      <c r="G15" s="159">
        <f>G12+G13-G14</f>
        <v>760</v>
      </c>
      <c r="H15" s="159">
        <f t="shared" ref="H15:P15" si="2">H12+H13-H14</f>
        <v>595</v>
      </c>
      <c r="I15" s="159">
        <f t="shared" si="2"/>
        <v>415</v>
      </c>
      <c r="J15" s="159">
        <f t="shared" si="2"/>
        <v>220</v>
      </c>
      <c r="K15" s="159">
        <f t="shared" si="2"/>
        <v>0</v>
      </c>
      <c r="L15" s="159">
        <f t="shared" si="2"/>
        <v>0</v>
      </c>
      <c r="M15" s="159">
        <f t="shared" si="2"/>
        <v>0</v>
      </c>
      <c r="N15" s="159">
        <f t="shared" si="2"/>
        <v>0</v>
      </c>
      <c r="O15" s="159">
        <f t="shared" si="2"/>
        <v>0</v>
      </c>
      <c r="P15" s="159">
        <f t="shared" si="2"/>
        <v>0</v>
      </c>
      <c r="Q15" s="160"/>
    </row>
    <row r="16" spans="1:20" ht="15" x14ac:dyDescent="0.25">
      <c r="B16" s="152" t="s">
        <v>434</v>
      </c>
      <c r="C16" s="152"/>
      <c r="D16" s="159">
        <f>((D12+D15)/2)*(D$8/4)</f>
        <v>0</v>
      </c>
      <c r="E16" s="159">
        <f>((E12+E15)/2)*(E$8/4)</f>
        <v>25.85</v>
      </c>
      <c r="F16" s="159">
        <f>((F12+F15)/2)*(F$8/4)</f>
        <v>24.612500000000001</v>
      </c>
      <c r="G16" s="159">
        <f>((G12+G15)/2)*(G$8/4)</f>
        <v>21.3125</v>
      </c>
      <c r="H16" s="159">
        <f t="shared" ref="H16:K16" si="3">((H12+H15)/2)*(H$8/4)</f>
        <v>16.981249999999999</v>
      </c>
      <c r="I16" s="159">
        <f t="shared" si="3"/>
        <v>12.03125</v>
      </c>
      <c r="J16" s="159">
        <f t="shared" si="3"/>
        <v>6.875</v>
      </c>
      <c r="K16" s="159">
        <f t="shared" si="3"/>
        <v>0.55000000000000004</v>
      </c>
      <c r="L16" s="159">
        <f>((L12+L15)/2)*(L$8/4)</f>
        <v>0</v>
      </c>
      <c r="M16" s="159">
        <f>((M12+M15)/2)*(M$8/4)</f>
        <v>0</v>
      </c>
      <c r="N16" s="159">
        <f t="shared" ref="N16" si="4">((N12+N15)/2)*(N$8/4)</f>
        <v>0</v>
      </c>
      <c r="O16" s="159">
        <f t="shared" ref="O16" si="5">((O12+O15)/2)*(O$8/4)</f>
        <v>0</v>
      </c>
      <c r="P16" s="159">
        <f>((P12+P15)/2)*(P$8/4)</f>
        <v>0</v>
      </c>
      <c r="R16" s="163" t="s">
        <v>435</v>
      </c>
      <c r="S16" s="164" t="s">
        <v>436</v>
      </c>
      <c r="T16" s="165" t="s">
        <v>395</v>
      </c>
    </row>
    <row r="17" spans="2:20" ht="24" customHeight="1" x14ac:dyDescent="0.25">
      <c r="B17" s="151" t="s">
        <v>437</v>
      </c>
      <c r="C17" s="152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2"/>
      <c r="P17" s="152"/>
      <c r="R17" s="166">
        <v>45717</v>
      </c>
      <c r="S17" s="167"/>
      <c r="T17" s="168">
        <v>30</v>
      </c>
    </row>
    <row r="18" spans="2:20" ht="15" x14ac:dyDescent="0.25">
      <c r="B18" s="152" t="s">
        <v>430</v>
      </c>
      <c r="C18" s="152"/>
      <c r="D18" s="159">
        <f>D15</f>
        <v>0</v>
      </c>
      <c r="E18" s="159">
        <f>E15</f>
        <v>940</v>
      </c>
      <c r="F18" s="159">
        <f>F15</f>
        <v>880</v>
      </c>
      <c r="G18" s="159">
        <f t="shared" ref="G18:O18" si="6">G15</f>
        <v>760</v>
      </c>
      <c r="H18" s="159">
        <f t="shared" si="6"/>
        <v>595</v>
      </c>
      <c r="I18" s="159">
        <f t="shared" si="6"/>
        <v>415</v>
      </c>
      <c r="J18" s="159">
        <f t="shared" si="6"/>
        <v>220</v>
      </c>
      <c r="K18" s="159">
        <f t="shared" si="6"/>
        <v>0</v>
      </c>
      <c r="L18" s="159">
        <f t="shared" si="6"/>
        <v>0</v>
      </c>
      <c r="M18" s="159">
        <f t="shared" si="6"/>
        <v>0</v>
      </c>
      <c r="N18" s="159">
        <f t="shared" si="6"/>
        <v>0</v>
      </c>
      <c r="O18" s="159">
        <f t="shared" si="6"/>
        <v>0</v>
      </c>
      <c r="P18" s="159">
        <f>P15</f>
        <v>0</v>
      </c>
      <c r="R18" s="166">
        <v>45809</v>
      </c>
      <c r="S18" s="167"/>
      <c r="T18" s="168">
        <v>30</v>
      </c>
    </row>
    <row r="19" spans="2:20" ht="15" x14ac:dyDescent="0.25">
      <c r="B19" s="152" t="s">
        <v>431</v>
      </c>
      <c r="C19" s="152"/>
      <c r="D19" s="159">
        <v>0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/>
      <c r="R19" s="166">
        <v>45901</v>
      </c>
      <c r="S19" s="167"/>
      <c r="T19" s="168">
        <v>30</v>
      </c>
    </row>
    <row r="20" spans="2:20" ht="15" x14ac:dyDescent="0.25">
      <c r="B20" s="152" t="s">
        <v>432</v>
      </c>
      <c r="C20" s="152"/>
      <c r="D20" s="159">
        <v>0</v>
      </c>
      <c r="E20" s="416">
        <v>0</v>
      </c>
      <c r="F20" s="161">
        <f>T19</f>
        <v>30</v>
      </c>
      <c r="G20" s="161">
        <f>T23</f>
        <v>30</v>
      </c>
      <c r="H20" s="161">
        <f>T27</f>
        <v>45</v>
      </c>
      <c r="I20" s="161">
        <f>T31</f>
        <v>45</v>
      </c>
      <c r="J20" s="161">
        <f>T35</f>
        <v>60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R20" s="166">
        <v>45992</v>
      </c>
      <c r="S20" s="167"/>
      <c r="T20" s="168">
        <v>30</v>
      </c>
    </row>
    <row r="21" spans="2:20" ht="15" x14ac:dyDescent="0.25">
      <c r="B21" s="152" t="s">
        <v>433</v>
      </c>
      <c r="C21" s="152"/>
      <c r="D21" s="159">
        <f t="shared" ref="D21:P21" si="7">D18+D19-D20</f>
        <v>0</v>
      </c>
      <c r="E21" s="416">
        <f t="shared" si="7"/>
        <v>940</v>
      </c>
      <c r="F21" s="159">
        <f t="shared" si="7"/>
        <v>850</v>
      </c>
      <c r="G21" s="159">
        <f t="shared" si="7"/>
        <v>730</v>
      </c>
      <c r="H21" s="159">
        <f t="shared" si="7"/>
        <v>550</v>
      </c>
      <c r="I21" s="159">
        <f t="shared" si="7"/>
        <v>370</v>
      </c>
      <c r="J21" s="159">
        <f t="shared" si="7"/>
        <v>160</v>
      </c>
      <c r="K21" s="159">
        <f t="shared" si="7"/>
        <v>0</v>
      </c>
      <c r="L21" s="159">
        <f t="shared" si="7"/>
        <v>0</v>
      </c>
      <c r="M21" s="159">
        <f t="shared" si="7"/>
        <v>0</v>
      </c>
      <c r="N21" s="159">
        <f t="shared" si="7"/>
        <v>0</v>
      </c>
      <c r="O21" s="159">
        <f t="shared" si="7"/>
        <v>0</v>
      </c>
      <c r="P21" s="159">
        <f t="shared" si="7"/>
        <v>0</v>
      </c>
      <c r="R21" s="166">
        <v>46082</v>
      </c>
      <c r="S21" s="167"/>
      <c r="T21" s="168">
        <v>30</v>
      </c>
    </row>
    <row r="22" spans="2:20" ht="15" x14ac:dyDescent="0.25">
      <c r="B22" s="152" t="s">
        <v>434</v>
      </c>
      <c r="C22" s="152"/>
      <c r="D22" s="159">
        <f t="shared" ref="D22:P22" si="8">((D18+D21)/2)*(D$8/4)</f>
        <v>0</v>
      </c>
      <c r="E22" s="159">
        <f t="shared" si="8"/>
        <v>25.85</v>
      </c>
      <c r="F22" s="159">
        <f t="shared" si="8"/>
        <v>23.787500000000001</v>
      </c>
      <c r="G22" s="159">
        <f t="shared" si="8"/>
        <v>20.487500000000001</v>
      </c>
      <c r="H22" s="159">
        <f t="shared" si="8"/>
        <v>15.74375</v>
      </c>
      <c r="I22" s="159">
        <f t="shared" si="8"/>
        <v>10.793749999999999</v>
      </c>
      <c r="J22" s="159">
        <f t="shared" si="8"/>
        <v>5.2249999999999996</v>
      </c>
      <c r="K22" s="159">
        <f t="shared" si="8"/>
        <v>0</v>
      </c>
      <c r="L22" s="159">
        <f t="shared" si="8"/>
        <v>0</v>
      </c>
      <c r="M22" s="159">
        <f t="shared" si="8"/>
        <v>0</v>
      </c>
      <c r="N22" s="159">
        <f t="shared" si="8"/>
        <v>0</v>
      </c>
      <c r="O22" s="159">
        <f t="shared" si="8"/>
        <v>0</v>
      </c>
      <c r="P22" s="159">
        <f t="shared" si="8"/>
        <v>0</v>
      </c>
      <c r="R22" s="166">
        <v>46174</v>
      </c>
      <c r="S22" s="167"/>
      <c r="T22" s="168">
        <v>30</v>
      </c>
    </row>
    <row r="23" spans="2:20" ht="24" customHeight="1" x14ac:dyDescent="0.25">
      <c r="B23" s="151" t="s">
        <v>438</v>
      </c>
      <c r="C23" s="152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2"/>
      <c r="P23" s="152"/>
      <c r="R23" s="166">
        <v>46266</v>
      </c>
      <c r="S23" s="167"/>
      <c r="T23" s="168">
        <v>30</v>
      </c>
    </row>
    <row r="24" spans="2:20" ht="15" x14ac:dyDescent="0.25">
      <c r="B24" s="152" t="s">
        <v>430</v>
      </c>
      <c r="C24" s="152"/>
      <c r="D24" s="159">
        <f>D21</f>
        <v>0</v>
      </c>
      <c r="E24" s="416">
        <f>E21</f>
        <v>940</v>
      </c>
      <c r="F24" s="159">
        <f>F21</f>
        <v>850</v>
      </c>
      <c r="G24" s="159">
        <f t="shared" ref="G24:O24" si="9">G21</f>
        <v>730</v>
      </c>
      <c r="H24" s="159">
        <f t="shared" si="9"/>
        <v>550</v>
      </c>
      <c r="I24" s="159">
        <f t="shared" si="9"/>
        <v>370</v>
      </c>
      <c r="J24" s="159">
        <f t="shared" si="9"/>
        <v>160</v>
      </c>
      <c r="K24" s="159">
        <f t="shared" si="9"/>
        <v>0</v>
      </c>
      <c r="L24" s="159">
        <f t="shared" si="9"/>
        <v>0</v>
      </c>
      <c r="M24" s="159">
        <f t="shared" si="9"/>
        <v>0</v>
      </c>
      <c r="N24" s="159">
        <f t="shared" si="9"/>
        <v>0</v>
      </c>
      <c r="O24" s="159">
        <f t="shared" si="9"/>
        <v>0</v>
      </c>
      <c r="P24" s="159">
        <f>P21</f>
        <v>0</v>
      </c>
      <c r="R24" s="166">
        <v>46357</v>
      </c>
      <c r="S24" s="167"/>
      <c r="T24" s="168">
        <v>45</v>
      </c>
    </row>
    <row r="25" spans="2:20" ht="15" x14ac:dyDescent="0.25">
      <c r="B25" s="152" t="s">
        <v>431</v>
      </c>
      <c r="C25" s="152"/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R25" s="166">
        <v>46447</v>
      </c>
      <c r="S25" s="167"/>
      <c r="T25" s="168">
        <v>45</v>
      </c>
    </row>
    <row r="26" spans="2:20" s="169" customFormat="1" ht="15" x14ac:dyDescent="0.25">
      <c r="B26" s="159" t="s">
        <v>432</v>
      </c>
      <c r="C26" s="159"/>
      <c r="D26" s="159">
        <v>0</v>
      </c>
      <c r="E26" s="159">
        <v>0</v>
      </c>
      <c r="F26" s="159">
        <f>T20</f>
        <v>30</v>
      </c>
      <c r="G26" s="161">
        <f>T24</f>
        <v>45</v>
      </c>
      <c r="H26" s="161">
        <f>T28</f>
        <v>45</v>
      </c>
      <c r="I26" s="161">
        <f>T32</f>
        <v>45</v>
      </c>
      <c r="J26" s="161">
        <f>T36</f>
        <v>60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R26" s="166">
        <v>46539</v>
      </c>
      <c r="S26" s="167"/>
      <c r="T26" s="168">
        <v>45</v>
      </c>
    </row>
    <row r="27" spans="2:20" ht="15" x14ac:dyDescent="0.25">
      <c r="B27" s="152" t="s">
        <v>433</v>
      </c>
      <c r="C27" s="152"/>
      <c r="D27" s="159">
        <f t="shared" ref="D27:P27" si="10">D24+D25-D26</f>
        <v>0</v>
      </c>
      <c r="E27" s="159">
        <f t="shared" si="10"/>
        <v>940</v>
      </c>
      <c r="F27" s="159">
        <f t="shared" si="10"/>
        <v>820</v>
      </c>
      <c r="G27" s="159">
        <f t="shared" si="10"/>
        <v>685</v>
      </c>
      <c r="H27" s="159">
        <f t="shared" si="10"/>
        <v>505</v>
      </c>
      <c r="I27" s="159">
        <f t="shared" si="10"/>
        <v>325</v>
      </c>
      <c r="J27" s="159">
        <f t="shared" si="10"/>
        <v>100</v>
      </c>
      <c r="K27" s="159">
        <f t="shared" si="10"/>
        <v>0</v>
      </c>
      <c r="L27" s="159">
        <f t="shared" si="10"/>
        <v>0</v>
      </c>
      <c r="M27" s="159">
        <f t="shared" si="10"/>
        <v>0</v>
      </c>
      <c r="N27" s="159">
        <f t="shared" si="10"/>
        <v>0</v>
      </c>
      <c r="O27" s="159">
        <f t="shared" si="10"/>
        <v>0</v>
      </c>
      <c r="P27" s="159">
        <f t="shared" si="10"/>
        <v>0</v>
      </c>
      <c r="R27" s="166">
        <v>46631</v>
      </c>
      <c r="S27" s="167"/>
      <c r="T27" s="168">
        <v>45</v>
      </c>
    </row>
    <row r="28" spans="2:20" ht="15" x14ac:dyDescent="0.25">
      <c r="B28" s="152" t="s">
        <v>434</v>
      </c>
      <c r="C28" s="152"/>
      <c r="D28" s="159">
        <f t="shared" ref="D28:P28" si="11">((D24+D27)/2)*(D$8/4)</f>
        <v>0</v>
      </c>
      <c r="E28" s="159">
        <f t="shared" si="11"/>
        <v>25.85</v>
      </c>
      <c r="F28" s="159">
        <f t="shared" si="11"/>
        <v>22.962499999999999</v>
      </c>
      <c r="G28" s="159">
        <f t="shared" si="11"/>
        <v>19.456250000000001</v>
      </c>
      <c r="H28" s="159">
        <f t="shared" si="11"/>
        <v>14.50625</v>
      </c>
      <c r="I28" s="159">
        <f t="shared" si="11"/>
        <v>9.5562500000000004</v>
      </c>
      <c r="J28" s="159">
        <f t="shared" si="11"/>
        <v>3.5750000000000002</v>
      </c>
      <c r="K28" s="159">
        <f t="shared" si="11"/>
        <v>0</v>
      </c>
      <c r="L28" s="159">
        <f t="shared" si="11"/>
        <v>0</v>
      </c>
      <c r="M28" s="159">
        <f t="shared" si="11"/>
        <v>0</v>
      </c>
      <c r="N28" s="159">
        <f t="shared" si="11"/>
        <v>0</v>
      </c>
      <c r="O28" s="159">
        <f t="shared" si="11"/>
        <v>0</v>
      </c>
      <c r="P28" s="159">
        <f t="shared" si="11"/>
        <v>0</v>
      </c>
      <c r="R28" s="166">
        <v>46722</v>
      </c>
      <c r="S28" s="167"/>
      <c r="T28" s="168">
        <v>45</v>
      </c>
    </row>
    <row r="29" spans="2:20" ht="31.5" customHeight="1" x14ac:dyDescent="0.35">
      <c r="B29" s="151" t="s">
        <v>439</v>
      </c>
      <c r="C29" s="152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2"/>
      <c r="P29" s="152"/>
      <c r="R29" s="166">
        <v>46813</v>
      </c>
      <c r="S29" s="167"/>
      <c r="T29" s="168">
        <v>45</v>
      </c>
    </row>
    <row r="30" spans="2:20" x14ac:dyDescent="0.35">
      <c r="B30" s="152" t="s">
        <v>430</v>
      </c>
      <c r="C30" s="152"/>
      <c r="D30" s="159">
        <f>D27</f>
        <v>0</v>
      </c>
      <c r="E30" s="159">
        <f>E27</f>
        <v>940</v>
      </c>
      <c r="F30" s="159">
        <f>F27</f>
        <v>820</v>
      </c>
      <c r="G30" s="159">
        <f t="shared" ref="G30:O30" si="12">G27</f>
        <v>685</v>
      </c>
      <c r="H30" s="159">
        <f t="shared" si="12"/>
        <v>505</v>
      </c>
      <c r="I30" s="159">
        <f t="shared" si="12"/>
        <v>325</v>
      </c>
      <c r="J30" s="159">
        <f t="shared" si="12"/>
        <v>100</v>
      </c>
      <c r="K30" s="159">
        <f t="shared" si="12"/>
        <v>0</v>
      </c>
      <c r="L30" s="159">
        <f t="shared" si="12"/>
        <v>0</v>
      </c>
      <c r="M30" s="159">
        <f t="shared" si="12"/>
        <v>0</v>
      </c>
      <c r="N30" s="159">
        <f t="shared" si="12"/>
        <v>0</v>
      </c>
      <c r="O30" s="159">
        <f t="shared" si="12"/>
        <v>0</v>
      </c>
      <c r="P30" s="159">
        <f>P27</f>
        <v>0</v>
      </c>
      <c r="R30" s="166">
        <v>46905</v>
      </c>
      <c r="S30" s="167"/>
      <c r="T30" s="168">
        <v>45</v>
      </c>
    </row>
    <row r="31" spans="2:20" x14ac:dyDescent="0.35">
      <c r="B31" s="152" t="s">
        <v>431</v>
      </c>
      <c r="C31" s="152"/>
      <c r="D31" s="159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R31" s="166">
        <v>46997</v>
      </c>
      <c r="S31" s="167"/>
      <c r="T31" s="168">
        <v>45</v>
      </c>
    </row>
    <row r="32" spans="2:20" x14ac:dyDescent="0.35">
      <c r="B32" s="152" t="s">
        <v>432</v>
      </c>
      <c r="C32" s="152"/>
      <c r="D32" s="159">
        <v>0</v>
      </c>
      <c r="E32" s="159">
        <f>T17</f>
        <v>30</v>
      </c>
      <c r="F32" s="159">
        <f>T21</f>
        <v>30</v>
      </c>
      <c r="G32" s="161">
        <f>T25</f>
        <v>45</v>
      </c>
      <c r="H32" s="161">
        <f>T29</f>
        <v>45</v>
      </c>
      <c r="I32" s="161">
        <f>T33</f>
        <v>45</v>
      </c>
      <c r="J32" s="161">
        <f>T37</f>
        <v>60</v>
      </c>
      <c r="K32" s="161">
        <v>0</v>
      </c>
      <c r="L32" s="161">
        <v>0</v>
      </c>
      <c r="M32" s="161">
        <v>0</v>
      </c>
      <c r="N32" s="161">
        <v>0</v>
      </c>
      <c r="O32" s="159">
        <v>0</v>
      </c>
      <c r="P32" s="159">
        <v>0</v>
      </c>
      <c r="R32" s="166">
        <v>47088</v>
      </c>
      <c r="S32" s="167"/>
      <c r="T32" s="168">
        <v>45</v>
      </c>
    </row>
    <row r="33" spans="2:20" x14ac:dyDescent="0.35">
      <c r="B33" s="152" t="s">
        <v>433</v>
      </c>
      <c r="C33" s="152"/>
      <c r="D33" s="159">
        <f t="shared" ref="D33:P33" si="13">D30+D31-D32</f>
        <v>0</v>
      </c>
      <c r="E33" s="159">
        <f t="shared" si="13"/>
        <v>910</v>
      </c>
      <c r="F33" s="159">
        <f t="shared" si="13"/>
        <v>790</v>
      </c>
      <c r="G33" s="159">
        <f t="shared" si="13"/>
        <v>640</v>
      </c>
      <c r="H33" s="159">
        <f t="shared" si="13"/>
        <v>460</v>
      </c>
      <c r="I33" s="159">
        <f t="shared" si="13"/>
        <v>280</v>
      </c>
      <c r="J33" s="159">
        <f t="shared" si="13"/>
        <v>40</v>
      </c>
      <c r="K33" s="159">
        <f t="shared" si="13"/>
        <v>0</v>
      </c>
      <c r="L33" s="159">
        <f t="shared" si="13"/>
        <v>0</v>
      </c>
      <c r="M33" s="159">
        <f t="shared" si="13"/>
        <v>0</v>
      </c>
      <c r="N33" s="159">
        <f t="shared" si="13"/>
        <v>0</v>
      </c>
      <c r="O33" s="159">
        <f t="shared" si="13"/>
        <v>0</v>
      </c>
      <c r="P33" s="159">
        <f t="shared" si="13"/>
        <v>0</v>
      </c>
      <c r="R33" s="166">
        <v>47178</v>
      </c>
      <c r="S33" s="167"/>
      <c r="T33" s="168">
        <v>45</v>
      </c>
    </row>
    <row r="34" spans="2:20" x14ac:dyDescent="0.35">
      <c r="B34" s="152" t="s">
        <v>434</v>
      </c>
      <c r="C34" s="152"/>
      <c r="D34" s="159">
        <f t="shared" ref="D34:P34" si="14">((D30+D33)/2)*(D$8/4)</f>
        <v>0</v>
      </c>
      <c r="E34" s="159">
        <f t="shared" si="14"/>
        <v>25.4375</v>
      </c>
      <c r="F34" s="159">
        <f t="shared" si="14"/>
        <v>22.137499999999999</v>
      </c>
      <c r="G34" s="159">
        <f t="shared" si="14"/>
        <v>18.21875</v>
      </c>
      <c r="H34" s="159">
        <f t="shared" si="14"/>
        <v>13.268750000000001</v>
      </c>
      <c r="I34" s="159">
        <f t="shared" si="14"/>
        <v>8.3187499999999996</v>
      </c>
      <c r="J34" s="159">
        <f t="shared" si="14"/>
        <v>1.925</v>
      </c>
      <c r="K34" s="159">
        <f t="shared" si="14"/>
        <v>0</v>
      </c>
      <c r="L34" s="159">
        <f t="shared" si="14"/>
        <v>0</v>
      </c>
      <c r="M34" s="159">
        <f t="shared" si="14"/>
        <v>0</v>
      </c>
      <c r="N34" s="159">
        <f t="shared" si="14"/>
        <v>0</v>
      </c>
      <c r="O34" s="159">
        <f t="shared" si="14"/>
        <v>0</v>
      </c>
      <c r="P34" s="159">
        <f t="shared" si="14"/>
        <v>0</v>
      </c>
      <c r="R34" s="166">
        <v>47270</v>
      </c>
      <c r="S34" s="167"/>
      <c r="T34" s="168">
        <v>60</v>
      </c>
    </row>
    <row r="35" spans="2:20" ht="34.5" customHeight="1" x14ac:dyDescent="0.35">
      <c r="B35" s="151" t="s">
        <v>440</v>
      </c>
      <c r="C35" s="152"/>
      <c r="D35" s="153">
        <v>0</v>
      </c>
      <c r="E35" s="153" t="str">
        <f t="shared" ref="E35:P35" si="15">E6</f>
        <v>FY25</v>
      </c>
      <c r="F35" s="153" t="str">
        <f t="shared" si="15"/>
        <v>FY26</v>
      </c>
      <c r="G35" s="153" t="str">
        <f t="shared" si="15"/>
        <v>FY27</v>
      </c>
      <c r="H35" s="153" t="str">
        <f t="shared" si="15"/>
        <v>FY28</v>
      </c>
      <c r="I35" s="153" t="str">
        <f t="shared" si="15"/>
        <v>FY29</v>
      </c>
      <c r="J35" s="153" t="str">
        <f t="shared" si="15"/>
        <v>FY30</v>
      </c>
      <c r="K35" s="153" t="str">
        <f t="shared" si="15"/>
        <v>FY31</v>
      </c>
      <c r="L35" s="153" t="str">
        <f t="shared" si="15"/>
        <v>FY32</v>
      </c>
      <c r="M35" s="153" t="str">
        <f t="shared" si="15"/>
        <v>FY33</v>
      </c>
      <c r="N35" s="153" t="str">
        <f t="shared" si="15"/>
        <v>FY34</v>
      </c>
      <c r="O35" s="153" t="str">
        <f t="shared" si="15"/>
        <v>FY35</v>
      </c>
      <c r="P35" s="153" t="str">
        <f t="shared" si="15"/>
        <v>FY36</v>
      </c>
      <c r="R35" s="166">
        <v>47362</v>
      </c>
      <c r="S35" s="167"/>
      <c r="T35" s="168">
        <v>60</v>
      </c>
    </row>
    <row r="36" spans="2:20" x14ac:dyDescent="0.35">
      <c r="B36" s="152" t="s">
        <v>430</v>
      </c>
      <c r="C36" s="152"/>
      <c r="D36" s="170">
        <f>D12</f>
        <v>0</v>
      </c>
      <c r="E36" s="170">
        <f>E12</f>
        <v>940</v>
      </c>
      <c r="F36" s="170">
        <f t="shared" ref="F36:P36" si="16">F12</f>
        <v>910</v>
      </c>
      <c r="G36" s="170">
        <f t="shared" si="16"/>
        <v>790</v>
      </c>
      <c r="H36" s="170">
        <f t="shared" si="16"/>
        <v>640</v>
      </c>
      <c r="I36" s="170">
        <f t="shared" si="16"/>
        <v>460</v>
      </c>
      <c r="J36" s="170">
        <f t="shared" si="16"/>
        <v>280</v>
      </c>
      <c r="K36" s="170">
        <f t="shared" si="16"/>
        <v>40</v>
      </c>
      <c r="L36" s="170">
        <f t="shared" si="16"/>
        <v>0</v>
      </c>
      <c r="M36" s="170">
        <f t="shared" si="16"/>
        <v>0</v>
      </c>
      <c r="N36" s="170">
        <f t="shared" si="16"/>
        <v>0</v>
      </c>
      <c r="O36" s="170">
        <f t="shared" si="16"/>
        <v>0</v>
      </c>
      <c r="P36" s="170">
        <f t="shared" si="16"/>
        <v>0</v>
      </c>
      <c r="R36" s="166">
        <v>47453</v>
      </c>
      <c r="S36" s="167"/>
      <c r="T36" s="168">
        <v>60</v>
      </c>
    </row>
    <row r="37" spans="2:20" x14ac:dyDescent="0.35">
      <c r="B37" s="152" t="s">
        <v>431</v>
      </c>
      <c r="C37" s="152"/>
      <c r="D37" s="170">
        <f t="shared" ref="D37:P40" si="17">D13+D19+D25+D31</f>
        <v>0</v>
      </c>
      <c r="E37" s="170">
        <f t="shared" si="17"/>
        <v>0</v>
      </c>
      <c r="F37" s="170">
        <f>F13+F19+F25+F31</f>
        <v>0</v>
      </c>
      <c r="G37" s="170">
        <f t="shared" si="17"/>
        <v>0</v>
      </c>
      <c r="H37" s="170">
        <f t="shared" si="17"/>
        <v>0</v>
      </c>
      <c r="I37" s="170">
        <f t="shared" si="17"/>
        <v>0</v>
      </c>
      <c r="J37" s="170">
        <f t="shared" si="17"/>
        <v>0</v>
      </c>
      <c r="K37" s="170">
        <f t="shared" si="17"/>
        <v>0</v>
      </c>
      <c r="L37" s="170">
        <f t="shared" si="17"/>
        <v>0</v>
      </c>
      <c r="M37" s="170">
        <f t="shared" si="17"/>
        <v>0</v>
      </c>
      <c r="N37" s="170">
        <f t="shared" si="17"/>
        <v>0</v>
      </c>
      <c r="O37" s="170">
        <f t="shared" si="17"/>
        <v>0</v>
      </c>
      <c r="P37" s="170">
        <f t="shared" si="17"/>
        <v>0</v>
      </c>
      <c r="Q37" s="143" t="b">
        <f>SUM(D37:P37)=C3</f>
        <v>0</v>
      </c>
      <c r="R37" s="166">
        <v>47543</v>
      </c>
      <c r="S37" s="167"/>
      <c r="T37" s="168">
        <v>60</v>
      </c>
    </row>
    <row r="38" spans="2:20" x14ac:dyDescent="0.35">
      <c r="B38" s="152" t="s">
        <v>432</v>
      </c>
      <c r="C38" s="152"/>
      <c r="D38" s="170">
        <f t="shared" si="17"/>
        <v>0</v>
      </c>
      <c r="E38" s="170">
        <f t="shared" si="17"/>
        <v>30</v>
      </c>
      <c r="F38" s="170">
        <f t="shared" si="17"/>
        <v>120</v>
      </c>
      <c r="G38" s="503">
        <f>G14+G20+G26+G32</f>
        <v>150</v>
      </c>
      <c r="H38" s="170">
        <f t="shared" si="17"/>
        <v>180</v>
      </c>
      <c r="I38" s="170">
        <f t="shared" si="17"/>
        <v>180</v>
      </c>
      <c r="J38" s="170">
        <f t="shared" si="17"/>
        <v>240</v>
      </c>
      <c r="K38" s="170">
        <f t="shared" si="17"/>
        <v>40</v>
      </c>
      <c r="L38" s="170">
        <f t="shared" si="17"/>
        <v>0</v>
      </c>
      <c r="M38" s="170">
        <f t="shared" si="17"/>
        <v>0</v>
      </c>
      <c r="N38" s="170">
        <f t="shared" si="17"/>
        <v>0</v>
      </c>
      <c r="O38" s="170">
        <f>O14+O20+O26+O32</f>
        <v>0</v>
      </c>
      <c r="P38" s="170">
        <f>P14+P20+P26+P32</f>
        <v>0</v>
      </c>
      <c r="Q38" s="143" t="b">
        <f>SUM(D38:P38)=C3</f>
        <v>1</v>
      </c>
      <c r="R38" s="166">
        <v>47635</v>
      </c>
      <c r="S38" s="167"/>
      <c r="T38" s="168">
        <v>40</v>
      </c>
    </row>
    <row r="39" spans="2:20" x14ac:dyDescent="0.35">
      <c r="B39" s="152" t="s">
        <v>433</v>
      </c>
      <c r="C39" s="152"/>
      <c r="D39" s="170">
        <f t="shared" ref="D39:P39" si="18">D36+D37-D38</f>
        <v>0</v>
      </c>
      <c r="E39" s="170">
        <f t="shared" si="18"/>
        <v>910</v>
      </c>
      <c r="F39" s="170">
        <f t="shared" si="18"/>
        <v>790</v>
      </c>
      <c r="G39" s="170">
        <f t="shared" si="18"/>
        <v>640</v>
      </c>
      <c r="H39" s="170">
        <f t="shared" si="18"/>
        <v>460</v>
      </c>
      <c r="I39" s="170">
        <f t="shared" si="18"/>
        <v>280</v>
      </c>
      <c r="J39" s="170">
        <f t="shared" si="18"/>
        <v>40</v>
      </c>
      <c r="K39" s="170">
        <f t="shared" si="18"/>
        <v>0</v>
      </c>
      <c r="L39" s="170">
        <f t="shared" si="18"/>
        <v>0</v>
      </c>
      <c r="M39" s="170">
        <f t="shared" si="18"/>
        <v>0</v>
      </c>
      <c r="N39" s="170">
        <f t="shared" si="18"/>
        <v>0</v>
      </c>
      <c r="O39" s="170">
        <f t="shared" si="18"/>
        <v>0</v>
      </c>
      <c r="P39" s="170">
        <f t="shared" si="18"/>
        <v>0</v>
      </c>
      <c r="R39" s="166">
        <v>47727</v>
      </c>
      <c r="S39" s="167"/>
      <c r="T39" s="168"/>
    </row>
    <row r="40" spans="2:20" x14ac:dyDescent="0.35">
      <c r="B40" s="152" t="s">
        <v>434</v>
      </c>
      <c r="C40" s="152"/>
      <c r="D40" s="170">
        <f t="shared" si="17"/>
        <v>0</v>
      </c>
      <c r="E40" s="170">
        <f t="shared" si="17"/>
        <v>102.98750000000001</v>
      </c>
      <c r="F40" s="170">
        <f t="shared" si="17"/>
        <v>93.500000000000014</v>
      </c>
      <c r="G40" s="170">
        <f t="shared" si="17"/>
        <v>79.474999999999994</v>
      </c>
      <c r="H40" s="170">
        <f t="shared" si="17"/>
        <v>60.5</v>
      </c>
      <c r="I40" s="170">
        <f t="shared" si="17"/>
        <v>40.700000000000003</v>
      </c>
      <c r="J40" s="170">
        <f t="shared" si="17"/>
        <v>17.600000000000001</v>
      </c>
      <c r="K40" s="170">
        <f t="shared" si="17"/>
        <v>0.55000000000000004</v>
      </c>
      <c r="L40" s="170">
        <f t="shared" si="17"/>
        <v>0</v>
      </c>
      <c r="M40" s="170">
        <f t="shared" si="17"/>
        <v>0</v>
      </c>
      <c r="N40" s="170">
        <f t="shared" si="17"/>
        <v>0</v>
      </c>
      <c r="O40" s="170">
        <f>O16+O22+O28+O34</f>
        <v>0</v>
      </c>
      <c r="P40" s="170">
        <f>P16+P22+P28+P34</f>
        <v>0</v>
      </c>
      <c r="R40" s="166">
        <v>47818</v>
      </c>
      <c r="S40" s="167"/>
      <c r="T40" s="168"/>
    </row>
    <row r="41" spans="2:20" x14ac:dyDescent="0.35">
      <c r="B41" s="152"/>
      <c r="C41" s="152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2"/>
      <c r="P41" s="152"/>
      <c r="R41" s="166">
        <v>47908</v>
      </c>
      <c r="S41" s="167"/>
      <c r="T41" s="168"/>
    </row>
    <row r="42" spans="2:20" x14ac:dyDescent="0.35">
      <c r="B42" s="152"/>
      <c r="C42" s="152"/>
      <c r="D42" s="159">
        <f>D40</f>
        <v>0</v>
      </c>
      <c r="E42" s="159">
        <f>E40</f>
        <v>102.98750000000001</v>
      </c>
      <c r="F42" s="159"/>
      <c r="G42" s="159"/>
      <c r="H42" s="162"/>
      <c r="I42" s="162"/>
      <c r="J42" s="162"/>
      <c r="K42" s="162"/>
      <c r="L42" s="162"/>
      <c r="M42" s="162"/>
      <c r="N42" s="162"/>
      <c r="O42" s="152"/>
      <c r="P42" s="152"/>
      <c r="R42" s="166">
        <v>48000</v>
      </c>
      <c r="S42" s="167"/>
      <c r="T42" s="168"/>
    </row>
    <row r="43" spans="2:20" x14ac:dyDescent="0.35">
      <c r="D43" s="169"/>
      <c r="E43" s="169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R43" s="166">
        <v>48092</v>
      </c>
      <c r="S43" s="167"/>
      <c r="T43" s="168"/>
    </row>
    <row r="44" spans="2:20" x14ac:dyDescent="0.35"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R44" s="166">
        <v>48183</v>
      </c>
      <c r="S44" s="167"/>
      <c r="T44" s="168"/>
    </row>
    <row r="45" spans="2:20" x14ac:dyDescent="0.35"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R45" s="166">
        <v>48274</v>
      </c>
      <c r="S45" s="167"/>
      <c r="T45" s="168"/>
    </row>
    <row r="46" spans="2:20" x14ac:dyDescent="0.35">
      <c r="B46" s="143" t="s">
        <v>412</v>
      </c>
      <c r="C46" s="142">
        <v>950</v>
      </c>
      <c r="R46" s="166">
        <v>48366</v>
      </c>
      <c r="S46" s="167"/>
      <c r="T46" s="168"/>
    </row>
    <row r="47" spans="2:20" x14ac:dyDescent="0.35">
      <c r="B47" s="142" t="s">
        <v>475</v>
      </c>
      <c r="C47" s="157">
        <v>9.6000000000000002E-2</v>
      </c>
      <c r="R47" s="166">
        <v>48458</v>
      </c>
      <c r="S47" s="167"/>
      <c r="T47" s="168"/>
    </row>
    <row r="48" spans="2:20" ht="15" thickBot="1" x14ac:dyDescent="0.4">
      <c r="R48" s="172"/>
      <c r="S48" s="173"/>
      <c r="T48" s="174">
        <f>SUM(T17:T47)</f>
        <v>940</v>
      </c>
    </row>
    <row r="51" spans="2:21" x14ac:dyDescent="0.35">
      <c r="B51" s="151" t="s">
        <v>415</v>
      </c>
      <c r="C51" s="152"/>
      <c r="D51" s="153" t="s">
        <v>421</v>
      </c>
      <c r="E51" s="153" t="s">
        <v>422</v>
      </c>
      <c r="F51" s="153" t="s">
        <v>423</v>
      </c>
      <c r="G51" s="153" t="s">
        <v>424</v>
      </c>
      <c r="H51" s="153" t="s">
        <v>425</v>
      </c>
      <c r="I51" s="153" t="s">
        <v>426</v>
      </c>
      <c r="J51" s="153" t="s">
        <v>427</v>
      </c>
      <c r="K51" s="153" t="s">
        <v>428</v>
      </c>
      <c r="L51" s="153" t="s">
        <v>470</v>
      </c>
      <c r="M51" s="153" t="s">
        <v>471</v>
      </c>
      <c r="N51" s="153" t="s">
        <v>472</v>
      </c>
      <c r="O51" s="153" t="s">
        <v>473</v>
      </c>
      <c r="P51" s="153" t="s">
        <v>474</v>
      </c>
      <c r="R51" s="152" t="s">
        <v>435</v>
      </c>
      <c r="S51" s="152" t="s">
        <v>436</v>
      </c>
      <c r="T51" s="152" t="s">
        <v>395</v>
      </c>
    </row>
    <row r="52" spans="2:21" x14ac:dyDescent="0.35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R52" s="418">
        <v>45809</v>
      </c>
      <c r="S52" s="167"/>
      <c r="T52" s="419">
        <v>23.75</v>
      </c>
    </row>
    <row r="53" spans="2:21" x14ac:dyDescent="0.35">
      <c r="B53" s="152" t="s">
        <v>364</v>
      </c>
      <c r="C53" s="152"/>
      <c r="D53" s="155">
        <v>9.6000000000000002E-2</v>
      </c>
      <c r="E53" s="154">
        <f>D53</f>
        <v>9.6000000000000002E-2</v>
      </c>
      <c r="F53" s="154">
        <f t="shared" ref="F53" si="19">E53</f>
        <v>9.6000000000000002E-2</v>
      </c>
      <c r="G53" s="154">
        <f t="shared" ref="G53" si="20">F53</f>
        <v>9.6000000000000002E-2</v>
      </c>
      <c r="H53" s="154">
        <f t="shared" ref="H53" si="21">G53</f>
        <v>9.6000000000000002E-2</v>
      </c>
      <c r="I53" s="154">
        <f t="shared" ref="I53" si="22">H53</f>
        <v>9.6000000000000002E-2</v>
      </c>
      <c r="J53" s="154">
        <f t="shared" ref="J53" si="23">I53</f>
        <v>9.6000000000000002E-2</v>
      </c>
      <c r="K53" s="154">
        <f t="shared" ref="K53" si="24">J53</f>
        <v>9.6000000000000002E-2</v>
      </c>
      <c r="L53" s="154">
        <f t="shared" ref="L53" si="25">K53</f>
        <v>9.6000000000000002E-2</v>
      </c>
      <c r="M53" s="154">
        <f t="shared" ref="M53" si="26">L53</f>
        <v>9.6000000000000002E-2</v>
      </c>
      <c r="N53" s="154">
        <f t="shared" ref="N53" si="27">M53</f>
        <v>9.6000000000000002E-2</v>
      </c>
      <c r="O53" s="154">
        <f t="shared" ref="O53" si="28">N53</f>
        <v>9.6000000000000002E-2</v>
      </c>
      <c r="P53" s="154">
        <f>O53</f>
        <v>9.6000000000000002E-2</v>
      </c>
      <c r="R53" s="418">
        <v>45901</v>
      </c>
      <c r="S53" s="167"/>
      <c r="T53" s="419">
        <v>23.75</v>
      </c>
      <c r="U53" s="417">
        <f>T52+T53</f>
        <v>47.5</v>
      </c>
    </row>
    <row r="54" spans="2:21" x14ac:dyDescent="0.35">
      <c r="B54" s="152"/>
      <c r="C54" s="152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4"/>
      <c r="P54" s="154"/>
      <c r="R54" s="418">
        <v>45992</v>
      </c>
      <c r="S54" s="167"/>
      <c r="T54" s="419">
        <v>23.75</v>
      </c>
      <c r="U54" s="417">
        <f>U53+T54</f>
        <v>71.25</v>
      </c>
    </row>
    <row r="55" spans="2:21" x14ac:dyDescent="0.35">
      <c r="B55" s="152"/>
      <c r="C55" s="152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R55" s="418">
        <v>46082</v>
      </c>
      <c r="S55" s="167"/>
      <c r="T55" s="419">
        <v>23.75</v>
      </c>
      <c r="U55" s="417">
        <f>U54+T55</f>
        <v>95</v>
      </c>
    </row>
    <row r="56" spans="2:21" x14ac:dyDescent="0.35">
      <c r="B56" s="151" t="s">
        <v>429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R56" s="418">
        <v>46174</v>
      </c>
      <c r="S56" s="167"/>
      <c r="T56" s="419">
        <v>23.75</v>
      </c>
      <c r="U56" s="417">
        <f t="shared" ref="U56:U90" si="29">U55+T56</f>
        <v>118.75</v>
      </c>
    </row>
    <row r="57" spans="2:21" x14ac:dyDescent="0.35">
      <c r="B57" s="152" t="s">
        <v>430</v>
      </c>
      <c r="C57" s="152"/>
      <c r="D57" s="159">
        <v>0</v>
      </c>
      <c r="E57" s="159">
        <v>950</v>
      </c>
      <c r="F57" s="159">
        <f t="shared" ref="F57" si="30">E78</f>
        <v>878.75</v>
      </c>
      <c r="G57" s="159">
        <f t="shared" ref="G57" si="31">F78</f>
        <v>783.75</v>
      </c>
      <c r="H57" s="159">
        <f t="shared" ref="H57" si="32">G78</f>
        <v>688.75</v>
      </c>
      <c r="I57" s="159">
        <f t="shared" ref="I57" si="33">H78</f>
        <v>593.75</v>
      </c>
      <c r="J57" s="159">
        <f t="shared" ref="J57" si="34">I78</f>
        <v>498.75</v>
      </c>
      <c r="K57" s="159">
        <f t="shared" ref="K57" si="35">J78</f>
        <v>403.75</v>
      </c>
      <c r="L57" s="159">
        <f t="shared" ref="L57" si="36">K78</f>
        <v>308.75</v>
      </c>
      <c r="M57" s="159">
        <f t="shared" ref="M57" si="37">L78</f>
        <v>213.75</v>
      </c>
      <c r="N57" s="159">
        <f t="shared" ref="N57" si="38">M78</f>
        <v>118.75</v>
      </c>
      <c r="O57" s="159">
        <f t="shared" ref="O57" si="39">N78</f>
        <v>0</v>
      </c>
      <c r="P57" s="159">
        <f>O84</f>
        <v>0</v>
      </c>
      <c r="R57" s="418">
        <v>46266</v>
      </c>
      <c r="S57" s="167"/>
      <c r="T57" s="419">
        <v>23.75</v>
      </c>
      <c r="U57" s="417">
        <f t="shared" si="29"/>
        <v>142.5</v>
      </c>
    </row>
    <row r="58" spans="2:21" x14ac:dyDescent="0.35">
      <c r="B58" s="152" t="s">
        <v>431</v>
      </c>
      <c r="C58" s="152"/>
      <c r="D58" s="159">
        <v>0</v>
      </c>
      <c r="E58" s="159">
        <v>0</v>
      </c>
      <c r="F58" s="159">
        <v>0</v>
      </c>
      <c r="G58" s="159">
        <v>0</v>
      </c>
      <c r="H58" s="159">
        <v>0</v>
      </c>
      <c r="I58" s="159">
        <v>0</v>
      </c>
      <c r="J58" s="159">
        <v>0</v>
      </c>
      <c r="K58" s="159">
        <v>0</v>
      </c>
      <c r="L58" s="159">
        <v>0</v>
      </c>
      <c r="M58" s="159">
        <v>0</v>
      </c>
      <c r="N58" s="159">
        <v>0</v>
      </c>
      <c r="O58" s="159">
        <v>0</v>
      </c>
      <c r="P58" s="159"/>
      <c r="R58" s="418">
        <v>46357</v>
      </c>
      <c r="S58" s="167"/>
      <c r="T58" s="419">
        <v>23.75</v>
      </c>
      <c r="U58" s="417">
        <f t="shared" si="29"/>
        <v>166.25</v>
      </c>
    </row>
    <row r="59" spans="2:21" x14ac:dyDescent="0.35">
      <c r="B59" s="152" t="s">
        <v>432</v>
      </c>
      <c r="C59" s="152"/>
      <c r="D59" s="159">
        <v>0</v>
      </c>
      <c r="E59" s="159">
        <v>0</v>
      </c>
      <c r="F59" s="161">
        <v>23.75</v>
      </c>
      <c r="G59" s="161">
        <v>23.75</v>
      </c>
      <c r="H59" s="161">
        <v>23.75</v>
      </c>
      <c r="I59" s="161">
        <v>23.75</v>
      </c>
      <c r="J59" s="161">
        <v>23.75</v>
      </c>
      <c r="K59" s="161">
        <v>23.75</v>
      </c>
      <c r="L59" s="161">
        <v>23.75</v>
      </c>
      <c r="M59" s="161">
        <v>23.75</v>
      </c>
      <c r="N59" s="161">
        <v>23.75</v>
      </c>
      <c r="O59" s="161">
        <v>0</v>
      </c>
      <c r="P59" s="161">
        <v>0</v>
      </c>
      <c r="R59" s="418">
        <v>46447</v>
      </c>
      <c r="S59" s="167"/>
      <c r="T59" s="419">
        <v>23.75</v>
      </c>
      <c r="U59" s="417">
        <f t="shared" si="29"/>
        <v>190</v>
      </c>
    </row>
    <row r="60" spans="2:21" x14ac:dyDescent="0.35">
      <c r="B60" s="152" t="s">
        <v>433</v>
      </c>
      <c r="C60" s="152"/>
      <c r="D60" s="159">
        <f>D57+D58-D59</f>
        <v>0</v>
      </c>
      <c r="E60" s="159">
        <f>E57+E58-E59</f>
        <v>950</v>
      </c>
      <c r="F60" s="159">
        <f>F57+F58-F59</f>
        <v>855</v>
      </c>
      <c r="G60" s="159">
        <f>G57+G58-G59</f>
        <v>760</v>
      </c>
      <c r="H60" s="159">
        <f t="shared" ref="H60:P60" si="40">H57+H58-H59</f>
        <v>665</v>
      </c>
      <c r="I60" s="159">
        <f t="shared" si="40"/>
        <v>570</v>
      </c>
      <c r="J60" s="159">
        <f t="shared" si="40"/>
        <v>475</v>
      </c>
      <c r="K60" s="159">
        <f t="shared" si="40"/>
        <v>380</v>
      </c>
      <c r="L60" s="159">
        <f t="shared" si="40"/>
        <v>285</v>
      </c>
      <c r="M60" s="159">
        <f t="shared" si="40"/>
        <v>190</v>
      </c>
      <c r="N60" s="159">
        <f t="shared" si="40"/>
        <v>95</v>
      </c>
      <c r="O60" s="159">
        <f t="shared" si="40"/>
        <v>0</v>
      </c>
      <c r="P60" s="159">
        <f t="shared" si="40"/>
        <v>0</v>
      </c>
      <c r="R60" s="418">
        <v>46539</v>
      </c>
      <c r="S60" s="167"/>
      <c r="T60" s="419">
        <v>23.75</v>
      </c>
      <c r="U60" s="417">
        <f t="shared" si="29"/>
        <v>213.75</v>
      </c>
    </row>
    <row r="61" spans="2:21" x14ac:dyDescent="0.35">
      <c r="B61" s="152" t="s">
        <v>434</v>
      </c>
      <c r="C61" s="152"/>
      <c r="D61" s="159">
        <f>((D57+D60)/2)*(D$8/4)</f>
        <v>0</v>
      </c>
      <c r="E61" s="159">
        <f>((E57+E60)/2)*(E$8/4)</f>
        <v>26.125</v>
      </c>
      <c r="F61" s="159">
        <f>((F57+F60)/2)*(F$8/4)</f>
        <v>23.839062500000001</v>
      </c>
      <c r="G61" s="159">
        <f>((G57+G60)/2)*(G$8/4)</f>
        <v>21.2265625</v>
      </c>
      <c r="H61" s="159">
        <f t="shared" ref="H61:K61" si="41">((H57+H60)/2)*(H$8/4)</f>
        <v>18.614062499999999</v>
      </c>
      <c r="I61" s="159">
        <f t="shared" si="41"/>
        <v>16.001562499999999</v>
      </c>
      <c r="J61" s="159">
        <f t="shared" si="41"/>
        <v>13.3890625</v>
      </c>
      <c r="K61" s="159">
        <f t="shared" si="41"/>
        <v>10.776562500000001</v>
      </c>
      <c r="L61" s="159">
        <f>((L57+L60)/2)*(L$8/4)</f>
        <v>8.1640625</v>
      </c>
      <c r="M61" s="159">
        <f>((M57+M60)/2)*(M$8/4)</f>
        <v>5.5515625000000002</v>
      </c>
      <c r="N61" s="159">
        <f t="shared" ref="N61:O61" si="42">((N57+N60)/2)*(N$8/4)</f>
        <v>2.9390624999999999</v>
      </c>
      <c r="O61" s="159">
        <f t="shared" si="42"/>
        <v>0</v>
      </c>
      <c r="P61" s="159">
        <f>((P57+P60)/2)*(P$8/4)</f>
        <v>0</v>
      </c>
      <c r="R61" s="418">
        <v>46631</v>
      </c>
      <c r="S61" s="167"/>
      <c r="T61" s="419">
        <v>23.75</v>
      </c>
      <c r="U61" s="417">
        <f t="shared" si="29"/>
        <v>237.5</v>
      </c>
    </row>
    <row r="62" spans="2:21" x14ac:dyDescent="0.35">
      <c r="B62" s="151" t="s">
        <v>437</v>
      </c>
      <c r="C62" s="152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2"/>
      <c r="P62" s="152"/>
      <c r="R62" s="418">
        <v>46722</v>
      </c>
      <c r="S62" s="167"/>
      <c r="T62" s="419">
        <v>23.75</v>
      </c>
      <c r="U62" s="417">
        <f t="shared" si="29"/>
        <v>261.25</v>
      </c>
    </row>
    <row r="63" spans="2:21" x14ac:dyDescent="0.35">
      <c r="B63" s="152" t="s">
        <v>430</v>
      </c>
      <c r="C63" s="152"/>
      <c r="D63" s="159">
        <f>D60</f>
        <v>0</v>
      </c>
      <c r="E63" s="159">
        <f>E60</f>
        <v>950</v>
      </c>
      <c r="F63" s="159">
        <f>F60</f>
        <v>855</v>
      </c>
      <c r="G63" s="159">
        <f t="shared" ref="G63:O63" si="43">G60</f>
        <v>760</v>
      </c>
      <c r="H63" s="159">
        <f t="shared" si="43"/>
        <v>665</v>
      </c>
      <c r="I63" s="159">
        <f t="shared" si="43"/>
        <v>570</v>
      </c>
      <c r="J63" s="159">
        <f t="shared" si="43"/>
        <v>475</v>
      </c>
      <c r="K63" s="159">
        <f t="shared" si="43"/>
        <v>380</v>
      </c>
      <c r="L63" s="159">
        <f t="shared" si="43"/>
        <v>285</v>
      </c>
      <c r="M63" s="159">
        <f t="shared" si="43"/>
        <v>190</v>
      </c>
      <c r="N63" s="159">
        <f t="shared" si="43"/>
        <v>95</v>
      </c>
      <c r="O63" s="159">
        <f t="shared" si="43"/>
        <v>0</v>
      </c>
      <c r="P63" s="159">
        <f>P60</f>
        <v>0</v>
      </c>
      <c r="R63" s="418">
        <v>46813</v>
      </c>
      <c r="S63" s="167"/>
      <c r="T63" s="419">
        <v>23.75</v>
      </c>
      <c r="U63" s="417">
        <f t="shared" si="29"/>
        <v>285</v>
      </c>
    </row>
    <row r="64" spans="2:21" x14ac:dyDescent="0.35">
      <c r="B64" s="152" t="s">
        <v>431</v>
      </c>
      <c r="C64" s="152"/>
      <c r="D64" s="159">
        <v>0</v>
      </c>
      <c r="E64" s="159">
        <v>0</v>
      </c>
      <c r="F64" s="159">
        <v>0</v>
      </c>
      <c r="G64" s="159">
        <v>0</v>
      </c>
      <c r="H64" s="159">
        <v>0</v>
      </c>
      <c r="I64" s="159">
        <v>0</v>
      </c>
      <c r="J64" s="159">
        <v>0</v>
      </c>
      <c r="K64" s="159">
        <v>0</v>
      </c>
      <c r="L64" s="159">
        <v>0</v>
      </c>
      <c r="M64" s="159">
        <v>0</v>
      </c>
      <c r="N64" s="159">
        <v>0</v>
      </c>
      <c r="O64" s="159">
        <v>0</v>
      </c>
      <c r="P64" s="159"/>
      <c r="R64" s="418">
        <v>46905</v>
      </c>
      <c r="S64" s="167"/>
      <c r="T64" s="419">
        <v>23.75</v>
      </c>
      <c r="U64" s="417">
        <f t="shared" si="29"/>
        <v>308.75</v>
      </c>
    </row>
    <row r="65" spans="2:21" x14ac:dyDescent="0.35">
      <c r="B65" s="152" t="s">
        <v>432</v>
      </c>
      <c r="C65" s="152"/>
      <c r="D65" s="159">
        <v>0</v>
      </c>
      <c r="E65" s="159">
        <v>23.75</v>
      </c>
      <c r="F65" s="161">
        <v>23.75</v>
      </c>
      <c r="G65" s="161">
        <v>23.75</v>
      </c>
      <c r="H65" s="161">
        <v>23.75</v>
      </c>
      <c r="I65" s="161">
        <v>23.75</v>
      </c>
      <c r="J65" s="161">
        <v>23.75</v>
      </c>
      <c r="K65" s="161">
        <v>23.75</v>
      </c>
      <c r="L65" s="161">
        <v>23.75</v>
      </c>
      <c r="M65" s="161">
        <v>23.75</v>
      </c>
      <c r="N65" s="161">
        <v>23.75</v>
      </c>
      <c r="O65" s="161">
        <v>0</v>
      </c>
      <c r="P65" s="161">
        <v>0</v>
      </c>
      <c r="R65" s="418">
        <v>46997</v>
      </c>
      <c r="S65" s="167"/>
      <c r="T65" s="419">
        <v>23.75</v>
      </c>
      <c r="U65" s="417">
        <f t="shared" si="29"/>
        <v>332.5</v>
      </c>
    </row>
    <row r="66" spans="2:21" x14ac:dyDescent="0.35">
      <c r="B66" s="152" t="s">
        <v>433</v>
      </c>
      <c r="C66" s="152"/>
      <c r="D66" s="159">
        <f t="shared" ref="D66:P66" si="44">D63+D64-D65</f>
        <v>0</v>
      </c>
      <c r="E66" s="159">
        <f t="shared" si="44"/>
        <v>926.25</v>
      </c>
      <c r="F66" s="159">
        <f t="shared" si="44"/>
        <v>831.25</v>
      </c>
      <c r="G66" s="159">
        <f t="shared" si="44"/>
        <v>736.25</v>
      </c>
      <c r="H66" s="159">
        <f t="shared" si="44"/>
        <v>641.25</v>
      </c>
      <c r="I66" s="159">
        <f t="shared" si="44"/>
        <v>546.25</v>
      </c>
      <c r="J66" s="159">
        <f t="shared" si="44"/>
        <v>451.25</v>
      </c>
      <c r="K66" s="159">
        <f t="shared" si="44"/>
        <v>356.25</v>
      </c>
      <c r="L66" s="159">
        <f t="shared" si="44"/>
        <v>261.25</v>
      </c>
      <c r="M66" s="159">
        <f t="shared" si="44"/>
        <v>166.25</v>
      </c>
      <c r="N66" s="159">
        <f t="shared" si="44"/>
        <v>71.25</v>
      </c>
      <c r="O66" s="159">
        <f t="shared" si="44"/>
        <v>0</v>
      </c>
      <c r="P66" s="159">
        <f t="shared" si="44"/>
        <v>0</v>
      </c>
      <c r="R66" s="418">
        <v>47088</v>
      </c>
      <c r="S66" s="167"/>
      <c r="T66" s="419">
        <v>23.75</v>
      </c>
      <c r="U66" s="417">
        <f t="shared" si="29"/>
        <v>356.25</v>
      </c>
    </row>
    <row r="67" spans="2:21" x14ac:dyDescent="0.35">
      <c r="B67" s="152" t="s">
        <v>434</v>
      </c>
      <c r="C67" s="152"/>
      <c r="D67" s="159">
        <f t="shared" ref="D67:P67" si="45">((D63+D66)/2)*(D$8/4)</f>
        <v>0</v>
      </c>
      <c r="E67" s="159">
        <f t="shared" si="45"/>
        <v>25.798437499999999</v>
      </c>
      <c r="F67" s="159">
        <f t="shared" si="45"/>
        <v>23.185937500000001</v>
      </c>
      <c r="G67" s="159">
        <f t="shared" si="45"/>
        <v>20.573437500000001</v>
      </c>
      <c r="H67" s="159">
        <f t="shared" si="45"/>
        <v>17.9609375</v>
      </c>
      <c r="I67" s="159">
        <f t="shared" si="45"/>
        <v>15.348437499999999</v>
      </c>
      <c r="J67" s="159">
        <f t="shared" si="45"/>
        <v>12.7359375</v>
      </c>
      <c r="K67" s="159">
        <f t="shared" si="45"/>
        <v>10.1234375</v>
      </c>
      <c r="L67" s="159">
        <f t="shared" si="45"/>
        <v>7.5109374999999998</v>
      </c>
      <c r="M67" s="159">
        <f t="shared" si="45"/>
        <v>4.8984375</v>
      </c>
      <c r="N67" s="159">
        <f t="shared" si="45"/>
        <v>2.2859375000000002</v>
      </c>
      <c r="O67" s="159">
        <f t="shared" si="45"/>
        <v>0</v>
      </c>
      <c r="P67" s="159">
        <f t="shared" si="45"/>
        <v>0</v>
      </c>
      <c r="R67" s="418">
        <v>47178</v>
      </c>
      <c r="S67" s="167"/>
      <c r="T67" s="419">
        <v>23.75</v>
      </c>
      <c r="U67" s="417">
        <f t="shared" si="29"/>
        <v>380</v>
      </c>
    </row>
    <row r="68" spans="2:21" x14ac:dyDescent="0.35">
      <c r="B68" s="151" t="s">
        <v>438</v>
      </c>
      <c r="C68" s="152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2"/>
      <c r="P68" s="152"/>
      <c r="R68" s="418">
        <v>47270</v>
      </c>
      <c r="S68" s="167"/>
      <c r="T68" s="419">
        <v>23.75</v>
      </c>
      <c r="U68" s="417">
        <f t="shared" si="29"/>
        <v>403.75</v>
      </c>
    </row>
    <row r="69" spans="2:21" x14ac:dyDescent="0.35">
      <c r="B69" s="152" t="s">
        <v>430</v>
      </c>
      <c r="C69" s="152"/>
      <c r="D69" s="159">
        <f>D66</f>
        <v>0</v>
      </c>
      <c r="E69" s="159">
        <f>E66</f>
        <v>926.25</v>
      </c>
      <c r="F69" s="159">
        <f>F66</f>
        <v>831.25</v>
      </c>
      <c r="G69" s="159">
        <f t="shared" ref="G69:O69" si="46">G66</f>
        <v>736.25</v>
      </c>
      <c r="H69" s="159">
        <f t="shared" si="46"/>
        <v>641.25</v>
      </c>
      <c r="I69" s="159">
        <f t="shared" si="46"/>
        <v>546.25</v>
      </c>
      <c r="J69" s="159">
        <f t="shared" si="46"/>
        <v>451.25</v>
      </c>
      <c r="K69" s="159">
        <f t="shared" si="46"/>
        <v>356.25</v>
      </c>
      <c r="L69" s="159">
        <f t="shared" si="46"/>
        <v>261.25</v>
      </c>
      <c r="M69" s="159">
        <f t="shared" si="46"/>
        <v>166.25</v>
      </c>
      <c r="N69" s="159">
        <f t="shared" si="46"/>
        <v>71.25</v>
      </c>
      <c r="O69" s="159">
        <f t="shared" si="46"/>
        <v>0</v>
      </c>
      <c r="P69" s="159">
        <f>P66</f>
        <v>0</v>
      </c>
      <c r="R69" s="418">
        <v>47362</v>
      </c>
      <c r="S69" s="167"/>
      <c r="T69" s="419">
        <v>23.75</v>
      </c>
      <c r="U69" s="417">
        <f t="shared" si="29"/>
        <v>427.5</v>
      </c>
    </row>
    <row r="70" spans="2:21" x14ac:dyDescent="0.35">
      <c r="B70" s="152" t="s">
        <v>431</v>
      </c>
      <c r="C70" s="152"/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 s="159">
        <v>0</v>
      </c>
      <c r="N70" s="159">
        <v>0</v>
      </c>
      <c r="O70" s="159">
        <v>0</v>
      </c>
      <c r="P70" s="159">
        <v>0</v>
      </c>
      <c r="R70" s="418">
        <v>47453</v>
      </c>
      <c r="S70" s="167"/>
      <c r="T70" s="419">
        <v>23.75</v>
      </c>
      <c r="U70" s="417">
        <f t="shared" si="29"/>
        <v>451.25</v>
      </c>
    </row>
    <row r="71" spans="2:21" x14ac:dyDescent="0.35">
      <c r="B71" s="159" t="s">
        <v>432</v>
      </c>
      <c r="C71" s="159"/>
      <c r="D71" s="159">
        <v>0</v>
      </c>
      <c r="E71" s="159">
        <v>23.75</v>
      </c>
      <c r="F71" s="159">
        <v>23.75</v>
      </c>
      <c r="G71" s="159">
        <v>23.75</v>
      </c>
      <c r="H71" s="159">
        <v>23.75</v>
      </c>
      <c r="I71" s="159">
        <v>23.75</v>
      </c>
      <c r="J71" s="159">
        <v>23.75</v>
      </c>
      <c r="K71" s="159">
        <v>23.75</v>
      </c>
      <c r="L71" s="159">
        <v>23.75</v>
      </c>
      <c r="M71" s="159">
        <v>23.75</v>
      </c>
      <c r="N71" s="159">
        <v>23.75</v>
      </c>
      <c r="O71" s="161">
        <v>0</v>
      </c>
      <c r="P71" s="161">
        <v>0</v>
      </c>
      <c r="R71" s="418">
        <v>47543</v>
      </c>
      <c r="S71" s="167"/>
      <c r="T71" s="419">
        <v>23.75</v>
      </c>
      <c r="U71" s="417">
        <f t="shared" si="29"/>
        <v>475</v>
      </c>
    </row>
    <row r="72" spans="2:21" x14ac:dyDescent="0.35">
      <c r="B72" s="152" t="s">
        <v>433</v>
      </c>
      <c r="C72" s="152"/>
      <c r="D72" s="159">
        <f t="shared" ref="D72:P72" si="47">D69+D70-D71</f>
        <v>0</v>
      </c>
      <c r="E72" s="159">
        <f t="shared" si="47"/>
        <v>902.5</v>
      </c>
      <c r="F72" s="159">
        <f t="shared" si="47"/>
        <v>807.5</v>
      </c>
      <c r="G72" s="159">
        <f t="shared" si="47"/>
        <v>712.5</v>
      </c>
      <c r="H72" s="159">
        <f t="shared" si="47"/>
        <v>617.5</v>
      </c>
      <c r="I72" s="159">
        <f t="shared" si="47"/>
        <v>522.5</v>
      </c>
      <c r="J72" s="159">
        <f t="shared" si="47"/>
        <v>427.5</v>
      </c>
      <c r="K72" s="159">
        <f t="shared" si="47"/>
        <v>332.5</v>
      </c>
      <c r="L72" s="159">
        <f t="shared" si="47"/>
        <v>237.5</v>
      </c>
      <c r="M72" s="159">
        <f t="shared" si="47"/>
        <v>142.5</v>
      </c>
      <c r="N72" s="159">
        <f t="shared" si="47"/>
        <v>47.5</v>
      </c>
      <c r="O72" s="159">
        <f t="shared" si="47"/>
        <v>0</v>
      </c>
      <c r="P72" s="159">
        <f t="shared" si="47"/>
        <v>0</v>
      </c>
      <c r="R72" s="418">
        <v>47635</v>
      </c>
      <c r="S72" s="167"/>
      <c r="T72" s="419">
        <v>23.75</v>
      </c>
      <c r="U72" s="417">
        <f t="shared" si="29"/>
        <v>498.75</v>
      </c>
    </row>
    <row r="73" spans="2:21" x14ac:dyDescent="0.35">
      <c r="B73" s="152" t="s">
        <v>434</v>
      </c>
      <c r="C73" s="152"/>
      <c r="D73" s="159">
        <f t="shared" ref="D73:P73" si="48">((D69+D72)/2)*(D$8/4)</f>
        <v>0</v>
      </c>
      <c r="E73" s="159">
        <f t="shared" si="48"/>
        <v>25.145312499999999</v>
      </c>
      <c r="F73" s="159">
        <f t="shared" si="48"/>
        <v>22.532812499999999</v>
      </c>
      <c r="G73" s="159">
        <f t="shared" si="48"/>
        <v>19.920312500000001</v>
      </c>
      <c r="H73" s="159">
        <f t="shared" si="48"/>
        <v>17.307812500000001</v>
      </c>
      <c r="I73" s="159">
        <f t="shared" si="48"/>
        <v>14.6953125</v>
      </c>
      <c r="J73" s="159">
        <f t="shared" si="48"/>
        <v>12.082812499999999</v>
      </c>
      <c r="K73" s="159">
        <f t="shared" si="48"/>
        <v>9.4703125000000004</v>
      </c>
      <c r="L73" s="159">
        <f t="shared" si="48"/>
        <v>6.8578124999999996</v>
      </c>
      <c r="M73" s="159">
        <f t="shared" si="48"/>
        <v>4.2453124999999998</v>
      </c>
      <c r="N73" s="159">
        <f t="shared" si="48"/>
        <v>1.6328125</v>
      </c>
      <c r="O73" s="159">
        <f t="shared" si="48"/>
        <v>0</v>
      </c>
      <c r="P73" s="159">
        <f t="shared" si="48"/>
        <v>0</v>
      </c>
      <c r="R73" s="418">
        <v>47727</v>
      </c>
      <c r="S73" s="167"/>
      <c r="T73" s="419">
        <v>23.75</v>
      </c>
      <c r="U73" s="417">
        <f t="shared" si="29"/>
        <v>522.5</v>
      </c>
    </row>
    <row r="74" spans="2:21" x14ac:dyDescent="0.35">
      <c r="B74" s="151" t="s">
        <v>439</v>
      </c>
      <c r="C74" s="152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2"/>
      <c r="P74" s="152"/>
      <c r="R74" s="418">
        <v>47818</v>
      </c>
      <c r="S74" s="167"/>
      <c r="T74" s="419">
        <v>23.75</v>
      </c>
      <c r="U74" s="417">
        <f t="shared" si="29"/>
        <v>546.25</v>
      </c>
    </row>
    <row r="75" spans="2:21" x14ac:dyDescent="0.35">
      <c r="B75" s="152" t="s">
        <v>430</v>
      </c>
      <c r="C75" s="152"/>
      <c r="D75" s="159">
        <f>D72</f>
        <v>0</v>
      </c>
      <c r="E75" s="159">
        <f>E72</f>
        <v>902.5</v>
      </c>
      <c r="F75" s="159">
        <f>F72</f>
        <v>807.5</v>
      </c>
      <c r="G75" s="159">
        <f t="shared" ref="G75:O75" si="49">G72</f>
        <v>712.5</v>
      </c>
      <c r="H75" s="159">
        <f t="shared" si="49"/>
        <v>617.5</v>
      </c>
      <c r="I75" s="159">
        <f t="shared" si="49"/>
        <v>522.5</v>
      </c>
      <c r="J75" s="159">
        <f t="shared" si="49"/>
        <v>427.5</v>
      </c>
      <c r="K75" s="159">
        <f t="shared" si="49"/>
        <v>332.5</v>
      </c>
      <c r="L75" s="159">
        <f t="shared" si="49"/>
        <v>237.5</v>
      </c>
      <c r="M75" s="159">
        <f t="shared" si="49"/>
        <v>142.5</v>
      </c>
      <c r="N75" s="159">
        <f t="shared" si="49"/>
        <v>47.5</v>
      </c>
      <c r="O75" s="159">
        <f t="shared" si="49"/>
        <v>0</v>
      </c>
      <c r="P75" s="159">
        <f>P72</f>
        <v>0</v>
      </c>
      <c r="R75" s="418">
        <v>47908</v>
      </c>
      <c r="S75" s="167"/>
      <c r="T75" s="419">
        <v>23.75</v>
      </c>
      <c r="U75" s="417">
        <f t="shared" si="29"/>
        <v>570</v>
      </c>
    </row>
    <row r="76" spans="2:21" x14ac:dyDescent="0.35">
      <c r="B76" s="152" t="s">
        <v>431</v>
      </c>
      <c r="C76" s="152"/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 s="159">
        <v>0</v>
      </c>
      <c r="N76" s="159">
        <v>0</v>
      </c>
      <c r="O76" s="159">
        <v>0</v>
      </c>
      <c r="P76" s="159">
        <v>0</v>
      </c>
      <c r="R76" s="418">
        <v>48000</v>
      </c>
      <c r="S76" s="167"/>
      <c r="T76" s="419">
        <v>23.75</v>
      </c>
      <c r="U76" s="417">
        <f t="shared" si="29"/>
        <v>593.75</v>
      </c>
    </row>
    <row r="77" spans="2:21" x14ac:dyDescent="0.35">
      <c r="B77" s="152" t="s">
        <v>432</v>
      </c>
      <c r="C77" s="152"/>
      <c r="D77" s="159">
        <v>0</v>
      </c>
      <c r="E77" s="159">
        <v>23.75</v>
      </c>
      <c r="F77" s="159">
        <v>23.75</v>
      </c>
      <c r="G77" s="159">
        <v>23.75</v>
      </c>
      <c r="H77" s="159">
        <v>23.75</v>
      </c>
      <c r="I77" s="159">
        <v>23.75</v>
      </c>
      <c r="J77" s="159">
        <v>23.75</v>
      </c>
      <c r="K77" s="159">
        <v>23.75</v>
      </c>
      <c r="L77" s="159">
        <v>23.75</v>
      </c>
      <c r="M77" s="159">
        <v>23.75</v>
      </c>
      <c r="N77" s="161">
        <v>47.5</v>
      </c>
      <c r="O77" s="159">
        <v>0</v>
      </c>
      <c r="P77" s="159">
        <v>0</v>
      </c>
      <c r="R77" s="418">
        <v>48092</v>
      </c>
      <c r="S77" s="167"/>
      <c r="T77" s="419">
        <v>23.75</v>
      </c>
      <c r="U77" s="417">
        <f t="shared" si="29"/>
        <v>617.5</v>
      </c>
    </row>
    <row r="78" spans="2:21" x14ac:dyDescent="0.35">
      <c r="B78" s="152" t="s">
        <v>433</v>
      </c>
      <c r="C78" s="152"/>
      <c r="D78" s="159">
        <f t="shared" ref="D78:P78" si="50">D75+D76-D77</f>
        <v>0</v>
      </c>
      <c r="E78" s="159">
        <f t="shared" si="50"/>
        <v>878.75</v>
      </c>
      <c r="F78" s="159">
        <f t="shared" si="50"/>
        <v>783.75</v>
      </c>
      <c r="G78" s="159">
        <f t="shared" si="50"/>
        <v>688.75</v>
      </c>
      <c r="H78" s="159">
        <f t="shared" si="50"/>
        <v>593.75</v>
      </c>
      <c r="I78" s="159">
        <f t="shared" si="50"/>
        <v>498.75</v>
      </c>
      <c r="J78" s="159">
        <f t="shared" si="50"/>
        <v>403.75</v>
      </c>
      <c r="K78" s="159">
        <f t="shared" si="50"/>
        <v>308.75</v>
      </c>
      <c r="L78" s="159">
        <f t="shared" si="50"/>
        <v>213.75</v>
      </c>
      <c r="M78" s="159">
        <f t="shared" si="50"/>
        <v>118.75</v>
      </c>
      <c r="N78" s="159">
        <f t="shared" si="50"/>
        <v>0</v>
      </c>
      <c r="O78" s="159">
        <f t="shared" si="50"/>
        <v>0</v>
      </c>
      <c r="P78" s="159">
        <f t="shared" si="50"/>
        <v>0</v>
      </c>
      <c r="R78" s="418">
        <v>48183</v>
      </c>
      <c r="S78" s="167"/>
      <c r="T78" s="419">
        <v>23.75</v>
      </c>
      <c r="U78" s="417">
        <f t="shared" si="29"/>
        <v>641.25</v>
      </c>
    </row>
    <row r="79" spans="2:21" x14ac:dyDescent="0.35">
      <c r="B79" s="152" t="s">
        <v>434</v>
      </c>
      <c r="C79" s="152"/>
      <c r="D79" s="159">
        <f t="shared" ref="D79:P79" si="51">((D75+D78)/2)*(D$8/4)</f>
        <v>0</v>
      </c>
      <c r="E79" s="159">
        <f t="shared" si="51"/>
        <v>24.4921875</v>
      </c>
      <c r="F79" s="159">
        <f t="shared" si="51"/>
        <v>21.879687499999999</v>
      </c>
      <c r="G79" s="159">
        <f t="shared" si="51"/>
        <v>19.267187499999999</v>
      </c>
      <c r="H79" s="159">
        <f t="shared" si="51"/>
        <v>16.654687500000001</v>
      </c>
      <c r="I79" s="159">
        <f t="shared" si="51"/>
        <v>14.042187500000001</v>
      </c>
      <c r="J79" s="159">
        <f t="shared" si="51"/>
        <v>11.4296875</v>
      </c>
      <c r="K79" s="159">
        <f t="shared" si="51"/>
        <v>8.8171874999999993</v>
      </c>
      <c r="L79" s="159">
        <f t="shared" si="51"/>
        <v>6.2046875000000004</v>
      </c>
      <c r="M79" s="159">
        <f t="shared" si="51"/>
        <v>3.5921875000000001</v>
      </c>
      <c r="N79" s="159">
        <f t="shared" si="51"/>
        <v>0.65312499999999996</v>
      </c>
      <c r="O79" s="159">
        <f t="shared" si="51"/>
        <v>0</v>
      </c>
      <c r="P79" s="159">
        <f t="shared" si="51"/>
        <v>0</v>
      </c>
      <c r="R79" s="418">
        <v>48274</v>
      </c>
      <c r="S79" s="167"/>
      <c r="T79" s="419">
        <v>23.75</v>
      </c>
      <c r="U79" s="417">
        <f t="shared" si="29"/>
        <v>665</v>
      </c>
    </row>
    <row r="80" spans="2:21" x14ac:dyDescent="0.35">
      <c r="B80" s="151" t="s">
        <v>440</v>
      </c>
      <c r="C80" s="152"/>
      <c r="D80" s="153" t="str">
        <f>D51</f>
        <v>FY24</v>
      </c>
      <c r="E80" s="153" t="str">
        <f t="shared" ref="E80:P80" si="52">E51</f>
        <v>FY25</v>
      </c>
      <c r="F80" s="153" t="str">
        <f t="shared" si="52"/>
        <v>FY26</v>
      </c>
      <c r="G80" s="153" t="str">
        <f t="shared" si="52"/>
        <v>FY27</v>
      </c>
      <c r="H80" s="153" t="str">
        <f t="shared" si="52"/>
        <v>FY28</v>
      </c>
      <c r="I80" s="153" t="str">
        <f t="shared" si="52"/>
        <v>FY29</v>
      </c>
      <c r="J80" s="153" t="str">
        <f t="shared" si="52"/>
        <v>FY30</v>
      </c>
      <c r="K80" s="153" t="str">
        <f t="shared" si="52"/>
        <v>FY31</v>
      </c>
      <c r="L80" s="153" t="str">
        <f t="shared" si="52"/>
        <v>FY32</v>
      </c>
      <c r="M80" s="153" t="str">
        <f t="shared" si="52"/>
        <v>FY33</v>
      </c>
      <c r="N80" s="153" t="str">
        <f t="shared" si="52"/>
        <v>FY34</v>
      </c>
      <c r="O80" s="153" t="str">
        <f t="shared" si="52"/>
        <v>FY35</v>
      </c>
      <c r="P80" s="153" t="str">
        <f t="shared" si="52"/>
        <v>FY36</v>
      </c>
      <c r="R80" s="418">
        <v>48366</v>
      </c>
      <c r="S80" s="167"/>
      <c r="T80" s="419">
        <v>23.75</v>
      </c>
      <c r="U80" s="417">
        <f t="shared" si="29"/>
        <v>688.75</v>
      </c>
    </row>
    <row r="81" spans="2:21" x14ac:dyDescent="0.35">
      <c r="B81" s="152" t="s">
        <v>430</v>
      </c>
      <c r="C81" s="152"/>
      <c r="D81" s="170">
        <f>D57</f>
        <v>0</v>
      </c>
      <c r="E81" s="170">
        <f>E57</f>
        <v>950</v>
      </c>
      <c r="F81" s="170">
        <f t="shared" ref="F81:P81" si="53">F57</f>
        <v>878.75</v>
      </c>
      <c r="G81" s="170">
        <f t="shared" si="53"/>
        <v>783.75</v>
      </c>
      <c r="H81" s="170">
        <f t="shared" si="53"/>
        <v>688.75</v>
      </c>
      <c r="I81" s="170">
        <f t="shared" si="53"/>
        <v>593.75</v>
      </c>
      <c r="J81" s="170">
        <f t="shared" si="53"/>
        <v>498.75</v>
      </c>
      <c r="K81" s="170">
        <f t="shared" si="53"/>
        <v>403.75</v>
      </c>
      <c r="L81" s="170">
        <f t="shared" si="53"/>
        <v>308.75</v>
      </c>
      <c r="M81" s="170">
        <f t="shared" si="53"/>
        <v>213.75</v>
      </c>
      <c r="N81" s="170">
        <f t="shared" si="53"/>
        <v>118.75</v>
      </c>
      <c r="O81" s="170">
        <f t="shared" si="53"/>
        <v>0</v>
      </c>
      <c r="P81" s="170">
        <f t="shared" si="53"/>
        <v>0</v>
      </c>
      <c r="R81" s="418">
        <v>48458</v>
      </c>
      <c r="S81" s="167"/>
      <c r="T81" s="419">
        <v>23.75</v>
      </c>
      <c r="U81" s="417">
        <f t="shared" si="29"/>
        <v>712.5</v>
      </c>
    </row>
    <row r="82" spans="2:21" x14ac:dyDescent="0.35">
      <c r="B82" s="152" t="s">
        <v>431</v>
      </c>
      <c r="C82" s="152"/>
      <c r="D82" s="170">
        <f t="shared" ref="D82:E82" si="54">D58+D64+D70+D76</f>
        <v>0</v>
      </c>
      <c r="E82" s="170">
        <f t="shared" si="54"/>
        <v>0</v>
      </c>
      <c r="F82" s="170">
        <f>F58+F64+F70+F76</f>
        <v>0</v>
      </c>
      <c r="G82" s="170">
        <f t="shared" ref="G82:P82" si="55">G58+G64+G70+G76</f>
        <v>0</v>
      </c>
      <c r="H82" s="170">
        <f t="shared" si="55"/>
        <v>0</v>
      </c>
      <c r="I82" s="170">
        <f t="shared" si="55"/>
        <v>0</v>
      </c>
      <c r="J82" s="170">
        <f t="shared" si="55"/>
        <v>0</v>
      </c>
      <c r="K82" s="170">
        <f t="shared" si="55"/>
        <v>0</v>
      </c>
      <c r="L82" s="170">
        <f t="shared" si="55"/>
        <v>0</v>
      </c>
      <c r="M82" s="170">
        <f t="shared" si="55"/>
        <v>0</v>
      </c>
      <c r="N82" s="170">
        <f t="shared" si="55"/>
        <v>0</v>
      </c>
      <c r="O82" s="170">
        <f t="shared" si="55"/>
        <v>0</v>
      </c>
      <c r="P82" s="170">
        <f t="shared" si="55"/>
        <v>0</v>
      </c>
      <c r="R82" s="418">
        <v>48549</v>
      </c>
      <c r="S82" s="152"/>
      <c r="T82" s="419">
        <v>23.75</v>
      </c>
      <c r="U82" s="417">
        <f t="shared" si="29"/>
        <v>736.25</v>
      </c>
    </row>
    <row r="83" spans="2:21" x14ac:dyDescent="0.35">
      <c r="B83" s="152" t="s">
        <v>432</v>
      </c>
      <c r="C83" s="152"/>
      <c r="D83" s="170">
        <f t="shared" ref="D83:F83" si="56">D59+D65+D71+D77</f>
        <v>0</v>
      </c>
      <c r="E83" s="416">
        <f t="shared" si="56"/>
        <v>71.25</v>
      </c>
      <c r="F83" s="170">
        <f t="shared" si="56"/>
        <v>95</v>
      </c>
      <c r="G83" s="170">
        <f>G59+G65+G71+G77</f>
        <v>95</v>
      </c>
      <c r="H83" s="170">
        <f t="shared" ref="H83:N83" si="57">H59+H65+H71+H77</f>
        <v>95</v>
      </c>
      <c r="I83" s="170">
        <f t="shared" si="57"/>
        <v>95</v>
      </c>
      <c r="J83" s="170">
        <f t="shared" si="57"/>
        <v>95</v>
      </c>
      <c r="K83" s="170">
        <f t="shared" si="57"/>
        <v>95</v>
      </c>
      <c r="L83" s="170">
        <f t="shared" si="57"/>
        <v>95</v>
      </c>
      <c r="M83" s="170">
        <f t="shared" si="57"/>
        <v>95</v>
      </c>
      <c r="N83" s="170">
        <f t="shared" si="57"/>
        <v>118.75</v>
      </c>
      <c r="O83" s="170">
        <f>O59+O65+O71+O77</f>
        <v>0</v>
      </c>
      <c r="P83" s="170">
        <f>P59+P65+P71+P77</f>
        <v>0</v>
      </c>
      <c r="R83" s="418">
        <v>48639</v>
      </c>
      <c r="S83" s="152"/>
      <c r="T83" s="419">
        <v>23.75</v>
      </c>
      <c r="U83" s="417">
        <f t="shared" si="29"/>
        <v>760</v>
      </c>
    </row>
    <row r="84" spans="2:21" x14ac:dyDescent="0.35">
      <c r="B84" s="152" t="s">
        <v>433</v>
      </c>
      <c r="C84" s="152"/>
      <c r="D84" s="170">
        <f t="shared" ref="D84:P84" si="58">D81+D82-D83</f>
        <v>0</v>
      </c>
      <c r="E84" s="170">
        <f t="shared" si="58"/>
        <v>878.75</v>
      </c>
      <c r="F84" s="170">
        <f t="shared" si="58"/>
        <v>783.75</v>
      </c>
      <c r="G84" s="170">
        <f t="shared" si="58"/>
        <v>688.75</v>
      </c>
      <c r="H84" s="170">
        <f t="shared" si="58"/>
        <v>593.75</v>
      </c>
      <c r="I84" s="170">
        <f t="shared" si="58"/>
        <v>498.75</v>
      </c>
      <c r="J84" s="170">
        <f t="shared" si="58"/>
        <v>403.75</v>
      </c>
      <c r="K84" s="170">
        <f t="shared" si="58"/>
        <v>308.75</v>
      </c>
      <c r="L84" s="170">
        <f t="shared" si="58"/>
        <v>213.75</v>
      </c>
      <c r="M84" s="170">
        <f t="shared" si="58"/>
        <v>118.75</v>
      </c>
      <c r="N84" s="170">
        <f t="shared" si="58"/>
        <v>0</v>
      </c>
      <c r="O84" s="170">
        <f t="shared" si="58"/>
        <v>0</v>
      </c>
      <c r="P84" s="170">
        <f t="shared" si="58"/>
        <v>0</v>
      </c>
      <c r="R84" s="418">
        <v>48731</v>
      </c>
      <c r="S84" s="152"/>
      <c r="T84" s="419">
        <v>23.75</v>
      </c>
      <c r="U84" s="417">
        <f t="shared" si="29"/>
        <v>783.75</v>
      </c>
    </row>
    <row r="85" spans="2:21" x14ac:dyDescent="0.35">
      <c r="B85" s="152" t="s">
        <v>434</v>
      </c>
      <c r="C85" s="152"/>
      <c r="D85" s="170">
        <f t="shared" ref="D85:N85" si="59">D61+D67+D73+D79</f>
        <v>0</v>
      </c>
      <c r="E85" s="170">
        <f t="shared" si="59"/>
        <v>101.56093749999999</v>
      </c>
      <c r="F85" s="170">
        <f t="shared" si="59"/>
        <v>91.437500000000014</v>
      </c>
      <c r="G85" s="170">
        <f t="shared" si="59"/>
        <v>80.987499999999997</v>
      </c>
      <c r="H85" s="170">
        <f t="shared" si="59"/>
        <v>70.537499999999994</v>
      </c>
      <c r="I85" s="170">
        <f t="shared" si="59"/>
        <v>60.087499999999991</v>
      </c>
      <c r="J85" s="170">
        <f t="shared" si="59"/>
        <v>49.637500000000003</v>
      </c>
      <c r="K85" s="170">
        <f t="shared" si="59"/>
        <v>39.1875</v>
      </c>
      <c r="L85" s="170">
        <f t="shared" si="59"/>
        <v>28.737499999999997</v>
      </c>
      <c r="M85" s="170">
        <f t="shared" si="59"/>
        <v>18.287500000000001</v>
      </c>
      <c r="N85" s="170">
        <f t="shared" si="59"/>
        <v>7.5109374999999998</v>
      </c>
      <c r="O85" s="170">
        <f>O61+O67+O73+O79</f>
        <v>0</v>
      </c>
      <c r="P85" s="170">
        <f>P61+P67+P73+P79</f>
        <v>0</v>
      </c>
      <c r="R85" s="418">
        <v>48823</v>
      </c>
      <c r="S85" s="152"/>
      <c r="T85" s="419">
        <v>23.75</v>
      </c>
      <c r="U85" s="417">
        <f t="shared" si="29"/>
        <v>807.5</v>
      </c>
    </row>
    <row r="86" spans="2:21" x14ac:dyDescent="0.35">
      <c r="B86" s="152"/>
      <c r="C86" s="152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2"/>
      <c r="P86" s="152"/>
      <c r="R86" s="418">
        <v>48914</v>
      </c>
      <c r="S86" s="152"/>
      <c r="T86" s="419">
        <v>23.75</v>
      </c>
      <c r="U86" s="417">
        <f t="shared" si="29"/>
        <v>831.25</v>
      </c>
    </row>
    <row r="87" spans="2:21" x14ac:dyDescent="0.35">
      <c r="B87" s="152"/>
      <c r="C87" s="152"/>
      <c r="D87" s="159">
        <f>D85</f>
        <v>0</v>
      </c>
      <c r="E87" s="159">
        <f>E85</f>
        <v>101.56093749999999</v>
      </c>
      <c r="F87" s="159"/>
      <c r="G87" s="159"/>
      <c r="H87" s="162"/>
      <c r="I87" s="162"/>
      <c r="J87" s="162"/>
      <c r="K87" s="162"/>
      <c r="L87" s="162"/>
      <c r="M87" s="162"/>
      <c r="N87" s="162"/>
      <c r="O87" s="152"/>
      <c r="P87" s="152"/>
      <c r="R87" s="418">
        <v>49004</v>
      </c>
      <c r="S87" s="152"/>
      <c r="T87" s="419">
        <v>23.75</v>
      </c>
      <c r="U87" s="417">
        <f t="shared" si="29"/>
        <v>855</v>
      </c>
    </row>
    <row r="88" spans="2:21" x14ac:dyDescent="0.35">
      <c r="R88" s="418">
        <v>49096</v>
      </c>
      <c r="S88" s="152"/>
      <c r="T88" s="419">
        <v>23.75</v>
      </c>
      <c r="U88" s="417">
        <f t="shared" si="29"/>
        <v>878.75</v>
      </c>
    </row>
    <row r="89" spans="2:21" x14ac:dyDescent="0.35">
      <c r="R89" s="418">
        <v>49188</v>
      </c>
      <c r="S89" s="152"/>
      <c r="T89" s="419">
        <v>23.75</v>
      </c>
      <c r="U89" s="417">
        <f t="shared" si="29"/>
        <v>902.5</v>
      </c>
    </row>
    <row r="90" spans="2:21" x14ac:dyDescent="0.35">
      <c r="R90" s="418">
        <v>49279</v>
      </c>
      <c r="S90" s="152"/>
      <c r="T90" s="152">
        <v>47.5</v>
      </c>
      <c r="U90" s="417">
        <f t="shared" si="29"/>
        <v>950</v>
      </c>
    </row>
    <row r="93" spans="2:21" x14ac:dyDescent="0.35">
      <c r="B93" s="143" t="s">
        <v>60</v>
      </c>
    </row>
    <row r="94" spans="2:21" x14ac:dyDescent="0.35">
      <c r="B94" s="143" t="str">
        <f>B6</f>
        <v>Description</v>
      </c>
      <c r="C94" s="143"/>
      <c r="D94" s="175" t="s">
        <v>416</v>
      </c>
      <c r="E94" s="175" t="s">
        <v>417</v>
      </c>
      <c r="F94" s="175" t="s">
        <v>418</v>
      </c>
      <c r="G94" s="175" t="s">
        <v>419</v>
      </c>
      <c r="H94" s="175" t="s">
        <v>420</v>
      </c>
      <c r="I94" s="175" t="s">
        <v>421</v>
      </c>
      <c r="J94" s="175" t="s">
        <v>422</v>
      </c>
      <c r="K94" s="175" t="s">
        <v>423</v>
      </c>
      <c r="L94" s="175" t="s">
        <v>424</v>
      </c>
      <c r="M94" s="175" t="s">
        <v>425</v>
      </c>
      <c r="N94" s="175" t="s">
        <v>426</v>
      </c>
      <c r="O94" s="175" t="s">
        <v>427</v>
      </c>
      <c r="P94" s="175" t="s">
        <v>428</v>
      </c>
    </row>
    <row r="95" spans="2:21" x14ac:dyDescent="0.35">
      <c r="B95" s="176" t="s">
        <v>364</v>
      </c>
      <c r="D95" s="156">
        <f t="shared" ref="D95:N95" si="60">D8</f>
        <v>0.11</v>
      </c>
      <c r="E95" s="156">
        <f t="shared" si="60"/>
        <v>0.11</v>
      </c>
      <c r="F95" s="156">
        <f t="shared" si="60"/>
        <v>0.11</v>
      </c>
      <c r="G95" s="156">
        <f t="shared" si="60"/>
        <v>0.11</v>
      </c>
      <c r="H95" s="156">
        <f t="shared" si="60"/>
        <v>0.11</v>
      </c>
      <c r="I95" s="156">
        <f t="shared" si="60"/>
        <v>0.11</v>
      </c>
      <c r="J95" s="156">
        <f t="shared" si="60"/>
        <v>0.11</v>
      </c>
      <c r="K95" s="156">
        <f t="shared" si="60"/>
        <v>0.11</v>
      </c>
      <c r="L95" s="156">
        <f t="shared" si="60"/>
        <v>0.11</v>
      </c>
      <c r="M95" s="156">
        <f t="shared" si="60"/>
        <v>0.11</v>
      </c>
      <c r="N95" s="156">
        <f t="shared" si="60"/>
        <v>0.11</v>
      </c>
      <c r="O95" s="156">
        <f>N95</f>
        <v>0.11</v>
      </c>
      <c r="P95" s="156">
        <f>O95</f>
        <v>0.11</v>
      </c>
    </row>
    <row r="96" spans="2:21" x14ac:dyDescent="0.35">
      <c r="B96" s="176" t="s">
        <v>430</v>
      </c>
      <c r="D96" s="160">
        <v>0</v>
      </c>
      <c r="E96" s="160">
        <f>D97</f>
        <v>0</v>
      </c>
      <c r="F96" s="160">
        <f t="shared" ref="F96:O96" si="61">E97</f>
        <v>0</v>
      </c>
      <c r="G96" s="160">
        <f t="shared" si="61"/>
        <v>0</v>
      </c>
      <c r="H96" s="160">
        <f t="shared" si="61"/>
        <v>74.786840109030635</v>
      </c>
      <c r="I96" s="160">
        <f t="shared" si="61"/>
        <v>94.841707158813776</v>
      </c>
      <c r="J96" s="160">
        <f t="shared" si="61"/>
        <v>102.13204161527177</v>
      </c>
      <c r="K96" s="160">
        <f t="shared" si="61"/>
        <v>109.42237607172976</v>
      </c>
      <c r="L96" s="160">
        <f t="shared" si="61"/>
        <v>116.6778453107964</v>
      </c>
      <c r="M96" s="160">
        <f t="shared" si="61"/>
        <v>123.960861446677</v>
      </c>
      <c r="N96" s="160">
        <f t="shared" si="61"/>
        <v>124.01544305041008</v>
      </c>
      <c r="O96" s="160">
        <f t="shared" si="61"/>
        <v>124.07002465414318</v>
      </c>
      <c r="P96" s="160">
        <f>O97</f>
        <v>124.12460625787628</v>
      </c>
    </row>
    <row r="97" spans="2:16" x14ac:dyDescent="0.35">
      <c r="B97" s="176" t="s">
        <v>433</v>
      </c>
      <c r="D97" s="160">
        <v>0</v>
      </c>
      <c r="E97" s="160">
        <v>0</v>
      </c>
      <c r="F97" s="160">
        <v>0</v>
      </c>
      <c r="G97" s="160">
        <v>74.786840109030635</v>
      </c>
      <c r="H97" s="160">
        <v>94.841707158813776</v>
      </c>
      <c r="I97" s="160">
        <v>102.13204161527177</v>
      </c>
      <c r="J97" s="160">
        <v>109.42237607172976</v>
      </c>
      <c r="K97" s="160">
        <v>116.6778453107964</v>
      </c>
      <c r="L97" s="160">
        <v>123.960861446677</v>
      </c>
      <c r="M97" s="160">
        <v>124.01544305041008</v>
      </c>
      <c r="N97" s="160">
        <v>124.07002465414318</v>
      </c>
      <c r="O97" s="160">
        <v>124.12460625787628</v>
      </c>
      <c r="P97" s="160">
        <v>124.17918786160936</v>
      </c>
    </row>
    <row r="98" spans="2:16" x14ac:dyDescent="0.35">
      <c r="B98" s="176" t="s">
        <v>434</v>
      </c>
      <c r="D98" s="146">
        <f>(D96+D97)/2*D95</f>
        <v>0</v>
      </c>
      <c r="E98" s="146">
        <f>(E96+E97)/2*E95/4</f>
        <v>0</v>
      </c>
      <c r="F98" s="146">
        <f t="shared" ref="F98" si="62">(F96+F97)/2*F95</f>
        <v>0</v>
      </c>
      <c r="G98" s="146">
        <v>1.0283190514991711</v>
      </c>
      <c r="H98" s="146">
        <v>9.3295700997314412</v>
      </c>
      <c r="I98" s="146">
        <v>10.833556182574705</v>
      </c>
      <c r="J98" s="146">
        <v>11.635492972785086</v>
      </c>
      <c r="K98" s="146">
        <v>12.435512176038939</v>
      </c>
      <c r="L98" s="146">
        <v>13.235128871661038</v>
      </c>
      <c r="M98" s="146">
        <v>13.638696747339788</v>
      </c>
      <c r="N98" s="146">
        <v>13.644700723750427</v>
      </c>
      <c r="O98" s="146">
        <v>13.650704700161072</v>
      </c>
      <c r="P98" s="146">
        <v>13.656708676571711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DC942"/>
  <sheetViews>
    <sheetView zoomScale="80" zoomScaleNormal="80" workbookViewId="0">
      <pane xSplit="3" ySplit="8" topLeftCell="F126" activePane="bottomRight" state="frozen"/>
      <selection activeCell="L90" sqref="L90"/>
      <selection pane="topRight" activeCell="L90" sqref="L90"/>
      <selection pane="bottomLeft" activeCell="L90" sqref="L90"/>
      <selection pane="bottomRight" activeCell="I142" sqref="I142"/>
    </sheetView>
  </sheetViews>
  <sheetFormatPr defaultColWidth="11.453125" defaultRowHeight="15.5" x14ac:dyDescent="0.35"/>
  <cols>
    <col min="1" max="1" width="82.453125" style="1" bestFit="1" customWidth="1"/>
    <col min="2" max="2" width="12.81640625" style="1" hidden="1" customWidth="1"/>
    <col min="3" max="3" width="12.453125" style="1" hidden="1" customWidth="1"/>
    <col min="4" max="4" width="11.453125" style="1" hidden="1" customWidth="1"/>
    <col min="5" max="5" width="12" style="1" hidden="1" customWidth="1"/>
    <col min="6" max="6" width="10.81640625" style="1" bestFit="1" customWidth="1"/>
    <col min="7" max="7" width="12.54296875" style="1" bestFit="1" customWidth="1"/>
    <col min="8" max="8" width="13" style="315" bestFit="1" customWidth="1"/>
    <col min="9" max="9" width="11.26953125" style="1" bestFit="1" customWidth="1"/>
    <col min="10" max="10" width="11.81640625" style="1" customWidth="1"/>
    <col min="11" max="11" width="12" style="1" customWidth="1"/>
    <col min="12" max="15" width="12.1796875" style="1" bestFit="1" customWidth="1"/>
    <col min="16" max="18" width="11.453125" style="1" hidden="1" customWidth="1"/>
    <col min="19" max="19" width="13.81640625" style="23" bestFit="1" customWidth="1"/>
    <col min="20" max="20" width="16.453125" style="23" bestFit="1" customWidth="1"/>
    <col min="21" max="258" width="11.453125" style="23"/>
    <col min="259" max="259" width="60.453125" style="23" customWidth="1"/>
    <col min="260" max="262" width="0" style="23" hidden="1" customWidth="1"/>
    <col min="263" max="263" width="12" style="23" customWidth="1"/>
    <col min="264" max="264" width="11.453125" style="23" customWidth="1"/>
    <col min="265" max="267" width="11.1796875" style="23" customWidth="1"/>
    <col min="268" max="268" width="11.453125" style="23" customWidth="1"/>
    <col min="269" max="269" width="0" style="23" hidden="1" customWidth="1"/>
    <col min="270" max="271" width="14.1796875" style="23" customWidth="1"/>
    <col min="272" max="514" width="11.453125" style="23"/>
    <col min="515" max="515" width="60.453125" style="23" customWidth="1"/>
    <col min="516" max="518" width="0" style="23" hidden="1" customWidth="1"/>
    <col min="519" max="519" width="12" style="23" customWidth="1"/>
    <col min="520" max="520" width="11.453125" style="23" customWidth="1"/>
    <col min="521" max="523" width="11.1796875" style="23" customWidth="1"/>
    <col min="524" max="524" width="11.453125" style="23" customWidth="1"/>
    <col min="525" max="525" width="0" style="23" hidden="1" customWidth="1"/>
    <col min="526" max="527" width="14.1796875" style="23" customWidth="1"/>
    <col min="528" max="770" width="11.453125" style="23"/>
    <col min="771" max="771" width="60.453125" style="23" customWidth="1"/>
    <col min="772" max="774" width="0" style="23" hidden="1" customWidth="1"/>
    <col min="775" max="775" width="12" style="23" customWidth="1"/>
    <col min="776" max="776" width="11.453125" style="23" customWidth="1"/>
    <col min="777" max="779" width="11.1796875" style="23" customWidth="1"/>
    <col min="780" max="780" width="11.453125" style="23" customWidth="1"/>
    <col min="781" max="781" width="0" style="23" hidden="1" customWidth="1"/>
    <col min="782" max="783" width="14.1796875" style="23" customWidth="1"/>
    <col min="784" max="1026" width="11.453125" style="23"/>
    <col min="1027" max="1027" width="60.453125" style="23" customWidth="1"/>
    <col min="1028" max="1030" width="0" style="23" hidden="1" customWidth="1"/>
    <col min="1031" max="1031" width="12" style="23" customWidth="1"/>
    <col min="1032" max="1032" width="11.453125" style="23" customWidth="1"/>
    <col min="1033" max="1035" width="11.1796875" style="23" customWidth="1"/>
    <col min="1036" max="1036" width="11.453125" style="23" customWidth="1"/>
    <col min="1037" max="1037" width="0" style="23" hidden="1" customWidth="1"/>
    <col min="1038" max="1039" width="14.1796875" style="23" customWidth="1"/>
    <col min="1040" max="1282" width="11.453125" style="23"/>
    <col min="1283" max="1283" width="60.453125" style="23" customWidth="1"/>
    <col min="1284" max="1286" width="0" style="23" hidden="1" customWidth="1"/>
    <col min="1287" max="1287" width="12" style="23" customWidth="1"/>
    <col min="1288" max="1288" width="11.453125" style="23" customWidth="1"/>
    <col min="1289" max="1291" width="11.1796875" style="23" customWidth="1"/>
    <col min="1292" max="1292" width="11.453125" style="23" customWidth="1"/>
    <col min="1293" max="1293" width="0" style="23" hidden="1" customWidth="1"/>
    <col min="1294" max="1295" width="14.1796875" style="23" customWidth="1"/>
    <col min="1296" max="1538" width="11.453125" style="23"/>
    <col min="1539" max="1539" width="60.453125" style="23" customWidth="1"/>
    <col min="1540" max="1542" width="0" style="23" hidden="1" customWidth="1"/>
    <col min="1543" max="1543" width="12" style="23" customWidth="1"/>
    <col min="1544" max="1544" width="11.453125" style="23" customWidth="1"/>
    <col min="1545" max="1547" width="11.1796875" style="23" customWidth="1"/>
    <col min="1548" max="1548" width="11.453125" style="23" customWidth="1"/>
    <col min="1549" max="1549" width="0" style="23" hidden="1" customWidth="1"/>
    <col min="1550" max="1551" width="14.1796875" style="23" customWidth="1"/>
    <col min="1552" max="1794" width="11.453125" style="23"/>
    <col min="1795" max="1795" width="60.453125" style="23" customWidth="1"/>
    <col min="1796" max="1798" width="0" style="23" hidden="1" customWidth="1"/>
    <col min="1799" max="1799" width="12" style="23" customWidth="1"/>
    <col min="1800" max="1800" width="11.453125" style="23" customWidth="1"/>
    <col min="1801" max="1803" width="11.1796875" style="23" customWidth="1"/>
    <col min="1804" max="1804" width="11.453125" style="23" customWidth="1"/>
    <col min="1805" max="1805" width="0" style="23" hidden="1" customWidth="1"/>
    <col min="1806" max="1807" width="14.1796875" style="23" customWidth="1"/>
    <col min="1808" max="2050" width="11.453125" style="23"/>
    <col min="2051" max="2051" width="60.453125" style="23" customWidth="1"/>
    <col min="2052" max="2054" width="0" style="23" hidden="1" customWidth="1"/>
    <col min="2055" max="2055" width="12" style="23" customWidth="1"/>
    <col min="2056" max="2056" width="11.453125" style="23" customWidth="1"/>
    <col min="2057" max="2059" width="11.1796875" style="23" customWidth="1"/>
    <col min="2060" max="2060" width="11.453125" style="23" customWidth="1"/>
    <col min="2061" max="2061" width="0" style="23" hidden="1" customWidth="1"/>
    <col min="2062" max="2063" width="14.1796875" style="23" customWidth="1"/>
    <col min="2064" max="2306" width="11.453125" style="23"/>
    <col min="2307" max="2307" width="60.453125" style="23" customWidth="1"/>
    <col min="2308" max="2310" width="0" style="23" hidden="1" customWidth="1"/>
    <col min="2311" max="2311" width="12" style="23" customWidth="1"/>
    <col min="2312" max="2312" width="11.453125" style="23" customWidth="1"/>
    <col min="2313" max="2315" width="11.1796875" style="23" customWidth="1"/>
    <col min="2316" max="2316" width="11.453125" style="23" customWidth="1"/>
    <col min="2317" max="2317" width="0" style="23" hidden="1" customWidth="1"/>
    <col min="2318" max="2319" width="14.1796875" style="23" customWidth="1"/>
    <col min="2320" max="2562" width="11.453125" style="23"/>
    <col min="2563" max="2563" width="60.453125" style="23" customWidth="1"/>
    <col min="2564" max="2566" width="0" style="23" hidden="1" customWidth="1"/>
    <col min="2567" max="2567" width="12" style="23" customWidth="1"/>
    <col min="2568" max="2568" width="11.453125" style="23" customWidth="1"/>
    <col min="2569" max="2571" width="11.1796875" style="23" customWidth="1"/>
    <col min="2572" max="2572" width="11.453125" style="23" customWidth="1"/>
    <col min="2573" max="2573" width="0" style="23" hidden="1" customWidth="1"/>
    <col min="2574" max="2575" width="14.1796875" style="23" customWidth="1"/>
    <col min="2576" max="2818" width="11.453125" style="23"/>
    <col min="2819" max="2819" width="60.453125" style="23" customWidth="1"/>
    <col min="2820" max="2822" width="0" style="23" hidden="1" customWidth="1"/>
    <col min="2823" max="2823" width="12" style="23" customWidth="1"/>
    <col min="2824" max="2824" width="11.453125" style="23" customWidth="1"/>
    <col min="2825" max="2827" width="11.1796875" style="23" customWidth="1"/>
    <col min="2828" max="2828" width="11.453125" style="23" customWidth="1"/>
    <col min="2829" max="2829" width="0" style="23" hidden="1" customWidth="1"/>
    <col min="2830" max="2831" width="14.1796875" style="23" customWidth="1"/>
    <col min="2832" max="3074" width="11.453125" style="23"/>
    <col min="3075" max="3075" width="60.453125" style="23" customWidth="1"/>
    <col min="3076" max="3078" width="0" style="23" hidden="1" customWidth="1"/>
    <col min="3079" max="3079" width="12" style="23" customWidth="1"/>
    <col min="3080" max="3080" width="11.453125" style="23" customWidth="1"/>
    <col min="3081" max="3083" width="11.1796875" style="23" customWidth="1"/>
    <col min="3084" max="3084" width="11.453125" style="23" customWidth="1"/>
    <col min="3085" max="3085" width="0" style="23" hidden="1" customWidth="1"/>
    <col min="3086" max="3087" width="14.1796875" style="23" customWidth="1"/>
    <col min="3088" max="3330" width="11.453125" style="23"/>
    <col min="3331" max="3331" width="60.453125" style="23" customWidth="1"/>
    <col min="3332" max="3334" width="0" style="23" hidden="1" customWidth="1"/>
    <col min="3335" max="3335" width="12" style="23" customWidth="1"/>
    <col min="3336" max="3336" width="11.453125" style="23" customWidth="1"/>
    <col min="3337" max="3339" width="11.1796875" style="23" customWidth="1"/>
    <col min="3340" max="3340" width="11.453125" style="23" customWidth="1"/>
    <col min="3341" max="3341" width="0" style="23" hidden="1" customWidth="1"/>
    <col min="3342" max="3343" width="14.1796875" style="23" customWidth="1"/>
    <col min="3344" max="3586" width="11.453125" style="23"/>
    <col min="3587" max="3587" width="60.453125" style="23" customWidth="1"/>
    <col min="3588" max="3590" width="0" style="23" hidden="1" customWidth="1"/>
    <col min="3591" max="3591" width="12" style="23" customWidth="1"/>
    <col min="3592" max="3592" width="11.453125" style="23" customWidth="1"/>
    <col min="3593" max="3595" width="11.1796875" style="23" customWidth="1"/>
    <col min="3596" max="3596" width="11.453125" style="23" customWidth="1"/>
    <col min="3597" max="3597" width="0" style="23" hidden="1" customWidth="1"/>
    <col min="3598" max="3599" width="14.1796875" style="23" customWidth="1"/>
    <col min="3600" max="3842" width="11.453125" style="23"/>
    <col min="3843" max="3843" width="60.453125" style="23" customWidth="1"/>
    <col min="3844" max="3846" width="0" style="23" hidden="1" customWidth="1"/>
    <col min="3847" max="3847" width="12" style="23" customWidth="1"/>
    <col min="3848" max="3848" width="11.453125" style="23" customWidth="1"/>
    <col min="3849" max="3851" width="11.1796875" style="23" customWidth="1"/>
    <col min="3852" max="3852" width="11.453125" style="23" customWidth="1"/>
    <col min="3853" max="3853" width="0" style="23" hidden="1" customWidth="1"/>
    <col min="3854" max="3855" width="14.1796875" style="23" customWidth="1"/>
    <col min="3856" max="4098" width="11.453125" style="23"/>
    <col min="4099" max="4099" width="60.453125" style="23" customWidth="1"/>
    <col min="4100" max="4102" width="0" style="23" hidden="1" customWidth="1"/>
    <col min="4103" max="4103" width="12" style="23" customWidth="1"/>
    <col min="4104" max="4104" width="11.453125" style="23" customWidth="1"/>
    <col min="4105" max="4107" width="11.1796875" style="23" customWidth="1"/>
    <col min="4108" max="4108" width="11.453125" style="23" customWidth="1"/>
    <col min="4109" max="4109" width="0" style="23" hidden="1" customWidth="1"/>
    <col min="4110" max="4111" width="14.1796875" style="23" customWidth="1"/>
    <col min="4112" max="4354" width="11.453125" style="23"/>
    <col min="4355" max="4355" width="60.453125" style="23" customWidth="1"/>
    <col min="4356" max="4358" width="0" style="23" hidden="1" customWidth="1"/>
    <col min="4359" max="4359" width="12" style="23" customWidth="1"/>
    <col min="4360" max="4360" width="11.453125" style="23" customWidth="1"/>
    <col min="4361" max="4363" width="11.1796875" style="23" customWidth="1"/>
    <col min="4364" max="4364" width="11.453125" style="23" customWidth="1"/>
    <col min="4365" max="4365" width="0" style="23" hidden="1" customWidth="1"/>
    <col min="4366" max="4367" width="14.1796875" style="23" customWidth="1"/>
    <col min="4368" max="4610" width="11.453125" style="23"/>
    <col min="4611" max="4611" width="60.453125" style="23" customWidth="1"/>
    <col min="4612" max="4614" width="0" style="23" hidden="1" customWidth="1"/>
    <col min="4615" max="4615" width="12" style="23" customWidth="1"/>
    <col min="4616" max="4616" width="11.453125" style="23" customWidth="1"/>
    <col min="4617" max="4619" width="11.1796875" style="23" customWidth="1"/>
    <col min="4620" max="4620" width="11.453125" style="23" customWidth="1"/>
    <col min="4621" max="4621" width="0" style="23" hidden="1" customWidth="1"/>
    <col min="4622" max="4623" width="14.1796875" style="23" customWidth="1"/>
    <col min="4624" max="4866" width="11.453125" style="23"/>
    <col min="4867" max="4867" width="60.453125" style="23" customWidth="1"/>
    <col min="4868" max="4870" width="0" style="23" hidden="1" customWidth="1"/>
    <col min="4871" max="4871" width="12" style="23" customWidth="1"/>
    <col min="4872" max="4872" width="11.453125" style="23" customWidth="1"/>
    <col min="4873" max="4875" width="11.1796875" style="23" customWidth="1"/>
    <col min="4876" max="4876" width="11.453125" style="23" customWidth="1"/>
    <col min="4877" max="4877" width="0" style="23" hidden="1" customWidth="1"/>
    <col min="4878" max="4879" width="14.1796875" style="23" customWidth="1"/>
    <col min="4880" max="5122" width="11.453125" style="23"/>
    <col min="5123" max="5123" width="60.453125" style="23" customWidth="1"/>
    <col min="5124" max="5126" width="0" style="23" hidden="1" customWidth="1"/>
    <col min="5127" max="5127" width="12" style="23" customWidth="1"/>
    <col min="5128" max="5128" width="11.453125" style="23" customWidth="1"/>
    <col min="5129" max="5131" width="11.1796875" style="23" customWidth="1"/>
    <col min="5132" max="5132" width="11.453125" style="23" customWidth="1"/>
    <col min="5133" max="5133" width="0" style="23" hidden="1" customWidth="1"/>
    <col min="5134" max="5135" width="14.1796875" style="23" customWidth="1"/>
    <col min="5136" max="5378" width="11.453125" style="23"/>
    <col min="5379" max="5379" width="60.453125" style="23" customWidth="1"/>
    <col min="5380" max="5382" width="0" style="23" hidden="1" customWidth="1"/>
    <col min="5383" max="5383" width="12" style="23" customWidth="1"/>
    <col min="5384" max="5384" width="11.453125" style="23" customWidth="1"/>
    <col min="5385" max="5387" width="11.1796875" style="23" customWidth="1"/>
    <col min="5388" max="5388" width="11.453125" style="23" customWidth="1"/>
    <col min="5389" max="5389" width="0" style="23" hidden="1" customWidth="1"/>
    <col min="5390" max="5391" width="14.1796875" style="23" customWidth="1"/>
    <col min="5392" max="5634" width="11.453125" style="23"/>
    <col min="5635" max="5635" width="60.453125" style="23" customWidth="1"/>
    <col min="5636" max="5638" width="0" style="23" hidden="1" customWidth="1"/>
    <col min="5639" max="5639" width="12" style="23" customWidth="1"/>
    <col min="5640" max="5640" width="11.453125" style="23" customWidth="1"/>
    <col min="5641" max="5643" width="11.1796875" style="23" customWidth="1"/>
    <col min="5644" max="5644" width="11.453125" style="23" customWidth="1"/>
    <col min="5645" max="5645" width="0" style="23" hidden="1" customWidth="1"/>
    <col min="5646" max="5647" width="14.1796875" style="23" customWidth="1"/>
    <col min="5648" max="5890" width="11.453125" style="23"/>
    <col min="5891" max="5891" width="60.453125" style="23" customWidth="1"/>
    <col min="5892" max="5894" width="0" style="23" hidden="1" customWidth="1"/>
    <col min="5895" max="5895" width="12" style="23" customWidth="1"/>
    <col min="5896" max="5896" width="11.453125" style="23" customWidth="1"/>
    <col min="5897" max="5899" width="11.1796875" style="23" customWidth="1"/>
    <col min="5900" max="5900" width="11.453125" style="23" customWidth="1"/>
    <col min="5901" max="5901" width="0" style="23" hidden="1" customWidth="1"/>
    <col min="5902" max="5903" width="14.1796875" style="23" customWidth="1"/>
    <col min="5904" max="6146" width="11.453125" style="23"/>
    <col min="6147" max="6147" width="60.453125" style="23" customWidth="1"/>
    <col min="6148" max="6150" width="0" style="23" hidden="1" customWidth="1"/>
    <col min="6151" max="6151" width="12" style="23" customWidth="1"/>
    <col min="6152" max="6152" width="11.453125" style="23" customWidth="1"/>
    <col min="6153" max="6155" width="11.1796875" style="23" customWidth="1"/>
    <col min="6156" max="6156" width="11.453125" style="23" customWidth="1"/>
    <col min="6157" max="6157" width="0" style="23" hidden="1" customWidth="1"/>
    <col min="6158" max="6159" width="14.1796875" style="23" customWidth="1"/>
    <col min="6160" max="6402" width="11.453125" style="23"/>
    <col min="6403" max="6403" width="60.453125" style="23" customWidth="1"/>
    <col min="6404" max="6406" width="0" style="23" hidden="1" customWidth="1"/>
    <col min="6407" max="6407" width="12" style="23" customWidth="1"/>
    <col min="6408" max="6408" width="11.453125" style="23" customWidth="1"/>
    <col min="6409" max="6411" width="11.1796875" style="23" customWidth="1"/>
    <col min="6412" max="6412" width="11.453125" style="23" customWidth="1"/>
    <col min="6413" max="6413" width="0" style="23" hidden="1" customWidth="1"/>
    <col min="6414" max="6415" width="14.1796875" style="23" customWidth="1"/>
    <col min="6416" max="6658" width="11.453125" style="23"/>
    <col min="6659" max="6659" width="60.453125" style="23" customWidth="1"/>
    <col min="6660" max="6662" width="0" style="23" hidden="1" customWidth="1"/>
    <col min="6663" max="6663" width="12" style="23" customWidth="1"/>
    <col min="6664" max="6664" width="11.453125" style="23" customWidth="1"/>
    <col min="6665" max="6667" width="11.1796875" style="23" customWidth="1"/>
    <col min="6668" max="6668" width="11.453125" style="23" customWidth="1"/>
    <col min="6669" max="6669" width="0" style="23" hidden="1" customWidth="1"/>
    <col min="6670" max="6671" width="14.1796875" style="23" customWidth="1"/>
    <col min="6672" max="6914" width="11.453125" style="23"/>
    <col min="6915" max="6915" width="60.453125" style="23" customWidth="1"/>
    <col min="6916" max="6918" width="0" style="23" hidden="1" customWidth="1"/>
    <col min="6919" max="6919" width="12" style="23" customWidth="1"/>
    <col min="6920" max="6920" width="11.453125" style="23" customWidth="1"/>
    <col min="6921" max="6923" width="11.1796875" style="23" customWidth="1"/>
    <col min="6924" max="6924" width="11.453125" style="23" customWidth="1"/>
    <col min="6925" max="6925" width="0" style="23" hidden="1" customWidth="1"/>
    <col min="6926" max="6927" width="14.1796875" style="23" customWidth="1"/>
    <col min="6928" max="7170" width="11.453125" style="23"/>
    <col min="7171" max="7171" width="60.453125" style="23" customWidth="1"/>
    <col min="7172" max="7174" width="0" style="23" hidden="1" customWidth="1"/>
    <col min="7175" max="7175" width="12" style="23" customWidth="1"/>
    <col min="7176" max="7176" width="11.453125" style="23" customWidth="1"/>
    <col min="7177" max="7179" width="11.1796875" style="23" customWidth="1"/>
    <col min="7180" max="7180" width="11.453125" style="23" customWidth="1"/>
    <col min="7181" max="7181" width="0" style="23" hidden="1" customWidth="1"/>
    <col min="7182" max="7183" width="14.1796875" style="23" customWidth="1"/>
    <col min="7184" max="7426" width="11.453125" style="23"/>
    <col min="7427" max="7427" width="60.453125" style="23" customWidth="1"/>
    <col min="7428" max="7430" width="0" style="23" hidden="1" customWidth="1"/>
    <col min="7431" max="7431" width="12" style="23" customWidth="1"/>
    <col min="7432" max="7432" width="11.453125" style="23" customWidth="1"/>
    <col min="7433" max="7435" width="11.1796875" style="23" customWidth="1"/>
    <col min="7436" max="7436" width="11.453125" style="23" customWidth="1"/>
    <col min="7437" max="7437" width="0" style="23" hidden="1" customWidth="1"/>
    <col min="7438" max="7439" width="14.1796875" style="23" customWidth="1"/>
    <col min="7440" max="7682" width="11.453125" style="23"/>
    <col min="7683" max="7683" width="60.453125" style="23" customWidth="1"/>
    <col min="7684" max="7686" width="0" style="23" hidden="1" customWidth="1"/>
    <col min="7687" max="7687" width="12" style="23" customWidth="1"/>
    <col min="7688" max="7688" width="11.453125" style="23" customWidth="1"/>
    <col min="7689" max="7691" width="11.1796875" style="23" customWidth="1"/>
    <col min="7692" max="7692" width="11.453125" style="23" customWidth="1"/>
    <col min="7693" max="7693" width="0" style="23" hidden="1" customWidth="1"/>
    <col min="7694" max="7695" width="14.1796875" style="23" customWidth="1"/>
    <col min="7696" max="7938" width="11.453125" style="23"/>
    <col min="7939" max="7939" width="60.453125" style="23" customWidth="1"/>
    <col min="7940" max="7942" width="0" style="23" hidden="1" customWidth="1"/>
    <col min="7943" max="7943" width="12" style="23" customWidth="1"/>
    <col min="7944" max="7944" width="11.453125" style="23" customWidth="1"/>
    <col min="7945" max="7947" width="11.1796875" style="23" customWidth="1"/>
    <col min="7948" max="7948" width="11.453125" style="23" customWidth="1"/>
    <col min="7949" max="7949" width="0" style="23" hidden="1" customWidth="1"/>
    <col min="7950" max="7951" width="14.1796875" style="23" customWidth="1"/>
    <col min="7952" max="8194" width="11.453125" style="23"/>
    <col min="8195" max="8195" width="60.453125" style="23" customWidth="1"/>
    <col min="8196" max="8198" width="0" style="23" hidden="1" customWidth="1"/>
    <col min="8199" max="8199" width="12" style="23" customWidth="1"/>
    <col min="8200" max="8200" width="11.453125" style="23" customWidth="1"/>
    <col min="8201" max="8203" width="11.1796875" style="23" customWidth="1"/>
    <col min="8204" max="8204" width="11.453125" style="23" customWidth="1"/>
    <col min="8205" max="8205" width="0" style="23" hidden="1" customWidth="1"/>
    <col min="8206" max="8207" width="14.1796875" style="23" customWidth="1"/>
    <col min="8208" max="8450" width="11.453125" style="23"/>
    <col min="8451" max="8451" width="60.453125" style="23" customWidth="1"/>
    <col min="8452" max="8454" width="0" style="23" hidden="1" customWidth="1"/>
    <col min="8455" max="8455" width="12" style="23" customWidth="1"/>
    <col min="8456" max="8456" width="11.453125" style="23" customWidth="1"/>
    <col min="8457" max="8459" width="11.1796875" style="23" customWidth="1"/>
    <col min="8460" max="8460" width="11.453125" style="23" customWidth="1"/>
    <col min="8461" max="8461" width="0" style="23" hidden="1" customWidth="1"/>
    <col min="8462" max="8463" width="14.1796875" style="23" customWidth="1"/>
    <col min="8464" max="8706" width="11.453125" style="23"/>
    <col min="8707" max="8707" width="60.453125" style="23" customWidth="1"/>
    <col min="8708" max="8710" width="0" style="23" hidden="1" customWidth="1"/>
    <col min="8711" max="8711" width="12" style="23" customWidth="1"/>
    <col min="8712" max="8712" width="11.453125" style="23" customWidth="1"/>
    <col min="8713" max="8715" width="11.1796875" style="23" customWidth="1"/>
    <col min="8716" max="8716" width="11.453125" style="23" customWidth="1"/>
    <col min="8717" max="8717" width="0" style="23" hidden="1" customWidth="1"/>
    <col min="8718" max="8719" width="14.1796875" style="23" customWidth="1"/>
    <col min="8720" max="8962" width="11.453125" style="23"/>
    <col min="8963" max="8963" width="60.453125" style="23" customWidth="1"/>
    <col min="8964" max="8966" width="0" style="23" hidden="1" customWidth="1"/>
    <col min="8967" max="8967" width="12" style="23" customWidth="1"/>
    <col min="8968" max="8968" width="11.453125" style="23" customWidth="1"/>
    <col min="8969" max="8971" width="11.1796875" style="23" customWidth="1"/>
    <col min="8972" max="8972" width="11.453125" style="23" customWidth="1"/>
    <col min="8973" max="8973" width="0" style="23" hidden="1" customWidth="1"/>
    <col min="8974" max="8975" width="14.1796875" style="23" customWidth="1"/>
    <col min="8976" max="9218" width="11.453125" style="23"/>
    <col min="9219" max="9219" width="60.453125" style="23" customWidth="1"/>
    <col min="9220" max="9222" width="0" style="23" hidden="1" customWidth="1"/>
    <col min="9223" max="9223" width="12" style="23" customWidth="1"/>
    <col min="9224" max="9224" width="11.453125" style="23" customWidth="1"/>
    <col min="9225" max="9227" width="11.1796875" style="23" customWidth="1"/>
    <col min="9228" max="9228" width="11.453125" style="23" customWidth="1"/>
    <col min="9229" max="9229" width="0" style="23" hidden="1" customWidth="1"/>
    <col min="9230" max="9231" width="14.1796875" style="23" customWidth="1"/>
    <col min="9232" max="9474" width="11.453125" style="23"/>
    <col min="9475" max="9475" width="60.453125" style="23" customWidth="1"/>
    <col min="9476" max="9478" width="0" style="23" hidden="1" customWidth="1"/>
    <col min="9479" max="9479" width="12" style="23" customWidth="1"/>
    <col min="9480" max="9480" width="11.453125" style="23" customWidth="1"/>
    <col min="9481" max="9483" width="11.1796875" style="23" customWidth="1"/>
    <col min="9484" max="9484" width="11.453125" style="23" customWidth="1"/>
    <col min="9485" max="9485" width="0" style="23" hidden="1" customWidth="1"/>
    <col min="9486" max="9487" width="14.1796875" style="23" customWidth="1"/>
    <col min="9488" max="9730" width="11.453125" style="23"/>
    <col min="9731" max="9731" width="60.453125" style="23" customWidth="1"/>
    <col min="9732" max="9734" width="0" style="23" hidden="1" customWidth="1"/>
    <col min="9735" max="9735" width="12" style="23" customWidth="1"/>
    <col min="9736" max="9736" width="11.453125" style="23" customWidth="1"/>
    <col min="9737" max="9739" width="11.1796875" style="23" customWidth="1"/>
    <col min="9740" max="9740" width="11.453125" style="23" customWidth="1"/>
    <col min="9741" max="9741" width="0" style="23" hidden="1" customWidth="1"/>
    <col min="9742" max="9743" width="14.1796875" style="23" customWidth="1"/>
    <col min="9744" max="9986" width="11.453125" style="23"/>
    <col min="9987" max="9987" width="60.453125" style="23" customWidth="1"/>
    <col min="9988" max="9990" width="0" style="23" hidden="1" customWidth="1"/>
    <col min="9991" max="9991" width="12" style="23" customWidth="1"/>
    <col min="9992" max="9992" width="11.453125" style="23" customWidth="1"/>
    <col min="9993" max="9995" width="11.1796875" style="23" customWidth="1"/>
    <col min="9996" max="9996" width="11.453125" style="23" customWidth="1"/>
    <col min="9997" max="9997" width="0" style="23" hidden="1" customWidth="1"/>
    <col min="9998" max="9999" width="14.1796875" style="23" customWidth="1"/>
    <col min="10000" max="10242" width="11.453125" style="23"/>
    <col min="10243" max="10243" width="60.453125" style="23" customWidth="1"/>
    <col min="10244" max="10246" width="0" style="23" hidden="1" customWidth="1"/>
    <col min="10247" max="10247" width="12" style="23" customWidth="1"/>
    <col min="10248" max="10248" width="11.453125" style="23" customWidth="1"/>
    <col min="10249" max="10251" width="11.1796875" style="23" customWidth="1"/>
    <col min="10252" max="10252" width="11.453125" style="23" customWidth="1"/>
    <col min="10253" max="10253" width="0" style="23" hidden="1" customWidth="1"/>
    <col min="10254" max="10255" width="14.1796875" style="23" customWidth="1"/>
    <col min="10256" max="10498" width="11.453125" style="23"/>
    <col min="10499" max="10499" width="60.453125" style="23" customWidth="1"/>
    <col min="10500" max="10502" width="0" style="23" hidden="1" customWidth="1"/>
    <col min="10503" max="10503" width="12" style="23" customWidth="1"/>
    <col min="10504" max="10504" width="11.453125" style="23" customWidth="1"/>
    <col min="10505" max="10507" width="11.1796875" style="23" customWidth="1"/>
    <col min="10508" max="10508" width="11.453125" style="23" customWidth="1"/>
    <col min="10509" max="10509" width="0" style="23" hidden="1" customWidth="1"/>
    <col min="10510" max="10511" width="14.1796875" style="23" customWidth="1"/>
    <col min="10512" max="10754" width="11.453125" style="23"/>
    <col min="10755" max="10755" width="60.453125" style="23" customWidth="1"/>
    <col min="10756" max="10758" width="0" style="23" hidden="1" customWidth="1"/>
    <col min="10759" max="10759" width="12" style="23" customWidth="1"/>
    <col min="10760" max="10760" width="11.453125" style="23" customWidth="1"/>
    <col min="10761" max="10763" width="11.1796875" style="23" customWidth="1"/>
    <col min="10764" max="10764" width="11.453125" style="23" customWidth="1"/>
    <col min="10765" max="10765" width="0" style="23" hidden="1" customWidth="1"/>
    <col min="10766" max="10767" width="14.1796875" style="23" customWidth="1"/>
    <col min="10768" max="11010" width="11.453125" style="23"/>
    <col min="11011" max="11011" width="60.453125" style="23" customWidth="1"/>
    <col min="11012" max="11014" width="0" style="23" hidden="1" customWidth="1"/>
    <col min="11015" max="11015" width="12" style="23" customWidth="1"/>
    <col min="11016" max="11016" width="11.453125" style="23" customWidth="1"/>
    <col min="11017" max="11019" width="11.1796875" style="23" customWidth="1"/>
    <col min="11020" max="11020" width="11.453125" style="23" customWidth="1"/>
    <col min="11021" max="11021" width="0" style="23" hidden="1" customWidth="1"/>
    <col min="11022" max="11023" width="14.1796875" style="23" customWidth="1"/>
    <col min="11024" max="11266" width="11.453125" style="23"/>
    <col min="11267" max="11267" width="60.453125" style="23" customWidth="1"/>
    <col min="11268" max="11270" width="0" style="23" hidden="1" customWidth="1"/>
    <col min="11271" max="11271" width="12" style="23" customWidth="1"/>
    <col min="11272" max="11272" width="11.453125" style="23" customWidth="1"/>
    <col min="11273" max="11275" width="11.1796875" style="23" customWidth="1"/>
    <col min="11276" max="11276" width="11.453125" style="23" customWidth="1"/>
    <col min="11277" max="11277" width="0" style="23" hidden="1" customWidth="1"/>
    <col min="11278" max="11279" width="14.1796875" style="23" customWidth="1"/>
    <col min="11280" max="11522" width="11.453125" style="23"/>
    <col min="11523" max="11523" width="60.453125" style="23" customWidth="1"/>
    <col min="11524" max="11526" width="0" style="23" hidden="1" customWidth="1"/>
    <col min="11527" max="11527" width="12" style="23" customWidth="1"/>
    <col min="11528" max="11528" width="11.453125" style="23" customWidth="1"/>
    <col min="11529" max="11531" width="11.1796875" style="23" customWidth="1"/>
    <col min="11532" max="11532" width="11.453125" style="23" customWidth="1"/>
    <col min="11533" max="11533" width="0" style="23" hidden="1" customWidth="1"/>
    <col min="11534" max="11535" width="14.1796875" style="23" customWidth="1"/>
    <col min="11536" max="11778" width="11.453125" style="23"/>
    <col min="11779" max="11779" width="60.453125" style="23" customWidth="1"/>
    <col min="11780" max="11782" width="0" style="23" hidden="1" customWidth="1"/>
    <col min="11783" max="11783" width="12" style="23" customWidth="1"/>
    <col min="11784" max="11784" width="11.453125" style="23" customWidth="1"/>
    <col min="11785" max="11787" width="11.1796875" style="23" customWidth="1"/>
    <col min="11788" max="11788" width="11.453125" style="23" customWidth="1"/>
    <col min="11789" max="11789" width="0" style="23" hidden="1" customWidth="1"/>
    <col min="11790" max="11791" width="14.1796875" style="23" customWidth="1"/>
    <col min="11792" max="12034" width="11.453125" style="23"/>
    <col min="12035" max="12035" width="60.453125" style="23" customWidth="1"/>
    <col min="12036" max="12038" width="0" style="23" hidden="1" customWidth="1"/>
    <col min="12039" max="12039" width="12" style="23" customWidth="1"/>
    <col min="12040" max="12040" width="11.453125" style="23" customWidth="1"/>
    <col min="12041" max="12043" width="11.1796875" style="23" customWidth="1"/>
    <col min="12044" max="12044" width="11.453125" style="23" customWidth="1"/>
    <col min="12045" max="12045" width="0" style="23" hidden="1" customWidth="1"/>
    <col min="12046" max="12047" width="14.1796875" style="23" customWidth="1"/>
    <col min="12048" max="12290" width="11.453125" style="23"/>
    <col min="12291" max="12291" width="60.453125" style="23" customWidth="1"/>
    <col min="12292" max="12294" width="0" style="23" hidden="1" customWidth="1"/>
    <col min="12295" max="12295" width="12" style="23" customWidth="1"/>
    <col min="12296" max="12296" width="11.453125" style="23" customWidth="1"/>
    <col min="12297" max="12299" width="11.1796875" style="23" customWidth="1"/>
    <col min="12300" max="12300" width="11.453125" style="23" customWidth="1"/>
    <col min="12301" max="12301" width="0" style="23" hidden="1" customWidth="1"/>
    <col min="12302" max="12303" width="14.1796875" style="23" customWidth="1"/>
    <col min="12304" max="12546" width="11.453125" style="23"/>
    <col min="12547" max="12547" width="60.453125" style="23" customWidth="1"/>
    <col min="12548" max="12550" width="0" style="23" hidden="1" customWidth="1"/>
    <col min="12551" max="12551" width="12" style="23" customWidth="1"/>
    <col min="12552" max="12552" width="11.453125" style="23" customWidth="1"/>
    <col min="12553" max="12555" width="11.1796875" style="23" customWidth="1"/>
    <col min="12556" max="12556" width="11.453125" style="23" customWidth="1"/>
    <col min="12557" max="12557" width="0" style="23" hidden="1" customWidth="1"/>
    <col min="12558" max="12559" width="14.1796875" style="23" customWidth="1"/>
    <col min="12560" max="12802" width="11.453125" style="23"/>
    <col min="12803" max="12803" width="60.453125" style="23" customWidth="1"/>
    <col min="12804" max="12806" width="0" style="23" hidden="1" customWidth="1"/>
    <col min="12807" max="12807" width="12" style="23" customWidth="1"/>
    <col min="12808" max="12808" width="11.453125" style="23" customWidth="1"/>
    <col min="12809" max="12811" width="11.1796875" style="23" customWidth="1"/>
    <col min="12812" max="12812" width="11.453125" style="23" customWidth="1"/>
    <col min="12813" max="12813" width="0" style="23" hidden="1" customWidth="1"/>
    <col min="12814" max="12815" width="14.1796875" style="23" customWidth="1"/>
    <col min="12816" max="13058" width="11.453125" style="23"/>
    <col min="13059" max="13059" width="60.453125" style="23" customWidth="1"/>
    <col min="13060" max="13062" width="0" style="23" hidden="1" customWidth="1"/>
    <col min="13063" max="13063" width="12" style="23" customWidth="1"/>
    <col min="13064" max="13064" width="11.453125" style="23" customWidth="1"/>
    <col min="13065" max="13067" width="11.1796875" style="23" customWidth="1"/>
    <col min="13068" max="13068" width="11.453125" style="23" customWidth="1"/>
    <col min="13069" max="13069" width="0" style="23" hidden="1" customWidth="1"/>
    <col min="13070" max="13071" width="14.1796875" style="23" customWidth="1"/>
    <col min="13072" max="13314" width="11.453125" style="23"/>
    <col min="13315" max="13315" width="60.453125" style="23" customWidth="1"/>
    <col min="13316" max="13318" width="0" style="23" hidden="1" customWidth="1"/>
    <col min="13319" max="13319" width="12" style="23" customWidth="1"/>
    <col min="13320" max="13320" width="11.453125" style="23" customWidth="1"/>
    <col min="13321" max="13323" width="11.1796875" style="23" customWidth="1"/>
    <col min="13324" max="13324" width="11.453125" style="23" customWidth="1"/>
    <col min="13325" max="13325" width="0" style="23" hidden="1" customWidth="1"/>
    <col min="13326" max="13327" width="14.1796875" style="23" customWidth="1"/>
    <col min="13328" max="13570" width="11.453125" style="23"/>
    <col min="13571" max="13571" width="60.453125" style="23" customWidth="1"/>
    <col min="13572" max="13574" width="0" style="23" hidden="1" customWidth="1"/>
    <col min="13575" max="13575" width="12" style="23" customWidth="1"/>
    <col min="13576" max="13576" width="11.453125" style="23" customWidth="1"/>
    <col min="13577" max="13579" width="11.1796875" style="23" customWidth="1"/>
    <col min="13580" max="13580" width="11.453125" style="23" customWidth="1"/>
    <col min="13581" max="13581" width="0" style="23" hidden="1" customWidth="1"/>
    <col min="13582" max="13583" width="14.1796875" style="23" customWidth="1"/>
    <col min="13584" max="13826" width="11.453125" style="23"/>
    <col min="13827" max="13827" width="60.453125" style="23" customWidth="1"/>
    <col min="13828" max="13830" width="0" style="23" hidden="1" customWidth="1"/>
    <col min="13831" max="13831" width="12" style="23" customWidth="1"/>
    <col min="13832" max="13832" width="11.453125" style="23" customWidth="1"/>
    <col min="13833" max="13835" width="11.1796875" style="23" customWidth="1"/>
    <col min="13836" max="13836" width="11.453125" style="23" customWidth="1"/>
    <col min="13837" max="13837" width="0" style="23" hidden="1" customWidth="1"/>
    <col min="13838" max="13839" width="14.1796875" style="23" customWidth="1"/>
    <col min="13840" max="14082" width="11.453125" style="23"/>
    <col min="14083" max="14083" width="60.453125" style="23" customWidth="1"/>
    <col min="14084" max="14086" width="0" style="23" hidden="1" customWidth="1"/>
    <col min="14087" max="14087" width="12" style="23" customWidth="1"/>
    <col min="14088" max="14088" width="11.453125" style="23" customWidth="1"/>
    <col min="14089" max="14091" width="11.1796875" style="23" customWidth="1"/>
    <col min="14092" max="14092" width="11.453125" style="23" customWidth="1"/>
    <col min="14093" max="14093" width="0" style="23" hidden="1" customWidth="1"/>
    <col min="14094" max="14095" width="14.1796875" style="23" customWidth="1"/>
    <col min="14096" max="14338" width="11.453125" style="23"/>
    <col min="14339" max="14339" width="60.453125" style="23" customWidth="1"/>
    <col min="14340" max="14342" width="0" style="23" hidden="1" customWidth="1"/>
    <col min="14343" max="14343" width="12" style="23" customWidth="1"/>
    <col min="14344" max="14344" width="11.453125" style="23" customWidth="1"/>
    <col min="14345" max="14347" width="11.1796875" style="23" customWidth="1"/>
    <col min="14348" max="14348" width="11.453125" style="23" customWidth="1"/>
    <col min="14349" max="14349" width="0" style="23" hidden="1" customWidth="1"/>
    <col min="14350" max="14351" width="14.1796875" style="23" customWidth="1"/>
    <col min="14352" max="14594" width="11.453125" style="23"/>
    <col min="14595" max="14595" width="60.453125" style="23" customWidth="1"/>
    <col min="14596" max="14598" width="0" style="23" hidden="1" customWidth="1"/>
    <col min="14599" max="14599" width="12" style="23" customWidth="1"/>
    <col min="14600" max="14600" width="11.453125" style="23" customWidth="1"/>
    <col min="14601" max="14603" width="11.1796875" style="23" customWidth="1"/>
    <col min="14604" max="14604" width="11.453125" style="23" customWidth="1"/>
    <col min="14605" max="14605" width="0" style="23" hidden="1" customWidth="1"/>
    <col min="14606" max="14607" width="14.1796875" style="23" customWidth="1"/>
    <col min="14608" max="14850" width="11.453125" style="23"/>
    <col min="14851" max="14851" width="60.453125" style="23" customWidth="1"/>
    <col min="14852" max="14854" width="0" style="23" hidden="1" customWidth="1"/>
    <col min="14855" max="14855" width="12" style="23" customWidth="1"/>
    <col min="14856" max="14856" width="11.453125" style="23" customWidth="1"/>
    <col min="14857" max="14859" width="11.1796875" style="23" customWidth="1"/>
    <col min="14860" max="14860" width="11.453125" style="23" customWidth="1"/>
    <col min="14861" max="14861" width="0" style="23" hidden="1" customWidth="1"/>
    <col min="14862" max="14863" width="14.1796875" style="23" customWidth="1"/>
    <col min="14864" max="15106" width="11.453125" style="23"/>
    <col min="15107" max="15107" width="60.453125" style="23" customWidth="1"/>
    <col min="15108" max="15110" width="0" style="23" hidden="1" customWidth="1"/>
    <col min="15111" max="15111" width="12" style="23" customWidth="1"/>
    <col min="15112" max="15112" width="11.453125" style="23" customWidth="1"/>
    <col min="15113" max="15115" width="11.1796875" style="23" customWidth="1"/>
    <col min="15116" max="15116" width="11.453125" style="23" customWidth="1"/>
    <col min="15117" max="15117" width="0" style="23" hidden="1" customWidth="1"/>
    <col min="15118" max="15119" width="14.1796875" style="23" customWidth="1"/>
    <col min="15120" max="15362" width="11.453125" style="23"/>
    <col min="15363" max="15363" width="60.453125" style="23" customWidth="1"/>
    <col min="15364" max="15366" width="0" style="23" hidden="1" customWidth="1"/>
    <col min="15367" max="15367" width="12" style="23" customWidth="1"/>
    <col min="15368" max="15368" width="11.453125" style="23" customWidth="1"/>
    <col min="15369" max="15371" width="11.1796875" style="23" customWidth="1"/>
    <col min="15372" max="15372" width="11.453125" style="23" customWidth="1"/>
    <col min="15373" max="15373" width="0" style="23" hidden="1" customWidth="1"/>
    <col min="15374" max="15375" width="14.1796875" style="23" customWidth="1"/>
    <col min="15376" max="15618" width="11.453125" style="23"/>
    <col min="15619" max="15619" width="60.453125" style="23" customWidth="1"/>
    <col min="15620" max="15622" width="0" style="23" hidden="1" customWidth="1"/>
    <col min="15623" max="15623" width="12" style="23" customWidth="1"/>
    <col min="15624" max="15624" width="11.453125" style="23" customWidth="1"/>
    <col min="15625" max="15627" width="11.1796875" style="23" customWidth="1"/>
    <col min="15628" max="15628" width="11.453125" style="23" customWidth="1"/>
    <col min="15629" max="15629" width="0" style="23" hidden="1" customWidth="1"/>
    <col min="15630" max="15631" width="14.1796875" style="23" customWidth="1"/>
    <col min="15632" max="15874" width="11.453125" style="23"/>
    <col min="15875" max="15875" width="60.453125" style="23" customWidth="1"/>
    <col min="15876" max="15878" width="0" style="23" hidden="1" customWidth="1"/>
    <col min="15879" max="15879" width="12" style="23" customWidth="1"/>
    <col min="15880" max="15880" width="11.453125" style="23" customWidth="1"/>
    <col min="15881" max="15883" width="11.1796875" style="23" customWidth="1"/>
    <col min="15884" max="15884" width="11.453125" style="23" customWidth="1"/>
    <col min="15885" max="15885" width="0" style="23" hidden="1" customWidth="1"/>
    <col min="15886" max="15887" width="14.1796875" style="23" customWidth="1"/>
    <col min="15888" max="16130" width="11.453125" style="23"/>
    <col min="16131" max="16131" width="60.453125" style="23" customWidth="1"/>
    <col min="16132" max="16134" width="0" style="23" hidden="1" customWidth="1"/>
    <col min="16135" max="16135" width="12" style="23" customWidth="1"/>
    <col min="16136" max="16136" width="11.453125" style="23" customWidth="1"/>
    <col min="16137" max="16139" width="11.1796875" style="23" customWidth="1"/>
    <col min="16140" max="16140" width="11.453125" style="23" customWidth="1"/>
    <col min="16141" max="16141" width="0" style="23" hidden="1" customWidth="1"/>
    <col min="16142" max="16143" width="14.1796875" style="23" customWidth="1"/>
    <col min="16144" max="16384" width="11.453125" style="23"/>
  </cols>
  <sheetData>
    <row r="3" spans="1:20" ht="16.5" x14ac:dyDescent="0.3">
      <c r="F3" s="2"/>
      <c r="G3" s="2"/>
      <c r="Q3" s="1">
        <f>930*12.4%</f>
        <v>115.32</v>
      </c>
    </row>
    <row r="4" spans="1:20" ht="18.75" x14ac:dyDescent="0.3">
      <c r="A4" s="75" t="s">
        <v>0</v>
      </c>
      <c r="B4" s="75"/>
      <c r="C4" s="75"/>
      <c r="D4" s="75"/>
      <c r="E4" s="75"/>
      <c r="O4" s="2"/>
      <c r="Q4" s="1">
        <f>Q3*30/365</f>
        <v>9.4783561643835608</v>
      </c>
    </row>
    <row r="5" spans="1:20" ht="16.5" x14ac:dyDescent="0.3">
      <c r="A5" s="2" t="s">
        <v>1</v>
      </c>
      <c r="B5" s="2"/>
      <c r="C5" s="2"/>
      <c r="D5" s="2"/>
      <c r="E5" s="2"/>
      <c r="F5" s="2"/>
      <c r="G5" s="2"/>
      <c r="H5" s="141"/>
      <c r="I5" s="2"/>
      <c r="J5" s="2"/>
    </row>
    <row r="6" spans="1:20" ht="16.5" x14ac:dyDescent="0.3">
      <c r="A6" s="2" t="s">
        <v>2</v>
      </c>
      <c r="B6" s="2"/>
      <c r="C6" s="2"/>
      <c r="D6" s="2"/>
      <c r="E6" s="2"/>
      <c r="F6" s="2"/>
      <c r="G6" s="2"/>
      <c r="H6" s="316" t="s">
        <v>3</v>
      </c>
      <c r="I6" s="76"/>
      <c r="J6" s="76"/>
      <c r="K6" s="76"/>
      <c r="L6" s="76"/>
      <c r="M6" s="76"/>
      <c r="N6" s="76"/>
      <c r="O6" s="76"/>
      <c r="P6" s="76"/>
      <c r="Q6" s="23"/>
      <c r="R6" s="23"/>
    </row>
    <row r="7" spans="1:20" ht="16.5" x14ac:dyDescent="0.3">
      <c r="A7" s="3" t="s">
        <v>4</v>
      </c>
      <c r="B7" s="3"/>
      <c r="C7" s="3"/>
      <c r="D7" s="3"/>
      <c r="E7" s="3"/>
      <c r="F7" s="3"/>
      <c r="G7" s="3"/>
      <c r="H7" s="317"/>
      <c r="I7" s="3"/>
      <c r="J7" s="3"/>
    </row>
    <row r="8" spans="1:20" ht="16.5" x14ac:dyDescent="0.3">
      <c r="A8" s="77"/>
      <c r="B8" s="77" t="s">
        <v>5</v>
      </c>
      <c r="C8" s="77" t="s">
        <v>6</v>
      </c>
      <c r="D8" s="4" t="s">
        <v>7</v>
      </c>
      <c r="E8" s="4" t="s">
        <v>8</v>
      </c>
      <c r="F8" s="78" t="s">
        <v>9</v>
      </c>
      <c r="G8" s="4" t="s">
        <v>352</v>
      </c>
      <c r="H8" s="318" t="s">
        <v>353</v>
      </c>
      <c r="I8" s="4" t="s">
        <v>354</v>
      </c>
      <c r="J8" s="78" t="s">
        <v>673</v>
      </c>
      <c r="K8" s="78" t="s">
        <v>356</v>
      </c>
      <c r="L8" s="78" t="s">
        <v>674</v>
      </c>
      <c r="M8" s="78" t="s">
        <v>358</v>
      </c>
      <c r="N8" s="78" t="s">
        <v>675</v>
      </c>
      <c r="O8" s="78" t="s">
        <v>11</v>
      </c>
      <c r="P8" s="4" t="s">
        <v>12</v>
      </c>
      <c r="Q8" s="4" t="s">
        <v>13</v>
      </c>
      <c r="R8" s="4" t="s">
        <v>569</v>
      </c>
    </row>
    <row r="9" spans="1:20" ht="16.5" x14ac:dyDescent="0.3">
      <c r="A9" s="6"/>
      <c r="B9" s="6"/>
      <c r="C9" s="4" t="s">
        <v>14</v>
      </c>
      <c r="D9" s="4" t="s">
        <v>14</v>
      </c>
      <c r="E9" s="4" t="str">
        <f>D9</f>
        <v>Aud.</v>
      </c>
      <c r="F9" s="4" t="s">
        <v>14</v>
      </c>
      <c r="G9" s="4" t="s">
        <v>14</v>
      </c>
      <c r="H9" s="318" t="s">
        <v>14</v>
      </c>
      <c r="I9" s="4" t="s">
        <v>14</v>
      </c>
      <c r="J9" s="4" t="s">
        <v>672</v>
      </c>
      <c r="K9" s="4" t="s">
        <v>672</v>
      </c>
      <c r="L9" s="4" t="s">
        <v>672</v>
      </c>
      <c r="M9" s="4" t="s">
        <v>672</v>
      </c>
      <c r="N9" s="4" t="s">
        <v>672</v>
      </c>
      <c r="O9" s="4" t="s">
        <v>672</v>
      </c>
      <c r="P9" s="4" t="s">
        <v>15</v>
      </c>
      <c r="Q9" s="4" t="s">
        <v>15</v>
      </c>
      <c r="R9" s="4" t="s">
        <v>15</v>
      </c>
    </row>
    <row r="10" spans="1:20" ht="16.5" x14ac:dyDescent="0.3">
      <c r="A10" s="6"/>
      <c r="B10" s="6"/>
      <c r="C10" s="5">
        <v>1</v>
      </c>
      <c r="D10" s="5">
        <v>1</v>
      </c>
      <c r="E10" s="5">
        <f>D10+1</f>
        <v>2</v>
      </c>
      <c r="F10" s="5">
        <f t="shared" ref="F10:R10" si="0">E10+1</f>
        <v>3</v>
      </c>
      <c r="G10" s="5">
        <f t="shared" si="0"/>
        <v>4</v>
      </c>
      <c r="H10" s="319">
        <f t="shared" si="0"/>
        <v>5</v>
      </c>
      <c r="I10" s="5">
        <f>H10+1</f>
        <v>6</v>
      </c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5">
        <v>12</v>
      </c>
      <c r="P10" s="5" t="e">
        <f>#REF!+1</f>
        <v>#REF!</v>
      </c>
      <c r="Q10" s="5" t="e">
        <f t="shared" si="0"/>
        <v>#REF!</v>
      </c>
      <c r="R10" s="5" t="e">
        <f t="shared" si="0"/>
        <v>#REF!</v>
      </c>
    </row>
    <row r="11" spans="1:20" ht="15.75" x14ac:dyDescent="0.25">
      <c r="A11" s="6"/>
      <c r="B11" s="6"/>
      <c r="C11" s="6"/>
      <c r="D11" s="6"/>
      <c r="E11" s="6"/>
      <c r="F11" s="6"/>
      <c r="G11" s="6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0" ht="16.5" x14ac:dyDescent="0.3">
      <c r="A12" s="7" t="s">
        <v>16</v>
      </c>
      <c r="B12" s="7"/>
      <c r="C12" s="7"/>
      <c r="D12" s="7"/>
      <c r="E12" s="7"/>
      <c r="F12" s="7"/>
      <c r="G12" s="7"/>
      <c r="H12" s="320"/>
      <c r="I12" s="7"/>
      <c r="J12" s="7"/>
      <c r="K12" s="7"/>
      <c r="L12" s="7"/>
      <c r="M12" s="7"/>
      <c r="N12" s="6"/>
      <c r="O12" s="6"/>
      <c r="P12" s="6"/>
      <c r="Q12" s="6"/>
      <c r="R12" s="6"/>
      <c r="T12" s="79"/>
    </row>
    <row r="13" spans="1:20" ht="15.75" x14ac:dyDescent="0.25">
      <c r="A13" s="6" t="s">
        <v>17</v>
      </c>
      <c r="B13" s="6">
        <v>616.35</v>
      </c>
      <c r="C13" s="6">
        <v>1068.1965699999998</v>
      </c>
      <c r="D13" s="6">
        <v>984.55399999999997</v>
      </c>
      <c r="E13" s="6">
        <v>1254.819</v>
      </c>
      <c r="F13" s="6">
        <v>1265.9749999999999</v>
      </c>
      <c r="G13" s="6">
        <v>1876.72</v>
      </c>
      <c r="H13" s="25">
        <v>2572.96</v>
      </c>
      <c r="I13" s="422">
        <v>2141.5225062</v>
      </c>
      <c r="J13" s="422">
        <f>'Detailed PL, TP &amp; TR'!G3</f>
        <v>2235.4256299999997</v>
      </c>
      <c r="K13" s="422">
        <f>'Detailed PL, TP &amp; TR'!J3</f>
        <v>5735.1880000000001</v>
      </c>
      <c r="L13" s="422">
        <f>'Detailed PL, TP &amp; TR'!M3</f>
        <v>5958.5190000000002</v>
      </c>
      <c r="M13" s="422">
        <f>'Detailed PL, TP &amp; TR'!P3</f>
        <v>6089.0065500000001</v>
      </c>
      <c r="N13" s="422">
        <f>'Detailed PL, TP &amp; TR'!S3</f>
        <v>6327.0827275000001</v>
      </c>
      <c r="O13" s="422">
        <f>'Detailed PL, TP &amp; TR'!V3</f>
        <v>6573.2067826250004</v>
      </c>
      <c r="P13" s="382" t="e">
        <f>#REF!*(1+Assumption!#REF!)</f>
        <v>#REF!</v>
      </c>
      <c r="Q13" s="382" t="e">
        <f>P13*(1+Assumption!#REF!)</f>
        <v>#REF!</v>
      </c>
      <c r="R13" s="382" t="e">
        <f>Q13*(1+Assumption!#REF!)</f>
        <v>#REF!</v>
      </c>
    </row>
    <row r="14" spans="1:20" ht="15.75" x14ac:dyDescent="0.25">
      <c r="A14" s="6"/>
      <c r="B14" s="6">
        <f>0</f>
        <v>0</v>
      </c>
      <c r="C14" s="6">
        <v>0</v>
      </c>
      <c r="D14" s="6">
        <v>0</v>
      </c>
      <c r="E14" s="6">
        <v>0</v>
      </c>
      <c r="F14" s="6"/>
      <c r="G14" s="6"/>
      <c r="H14" s="25"/>
      <c r="I14" s="6"/>
      <c r="J14" s="422"/>
      <c r="K14" s="382"/>
      <c r="L14" s="382"/>
      <c r="M14" s="6"/>
      <c r="N14" s="382"/>
      <c r="O14" s="382"/>
      <c r="P14" s="6" t="e">
        <f>#REF!*(1+Assumption!G6)</f>
        <v>#REF!</v>
      </c>
      <c r="Q14" s="6" t="e">
        <f>P14*(1+Assumption!#REF!)</f>
        <v>#REF!</v>
      </c>
      <c r="R14" s="6" t="e">
        <f>Q14*(1+Assumption!#REF!)</f>
        <v>#REF!</v>
      </c>
    </row>
    <row r="15" spans="1:20" ht="15.75" x14ac:dyDescent="0.25">
      <c r="A15" s="6"/>
      <c r="B15" s="6"/>
      <c r="C15" s="6"/>
      <c r="D15" s="6"/>
      <c r="E15" s="6"/>
      <c r="F15" s="138">
        <f t="shared" ref="F15:O15" si="1">F13/E13-1</f>
        <v>8.8905252470674601E-3</v>
      </c>
      <c r="G15" s="138">
        <f t="shared" si="1"/>
        <v>0.48243053772783839</v>
      </c>
      <c r="H15" s="138">
        <f t="shared" si="1"/>
        <v>0.37098768063429821</v>
      </c>
      <c r="I15" s="138">
        <f t="shared" si="1"/>
        <v>-0.16768138400907906</v>
      </c>
      <c r="J15" s="138">
        <f t="shared" si="1"/>
        <v>4.3848768120875459E-2</v>
      </c>
      <c r="K15" s="138">
        <f t="shared" si="1"/>
        <v>1.5655910548006022</v>
      </c>
      <c r="L15" s="138">
        <f t="shared" si="1"/>
        <v>3.8940484601376557E-2</v>
      </c>
      <c r="M15" s="138">
        <f t="shared" si="1"/>
        <v>2.1899325990233365E-2</v>
      </c>
      <c r="N15" s="138">
        <f t="shared" si="1"/>
        <v>3.9099346592097239E-2</v>
      </c>
      <c r="O15" s="138">
        <f t="shared" si="1"/>
        <v>3.890008487722918E-2</v>
      </c>
      <c r="P15" s="138" t="e">
        <f>P13/#REF!-1</f>
        <v>#REF!</v>
      </c>
      <c r="Q15" s="138" t="e">
        <f>Q13/P13-1</f>
        <v>#REF!</v>
      </c>
      <c r="R15" s="138" t="e">
        <f>R13/Q13-1</f>
        <v>#REF!</v>
      </c>
    </row>
    <row r="16" spans="1:20" ht="15.75" x14ac:dyDescent="0.25">
      <c r="A16" s="6"/>
      <c r="B16" s="6"/>
      <c r="C16" s="6"/>
      <c r="D16" s="6"/>
      <c r="E16" s="6"/>
      <c r="F16" s="6"/>
      <c r="G16" s="6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5.75" x14ac:dyDescent="0.25">
      <c r="A17" s="6" t="s">
        <v>18</v>
      </c>
      <c r="B17" s="6">
        <v>0</v>
      </c>
      <c r="C17" s="6">
        <v>0</v>
      </c>
      <c r="D17" s="6">
        <v>0</v>
      </c>
      <c r="E17" s="6">
        <v>0</v>
      </c>
      <c r="F17" s="477">
        <v>0</v>
      </c>
      <c r="G17" s="477">
        <v>0</v>
      </c>
      <c r="H17" s="488">
        <v>0</v>
      </c>
      <c r="I17" s="477">
        <v>0</v>
      </c>
      <c r="J17" s="477">
        <v>0</v>
      </c>
      <c r="K17" s="477">
        <f>0+0</f>
        <v>0</v>
      </c>
      <c r="L17" s="477">
        <v>0</v>
      </c>
      <c r="M17" s="477">
        <v>0</v>
      </c>
      <c r="N17" s="477">
        <v>0</v>
      </c>
      <c r="O17" s="477">
        <v>0</v>
      </c>
      <c r="P17" s="6">
        <v>0</v>
      </c>
      <c r="Q17" s="6">
        <v>0</v>
      </c>
      <c r="R17" s="6">
        <v>0</v>
      </c>
    </row>
    <row r="18" spans="1:18" ht="15.75" x14ac:dyDescent="0.25">
      <c r="A18" s="6"/>
      <c r="B18" s="6"/>
      <c r="C18" s="6"/>
      <c r="D18" s="6"/>
      <c r="E18" s="6"/>
      <c r="F18" s="6"/>
      <c r="G18" s="6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x14ac:dyDescent="0.25">
      <c r="A19" s="6"/>
      <c r="B19" s="6"/>
      <c r="C19" s="8" t="s">
        <v>19</v>
      </c>
      <c r="D19" s="8" t="s">
        <v>19</v>
      </c>
      <c r="E19" s="8" t="s">
        <v>19</v>
      </c>
      <c r="F19" s="8" t="s">
        <v>19</v>
      </c>
      <c r="G19" s="8" t="s">
        <v>19</v>
      </c>
      <c r="H19" s="321" t="s">
        <v>19</v>
      </c>
      <c r="I19" s="8" t="s">
        <v>19</v>
      </c>
      <c r="J19" s="8"/>
      <c r="K19" s="8"/>
      <c r="L19" s="8"/>
      <c r="M19" s="8"/>
      <c r="N19" s="8"/>
      <c r="O19" s="8"/>
      <c r="P19" s="8" t="s">
        <v>19</v>
      </c>
      <c r="Q19" s="8" t="s">
        <v>19</v>
      </c>
      <c r="R19" s="8" t="s">
        <v>19</v>
      </c>
    </row>
    <row r="20" spans="1:18" ht="15.75" x14ac:dyDescent="0.25">
      <c r="A20" s="6" t="s">
        <v>20</v>
      </c>
      <c r="B20" s="6">
        <f t="shared" ref="B20:R20" si="2">(B13+B14-B17)</f>
        <v>616.35</v>
      </c>
      <c r="C20" s="6">
        <f t="shared" si="2"/>
        <v>1068.1965699999998</v>
      </c>
      <c r="D20" s="6">
        <f t="shared" si="2"/>
        <v>984.55399999999997</v>
      </c>
      <c r="E20" s="6">
        <f t="shared" si="2"/>
        <v>1254.819</v>
      </c>
      <c r="F20" s="6">
        <f t="shared" si="2"/>
        <v>1265.9749999999999</v>
      </c>
      <c r="G20" s="6">
        <f t="shared" si="2"/>
        <v>1876.72</v>
      </c>
      <c r="H20" s="6">
        <f t="shared" si="2"/>
        <v>2572.96</v>
      </c>
      <c r="I20" s="6">
        <f t="shared" si="2"/>
        <v>2141.5225062</v>
      </c>
      <c r="J20" s="6">
        <f t="shared" si="2"/>
        <v>2235.4256299999997</v>
      </c>
      <c r="K20" s="6">
        <f t="shared" si="2"/>
        <v>5735.1880000000001</v>
      </c>
      <c r="L20" s="6">
        <f t="shared" si="2"/>
        <v>5958.5190000000002</v>
      </c>
      <c r="M20" s="6">
        <f t="shared" si="2"/>
        <v>6089.0065500000001</v>
      </c>
      <c r="N20" s="6">
        <f t="shared" si="2"/>
        <v>6327.0827275000001</v>
      </c>
      <c r="O20" s="6">
        <f t="shared" si="2"/>
        <v>6573.2067826250004</v>
      </c>
      <c r="P20" s="6" t="e">
        <f t="shared" si="2"/>
        <v>#REF!</v>
      </c>
      <c r="Q20" s="6" t="e">
        <f t="shared" si="2"/>
        <v>#REF!</v>
      </c>
      <c r="R20" s="6" t="e">
        <f t="shared" si="2"/>
        <v>#REF!</v>
      </c>
    </row>
    <row r="21" spans="1:18" ht="15.75" x14ac:dyDescent="0.25">
      <c r="A21" s="6"/>
      <c r="B21" s="6"/>
      <c r="C21" s="6"/>
      <c r="D21" s="6"/>
      <c r="E21" s="6"/>
      <c r="F21" s="6"/>
      <c r="G21" s="6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x14ac:dyDescent="0.25">
      <c r="A22" s="6" t="s">
        <v>21</v>
      </c>
      <c r="B22" s="9" t="e">
        <f>(B20-A20)/A20</f>
        <v>#VALUE!</v>
      </c>
      <c r="C22" s="9">
        <f>(C20-B20)/B20</f>
        <v>0.73310062464508774</v>
      </c>
      <c r="D22" s="9">
        <f>(D20-C20)/C20</f>
        <v>-7.8302601177608983E-2</v>
      </c>
      <c r="E22" s="9">
        <f>(E20-D20)/D20</f>
        <v>0.2745050042963616</v>
      </c>
      <c r="F22" s="9">
        <f>(F20-E20)/E20</f>
        <v>8.8905252470674653E-3</v>
      </c>
      <c r="G22" s="9">
        <f t="shared" ref="G22:R22" si="3">(G20-F20)/F20</f>
        <v>0.48243053772783834</v>
      </c>
      <c r="H22" s="322">
        <f t="shared" si="3"/>
        <v>0.37098768063429816</v>
      </c>
      <c r="I22" s="9">
        <f t="shared" ref="I22:O22" si="4">(I20-H20)/H20</f>
        <v>-0.16768138400907906</v>
      </c>
      <c r="J22" s="9">
        <f t="shared" si="4"/>
        <v>4.384876812087541E-2</v>
      </c>
      <c r="K22" s="9">
        <f t="shared" si="4"/>
        <v>1.5655910548006022</v>
      </c>
      <c r="L22" s="9">
        <f t="shared" si="4"/>
        <v>3.8940484601376647E-2</v>
      </c>
      <c r="M22" s="9">
        <f t="shared" si="4"/>
        <v>2.1899325990233448E-2</v>
      </c>
      <c r="N22" s="9">
        <f t="shared" si="4"/>
        <v>3.9099346592097212E-2</v>
      </c>
      <c r="O22" s="9">
        <f t="shared" si="4"/>
        <v>3.890008487722911E-2</v>
      </c>
      <c r="P22" s="9" t="e">
        <f>(P20-#REF!)/#REF!</f>
        <v>#REF!</v>
      </c>
      <c r="Q22" s="9" t="e">
        <f t="shared" si="3"/>
        <v>#REF!</v>
      </c>
      <c r="R22" s="9" t="e">
        <f t="shared" si="3"/>
        <v>#REF!</v>
      </c>
    </row>
    <row r="23" spans="1:18" ht="15.75" x14ac:dyDescent="0.25">
      <c r="A23" s="6" t="s">
        <v>22</v>
      </c>
      <c r="B23" s="6"/>
      <c r="C23" s="6"/>
      <c r="D23" s="6"/>
      <c r="E23" s="6"/>
      <c r="F23" s="6"/>
      <c r="G23" s="6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x14ac:dyDescent="0.25">
      <c r="A24" s="6" t="s">
        <v>23</v>
      </c>
      <c r="B24" s="6"/>
      <c r="C24" s="6"/>
      <c r="D24" s="6"/>
      <c r="E24" s="6"/>
      <c r="F24" s="6"/>
      <c r="G24" s="6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x14ac:dyDescent="0.25">
      <c r="A25" s="6"/>
      <c r="B25" s="6"/>
      <c r="C25" s="6"/>
      <c r="D25" s="6"/>
      <c r="E25" s="6"/>
      <c r="F25" s="6"/>
      <c r="G25" s="6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x14ac:dyDescent="0.25">
      <c r="A26" s="6"/>
      <c r="B26" s="6"/>
      <c r="C26" s="6"/>
      <c r="D26" s="6"/>
      <c r="E26" s="6"/>
      <c r="F26" s="6"/>
      <c r="G26" s="6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6.5" x14ac:dyDescent="0.3">
      <c r="A27" s="7" t="s">
        <v>24</v>
      </c>
      <c r="B27" s="7"/>
      <c r="C27" s="7"/>
      <c r="D27" s="7"/>
      <c r="E27" s="7"/>
      <c r="F27" s="7"/>
      <c r="G27" s="7"/>
      <c r="H27" s="320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5.75" x14ac:dyDescent="0.25">
      <c r="A28" s="6"/>
      <c r="B28" s="6"/>
      <c r="C28" s="6"/>
      <c r="D28" s="6"/>
      <c r="E28" s="6"/>
      <c r="F28" s="6"/>
      <c r="G28" s="6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x14ac:dyDescent="0.25">
      <c r="A29" s="6" t="s">
        <v>25</v>
      </c>
      <c r="B29" s="6"/>
      <c r="C29" s="6"/>
      <c r="D29" s="6"/>
      <c r="E29" s="6"/>
      <c r="F29" s="6"/>
      <c r="G29" s="6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x14ac:dyDescent="0.25">
      <c r="A30" s="6" t="s">
        <v>26</v>
      </c>
      <c r="B30" s="6"/>
      <c r="C30" s="6"/>
      <c r="D30" s="6"/>
      <c r="E30" s="6"/>
      <c r="F30" s="6"/>
      <c r="G30" s="6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x14ac:dyDescent="0.25">
      <c r="A31" s="6" t="s">
        <v>27</v>
      </c>
      <c r="B31" s="6"/>
      <c r="C31" s="6"/>
      <c r="D31" s="6"/>
      <c r="E31" s="6"/>
      <c r="F31" s="6"/>
      <c r="G31" s="6"/>
      <c r="H31" s="25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x14ac:dyDescent="0.25">
      <c r="A32" s="6" t="s">
        <v>28</v>
      </c>
      <c r="B32" s="6"/>
      <c r="C32" s="6"/>
      <c r="D32" s="6"/>
      <c r="E32" s="6"/>
      <c r="F32" s="6"/>
      <c r="G32" s="6"/>
      <c r="H32" s="25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5.75" x14ac:dyDescent="0.25">
      <c r="A33" s="6"/>
      <c r="B33" s="6"/>
      <c r="C33" s="6"/>
      <c r="D33" s="6"/>
      <c r="E33" s="6"/>
      <c r="F33" s="6"/>
      <c r="G33" s="6"/>
      <c r="H33" s="25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5.75" x14ac:dyDescent="0.25">
      <c r="A34" s="6" t="s">
        <v>29</v>
      </c>
      <c r="B34" s="6"/>
      <c r="C34" s="6">
        <v>0</v>
      </c>
      <c r="D34" s="6">
        <v>0</v>
      </c>
      <c r="E34" s="6">
        <v>0</v>
      </c>
      <c r="F34" s="477">
        <v>0</v>
      </c>
      <c r="G34" s="477">
        <v>0</v>
      </c>
      <c r="H34" s="488">
        <v>0</v>
      </c>
      <c r="I34" s="477">
        <v>0</v>
      </c>
      <c r="J34" s="487">
        <f t="shared" ref="J34:L35" si="5">0+0</f>
        <v>0</v>
      </c>
      <c r="K34" s="477">
        <f t="shared" si="5"/>
        <v>0</v>
      </c>
      <c r="L34" s="477">
        <f t="shared" si="5"/>
        <v>0</v>
      </c>
      <c r="M34" s="477">
        <v>0</v>
      </c>
      <c r="N34" s="477">
        <v>0</v>
      </c>
      <c r="O34" s="477">
        <v>0</v>
      </c>
      <c r="P34" s="6">
        <v>0</v>
      </c>
      <c r="Q34" s="6">
        <v>0</v>
      </c>
      <c r="R34" s="6">
        <v>0</v>
      </c>
    </row>
    <row r="35" spans="1:18" ht="15.75" x14ac:dyDescent="0.25">
      <c r="A35" s="6" t="s">
        <v>30</v>
      </c>
      <c r="B35" s="6"/>
      <c r="C35" s="6">
        <v>0</v>
      </c>
      <c r="D35" s="6">
        <v>0</v>
      </c>
      <c r="E35" s="6">
        <v>0</v>
      </c>
      <c r="F35" s="477">
        <v>0</v>
      </c>
      <c r="G35" s="477">
        <v>0</v>
      </c>
      <c r="H35" s="488">
        <v>0</v>
      </c>
      <c r="I35" s="477">
        <v>0</v>
      </c>
      <c r="J35" s="487">
        <f t="shared" si="5"/>
        <v>0</v>
      </c>
      <c r="K35" s="477">
        <f t="shared" si="5"/>
        <v>0</v>
      </c>
      <c r="L35" s="477">
        <f t="shared" si="5"/>
        <v>0</v>
      </c>
      <c r="M35" s="477">
        <v>0</v>
      </c>
      <c r="N35" s="477">
        <v>0</v>
      </c>
      <c r="O35" s="477">
        <v>0</v>
      </c>
      <c r="P35" s="6">
        <v>0</v>
      </c>
      <c r="Q35" s="6">
        <v>0</v>
      </c>
      <c r="R35" s="6">
        <v>0</v>
      </c>
    </row>
    <row r="36" spans="1:18" ht="15.75" x14ac:dyDescent="0.25">
      <c r="A36" s="6"/>
      <c r="B36" s="6"/>
      <c r="C36" s="8" t="s">
        <v>19</v>
      </c>
      <c r="D36" s="8" t="s">
        <v>19</v>
      </c>
      <c r="E36" s="8" t="s">
        <v>19</v>
      </c>
      <c r="F36" s="8" t="s">
        <v>19</v>
      </c>
      <c r="G36" s="8" t="s">
        <v>19</v>
      </c>
      <c r="H36" s="321" t="s">
        <v>19</v>
      </c>
      <c r="I36" s="8" t="s">
        <v>19</v>
      </c>
      <c r="J36" s="382"/>
      <c r="K36" s="8"/>
      <c r="L36" s="8" t="s">
        <v>19</v>
      </c>
      <c r="M36" s="8"/>
      <c r="N36" s="8" t="s">
        <v>19</v>
      </c>
      <c r="O36" s="8" t="s">
        <v>19</v>
      </c>
      <c r="P36" s="8" t="s">
        <v>19</v>
      </c>
      <c r="Q36" s="8" t="s">
        <v>19</v>
      </c>
      <c r="R36" s="8" t="s">
        <v>19</v>
      </c>
    </row>
    <row r="37" spans="1:18" ht="15.75" x14ac:dyDescent="0.25">
      <c r="A37" s="6" t="s">
        <v>31</v>
      </c>
      <c r="B37" s="6"/>
      <c r="C37" s="6">
        <f t="shared" ref="C37:M37" si="6">(C35+C34)</f>
        <v>0</v>
      </c>
      <c r="D37" s="6">
        <f t="shared" si="6"/>
        <v>0</v>
      </c>
      <c r="E37" s="6">
        <f t="shared" si="6"/>
        <v>0</v>
      </c>
      <c r="F37" s="447">
        <f>(F35+F34)</f>
        <v>0</v>
      </c>
      <c r="G37" s="447">
        <f t="shared" si="6"/>
        <v>0</v>
      </c>
      <c r="H37" s="447">
        <f t="shared" si="6"/>
        <v>0</v>
      </c>
      <c r="I37" s="447">
        <f t="shared" si="6"/>
        <v>0</v>
      </c>
      <c r="J37" s="447">
        <f t="shared" ref="J37" si="7">(J35+J34)</f>
        <v>0</v>
      </c>
      <c r="K37" s="447">
        <f t="shared" ref="K37" si="8">(K35+K34)</f>
        <v>0</v>
      </c>
      <c r="L37" s="447">
        <f t="shared" ref="L37" si="9">(L35+L34)</f>
        <v>0</v>
      </c>
      <c r="M37" s="447">
        <f t="shared" si="6"/>
        <v>0</v>
      </c>
      <c r="N37" s="447">
        <f t="shared" ref="N37:R37" si="10">(N35+N34)</f>
        <v>0</v>
      </c>
      <c r="O37" s="447">
        <f t="shared" ref="O37" si="11">(O35+O34)</f>
        <v>0</v>
      </c>
      <c r="P37" s="6">
        <f t="shared" si="10"/>
        <v>0</v>
      </c>
      <c r="Q37" s="6">
        <f t="shared" si="10"/>
        <v>0</v>
      </c>
      <c r="R37" s="6">
        <f t="shared" si="10"/>
        <v>0</v>
      </c>
    </row>
    <row r="38" spans="1:18" ht="15.75" x14ac:dyDescent="0.25">
      <c r="A38" s="6"/>
      <c r="B38" s="6"/>
      <c r="C38" s="6"/>
      <c r="D38" s="6"/>
      <c r="E38" s="6"/>
      <c r="F38" s="6"/>
      <c r="G38" s="6"/>
      <c r="H38" s="25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.75" x14ac:dyDescent="0.25">
      <c r="A39" s="6" t="s">
        <v>32</v>
      </c>
      <c r="B39" s="6"/>
      <c r="C39" s="6"/>
      <c r="D39" s="6"/>
      <c r="E39" s="6"/>
      <c r="F39" s="6"/>
      <c r="G39" s="6"/>
      <c r="H39" s="25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5.75" x14ac:dyDescent="0.25">
      <c r="A40" s="6" t="s">
        <v>33</v>
      </c>
      <c r="B40" s="6"/>
      <c r="C40" s="6"/>
      <c r="D40" s="6"/>
      <c r="E40" s="6"/>
      <c r="F40" s="6"/>
      <c r="G40" s="6"/>
      <c r="H40" s="25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5.75" x14ac:dyDescent="0.25">
      <c r="A41" s="6" t="s">
        <v>29</v>
      </c>
      <c r="B41" s="6"/>
      <c r="C41" s="6">
        <v>0</v>
      </c>
      <c r="D41" s="6">
        <v>0</v>
      </c>
      <c r="E41" s="6">
        <v>0</v>
      </c>
      <c r="F41" s="477">
        <v>0</v>
      </c>
      <c r="G41" s="477">
        <v>0</v>
      </c>
      <c r="H41" s="488">
        <v>0</v>
      </c>
      <c r="I41" s="477">
        <v>0</v>
      </c>
      <c r="J41" s="487">
        <f t="shared" ref="J41:L42" si="12">0+0</f>
        <v>0</v>
      </c>
      <c r="K41" s="477">
        <f t="shared" si="12"/>
        <v>0</v>
      </c>
      <c r="L41" s="477">
        <f t="shared" si="12"/>
        <v>0</v>
      </c>
      <c r="M41" s="477">
        <v>0</v>
      </c>
      <c r="N41" s="477">
        <v>0</v>
      </c>
      <c r="O41" s="477">
        <v>0</v>
      </c>
      <c r="P41" s="6">
        <v>0</v>
      </c>
      <c r="Q41" s="6">
        <v>0</v>
      </c>
      <c r="R41" s="6">
        <v>0</v>
      </c>
    </row>
    <row r="42" spans="1:18" ht="15.75" x14ac:dyDescent="0.25">
      <c r="A42" s="6" t="s">
        <v>30</v>
      </c>
      <c r="B42" s="6"/>
      <c r="C42" s="6">
        <v>0</v>
      </c>
      <c r="D42" s="6">
        <v>0</v>
      </c>
      <c r="E42" s="6">
        <v>0</v>
      </c>
      <c r="F42" s="477">
        <v>0</v>
      </c>
      <c r="G42" s="477">
        <v>0</v>
      </c>
      <c r="H42" s="488">
        <v>0</v>
      </c>
      <c r="I42" s="477">
        <v>0</v>
      </c>
      <c r="J42" s="487">
        <f t="shared" si="12"/>
        <v>0</v>
      </c>
      <c r="K42" s="477">
        <f t="shared" si="12"/>
        <v>0</v>
      </c>
      <c r="L42" s="477">
        <f t="shared" si="12"/>
        <v>0</v>
      </c>
      <c r="M42" s="477">
        <v>0</v>
      </c>
      <c r="N42" s="477">
        <v>0</v>
      </c>
      <c r="O42" s="477">
        <v>0</v>
      </c>
      <c r="P42" s="6">
        <v>0</v>
      </c>
      <c r="Q42" s="6">
        <v>0</v>
      </c>
      <c r="R42" s="6">
        <v>0</v>
      </c>
    </row>
    <row r="43" spans="1:18" ht="15.75" x14ac:dyDescent="0.25">
      <c r="A43" s="6"/>
      <c r="B43" s="6"/>
      <c r="C43" s="8" t="s">
        <v>19</v>
      </c>
      <c r="D43" s="8" t="s">
        <v>19</v>
      </c>
      <c r="E43" s="8" t="s">
        <v>19</v>
      </c>
      <c r="F43" s="8" t="s">
        <v>19</v>
      </c>
      <c r="G43" s="8" t="s">
        <v>19</v>
      </c>
      <c r="H43" s="321" t="s">
        <v>19</v>
      </c>
      <c r="I43" s="8" t="s">
        <v>19</v>
      </c>
      <c r="J43" s="8"/>
      <c r="K43" s="8" t="s">
        <v>19</v>
      </c>
      <c r="L43" s="8" t="s">
        <v>19</v>
      </c>
      <c r="M43" s="8" t="s">
        <v>19</v>
      </c>
      <c r="N43" s="8" t="s">
        <v>19</v>
      </c>
      <c r="O43" s="8" t="s">
        <v>19</v>
      </c>
      <c r="P43" s="8" t="s">
        <v>19</v>
      </c>
      <c r="Q43" s="8" t="s">
        <v>19</v>
      </c>
      <c r="R43" s="8" t="s">
        <v>19</v>
      </c>
    </row>
    <row r="44" spans="1:18" ht="15.75" x14ac:dyDescent="0.25">
      <c r="A44" s="6"/>
      <c r="B44" s="6"/>
      <c r="C44" s="6">
        <f t="shared" ref="C44:I44" si="13">(C42+C41)</f>
        <v>0</v>
      </c>
      <c r="D44" s="6">
        <f t="shared" si="13"/>
        <v>0</v>
      </c>
      <c r="E44" s="6">
        <f t="shared" si="13"/>
        <v>0</v>
      </c>
      <c r="F44" s="447">
        <f>(F42+F41)</f>
        <v>0</v>
      </c>
      <c r="G44" s="447">
        <f t="shared" si="13"/>
        <v>0</v>
      </c>
      <c r="H44" s="447">
        <f t="shared" si="13"/>
        <v>0</v>
      </c>
      <c r="I44" s="447">
        <f t="shared" si="13"/>
        <v>0</v>
      </c>
      <c r="J44" s="447">
        <f t="shared" ref="J44" si="14">(J42+J41)</f>
        <v>0</v>
      </c>
      <c r="K44" s="447">
        <f t="shared" ref="K44" si="15">(K42+K41)</f>
        <v>0</v>
      </c>
      <c r="L44" s="447">
        <f t="shared" ref="L44" si="16">(L42+L41)</f>
        <v>0</v>
      </c>
      <c r="M44" s="447">
        <f t="shared" ref="M44" si="17">(M42+M41)</f>
        <v>0</v>
      </c>
      <c r="N44" s="447">
        <f t="shared" ref="N44:R44" si="18">(N42+N41)</f>
        <v>0</v>
      </c>
      <c r="O44" s="447">
        <f t="shared" ref="O44" si="19">(O42+O41)</f>
        <v>0</v>
      </c>
      <c r="P44" s="6">
        <f t="shared" si="18"/>
        <v>0</v>
      </c>
      <c r="Q44" s="6">
        <f t="shared" si="18"/>
        <v>0</v>
      </c>
      <c r="R44" s="6">
        <f t="shared" si="18"/>
        <v>0</v>
      </c>
    </row>
    <row r="45" spans="1:18" ht="15.75" x14ac:dyDescent="0.25">
      <c r="A45" s="6"/>
      <c r="B45" s="6"/>
      <c r="C45" s="6"/>
      <c r="D45" s="6"/>
      <c r="E45" s="6"/>
      <c r="F45" s="6"/>
      <c r="G45" s="6"/>
      <c r="H45" s="25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15.75" x14ac:dyDescent="0.25">
      <c r="A46" s="6" t="s">
        <v>34</v>
      </c>
      <c r="B46" s="6"/>
      <c r="C46" s="6">
        <v>112.58</v>
      </c>
      <c r="D46" s="6">
        <v>102.28</v>
      </c>
      <c r="E46" s="6">
        <v>118.71</v>
      </c>
      <c r="F46" s="6">
        <v>95.238227710943775</v>
      </c>
      <c r="G46" s="6">
        <v>178.02267385324924</v>
      </c>
      <c r="H46" s="25">
        <v>271.58999999999997</v>
      </c>
      <c r="I46" s="423">
        <v>184.29</v>
      </c>
      <c r="J46" s="422">
        <f>'Detailed PL, TP &amp; TR'!G4</f>
        <v>202</v>
      </c>
      <c r="K46" s="423">
        <f>'Detailed PL, TP &amp; TR'!J4</f>
        <v>653</v>
      </c>
      <c r="L46" s="423">
        <f>'Detailed PL, TP &amp; TR'!M4</f>
        <v>677.4</v>
      </c>
      <c r="M46" s="423">
        <f>'Detailed PL, TP &amp; TR'!P4</f>
        <v>703.02</v>
      </c>
      <c r="N46" s="422">
        <f>'Detailed PL, TP &amp; TR'!S4</f>
        <v>732.92100000000005</v>
      </c>
      <c r="O46" s="423">
        <f>'Detailed PL, TP &amp; TR'!V4</f>
        <v>761.16705000000002</v>
      </c>
      <c r="P46" s="228" t="e">
        <f>P13*(Assumption!#REF!)</f>
        <v>#REF!</v>
      </c>
      <c r="Q46" s="228" t="e">
        <f>Q13*(Assumption!#REF!)</f>
        <v>#REF!</v>
      </c>
      <c r="R46" s="228" t="e">
        <f>R13*(Assumption!#REF!)</f>
        <v>#REF!</v>
      </c>
    </row>
    <row r="47" spans="1:18" ht="15.75" x14ac:dyDescent="0.25">
      <c r="A47" s="6"/>
      <c r="B47" s="6"/>
      <c r="C47" s="6"/>
      <c r="D47" s="6"/>
      <c r="E47" s="6"/>
      <c r="F47" s="6"/>
      <c r="G47" s="6"/>
      <c r="H47" s="324"/>
      <c r="I47" s="406"/>
      <c r="J47" s="406"/>
      <c r="K47" s="406"/>
      <c r="L47" s="406"/>
      <c r="M47" s="406"/>
      <c r="N47" s="406"/>
      <c r="O47" s="406"/>
      <c r="P47" s="406"/>
      <c r="Q47" s="406"/>
      <c r="R47" s="406"/>
    </row>
    <row r="48" spans="1:18" ht="15.75" x14ac:dyDescent="0.25">
      <c r="A48" s="6" t="s">
        <v>35</v>
      </c>
      <c r="B48" s="6"/>
      <c r="C48" s="6">
        <v>58.47</v>
      </c>
      <c r="D48" s="6">
        <v>93.17</v>
      </c>
      <c r="E48" s="6">
        <v>219.959</v>
      </c>
      <c r="F48" s="6">
        <v>225.40299999999999</v>
      </c>
      <c r="G48" s="6">
        <v>255.55</v>
      </c>
      <c r="H48" s="25">
        <v>278.44</v>
      </c>
      <c r="I48" s="484">
        <v>335.06</v>
      </c>
      <c r="J48" s="422">
        <f>'Detailed PL, TP &amp; TR'!G5</f>
        <v>210.0140504</v>
      </c>
      <c r="K48" s="423">
        <f>'Detailed PL, TP &amp; TR'!J5</f>
        <v>962.8</v>
      </c>
      <c r="L48" s="423">
        <f>'Detailed PL, TP &amp; TR'!M5</f>
        <v>1029.21</v>
      </c>
      <c r="M48" s="423">
        <f>'Detailed PL, TP &amp; TR'!P5</f>
        <v>1086.5817499999998</v>
      </c>
      <c r="N48" s="422">
        <f>'Detailed PL, TP &amp; TR'!S5</f>
        <v>1159.8231812499998</v>
      </c>
      <c r="O48" s="423">
        <f>'Detailed PL, TP &amp; TR'!V5</f>
        <v>1248.0633667187501</v>
      </c>
      <c r="P48" s="228" t="e">
        <f>P13*(Assumption!#REF!)</f>
        <v>#REF!</v>
      </c>
      <c r="Q48" s="228" t="e">
        <f>Q13*(Assumption!#REF!)</f>
        <v>#REF!</v>
      </c>
      <c r="R48" s="228" t="e">
        <f>R13*(Assumption!#REF!)</f>
        <v>#REF!</v>
      </c>
    </row>
    <row r="49" spans="1:18" ht="15.75" x14ac:dyDescent="0.25">
      <c r="A49" s="6" t="s">
        <v>36</v>
      </c>
      <c r="B49" s="6"/>
      <c r="C49" s="6"/>
      <c r="D49" s="6"/>
      <c r="E49" s="6"/>
      <c r="F49" s="6"/>
      <c r="G49" s="6"/>
      <c r="H49" s="324"/>
      <c r="I49" s="406"/>
      <c r="J49" s="406"/>
      <c r="K49" s="406"/>
      <c r="L49" s="406"/>
      <c r="M49" s="406"/>
      <c r="N49" s="406"/>
      <c r="O49" s="406"/>
      <c r="P49" s="406"/>
      <c r="Q49" s="406"/>
      <c r="R49" s="406"/>
    </row>
    <row r="50" spans="1:18" x14ac:dyDescent="0.35">
      <c r="A50" s="8" t="s">
        <v>37</v>
      </c>
      <c r="B50" s="8"/>
      <c r="C50" s="8"/>
      <c r="D50" s="8"/>
      <c r="E50" s="8"/>
      <c r="F50" s="8"/>
      <c r="G50" s="8"/>
      <c r="H50" s="321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x14ac:dyDescent="0.35">
      <c r="A51" s="6" t="s">
        <v>38</v>
      </c>
      <c r="B51" s="6"/>
      <c r="C51" s="6">
        <v>140.04818</v>
      </c>
      <c r="D51" s="6">
        <v>97.670999999999992</v>
      </c>
      <c r="E51" s="6">
        <v>118.91600000000003</v>
      </c>
      <c r="F51" s="6">
        <v>95.403496642865747</v>
      </c>
      <c r="G51" s="6">
        <v>178.3316004037822</v>
      </c>
      <c r="H51" s="25">
        <v>191.41</v>
      </c>
      <c r="I51" s="25">
        <f>354.17-184.29</f>
        <v>169.88000000000002</v>
      </c>
      <c r="J51" s="422">
        <f>'Detailed PL, TP &amp; TR'!G6</f>
        <v>126.5070252</v>
      </c>
      <c r="K51" s="6">
        <f>'Detailed PL, TP &amp; TR'!J6</f>
        <v>793</v>
      </c>
      <c r="L51" s="423">
        <f>'Detailed PL, TP &amp; TR'!M6</f>
        <v>827.25</v>
      </c>
      <c r="M51" s="423">
        <f>'Detailed PL, TP &amp; TR'!P6</f>
        <v>835.01250000000005</v>
      </c>
      <c r="N51" s="422">
        <f>'Detailed PL, TP &amp; TR'!S6</f>
        <v>896.36312500000008</v>
      </c>
      <c r="O51" s="423">
        <f>'Detailed PL, TP &amp; TR'!V6</f>
        <v>935.38128125000003</v>
      </c>
      <c r="P51" s="6" t="e">
        <f>P13*(Assumption!#REF!)</f>
        <v>#REF!</v>
      </c>
      <c r="Q51" s="6" t="e">
        <f>Q13*(Assumption!#REF!)</f>
        <v>#REF!</v>
      </c>
      <c r="R51" s="6" t="e">
        <f>R13*(Assumption!#REF!)</f>
        <v>#REF!</v>
      </c>
    </row>
    <row r="52" spans="1:18" x14ac:dyDescent="0.35">
      <c r="A52" s="6"/>
      <c r="B52" s="6"/>
      <c r="C52" s="6"/>
      <c r="D52" s="6"/>
      <c r="E52" s="6"/>
      <c r="F52" s="6"/>
      <c r="G52" s="6"/>
      <c r="H52" s="324"/>
      <c r="I52" s="406"/>
      <c r="J52" s="406"/>
      <c r="K52" s="406"/>
      <c r="L52" s="406"/>
      <c r="M52" s="406"/>
      <c r="N52" s="406"/>
      <c r="O52" s="406"/>
      <c r="P52" s="406"/>
      <c r="Q52" s="406"/>
      <c r="R52" s="406"/>
    </row>
    <row r="53" spans="1:18" x14ac:dyDescent="0.35">
      <c r="A53" s="6" t="s">
        <v>39</v>
      </c>
      <c r="B53" s="6"/>
      <c r="C53" s="6">
        <v>384.74239997171713</v>
      </c>
      <c r="D53" s="6">
        <v>425.55</v>
      </c>
      <c r="E53" s="6">
        <v>429.13400000000001</v>
      </c>
      <c r="F53" s="6">
        <v>488.39800000000002</v>
      </c>
      <c r="G53" s="6">
        <v>644.71</v>
      </c>
      <c r="H53" s="25">
        <v>1163.21</v>
      </c>
      <c r="I53" s="6">
        <v>969.66</v>
      </c>
      <c r="J53" s="422">
        <f>'Detailed PL, TP &amp; TR'!G9</f>
        <v>741.27418599999999</v>
      </c>
      <c r="K53" s="6">
        <f>'Detailed PL, TP &amp; TR'!J9</f>
        <v>1364.8717971967999</v>
      </c>
      <c r="L53" s="423">
        <f>'Detailed PL, TP &amp; TR'!M9</f>
        <v>1248.7253340913628</v>
      </c>
      <c r="M53" s="423">
        <f>'Detailed PL, TP &amp; TR'!P9</f>
        <v>1043.1127846433142</v>
      </c>
      <c r="N53" s="422">
        <f>'Detailed PL, TP &amp; TR'!S9</f>
        <v>873.31854804358272</v>
      </c>
      <c r="O53" s="423">
        <f>'Detailed PL, TP &amp; TR'!V9</f>
        <v>732.76239069000871</v>
      </c>
      <c r="P53" s="208">
        <f>'Fixed Assets - Existing'!K18+'Depreciation new'!M75</f>
        <v>418.06011443809285</v>
      </c>
      <c r="Q53" s="208">
        <f>'Fixed Assets - Existing'!L18+'Depreciation new'!N75</f>
        <v>337.63965937522721</v>
      </c>
      <c r="R53" s="208">
        <f>'Fixed Assets - Existing'!M18+'Depreciation new'!O75</f>
        <v>264.26440811007245</v>
      </c>
    </row>
    <row r="54" spans="1:18" x14ac:dyDescent="0.35">
      <c r="A54" s="8" t="s">
        <v>37</v>
      </c>
      <c r="B54" s="8"/>
      <c r="C54" s="8"/>
      <c r="D54" s="8"/>
      <c r="E54" s="8"/>
      <c r="F54" s="8"/>
      <c r="G54" s="8"/>
      <c r="H54" s="321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x14ac:dyDescent="0.35">
      <c r="A55" s="6" t="s">
        <v>40</v>
      </c>
      <c r="B55" s="6"/>
      <c r="C55" s="6">
        <f t="shared" ref="C55:M55" si="20">SUM(C44:C53)+(C37)</f>
        <v>695.84057997171715</v>
      </c>
      <c r="D55" s="6">
        <f t="shared" si="20"/>
        <v>718.67100000000005</v>
      </c>
      <c r="E55" s="6">
        <f t="shared" si="20"/>
        <v>886.71900000000005</v>
      </c>
      <c r="F55" s="6">
        <f t="shared" si="20"/>
        <v>904.44272435380958</v>
      </c>
      <c r="G55" s="6">
        <f t="shared" si="20"/>
        <v>1256.6142742570314</v>
      </c>
      <c r="H55" s="6">
        <f t="shared" si="20"/>
        <v>1904.65</v>
      </c>
      <c r="I55" s="6">
        <f>SUM(I44:I53)+(I37)</f>
        <v>1658.8899999999999</v>
      </c>
      <c r="J55" s="6">
        <f>SUM(J44:J53)+(J37)</f>
        <v>1279.7952616</v>
      </c>
      <c r="K55" s="6">
        <f t="shared" si="20"/>
        <v>3773.6717971968001</v>
      </c>
      <c r="L55" s="6">
        <f t="shared" si="20"/>
        <v>3782.5853340913627</v>
      </c>
      <c r="M55" s="6">
        <f t="shared" si="20"/>
        <v>3667.7270346433138</v>
      </c>
      <c r="N55" s="6">
        <f t="shared" ref="N55:R55" si="21">SUM(N44:N53)+(N37)</f>
        <v>3662.4258542935827</v>
      </c>
      <c r="O55" s="6">
        <f t="shared" si="21"/>
        <v>3677.3740886587593</v>
      </c>
      <c r="P55" s="6" t="e">
        <f t="shared" si="21"/>
        <v>#REF!</v>
      </c>
      <c r="Q55" s="6" t="e">
        <f t="shared" si="21"/>
        <v>#REF!</v>
      </c>
      <c r="R55" s="6" t="e">
        <f t="shared" si="21"/>
        <v>#REF!</v>
      </c>
    </row>
    <row r="56" spans="1:18" x14ac:dyDescent="0.35">
      <c r="A56" s="6"/>
      <c r="B56" s="6"/>
      <c r="C56" s="6"/>
      <c r="D56" s="6"/>
      <c r="E56" s="6"/>
      <c r="F56" s="6"/>
      <c r="G56" s="6"/>
      <c r="H56" s="25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35">
      <c r="A57" s="6"/>
      <c r="B57" s="6"/>
      <c r="C57" s="6"/>
      <c r="D57" s="10" t="str">
        <f t="shared" ref="D57:I59" si="22">D8</f>
        <v>2018-19</v>
      </c>
      <c r="E57" s="10" t="str">
        <f t="shared" si="22"/>
        <v>2019-20</v>
      </c>
      <c r="F57" s="18" t="str">
        <f t="shared" si="22"/>
        <v>2020-21</v>
      </c>
      <c r="G57" s="18" t="str">
        <f t="shared" si="22"/>
        <v>2021-22</v>
      </c>
      <c r="H57" s="331" t="str">
        <f t="shared" si="22"/>
        <v>2022-23</v>
      </c>
      <c r="I57" s="18" t="str">
        <f t="shared" si="22"/>
        <v>2023-24</v>
      </c>
      <c r="J57" s="18" t="s">
        <v>355</v>
      </c>
      <c r="K57" s="18" t="s">
        <v>356</v>
      </c>
      <c r="L57" s="18" t="s">
        <v>357</v>
      </c>
      <c r="M57" s="18" t="s">
        <v>358</v>
      </c>
      <c r="N57" s="18" t="s">
        <v>10</v>
      </c>
      <c r="O57" s="78" t="s">
        <v>11</v>
      </c>
      <c r="P57" s="18" t="str">
        <f t="shared" ref="P57:R59" si="23">P8</f>
        <v>2030-31</v>
      </c>
      <c r="Q57" s="18" t="str">
        <f t="shared" si="23"/>
        <v>2031-32</v>
      </c>
      <c r="R57" s="18" t="str">
        <f t="shared" si="23"/>
        <v>2032-33</v>
      </c>
    </row>
    <row r="58" spans="1:18" x14ac:dyDescent="0.35">
      <c r="A58" s="6"/>
      <c r="B58" s="6"/>
      <c r="C58" s="6"/>
      <c r="D58" s="10" t="str">
        <f t="shared" si="22"/>
        <v>Aud.</v>
      </c>
      <c r="E58" s="10" t="str">
        <f t="shared" si="22"/>
        <v>Aud.</v>
      </c>
      <c r="F58" s="18" t="str">
        <f t="shared" si="22"/>
        <v>Aud.</v>
      </c>
      <c r="G58" s="18" t="str">
        <f t="shared" si="22"/>
        <v>Aud.</v>
      </c>
      <c r="H58" s="331" t="str">
        <f t="shared" si="22"/>
        <v>Aud.</v>
      </c>
      <c r="I58" s="18" t="str">
        <f t="shared" si="22"/>
        <v>Aud.</v>
      </c>
      <c r="J58" s="4" t="s">
        <v>672</v>
      </c>
      <c r="K58" s="4" t="s">
        <v>672</v>
      </c>
      <c r="L58" s="4" t="s">
        <v>672</v>
      </c>
      <c r="M58" s="4" t="s">
        <v>672</v>
      </c>
      <c r="N58" s="4" t="s">
        <v>672</v>
      </c>
      <c r="O58" s="4" t="s">
        <v>672</v>
      </c>
      <c r="P58" s="18" t="str">
        <f t="shared" si="23"/>
        <v>Proj</v>
      </c>
      <c r="Q58" s="18" t="str">
        <f t="shared" si="23"/>
        <v>Proj</v>
      </c>
      <c r="R58" s="18" t="str">
        <f t="shared" si="23"/>
        <v>Proj</v>
      </c>
    </row>
    <row r="59" spans="1:18" x14ac:dyDescent="0.35">
      <c r="A59" s="6"/>
      <c r="B59" s="6"/>
      <c r="C59" s="6"/>
      <c r="D59" s="5">
        <f t="shared" si="22"/>
        <v>1</v>
      </c>
      <c r="E59" s="5">
        <f t="shared" si="22"/>
        <v>2</v>
      </c>
      <c r="F59" s="5">
        <f t="shared" si="22"/>
        <v>3</v>
      </c>
      <c r="G59" s="5">
        <f t="shared" si="22"/>
        <v>4</v>
      </c>
      <c r="H59" s="319">
        <f t="shared" si="22"/>
        <v>5</v>
      </c>
      <c r="I59" s="5">
        <f t="shared" si="22"/>
        <v>6</v>
      </c>
      <c r="J59" s="5">
        <v>7</v>
      </c>
      <c r="K59" s="5">
        <v>8</v>
      </c>
      <c r="L59" s="5">
        <v>9</v>
      </c>
      <c r="M59" s="5">
        <v>10</v>
      </c>
      <c r="N59" s="5">
        <v>11</v>
      </c>
      <c r="O59" s="5">
        <v>12</v>
      </c>
      <c r="P59" s="5" t="e">
        <f t="shared" si="23"/>
        <v>#REF!</v>
      </c>
      <c r="Q59" s="5" t="e">
        <f t="shared" si="23"/>
        <v>#REF!</v>
      </c>
      <c r="R59" s="5" t="e">
        <f t="shared" si="23"/>
        <v>#REF!</v>
      </c>
    </row>
    <row r="60" spans="1:18" x14ac:dyDescent="0.35">
      <c r="A60" s="6"/>
      <c r="B60" s="6"/>
      <c r="C60" s="6"/>
      <c r="D60" s="6"/>
      <c r="E60" s="6"/>
      <c r="F60" s="6"/>
      <c r="G60" s="6"/>
      <c r="H60" s="25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35">
      <c r="A61" s="6"/>
      <c r="B61" s="6"/>
      <c r="C61" s="6"/>
      <c r="D61" s="6"/>
      <c r="E61" s="6"/>
      <c r="F61" s="6"/>
      <c r="G61" s="6"/>
      <c r="H61" s="25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35">
      <c r="A62" s="6" t="s">
        <v>41</v>
      </c>
      <c r="B62" s="6"/>
      <c r="C62" s="6">
        <v>0</v>
      </c>
      <c r="D62" s="6">
        <v>0</v>
      </c>
      <c r="E62" s="6">
        <v>0</v>
      </c>
      <c r="F62" s="477">
        <v>0</v>
      </c>
      <c r="G62" s="477">
        <v>0</v>
      </c>
      <c r="H62" s="488">
        <v>0</v>
      </c>
      <c r="I62" s="477">
        <v>0</v>
      </c>
      <c r="J62" s="487">
        <f>0+0</f>
        <v>0</v>
      </c>
      <c r="K62" s="477">
        <f>0+0</f>
        <v>0</v>
      </c>
      <c r="L62" s="477">
        <v>0</v>
      </c>
      <c r="M62" s="477">
        <v>0</v>
      </c>
      <c r="N62" s="477">
        <v>0</v>
      </c>
      <c r="O62" s="477">
        <v>0</v>
      </c>
      <c r="P62" s="6">
        <v>0</v>
      </c>
      <c r="Q62" s="6">
        <v>0</v>
      </c>
      <c r="R62" s="6">
        <v>0</v>
      </c>
    </row>
    <row r="63" spans="1:18" x14ac:dyDescent="0.35">
      <c r="A63" s="6" t="s">
        <v>42</v>
      </c>
      <c r="B63" s="6"/>
      <c r="C63" s="6"/>
      <c r="D63" s="6"/>
      <c r="E63" s="6"/>
      <c r="F63" s="6"/>
      <c r="G63" s="6"/>
      <c r="H63" s="25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35">
      <c r="A64" s="6"/>
      <c r="B64" s="6"/>
      <c r="C64" s="6"/>
      <c r="D64" s="6"/>
      <c r="E64" s="6"/>
      <c r="F64" s="6"/>
      <c r="G64" s="6"/>
      <c r="H64" s="25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35">
      <c r="A65" s="6" t="s">
        <v>43</v>
      </c>
      <c r="B65" s="6"/>
      <c r="C65" s="6">
        <f t="shared" ref="C65:M65" si="24">C55+C62</f>
        <v>695.84057997171715</v>
      </c>
      <c r="D65" s="6">
        <f t="shared" si="24"/>
        <v>718.67100000000005</v>
      </c>
      <c r="E65" s="6">
        <f t="shared" si="24"/>
        <v>886.71900000000005</v>
      </c>
      <c r="F65" s="6">
        <f t="shared" si="24"/>
        <v>904.44272435380958</v>
      </c>
      <c r="G65" s="6">
        <f t="shared" si="24"/>
        <v>1256.6142742570314</v>
      </c>
      <c r="H65" s="6">
        <f t="shared" si="24"/>
        <v>1904.65</v>
      </c>
      <c r="I65" s="6">
        <f>I55+I62</f>
        <v>1658.8899999999999</v>
      </c>
      <c r="J65" s="6">
        <f t="shared" ref="J65" si="25">J55+J62</f>
        <v>1279.7952616</v>
      </c>
      <c r="K65" s="6">
        <f t="shared" si="24"/>
        <v>3773.6717971968001</v>
      </c>
      <c r="L65" s="6">
        <f t="shared" si="24"/>
        <v>3782.5853340913627</v>
      </c>
      <c r="M65" s="6">
        <f t="shared" si="24"/>
        <v>3667.7270346433138</v>
      </c>
      <c r="N65" s="6">
        <f t="shared" ref="N65:R65" si="26">N55+N62</f>
        <v>3662.4258542935827</v>
      </c>
      <c r="O65" s="6">
        <f t="shared" si="26"/>
        <v>3677.3740886587593</v>
      </c>
      <c r="P65" s="6" t="e">
        <f t="shared" si="26"/>
        <v>#REF!</v>
      </c>
      <c r="Q65" s="6" t="e">
        <f t="shared" si="26"/>
        <v>#REF!</v>
      </c>
      <c r="R65" s="6" t="e">
        <f t="shared" si="26"/>
        <v>#REF!</v>
      </c>
    </row>
    <row r="66" spans="1:18" x14ac:dyDescent="0.35">
      <c r="A66" s="6"/>
      <c r="B66" s="6"/>
      <c r="C66" s="6"/>
      <c r="D66" s="6"/>
      <c r="E66" s="6"/>
      <c r="F66" s="6"/>
      <c r="G66" s="6"/>
      <c r="H66" s="25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35">
      <c r="A67" s="6" t="s">
        <v>44</v>
      </c>
      <c r="B67" s="6"/>
      <c r="C67" s="6">
        <v>0</v>
      </c>
      <c r="D67" s="6">
        <v>0</v>
      </c>
      <c r="E67" s="6">
        <v>0</v>
      </c>
      <c r="F67" s="477">
        <v>0</v>
      </c>
      <c r="G67" s="477">
        <v>0</v>
      </c>
      <c r="H67" s="488">
        <v>0</v>
      </c>
      <c r="I67" s="477">
        <v>0</v>
      </c>
      <c r="J67" s="487">
        <f>0+0</f>
        <v>0</v>
      </c>
      <c r="K67" s="477">
        <f>0+0</f>
        <v>0</v>
      </c>
      <c r="L67" s="477">
        <f>0+0</f>
        <v>0</v>
      </c>
      <c r="M67" s="477">
        <v>0</v>
      </c>
      <c r="N67" s="477">
        <v>0</v>
      </c>
      <c r="O67" s="477">
        <v>0</v>
      </c>
      <c r="P67" s="6">
        <v>0</v>
      </c>
      <c r="Q67" s="6">
        <v>0</v>
      </c>
      <c r="R67" s="6">
        <v>0</v>
      </c>
    </row>
    <row r="68" spans="1:18" x14ac:dyDescent="0.35">
      <c r="A68" s="6" t="s">
        <v>45</v>
      </c>
      <c r="B68" s="6"/>
      <c r="C68" s="6"/>
      <c r="D68" s="6"/>
      <c r="E68" s="6"/>
      <c r="F68" s="6"/>
      <c r="G68" s="6"/>
      <c r="H68" s="25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35">
      <c r="A69" s="6"/>
      <c r="B69" s="6"/>
      <c r="C69" s="6"/>
      <c r="D69" s="6"/>
      <c r="E69" s="6"/>
      <c r="F69" s="6"/>
      <c r="G69" s="6"/>
      <c r="H69" s="25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35">
      <c r="A70" s="6" t="s">
        <v>46</v>
      </c>
      <c r="B70" s="6"/>
      <c r="C70" s="6">
        <f t="shared" ref="C70:M70" si="27">C65-C67</f>
        <v>695.84057997171715</v>
      </c>
      <c r="D70" s="6">
        <f t="shared" si="27"/>
        <v>718.67100000000005</v>
      </c>
      <c r="E70" s="6">
        <f t="shared" si="27"/>
        <v>886.71900000000005</v>
      </c>
      <c r="F70" s="6">
        <f t="shared" si="27"/>
        <v>904.44272435380958</v>
      </c>
      <c r="G70" s="6">
        <f t="shared" si="27"/>
        <v>1256.6142742570314</v>
      </c>
      <c r="H70" s="6">
        <f t="shared" si="27"/>
        <v>1904.65</v>
      </c>
      <c r="I70" s="6">
        <f>I65-I67</f>
        <v>1658.8899999999999</v>
      </c>
      <c r="J70" s="6">
        <f t="shared" ref="J70" si="28">J65-J67</f>
        <v>1279.7952616</v>
      </c>
      <c r="K70" s="6">
        <f t="shared" si="27"/>
        <v>3773.6717971968001</v>
      </c>
      <c r="L70" s="6">
        <f t="shared" si="27"/>
        <v>3782.5853340913627</v>
      </c>
      <c r="M70" s="6">
        <f t="shared" si="27"/>
        <v>3667.7270346433138</v>
      </c>
      <c r="N70" s="6">
        <f t="shared" ref="N70:R70" si="29">N65-N67</f>
        <v>3662.4258542935827</v>
      </c>
      <c r="O70" s="6">
        <f t="shared" si="29"/>
        <v>3677.3740886587593</v>
      </c>
      <c r="P70" s="6" t="e">
        <f t="shared" si="29"/>
        <v>#REF!</v>
      </c>
      <c r="Q70" s="6" t="e">
        <f t="shared" si="29"/>
        <v>#REF!</v>
      </c>
      <c r="R70" s="6" t="e">
        <f t="shared" si="29"/>
        <v>#REF!</v>
      </c>
    </row>
    <row r="71" spans="1:18" x14ac:dyDescent="0.35">
      <c r="A71" s="6"/>
      <c r="B71" s="6"/>
      <c r="C71" s="6"/>
      <c r="D71" s="6"/>
      <c r="E71" s="6"/>
      <c r="F71" s="6"/>
      <c r="G71" s="6"/>
      <c r="H71" s="25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35">
      <c r="A72" s="6" t="s">
        <v>47</v>
      </c>
      <c r="B72" s="6"/>
      <c r="C72" s="6">
        <v>0</v>
      </c>
      <c r="D72" s="6">
        <v>0</v>
      </c>
      <c r="E72" s="6">
        <v>0</v>
      </c>
      <c r="F72" s="477">
        <v>0</v>
      </c>
      <c r="G72" s="477">
        <v>0</v>
      </c>
      <c r="H72" s="488">
        <v>0</v>
      </c>
      <c r="I72" s="477">
        <v>0</v>
      </c>
      <c r="J72" s="487">
        <f>0+0</f>
        <v>0</v>
      </c>
      <c r="K72" s="477">
        <f>0+0</f>
        <v>0</v>
      </c>
      <c r="L72" s="477">
        <f>0+0</f>
        <v>0</v>
      </c>
      <c r="M72" s="477">
        <v>0</v>
      </c>
      <c r="N72" s="477">
        <v>0</v>
      </c>
      <c r="O72" s="477">
        <v>0</v>
      </c>
      <c r="P72" s="6">
        <v>0</v>
      </c>
      <c r="Q72" s="6">
        <v>0</v>
      </c>
      <c r="R72" s="6">
        <v>0</v>
      </c>
    </row>
    <row r="73" spans="1:18" x14ac:dyDescent="0.35">
      <c r="A73" s="6" t="s">
        <v>48</v>
      </c>
      <c r="B73" s="6"/>
      <c r="C73" s="6"/>
      <c r="D73" s="6"/>
      <c r="E73" s="6"/>
      <c r="F73" s="6"/>
      <c r="G73" s="6"/>
      <c r="H73" s="25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35">
      <c r="A74" s="6"/>
      <c r="B74" s="6"/>
      <c r="C74" s="6"/>
      <c r="D74" s="6"/>
      <c r="E74" s="6"/>
      <c r="F74" s="6"/>
      <c r="G74" s="6"/>
      <c r="H74" s="25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35">
      <c r="A75" s="6" t="s">
        <v>49</v>
      </c>
      <c r="B75" s="6"/>
      <c r="C75" s="6">
        <f t="shared" ref="C75:M75" si="30">C70+C72</f>
        <v>695.84057997171715</v>
      </c>
      <c r="D75" s="6">
        <f t="shared" si="30"/>
        <v>718.67100000000005</v>
      </c>
      <c r="E75" s="6">
        <f t="shared" si="30"/>
        <v>886.71900000000005</v>
      </c>
      <c r="F75" s="6">
        <f t="shared" si="30"/>
        <v>904.44272435380958</v>
      </c>
      <c r="G75" s="6">
        <f t="shared" si="30"/>
        <v>1256.6142742570314</v>
      </c>
      <c r="H75" s="6">
        <f t="shared" si="30"/>
        <v>1904.65</v>
      </c>
      <c r="I75" s="6">
        <f t="shared" si="30"/>
        <v>1658.8899999999999</v>
      </c>
      <c r="J75" s="6">
        <f t="shared" ref="J75" si="31">J70+J72</f>
        <v>1279.7952616</v>
      </c>
      <c r="K75" s="6">
        <f t="shared" si="30"/>
        <v>3773.6717971968001</v>
      </c>
      <c r="L75" s="6">
        <f t="shared" si="30"/>
        <v>3782.5853340913627</v>
      </c>
      <c r="M75" s="6">
        <f t="shared" si="30"/>
        <v>3667.7270346433138</v>
      </c>
      <c r="N75" s="6">
        <f t="shared" ref="N75:R75" si="32">N70+N72</f>
        <v>3662.4258542935827</v>
      </c>
      <c r="O75" s="6">
        <f t="shared" si="32"/>
        <v>3677.3740886587593</v>
      </c>
      <c r="P75" s="6" t="e">
        <f t="shared" si="32"/>
        <v>#REF!</v>
      </c>
      <c r="Q75" s="6" t="e">
        <f t="shared" si="32"/>
        <v>#REF!</v>
      </c>
      <c r="R75" s="6" t="e">
        <f t="shared" si="32"/>
        <v>#REF!</v>
      </c>
    </row>
    <row r="76" spans="1:18" x14ac:dyDescent="0.35">
      <c r="A76" s="6"/>
      <c r="B76" s="6"/>
      <c r="C76" s="6"/>
      <c r="D76" s="6"/>
      <c r="E76" s="6"/>
      <c r="F76" s="6"/>
      <c r="G76" s="6"/>
      <c r="H76" s="25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35">
      <c r="A77" s="6" t="s">
        <v>50</v>
      </c>
      <c r="B77" s="6"/>
      <c r="C77" s="6">
        <v>0</v>
      </c>
      <c r="D77" s="6">
        <v>0</v>
      </c>
      <c r="E77" s="6">
        <v>0</v>
      </c>
      <c r="F77" s="477">
        <v>0</v>
      </c>
      <c r="G77" s="477">
        <v>0</v>
      </c>
      <c r="H77" s="488">
        <v>0</v>
      </c>
      <c r="I77" s="477">
        <v>0</v>
      </c>
      <c r="J77" s="487">
        <f>0+0</f>
        <v>0</v>
      </c>
      <c r="K77" s="477">
        <f>0+0</f>
        <v>0</v>
      </c>
      <c r="L77" s="477">
        <f>0+0</f>
        <v>0</v>
      </c>
      <c r="M77" s="477">
        <v>0</v>
      </c>
      <c r="N77" s="477">
        <v>0</v>
      </c>
      <c r="O77" s="477">
        <v>0</v>
      </c>
      <c r="P77" s="6">
        <v>0</v>
      </c>
      <c r="Q77" s="6">
        <v>0</v>
      </c>
      <c r="R77" s="6">
        <v>0</v>
      </c>
    </row>
    <row r="78" spans="1:18" x14ac:dyDescent="0.35">
      <c r="A78" s="6" t="s">
        <v>51</v>
      </c>
      <c r="B78" s="6"/>
      <c r="C78" s="6"/>
      <c r="D78" s="6"/>
      <c r="E78" s="6"/>
      <c r="F78" s="6"/>
      <c r="G78" s="6"/>
      <c r="H78" s="25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35">
      <c r="A79" s="6"/>
      <c r="B79" s="6"/>
      <c r="C79" s="8" t="s">
        <v>19</v>
      </c>
      <c r="D79" s="8" t="s">
        <v>19</v>
      </c>
      <c r="E79" s="8" t="s">
        <v>19</v>
      </c>
      <c r="F79" s="8" t="s">
        <v>19</v>
      </c>
      <c r="G79" s="8" t="s">
        <v>19</v>
      </c>
      <c r="H79" s="321" t="s">
        <v>19</v>
      </c>
      <c r="I79" s="8" t="s">
        <v>19</v>
      </c>
      <c r="J79" s="8"/>
      <c r="K79" s="8"/>
      <c r="L79" s="8"/>
      <c r="M79" s="8"/>
      <c r="N79" s="8"/>
      <c r="O79" s="8"/>
      <c r="P79" s="8" t="s">
        <v>19</v>
      </c>
      <c r="Q79" s="8" t="s">
        <v>19</v>
      </c>
      <c r="R79" s="8" t="s">
        <v>19</v>
      </c>
    </row>
    <row r="80" spans="1:18" x14ac:dyDescent="0.35">
      <c r="A80" s="6" t="s">
        <v>52</v>
      </c>
      <c r="B80" s="6"/>
      <c r="C80" s="6">
        <f t="shared" ref="C80:M80" si="33">(C75-C77)</f>
        <v>695.84057997171715</v>
      </c>
      <c r="D80" s="6">
        <f t="shared" si="33"/>
        <v>718.67100000000005</v>
      </c>
      <c r="E80" s="6">
        <f t="shared" si="33"/>
        <v>886.71900000000005</v>
      </c>
      <c r="F80" s="6">
        <f t="shared" si="33"/>
        <v>904.44272435380958</v>
      </c>
      <c r="G80" s="6">
        <f t="shared" si="33"/>
        <v>1256.6142742570314</v>
      </c>
      <c r="H80" s="6">
        <f t="shared" si="33"/>
        <v>1904.65</v>
      </c>
      <c r="I80" s="6">
        <f t="shared" si="33"/>
        <v>1658.8899999999999</v>
      </c>
      <c r="J80" s="6">
        <f t="shared" ref="J80" si="34">(J75-J77)</f>
        <v>1279.7952616</v>
      </c>
      <c r="K80" s="6">
        <f t="shared" si="33"/>
        <v>3773.6717971968001</v>
      </c>
      <c r="L80" s="6">
        <f t="shared" si="33"/>
        <v>3782.5853340913627</v>
      </c>
      <c r="M80" s="6">
        <f t="shared" si="33"/>
        <v>3667.7270346433138</v>
      </c>
      <c r="N80" s="6">
        <f t="shared" ref="N80:R80" si="35">(N75-N77)</f>
        <v>3662.4258542935827</v>
      </c>
      <c r="O80" s="6">
        <f t="shared" si="35"/>
        <v>3677.3740886587593</v>
      </c>
      <c r="P80" s="6" t="e">
        <f t="shared" si="35"/>
        <v>#REF!</v>
      </c>
      <c r="Q80" s="6" t="e">
        <f t="shared" si="35"/>
        <v>#REF!</v>
      </c>
      <c r="R80" s="6" t="e">
        <f t="shared" si="35"/>
        <v>#REF!</v>
      </c>
    </row>
    <row r="81" spans="1:102" x14ac:dyDescent="0.35">
      <c r="A81" s="6"/>
      <c r="B81" s="6"/>
      <c r="C81" s="6"/>
      <c r="D81" s="6"/>
      <c r="E81" s="6"/>
      <c r="F81" s="6"/>
      <c r="G81" s="6"/>
      <c r="H81" s="25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02" x14ac:dyDescent="0.35">
      <c r="A82" s="6" t="s">
        <v>53</v>
      </c>
      <c r="B82" s="6"/>
      <c r="C82" s="6">
        <v>136.01</v>
      </c>
      <c r="D82" s="6">
        <v>132.07</v>
      </c>
      <c r="E82" s="6">
        <v>194.29</v>
      </c>
      <c r="F82" s="6">
        <v>155.87427564619045</v>
      </c>
      <c r="G82" s="6">
        <v>291.36572574296861</v>
      </c>
      <c r="H82" s="25">
        <v>359.67</v>
      </c>
      <c r="I82" s="423">
        <v>309.27</v>
      </c>
      <c r="J82" s="422">
        <f>'Detailed PL, TP &amp; TR'!G7</f>
        <v>168.3240504</v>
      </c>
      <c r="K82" s="423">
        <f>'Detailed PL, TP &amp; TR'!J7</f>
        <v>287.20414</v>
      </c>
      <c r="L82" s="423">
        <f>'Detailed PL, TP &amp; TR'!M7</f>
        <v>299.31863249999998</v>
      </c>
      <c r="M82" s="423">
        <f>2400*11%+94.9</f>
        <v>358.9</v>
      </c>
      <c r="N82" s="422">
        <f>'Detailed PL, TP &amp; TR'!S7</f>
        <v>316.04661092656249</v>
      </c>
      <c r="O82" s="423">
        <f>'Detailed PL, TP &amp; TR'!V7</f>
        <v>329.33036181214845</v>
      </c>
      <c r="P82" s="228" t="e">
        <f>P13*(Assumption!#REF!)</f>
        <v>#REF!</v>
      </c>
      <c r="Q82" s="228" t="e">
        <f>Q13*(Assumption!#REF!)</f>
        <v>#REF!</v>
      </c>
      <c r="R82" s="228" t="e">
        <f>R13*(Assumption!#REF!)</f>
        <v>#REF!</v>
      </c>
    </row>
    <row r="83" spans="1:102" x14ac:dyDescent="0.35">
      <c r="A83" s="6" t="s">
        <v>54</v>
      </c>
      <c r="B83" s="6"/>
      <c r="C83" s="6"/>
      <c r="D83" s="6"/>
      <c r="E83" s="6"/>
      <c r="F83" s="406"/>
      <c r="G83" s="406"/>
      <c r="H83" s="406"/>
      <c r="I83" s="406"/>
      <c r="J83" s="406"/>
      <c r="K83" s="406"/>
      <c r="L83" s="406"/>
      <c r="M83" s="406"/>
      <c r="N83" s="406"/>
      <c r="O83" s="406"/>
      <c r="P83" s="406"/>
      <c r="Q83" s="406"/>
      <c r="R83" s="406"/>
    </row>
    <row r="84" spans="1:102" x14ac:dyDescent="0.35">
      <c r="A84" s="6"/>
      <c r="B84" s="6"/>
      <c r="C84" s="8" t="s">
        <v>19</v>
      </c>
      <c r="D84" s="8" t="s">
        <v>19</v>
      </c>
      <c r="E84" s="8" t="s">
        <v>19</v>
      </c>
      <c r="F84" s="8" t="s">
        <v>19</v>
      </c>
      <c r="G84" s="8" t="s">
        <v>19</v>
      </c>
      <c r="H84" s="321" t="s">
        <v>19</v>
      </c>
      <c r="I84" s="8" t="s">
        <v>19</v>
      </c>
      <c r="J84" s="8"/>
      <c r="K84" s="8"/>
      <c r="L84" s="8"/>
      <c r="M84" s="8"/>
      <c r="N84" s="8"/>
      <c r="O84" s="8"/>
      <c r="P84" s="8" t="s">
        <v>19</v>
      </c>
      <c r="Q84" s="8" t="s">
        <v>19</v>
      </c>
      <c r="R84" s="8" t="s">
        <v>19</v>
      </c>
    </row>
    <row r="85" spans="1:102" x14ac:dyDescent="0.35">
      <c r="A85" s="6" t="s">
        <v>55</v>
      </c>
      <c r="B85" s="6"/>
      <c r="C85" s="6">
        <f t="shared" ref="C85:M85" si="36">(C80+C82)</f>
        <v>831.85057997171714</v>
      </c>
      <c r="D85" s="6">
        <f t="shared" si="36"/>
        <v>850.74099999999999</v>
      </c>
      <c r="E85" s="6">
        <f t="shared" si="36"/>
        <v>1081.009</v>
      </c>
      <c r="F85" s="6">
        <f t="shared" si="36"/>
        <v>1060.317</v>
      </c>
      <c r="G85" s="6">
        <f t="shared" si="36"/>
        <v>1547.98</v>
      </c>
      <c r="H85" s="6">
        <f t="shared" si="36"/>
        <v>2264.3200000000002</v>
      </c>
      <c r="I85" s="6">
        <f t="shared" si="36"/>
        <v>1968.1599999999999</v>
      </c>
      <c r="J85" s="6">
        <f t="shared" si="36"/>
        <v>1448.119312</v>
      </c>
      <c r="K85" s="6">
        <f t="shared" si="36"/>
        <v>4060.8759371967999</v>
      </c>
      <c r="L85" s="6">
        <f t="shared" si="36"/>
        <v>4081.9039665913629</v>
      </c>
      <c r="M85" s="6">
        <f t="shared" si="36"/>
        <v>4026.6270346433139</v>
      </c>
      <c r="N85" s="447">
        <f t="shared" ref="N85:R85" si="37">(N80+N82)</f>
        <v>3978.4724652201453</v>
      </c>
      <c r="O85" s="6">
        <f t="shared" si="37"/>
        <v>4006.7044504709079</v>
      </c>
      <c r="P85" s="6" t="e">
        <f t="shared" si="37"/>
        <v>#REF!</v>
      </c>
      <c r="Q85" s="6" t="e">
        <f t="shared" si="37"/>
        <v>#REF!</v>
      </c>
      <c r="R85" s="6" t="e">
        <f t="shared" si="37"/>
        <v>#REF!</v>
      </c>
    </row>
    <row r="86" spans="1:102" x14ac:dyDescent="0.35">
      <c r="A86" s="6"/>
      <c r="B86" s="6"/>
      <c r="C86" s="6"/>
      <c r="D86" s="6"/>
      <c r="E86" s="6"/>
      <c r="F86" s="6"/>
      <c r="G86" s="6"/>
      <c r="H86" s="25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02" x14ac:dyDescent="0.35">
      <c r="A87" s="6" t="s">
        <v>596</v>
      </c>
      <c r="B87" s="6"/>
      <c r="C87" s="6">
        <f t="shared" ref="C87:M87" si="38">C20-C85</f>
        <v>236.3459900282827</v>
      </c>
      <c r="D87" s="6">
        <f t="shared" si="38"/>
        <v>133.81299999999999</v>
      </c>
      <c r="E87" s="6">
        <f t="shared" si="38"/>
        <v>173.80999999999995</v>
      </c>
      <c r="F87" s="6">
        <f t="shared" si="38"/>
        <v>205.6579999999999</v>
      </c>
      <c r="G87" s="6">
        <f t="shared" si="38"/>
        <v>328.74</v>
      </c>
      <c r="H87" s="6">
        <f t="shared" si="38"/>
        <v>308.63999999999987</v>
      </c>
      <c r="I87" s="6">
        <f>I20-I85</f>
        <v>173.3625062000001</v>
      </c>
      <c r="J87" s="6">
        <f t="shared" ref="J87" si="39">J20-J85</f>
        <v>787.30631799999969</v>
      </c>
      <c r="K87" s="6">
        <f t="shared" si="38"/>
        <v>1674.3120628032002</v>
      </c>
      <c r="L87" s="6">
        <f t="shared" si="38"/>
        <v>1876.6150334086374</v>
      </c>
      <c r="M87" s="6">
        <f t="shared" si="38"/>
        <v>2062.3795153566862</v>
      </c>
      <c r="N87" s="6">
        <f t="shared" ref="N87:R87" si="40">N20-N85</f>
        <v>2348.6102622798549</v>
      </c>
      <c r="O87" s="6">
        <f t="shared" si="40"/>
        <v>2566.5023321540925</v>
      </c>
      <c r="P87" s="6" t="e">
        <f t="shared" si="40"/>
        <v>#REF!</v>
      </c>
      <c r="Q87" s="6" t="e">
        <f t="shared" si="40"/>
        <v>#REF!</v>
      </c>
      <c r="R87" s="6" t="e">
        <f t="shared" si="40"/>
        <v>#REF!</v>
      </c>
    </row>
    <row r="88" spans="1:102" s="449" customFormat="1" x14ac:dyDescent="0.35">
      <c r="A88" s="448" t="s">
        <v>56</v>
      </c>
      <c r="B88" s="448"/>
      <c r="C88" s="448"/>
      <c r="D88" s="448"/>
      <c r="E88" s="448"/>
      <c r="F88" s="448"/>
      <c r="G88" s="381" t="s">
        <v>594</v>
      </c>
      <c r="H88" s="381">
        <f t="shared" ref="H88:J88" si="41">H87+H53</f>
        <v>1471.85</v>
      </c>
      <c r="I88" s="381">
        <f t="shared" si="41"/>
        <v>1143.0225062</v>
      </c>
      <c r="J88" s="381">
        <f t="shared" si="41"/>
        <v>1528.5805039999996</v>
      </c>
      <c r="K88" s="381">
        <f>K87+K53</f>
        <v>3039.1838600000001</v>
      </c>
      <c r="L88" s="381">
        <f t="shared" ref="L88:R88" si="42">L87+L53</f>
        <v>3125.3403675</v>
      </c>
      <c r="M88" s="381">
        <f t="shared" si="42"/>
        <v>3105.4923000000003</v>
      </c>
      <c r="N88" s="381">
        <f t="shared" si="42"/>
        <v>3221.9288103234376</v>
      </c>
      <c r="O88" s="381">
        <f t="shared" si="42"/>
        <v>3299.264722844101</v>
      </c>
      <c r="P88" s="381" t="e">
        <f t="shared" si="42"/>
        <v>#REF!</v>
      </c>
      <c r="Q88" s="381" t="e">
        <f t="shared" si="42"/>
        <v>#REF!</v>
      </c>
      <c r="R88" s="381" t="e">
        <f t="shared" si="42"/>
        <v>#REF!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</row>
    <row r="89" spans="1:102" s="449" customFormat="1" x14ac:dyDescent="0.35">
      <c r="A89" s="448"/>
      <c r="B89" s="448"/>
      <c r="C89" s="448"/>
      <c r="D89" s="448"/>
      <c r="E89" s="448"/>
      <c r="F89" s="448"/>
      <c r="G89" s="381" t="s">
        <v>595</v>
      </c>
      <c r="H89" s="468">
        <f t="shared" ref="H89:R89" si="43">H88/(H13+H14)</f>
        <v>0.5720454262794602</v>
      </c>
      <c r="I89" s="468">
        <f t="shared" si="43"/>
        <v>0.53374293423991281</v>
      </c>
      <c r="J89" s="468">
        <f t="shared" si="43"/>
        <v>0.6837984156064274</v>
      </c>
      <c r="K89" s="468">
        <f t="shared" si="43"/>
        <v>0.52991878557424799</v>
      </c>
      <c r="L89" s="468">
        <f t="shared" si="43"/>
        <v>0.52451630472270039</v>
      </c>
      <c r="M89" s="468">
        <f t="shared" si="43"/>
        <v>0.5100162521585726</v>
      </c>
      <c r="N89" s="468">
        <f t="shared" si="43"/>
        <v>0.50922817814909593</v>
      </c>
      <c r="O89" s="468">
        <f t="shared" si="43"/>
        <v>0.50192620313802827</v>
      </c>
      <c r="P89" s="467" t="e">
        <f t="shared" si="43"/>
        <v>#REF!</v>
      </c>
      <c r="Q89" s="467" t="e">
        <f t="shared" si="43"/>
        <v>#REF!</v>
      </c>
      <c r="R89" s="467" t="e">
        <f t="shared" si="43"/>
        <v>#REF!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</row>
    <row r="90" spans="1:102" ht="15.75" customHeight="1" x14ac:dyDescent="0.35">
      <c r="A90" s="6" t="s">
        <v>57</v>
      </c>
      <c r="B90" s="6"/>
      <c r="C90" s="6">
        <v>136.70140000000001</v>
      </c>
      <c r="D90" s="6">
        <v>147.66954999999999</v>
      </c>
      <c r="E90" s="6">
        <v>102.18599999999999</v>
      </c>
      <c r="F90" s="6">
        <v>132.40700000000001</v>
      </c>
      <c r="G90" s="6">
        <v>184.17000000000002</v>
      </c>
      <c r="H90" s="6">
        <v>315.84624809999997</v>
      </c>
      <c r="I90" s="6">
        <v>326.53710999999998</v>
      </c>
      <c r="J90" s="6">
        <f>'Detailed PL, TP &amp; TR'!G11</f>
        <v>402.63982249999998</v>
      </c>
      <c r="K90" s="6">
        <f>'Detailed PL, TP &amp; TR'!J11</f>
        <v>737.08816999999999</v>
      </c>
      <c r="L90" s="6">
        <f>'Detailed PL, TP &amp; TR'!M11</f>
        <v>615.01808000000005</v>
      </c>
      <c r="M90" s="6">
        <f>'Detailed PL, TP &amp; TR'!P11</f>
        <v>479.7321925</v>
      </c>
      <c r="N90" s="6">
        <f>'Detailed PL, TP &amp; TR'!S11</f>
        <v>354.07685500000002</v>
      </c>
      <c r="O90" s="6">
        <f>'Detailed PL, TP &amp; TR'!V11</f>
        <v>237.46495500000003</v>
      </c>
      <c r="P90" s="6" t="e">
        <f t="shared" ref="P90:R90" si="44">SUM(P91:P100)</f>
        <v>#REF!</v>
      </c>
      <c r="Q90" s="6" t="e">
        <f t="shared" si="44"/>
        <v>#REF!</v>
      </c>
      <c r="R90" s="6" t="e">
        <f t="shared" si="44"/>
        <v>#REF!</v>
      </c>
    </row>
    <row r="91" spans="1:102" ht="15.75" hidden="1" x14ac:dyDescent="0.25">
      <c r="A91" s="11" t="s">
        <v>58</v>
      </c>
      <c r="B91" s="11"/>
      <c r="C91" s="11"/>
      <c r="D91" s="11">
        <v>143.95299999999997</v>
      </c>
      <c r="E91" s="11">
        <v>94.680999999999997</v>
      </c>
      <c r="F91" s="11"/>
      <c r="G91" s="11"/>
      <c r="H91" s="323"/>
      <c r="I91" s="11"/>
      <c r="J91" s="422"/>
      <c r="K91" s="11"/>
      <c r="L91" s="11"/>
      <c r="M91" s="11"/>
      <c r="N91" s="11"/>
      <c r="O91" s="11"/>
      <c r="P91" s="11">
        <f>SUM('Existing Loan Working'!L18:L21)/10^5</f>
        <v>0</v>
      </c>
      <c r="Q91" s="11">
        <f>SUM('Existing Loan Working'!M18:M21)/10^5</f>
        <v>0</v>
      </c>
      <c r="R91" s="11">
        <v>0</v>
      </c>
    </row>
    <row r="92" spans="1:102" ht="15.75" hidden="1" customHeight="1" x14ac:dyDescent="0.25">
      <c r="A92" s="11"/>
      <c r="B92" s="11"/>
      <c r="C92" s="11"/>
      <c r="D92" s="11">
        <v>0</v>
      </c>
      <c r="E92" s="11">
        <v>0</v>
      </c>
      <c r="F92" s="11"/>
      <c r="G92" s="11"/>
      <c r="H92" s="323"/>
      <c r="I92" s="11"/>
      <c r="J92" s="483"/>
      <c r="K92" s="11"/>
      <c r="L92" s="11"/>
      <c r="M92" s="11"/>
      <c r="N92" s="11"/>
      <c r="O92" s="11"/>
      <c r="P92" s="11"/>
      <c r="Q92" s="11"/>
      <c r="R92" s="6"/>
    </row>
    <row r="93" spans="1:102" ht="15.75" hidden="1" customHeight="1" x14ac:dyDescent="0.25">
      <c r="A93" s="323" t="s">
        <v>630</v>
      </c>
      <c r="B93" s="11"/>
      <c r="C93" s="11"/>
      <c r="D93" s="11"/>
      <c r="E93" s="11"/>
      <c r="F93" s="11"/>
      <c r="G93" s="11"/>
      <c r="H93" s="323"/>
      <c r="J93" s="422"/>
      <c r="K93" s="11"/>
      <c r="L93" s="11"/>
      <c r="O93" s="11"/>
      <c r="P93" s="11"/>
      <c r="Q93" s="11"/>
      <c r="R93" s="6"/>
    </row>
    <row r="94" spans="1:102" ht="15.75" hidden="1" x14ac:dyDescent="0.25">
      <c r="A94" s="323" t="s">
        <v>617</v>
      </c>
      <c r="B94" s="323"/>
      <c r="C94" s="323"/>
      <c r="D94" s="323"/>
      <c r="E94" s="323"/>
      <c r="F94" s="323"/>
      <c r="G94" s="323"/>
      <c r="H94" s="323"/>
      <c r="I94" s="323"/>
      <c r="J94" s="490"/>
      <c r="K94" s="323"/>
      <c r="L94" s="323"/>
      <c r="M94" s="323"/>
      <c r="N94" s="323"/>
      <c r="O94" s="323"/>
      <c r="P94" s="209">
        <f>Debt!K40</f>
        <v>0.55000000000000004</v>
      </c>
      <c r="Q94" s="209">
        <f>Debt!L40</f>
        <v>0</v>
      </c>
      <c r="R94" s="209">
        <f>Debt!M40</f>
        <v>0</v>
      </c>
    </row>
    <row r="95" spans="1:102" ht="15.75" hidden="1" x14ac:dyDescent="0.25">
      <c r="A95" s="323" t="s">
        <v>618</v>
      </c>
      <c r="B95" s="323"/>
      <c r="C95" s="323"/>
      <c r="D95" s="323"/>
      <c r="E95" s="323"/>
      <c r="F95" s="323"/>
      <c r="G95" s="323"/>
      <c r="H95" s="323"/>
      <c r="I95" s="323"/>
      <c r="J95" s="490"/>
      <c r="K95" s="323"/>
      <c r="L95" s="323"/>
      <c r="M95" s="323"/>
      <c r="N95" s="323"/>
      <c r="O95" s="323"/>
      <c r="P95" s="209">
        <f>Debt!K85</f>
        <v>39.1875</v>
      </c>
      <c r="Q95" s="209">
        <f>Debt!L85</f>
        <v>28.737499999999997</v>
      </c>
      <c r="R95" s="209">
        <f>Debt!M85</f>
        <v>18.287500000000001</v>
      </c>
    </row>
    <row r="96" spans="1:102" ht="15.75" hidden="1" x14ac:dyDescent="0.25">
      <c r="A96" s="11" t="s">
        <v>59</v>
      </c>
      <c r="B96" s="11"/>
      <c r="C96" s="11"/>
      <c r="D96" s="11">
        <v>0</v>
      </c>
      <c r="E96" s="11">
        <v>0</v>
      </c>
      <c r="F96" s="489"/>
      <c r="G96" s="11"/>
      <c r="H96" s="323"/>
      <c r="I96" s="11"/>
      <c r="J96" s="422"/>
      <c r="K96" s="11"/>
      <c r="L96" s="11"/>
      <c r="M96" s="11"/>
      <c r="N96" s="11"/>
      <c r="O96" s="11"/>
      <c r="P96" s="11">
        <f>'Existing Loan Working'!L22/10^5</f>
        <v>7.4575393639726029</v>
      </c>
      <c r="Q96" s="11">
        <f>'Existing Loan Working'!M22/10^5</f>
        <v>0</v>
      </c>
      <c r="R96" s="11">
        <f>Q96</f>
        <v>0</v>
      </c>
    </row>
    <row r="97" spans="1:18" ht="15.75" hidden="1" x14ac:dyDescent="0.25">
      <c r="A97" s="11" t="s">
        <v>619</v>
      </c>
      <c r="B97" s="11"/>
      <c r="C97" s="11"/>
      <c r="D97" s="11"/>
      <c r="E97" s="11"/>
      <c r="F97" s="11"/>
      <c r="G97" s="11"/>
      <c r="H97" s="323"/>
      <c r="I97" s="6"/>
      <c r="J97" s="422"/>
      <c r="K97" s="11"/>
      <c r="L97" s="11"/>
      <c r="M97" s="11"/>
      <c r="N97" s="11"/>
      <c r="O97" s="11"/>
      <c r="P97" s="11"/>
      <c r="Q97" s="11"/>
      <c r="R97" s="11"/>
    </row>
    <row r="98" spans="1:18" ht="15.75" hidden="1" x14ac:dyDescent="0.25">
      <c r="A98" s="11" t="s">
        <v>620</v>
      </c>
      <c r="B98" s="11"/>
      <c r="C98" s="11"/>
      <c r="D98" s="11"/>
      <c r="E98" s="11"/>
      <c r="F98" s="11"/>
      <c r="G98" s="11"/>
      <c r="H98" s="323"/>
      <c r="I98" s="6"/>
      <c r="J98" s="422"/>
      <c r="K98" s="11"/>
      <c r="L98" s="11"/>
      <c r="M98" s="11"/>
      <c r="N98" s="11"/>
      <c r="O98" s="11"/>
      <c r="P98" s="11"/>
      <c r="Q98" s="11"/>
      <c r="R98" s="11"/>
    </row>
    <row r="99" spans="1:18" ht="15.75" hidden="1" x14ac:dyDescent="0.25">
      <c r="A99" s="11" t="s">
        <v>621</v>
      </c>
      <c r="B99" s="11"/>
      <c r="C99" s="11"/>
      <c r="D99" s="11"/>
      <c r="E99" s="11"/>
      <c r="F99" s="11"/>
      <c r="G99" s="11"/>
      <c r="H99" s="323"/>
      <c r="I99" s="6"/>
      <c r="J99" s="422"/>
      <c r="K99" s="11"/>
      <c r="L99" s="11"/>
      <c r="M99" s="11"/>
      <c r="N99" s="11"/>
      <c r="O99" s="11"/>
      <c r="P99" s="11"/>
      <c r="Q99" s="11"/>
      <c r="R99" s="11"/>
    </row>
    <row r="100" spans="1:18" ht="15.75" hidden="1" x14ac:dyDescent="0.25">
      <c r="A100" s="323" t="s">
        <v>476</v>
      </c>
      <c r="B100" s="323"/>
      <c r="C100" s="323"/>
      <c r="D100" s="323">
        <v>3.7165499999999998</v>
      </c>
      <c r="E100" s="323">
        <v>7.5049999999999999</v>
      </c>
      <c r="F100" s="323"/>
      <c r="G100" s="323"/>
      <c r="H100" s="323"/>
      <c r="I100" s="6"/>
      <c r="J100" s="422"/>
      <c r="K100" s="11"/>
      <c r="L100" s="11"/>
      <c r="M100" s="11"/>
      <c r="N100" s="11"/>
      <c r="O100" s="11"/>
      <c r="P100" s="352" t="e">
        <f>P166*WC!$C$17</f>
        <v>#REF!</v>
      </c>
      <c r="Q100" s="352" t="e">
        <f>Q166*WC!$C$17</f>
        <v>#REF!</v>
      </c>
      <c r="R100" s="352" t="e">
        <f>R166*WC!$C$17</f>
        <v>#REF!</v>
      </c>
    </row>
    <row r="101" spans="1:18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35">
      <c r="A102" s="80" t="s">
        <v>61</v>
      </c>
      <c r="B102" s="80"/>
      <c r="C102" s="6">
        <f t="shared" ref="C102:J102" si="45">(C87-C90)</f>
        <v>99.644590028282693</v>
      </c>
      <c r="D102" s="6">
        <f t="shared" si="45"/>
        <v>-13.856549999999999</v>
      </c>
      <c r="E102" s="6">
        <f t="shared" si="45"/>
        <v>71.623999999999953</v>
      </c>
      <c r="F102" s="6">
        <f t="shared" si="45"/>
        <v>73.250999999999891</v>
      </c>
      <c r="G102" s="6">
        <f t="shared" si="45"/>
        <v>144.57</v>
      </c>
      <c r="H102" s="6">
        <f t="shared" si="45"/>
        <v>-7.2062481000000957</v>
      </c>
      <c r="I102" s="6">
        <f t="shared" si="45"/>
        <v>-153.17460379999989</v>
      </c>
      <c r="J102" s="6">
        <f t="shared" si="45"/>
        <v>384.66649549999971</v>
      </c>
      <c r="K102" s="6">
        <f>(K87-K90)</f>
        <v>937.22389280320021</v>
      </c>
      <c r="L102" s="6">
        <f t="shared" ref="L102:R102" si="46">(L87-L90)</f>
        <v>1261.5969534086373</v>
      </c>
      <c r="M102" s="6">
        <f t="shared" si="46"/>
        <v>1582.6473228566861</v>
      </c>
      <c r="N102" s="6">
        <f t="shared" si="46"/>
        <v>1994.5334072798548</v>
      </c>
      <c r="O102" s="6">
        <f t="shared" si="46"/>
        <v>2329.0373771540926</v>
      </c>
      <c r="P102" s="6" t="e">
        <f t="shared" si="46"/>
        <v>#REF!</v>
      </c>
      <c r="Q102" s="6" t="e">
        <f t="shared" si="46"/>
        <v>#REF!</v>
      </c>
      <c r="R102" s="6" t="e">
        <f t="shared" si="46"/>
        <v>#REF!</v>
      </c>
    </row>
    <row r="103" spans="1:18" x14ac:dyDescent="0.35">
      <c r="A103" s="6"/>
      <c r="B103" s="6"/>
      <c r="C103" s="6"/>
      <c r="D103" s="6"/>
      <c r="E103" s="6"/>
      <c r="F103" s="6"/>
      <c r="G103" s="6"/>
      <c r="H103" s="25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35">
      <c r="A104" s="6" t="s">
        <v>62</v>
      </c>
      <c r="B104" s="6"/>
      <c r="C104" s="6"/>
      <c r="D104" s="6"/>
      <c r="E104" s="6"/>
      <c r="F104" s="6"/>
      <c r="G104" s="6"/>
      <c r="H104" s="25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35">
      <c r="A105" s="6"/>
      <c r="B105" s="6"/>
      <c r="C105" s="6"/>
      <c r="D105" s="6"/>
      <c r="E105" s="6"/>
      <c r="F105" s="6"/>
      <c r="G105" s="6"/>
      <c r="H105" s="25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35">
      <c r="A106" s="6" t="s">
        <v>63</v>
      </c>
      <c r="B106" s="6"/>
      <c r="C106" s="6">
        <v>37.940710000000003</v>
      </c>
      <c r="D106" s="6">
        <v>103.17700000000001</v>
      </c>
      <c r="E106" s="6">
        <v>72.596000000000004</v>
      </c>
      <c r="F106" s="6">
        <v>73.143999999999991</v>
      </c>
      <c r="G106" s="6">
        <v>84.64</v>
      </c>
      <c r="H106" s="6">
        <v>216.11</v>
      </c>
      <c r="I106" s="6">
        <v>419.38</v>
      </c>
      <c r="J106" s="422">
        <f>'Detailed PL, TP &amp; TR'!G12+'Detailed PL, TP &amp; TR'!G13</f>
        <v>230</v>
      </c>
      <c r="K106" s="477">
        <f>'Detailed PL, TP &amp; TR'!M13+'Detailed PL, TP &amp; TR'!M12</f>
        <v>45.94</v>
      </c>
      <c r="L106" s="477">
        <f>'Detailed PL, TP &amp; TR'!M13+'Detailed PL, TP &amp; TR'!M12</f>
        <v>45.94</v>
      </c>
      <c r="M106" s="477">
        <f>'Detailed PL, TP &amp; TR'!P13</f>
        <v>45.94</v>
      </c>
      <c r="N106" s="477">
        <f>'Detailed PL, TP &amp; TR'!S13</f>
        <v>45.94</v>
      </c>
      <c r="O106" s="477">
        <f>'Detailed PL, TP &amp; TR'!V13+'Detailed PL, TP &amp; TR'!V12</f>
        <v>11.43</v>
      </c>
      <c r="P106" s="208" t="e">
        <f>#REF!</f>
        <v>#REF!</v>
      </c>
      <c r="Q106" s="208" t="e">
        <f t="shared" ref="Q106:R106" si="47">P106</f>
        <v>#REF!</v>
      </c>
      <c r="R106" s="208" t="e">
        <f t="shared" si="47"/>
        <v>#REF!</v>
      </c>
    </row>
    <row r="107" spans="1:18" x14ac:dyDescent="0.35">
      <c r="A107" s="6" t="s">
        <v>64</v>
      </c>
      <c r="B107" s="6"/>
      <c r="C107" s="6"/>
      <c r="D107" s="6">
        <v>0</v>
      </c>
      <c r="E107" s="6">
        <v>0</v>
      </c>
      <c r="F107" s="477">
        <v>0</v>
      </c>
      <c r="G107" s="477">
        <v>0</v>
      </c>
      <c r="H107" s="488">
        <v>0</v>
      </c>
      <c r="I107" s="477">
        <v>0</v>
      </c>
      <c r="J107" s="487">
        <f>0+0</f>
        <v>0</v>
      </c>
      <c r="K107" s="477">
        <f>0+0</f>
        <v>0</v>
      </c>
      <c r="L107" s="477">
        <f>0+0</f>
        <v>0</v>
      </c>
      <c r="M107" s="477">
        <v>0</v>
      </c>
      <c r="N107" s="477">
        <f>0+0</f>
        <v>0</v>
      </c>
      <c r="O107" s="477">
        <f>0+0</f>
        <v>0</v>
      </c>
      <c r="P107" s="6">
        <v>0</v>
      </c>
      <c r="Q107" s="6">
        <v>0</v>
      </c>
      <c r="R107" s="6">
        <v>0</v>
      </c>
    </row>
    <row r="108" spans="1:18" x14ac:dyDescent="0.35">
      <c r="A108" s="6"/>
      <c r="B108" s="6"/>
      <c r="C108" s="6"/>
      <c r="D108" s="6"/>
      <c r="E108" s="6"/>
      <c r="F108" s="6"/>
      <c r="G108" s="6"/>
      <c r="H108" s="25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35">
      <c r="A109" s="6" t="s">
        <v>65</v>
      </c>
      <c r="B109" s="6"/>
      <c r="C109" s="6">
        <f t="shared" ref="C109:M109" si="48">(C106+C107)</f>
        <v>37.940710000000003</v>
      </c>
      <c r="D109" s="6">
        <f t="shared" si="48"/>
        <v>103.17700000000001</v>
      </c>
      <c r="E109" s="6">
        <f t="shared" si="48"/>
        <v>72.596000000000004</v>
      </c>
      <c r="F109" s="6">
        <f t="shared" si="48"/>
        <v>73.143999999999991</v>
      </c>
      <c r="G109" s="6">
        <f t="shared" si="48"/>
        <v>84.64</v>
      </c>
      <c r="H109" s="6">
        <f t="shared" si="48"/>
        <v>216.11</v>
      </c>
      <c r="I109" s="6">
        <f>I106+I107</f>
        <v>419.38</v>
      </c>
      <c r="J109" s="6">
        <f t="shared" ref="J109" si="49">(J106+J107)</f>
        <v>230</v>
      </c>
      <c r="K109" s="447">
        <f t="shared" si="48"/>
        <v>45.94</v>
      </c>
      <c r="L109" s="447">
        <f t="shared" si="48"/>
        <v>45.94</v>
      </c>
      <c r="M109" s="447">
        <f t="shared" si="48"/>
        <v>45.94</v>
      </c>
      <c r="N109" s="447">
        <f t="shared" ref="N109:R109" si="50">(N106+N107)</f>
        <v>45.94</v>
      </c>
      <c r="O109" s="447">
        <f t="shared" si="50"/>
        <v>11.43</v>
      </c>
      <c r="P109" s="6" t="e">
        <f t="shared" si="50"/>
        <v>#REF!</v>
      </c>
      <c r="Q109" s="6" t="e">
        <f t="shared" si="50"/>
        <v>#REF!</v>
      </c>
      <c r="R109" s="6" t="e">
        <f t="shared" si="50"/>
        <v>#REF!</v>
      </c>
    </row>
    <row r="110" spans="1:18" x14ac:dyDescent="0.35">
      <c r="A110" s="6" t="s">
        <v>66</v>
      </c>
      <c r="B110" s="6"/>
      <c r="C110" s="6"/>
      <c r="D110" s="6"/>
      <c r="E110" s="6"/>
      <c r="F110" s="6"/>
      <c r="G110" s="6"/>
      <c r="H110" s="25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35">
      <c r="A111" s="6" t="s">
        <v>67</v>
      </c>
      <c r="B111" s="6"/>
      <c r="C111" s="6"/>
      <c r="D111" s="6"/>
      <c r="E111" s="6"/>
      <c r="F111" s="6"/>
      <c r="G111" s="6"/>
      <c r="H111" s="25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35">
      <c r="A112" s="6" t="s">
        <v>68</v>
      </c>
      <c r="B112" s="6"/>
      <c r="C112" s="6"/>
      <c r="D112" s="6"/>
      <c r="E112" s="6"/>
      <c r="F112" s="6"/>
      <c r="G112" s="6"/>
      <c r="H112" s="25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35">
      <c r="A113" s="6"/>
      <c r="B113" s="6"/>
      <c r="C113" s="6"/>
      <c r="D113" s="6"/>
      <c r="E113" s="6"/>
      <c r="F113" s="6"/>
      <c r="G113" s="6"/>
      <c r="H113" s="25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35">
      <c r="A114" s="6" t="s">
        <v>69</v>
      </c>
      <c r="B114" s="6"/>
      <c r="C114" s="6">
        <v>0</v>
      </c>
      <c r="D114" s="6">
        <v>0</v>
      </c>
      <c r="E114" s="6">
        <v>0</v>
      </c>
      <c r="F114" s="485">
        <v>0</v>
      </c>
      <c r="G114" s="485">
        <v>0</v>
      </c>
      <c r="H114" s="486">
        <v>0</v>
      </c>
      <c r="I114" s="485">
        <v>0</v>
      </c>
      <c r="J114" s="487">
        <f t="shared" ref="J114:L115" si="51">0+0</f>
        <v>0</v>
      </c>
      <c r="K114" s="485">
        <f t="shared" si="51"/>
        <v>0</v>
      </c>
      <c r="L114" s="485">
        <f t="shared" si="51"/>
        <v>0</v>
      </c>
      <c r="M114" s="485">
        <v>0</v>
      </c>
      <c r="N114" s="485">
        <v>0</v>
      </c>
      <c r="O114" s="485">
        <v>0</v>
      </c>
      <c r="P114" s="6">
        <v>0</v>
      </c>
      <c r="Q114" s="6">
        <v>0</v>
      </c>
      <c r="R114" s="6">
        <v>0</v>
      </c>
    </row>
    <row r="115" spans="1:18" x14ac:dyDescent="0.35">
      <c r="A115" s="6" t="s">
        <v>70</v>
      </c>
      <c r="B115" s="6"/>
      <c r="C115" s="6">
        <v>0</v>
      </c>
      <c r="D115" s="6">
        <v>0</v>
      </c>
      <c r="E115" s="6">
        <v>0</v>
      </c>
      <c r="F115" s="485">
        <v>0</v>
      </c>
      <c r="G115" s="485">
        <v>0</v>
      </c>
      <c r="H115" s="486">
        <v>0</v>
      </c>
      <c r="I115" s="485">
        <v>0</v>
      </c>
      <c r="J115" s="487">
        <f t="shared" si="51"/>
        <v>0</v>
      </c>
      <c r="K115" s="485">
        <f t="shared" si="51"/>
        <v>0</v>
      </c>
      <c r="L115" s="485">
        <f t="shared" si="51"/>
        <v>0</v>
      </c>
      <c r="M115" s="485">
        <v>0</v>
      </c>
      <c r="N115" s="485">
        <v>0</v>
      </c>
      <c r="O115" s="485">
        <v>0</v>
      </c>
      <c r="P115" s="6">
        <v>0</v>
      </c>
      <c r="Q115" s="6">
        <v>0</v>
      </c>
      <c r="R115" s="6">
        <v>0</v>
      </c>
    </row>
    <row r="116" spans="1:18" x14ac:dyDescent="0.35">
      <c r="A116" s="6"/>
      <c r="B116" s="6"/>
      <c r="C116" s="6"/>
      <c r="D116" s="6"/>
      <c r="E116" s="6"/>
      <c r="F116" s="6"/>
      <c r="G116" s="6"/>
      <c r="H116" s="25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35">
      <c r="A117" s="6" t="s">
        <v>71</v>
      </c>
      <c r="B117" s="6"/>
      <c r="C117" s="6">
        <f t="shared" ref="C117:K117" si="52">(C114+C115)</f>
        <v>0</v>
      </c>
      <c r="D117" s="6">
        <f t="shared" si="52"/>
        <v>0</v>
      </c>
      <c r="E117" s="6">
        <f t="shared" si="52"/>
        <v>0</v>
      </c>
      <c r="F117" s="447">
        <f t="shared" si="52"/>
        <v>0</v>
      </c>
      <c r="G117" s="447">
        <f t="shared" si="52"/>
        <v>0</v>
      </c>
      <c r="H117" s="447">
        <f t="shared" si="52"/>
        <v>0</v>
      </c>
      <c r="I117" s="447">
        <v>0</v>
      </c>
      <c r="J117" s="447">
        <f t="shared" ref="J117" si="53">(J114+J115)</f>
        <v>0</v>
      </c>
      <c r="K117" s="447">
        <f t="shared" si="52"/>
        <v>0</v>
      </c>
      <c r="L117" s="447">
        <f t="shared" ref="L117" si="54">(L114+L115)</f>
        <v>0</v>
      </c>
      <c r="M117" s="447">
        <f t="shared" ref="M117" si="55">(M114+M115)</f>
        <v>0</v>
      </c>
      <c r="N117" s="447">
        <f t="shared" ref="N117:R117" si="56">(N114+N115)</f>
        <v>0</v>
      </c>
      <c r="O117" s="447">
        <f t="shared" si="56"/>
        <v>0</v>
      </c>
      <c r="P117" s="6">
        <f t="shared" si="56"/>
        <v>0</v>
      </c>
      <c r="Q117" s="6">
        <f t="shared" si="56"/>
        <v>0</v>
      </c>
      <c r="R117" s="6">
        <f t="shared" si="56"/>
        <v>0</v>
      </c>
    </row>
    <row r="118" spans="1:18" x14ac:dyDescent="0.35">
      <c r="A118" s="6"/>
      <c r="B118" s="6"/>
      <c r="C118" s="6"/>
      <c r="D118" s="6"/>
      <c r="E118" s="6"/>
      <c r="F118" s="6"/>
      <c r="G118" s="6"/>
      <c r="H118" s="25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35">
      <c r="A119" s="6" t="s">
        <v>72</v>
      </c>
      <c r="B119" s="6"/>
      <c r="C119" s="6"/>
      <c r="D119" s="6"/>
      <c r="E119" s="6"/>
      <c r="F119" s="6"/>
      <c r="G119" s="6"/>
      <c r="H119" s="25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35">
      <c r="A120" s="6" t="s">
        <v>73</v>
      </c>
      <c r="B120" s="6"/>
      <c r="C120" s="6"/>
      <c r="D120" s="6"/>
      <c r="E120" s="6"/>
      <c r="F120" s="6"/>
      <c r="G120" s="6"/>
      <c r="H120" s="25"/>
      <c r="I120" s="138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35">
      <c r="A121" s="6" t="s">
        <v>74</v>
      </c>
      <c r="B121" s="6"/>
      <c r="C121" s="6">
        <f t="shared" ref="C121:L121" si="57">(C109-C117)</f>
        <v>37.940710000000003</v>
      </c>
      <c r="D121" s="6">
        <f t="shared" si="57"/>
        <v>103.17700000000001</v>
      </c>
      <c r="E121" s="6">
        <f t="shared" si="57"/>
        <v>72.596000000000004</v>
      </c>
      <c r="F121" s="6">
        <f t="shared" si="57"/>
        <v>73.143999999999991</v>
      </c>
      <c r="G121" s="6">
        <f t="shared" si="57"/>
        <v>84.64</v>
      </c>
      <c r="H121" s="6">
        <f t="shared" si="57"/>
        <v>216.11</v>
      </c>
      <c r="I121" s="6">
        <f>I109-I117</f>
        <v>419.38</v>
      </c>
      <c r="J121" s="6">
        <f t="shared" ref="J121" si="58">(J109-J117)</f>
        <v>230</v>
      </c>
      <c r="K121" s="447">
        <f t="shared" si="57"/>
        <v>45.94</v>
      </c>
      <c r="L121" s="447">
        <f t="shared" si="57"/>
        <v>45.94</v>
      </c>
      <c r="M121" s="447">
        <f t="shared" ref="M121" si="59">(M109-M117)</f>
        <v>45.94</v>
      </c>
      <c r="N121" s="447">
        <f t="shared" ref="N121:R121" si="60">(N109-N117)</f>
        <v>45.94</v>
      </c>
      <c r="O121" s="447">
        <f t="shared" si="60"/>
        <v>11.43</v>
      </c>
      <c r="P121" s="6" t="e">
        <f t="shared" si="60"/>
        <v>#REF!</v>
      </c>
      <c r="Q121" s="6" t="e">
        <f t="shared" si="60"/>
        <v>#REF!</v>
      </c>
      <c r="R121" s="6" t="e">
        <f t="shared" si="60"/>
        <v>#REF!</v>
      </c>
    </row>
    <row r="122" spans="1:18" x14ac:dyDescent="0.35">
      <c r="A122" s="6"/>
      <c r="B122" s="6"/>
      <c r="C122" s="6"/>
      <c r="D122" s="6"/>
      <c r="E122" s="6"/>
      <c r="F122" s="6"/>
      <c r="G122" s="6"/>
      <c r="H122" s="25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35">
      <c r="A123" s="6" t="s">
        <v>75</v>
      </c>
      <c r="B123" s="6"/>
      <c r="C123" s="6"/>
      <c r="D123" s="6"/>
      <c r="E123" s="6"/>
      <c r="F123" s="6"/>
      <c r="G123" s="6"/>
      <c r="H123" s="25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35">
      <c r="A124" s="6" t="s">
        <v>76</v>
      </c>
      <c r="B124" s="6"/>
      <c r="C124" s="6">
        <f t="shared" ref="C124:L124" si="61">(C102+C121)</f>
        <v>137.58530002828269</v>
      </c>
      <c r="D124" s="6">
        <f t="shared" si="61"/>
        <v>89.320450000000008</v>
      </c>
      <c r="E124" s="6">
        <f t="shared" si="61"/>
        <v>144.21999999999997</v>
      </c>
      <c r="F124" s="6">
        <f t="shared" si="61"/>
        <v>146.39499999999987</v>
      </c>
      <c r="G124" s="6">
        <f t="shared" si="61"/>
        <v>229.20999999999998</v>
      </c>
      <c r="H124" s="6">
        <f t="shared" si="61"/>
        <v>208.90375189999992</v>
      </c>
      <c r="I124" s="6">
        <f>I121+I102-0.01</f>
        <v>266.19539620000012</v>
      </c>
      <c r="J124" s="6">
        <f t="shared" ref="J124" si="62">(J102+J121)</f>
        <v>614.66649549999966</v>
      </c>
      <c r="K124" s="6">
        <f t="shared" si="61"/>
        <v>983.16389280320027</v>
      </c>
      <c r="L124" s="6">
        <f t="shared" si="61"/>
        <v>1307.5369534086374</v>
      </c>
      <c r="M124" s="6">
        <f t="shared" ref="M124" si="63">(M102+M121)</f>
        <v>1628.5873228566861</v>
      </c>
      <c r="N124" s="6">
        <f t="shared" ref="N124:R124" si="64">(N102+N121)</f>
        <v>2040.4734072798549</v>
      </c>
      <c r="O124" s="6">
        <f t="shared" si="64"/>
        <v>2340.4673771540924</v>
      </c>
      <c r="P124" s="6" t="e">
        <f t="shared" si="64"/>
        <v>#REF!</v>
      </c>
      <c r="Q124" s="6" t="e">
        <f t="shared" si="64"/>
        <v>#REF!</v>
      </c>
      <c r="R124" s="6" t="e">
        <f t="shared" si="64"/>
        <v>#REF!</v>
      </c>
    </row>
    <row r="125" spans="1:18" x14ac:dyDescent="0.35">
      <c r="A125" s="6"/>
      <c r="B125" s="6"/>
      <c r="C125" s="6"/>
      <c r="D125" s="6"/>
      <c r="E125" s="6"/>
      <c r="F125" s="6"/>
      <c r="G125" s="138"/>
      <c r="H125" s="324"/>
      <c r="I125" s="6"/>
      <c r="J125" s="138"/>
      <c r="K125" s="444"/>
      <c r="L125" s="444"/>
      <c r="M125" s="6"/>
      <c r="N125" s="6"/>
      <c r="O125" s="6"/>
      <c r="P125" s="6"/>
      <c r="Q125" s="6"/>
      <c r="R125" s="6"/>
    </row>
    <row r="126" spans="1:18" s="210" customFormat="1" x14ac:dyDescent="0.35">
      <c r="A126" s="6" t="s">
        <v>77</v>
      </c>
      <c r="B126" s="6"/>
      <c r="C126" s="6">
        <v>130.17537999999999</v>
      </c>
      <c r="D126" s="6">
        <v>3.71</v>
      </c>
      <c r="E126" s="6">
        <v>-2.5790000000000002</v>
      </c>
      <c r="F126" s="6">
        <v>50.46</v>
      </c>
      <c r="G126" s="6">
        <v>75.709999999999994</v>
      </c>
      <c r="H126" s="6">
        <v>-45.29</v>
      </c>
      <c r="I126" s="6">
        <v>23.49</v>
      </c>
      <c r="J126" s="422">
        <f>'Detailed PL, TP &amp; TR'!G15</f>
        <v>157.82449303399991</v>
      </c>
      <c r="K126" s="6">
        <f>'Detailed PL, TP &amp; TR'!J15</f>
        <v>314.30782495118501</v>
      </c>
      <c r="L126" s="6">
        <f>'Detailed PL, TP &amp; TR'!M15</f>
        <v>421.0150175422782</v>
      </c>
      <c r="M126" s="6">
        <f>'Detailed PL, TP &amp; TR'!P15</f>
        <v>510.16885397126697</v>
      </c>
      <c r="N126" s="6">
        <f>'Detailed PL, TP &amp; TR'!S15</f>
        <v>597.63812825890898</v>
      </c>
      <c r="O126" s="6">
        <f>'Detailed PL, TP &amp; TR'!V15</f>
        <v>672.35811758988939</v>
      </c>
      <c r="P126" s="208" t="e">
        <f>ITComputation!O26</f>
        <v>#REF!</v>
      </c>
      <c r="Q126" s="208" t="e">
        <f>ITComputation!P26</f>
        <v>#REF!</v>
      </c>
      <c r="R126" s="208" t="e">
        <f>ITComputation!Q26</f>
        <v>#REF!</v>
      </c>
    </row>
    <row r="127" spans="1:18" x14ac:dyDescent="0.35">
      <c r="A127" s="6"/>
      <c r="B127" s="6"/>
      <c r="C127" s="6"/>
      <c r="D127" s="6"/>
      <c r="E127" s="6"/>
      <c r="F127" s="6"/>
      <c r="G127" s="6"/>
      <c r="H127" s="25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35">
      <c r="A128" s="6" t="s">
        <v>78</v>
      </c>
      <c r="B128" s="6"/>
      <c r="C128" s="6">
        <f t="shared" ref="C128:L128" si="65">(C124-C126-C127)</f>
        <v>7.4099200282826985</v>
      </c>
      <c r="D128" s="6">
        <f t="shared" si="65"/>
        <v>85.610450000000014</v>
      </c>
      <c r="E128" s="6">
        <f t="shared" si="65"/>
        <v>146.79899999999998</v>
      </c>
      <c r="F128" s="6">
        <f t="shared" si="65"/>
        <v>95.93499999999986</v>
      </c>
      <c r="G128" s="6">
        <f t="shared" si="65"/>
        <v>153.5</v>
      </c>
      <c r="H128" s="6">
        <f t="shared" si="65"/>
        <v>254.19375189999991</v>
      </c>
      <c r="I128" s="6">
        <f>I124-I126-I127</f>
        <v>242.70539620000011</v>
      </c>
      <c r="J128" s="6">
        <f t="shared" ref="J128" si="66">(J124-J126-J127)</f>
        <v>456.84200246599971</v>
      </c>
      <c r="K128" s="6">
        <f t="shared" si="65"/>
        <v>668.85606785201526</v>
      </c>
      <c r="L128" s="6">
        <f t="shared" si="65"/>
        <v>886.52193586635917</v>
      </c>
      <c r="M128" s="6">
        <f>(M124-M126-M127)</f>
        <v>1118.4184688854191</v>
      </c>
      <c r="N128" s="6">
        <f t="shared" ref="N128:R128" si="67">(N124-N126-N127)</f>
        <v>1442.835279020946</v>
      </c>
      <c r="O128" s="6">
        <f t="shared" si="67"/>
        <v>1668.1092595642031</v>
      </c>
      <c r="P128" s="6" t="e">
        <f t="shared" si="67"/>
        <v>#REF!</v>
      </c>
      <c r="Q128" s="6" t="e">
        <f t="shared" si="67"/>
        <v>#REF!</v>
      </c>
      <c r="R128" s="6" t="e">
        <f t="shared" si="67"/>
        <v>#REF!</v>
      </c>
    </row>
    <row r="129" spans="1:18" x14ac:dyDescent="0.35">
      <c r="A129" s="6"/>
      <c r="B129" s="6"/>
      <c r="C129" s="6">
        <v>7.4087200282828007</v>
      </c>
      <c r="D129" s="6"/>
      <c r="E129" s="6"/>
      <c r="F129" s="6"/>
      <c r="G129" s="6"/>
      <c r="H129" s="25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35">
      <c r="A130" s="6" t="s">
        <v>79</v>
      </c>
      <c r="B130" s="6"/>
      <c r="C130" s="6"/>
      <c r="D130" s="6">
        <v>0</v>
      </c>
      <c r="E130" s="6">
        <v>0</v>
      </c>
      <c r="F130" s="477">
        <v>0</v>
      </c>
      <c r="G130" s="477">
        <v>0</v>
      </c>
      <c r="H130" s="488">
        <v>0</v>
      </c>
      <c r="I130" s="477">
        <v>0</v>
      </c>
      <c r="J130" s="487">
        <f>0+0</f>
        <v>0</v>
      </c>
      <c r="K130" s="477">
        <v>0</v>
      </c>
      <c r="L130" s="477">
        <v>0</v>
      </c>
      <c r="M130" s="477">
        <v>0</v>
      </c>
      <c r="N130" s="477">
        <v>0</v>
      </c>
      <c r="O130" s="477">
        <v>0</v>
      </c>
      <c r="P130" s="6">
        <v>0</v>
      </c>
      <c r="Q130" s="6">
        <v>0</v>
      </c>
      <c r="R130" s="6">
        <v>0</v>
      </c>
    </row>
    <row r="131" spans="1:18" x14ac:dyDescent="0.35">
      <c r="A131" s="6" t="s">
        <v>80</v>
      </c>
      <c r="B131" s="6"/>
      <c r="C131" s="6"/>
      <c r="D131" s="6"/>
      <c r="E131" s="6"/>
      <c r="F131" s="6"/>
      <c r="G131" s="6"/>
      <c r="H131" s="25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35">
      <c r="A132" s="6"/>
      <c r="B132" s="6"/>
      <c r="C132" s="6">
        <f>C128-C129</f>
        <v>1.1999999998977273E-3</v>
      </c>
      <c r="D132" s="6"/>
      <c r="E132" s="6"/>
      <c r="F132" s="6"/>
      <c r="G132" s="6"/>
      <c r="H132" s="25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35">
      <c r="A133" s="6" t="s">
        <v>81</v>
      </c>
      <c r="B133" s="6"/>
      <c r="C133" s="6">
        <f t="shared" ref="C133:M133" si="68">(C128-C130)</f>
        <v>7.4099200282826985</v>
      </c>
      <c r="D133" s="6">
        <f t="shared" si="68"/>
        <v>85.610450000000014</v>
      </c>
      <c r="E133" s="6">
        <f t="shared" si="68"/>
        <v>146.79899999999998</v>
      </c>
      <c r="F133" s="6">
        <f t="shared" si="68"/>
        <v>95.93499999999986</v>
      </c>
      <c r="G133" s="6">
        <f t="shared" si="68"/>
        <v>153.5</v>
      </c>
      <c r="H133" s="6">
        <f t="shared" si="68"/>
        <v>254.19375189999991</v>
      </c>
      <c r="I133" s="6">
        <f t="shared" si="68"/>
        <v>242.70539620000011</v>
      </c>
      <c r="J133" s="6">
        <f t="shared" si="68"/>
        <v>456.84200246599971</v>
      </c>
      <c r="K133" s="6">
        <f t="shared" si="68"/>
        <v>668.85606785201526</v>
      </c>
      <c r="L133" s="6">
        <f t="shared" si="68"/>
        <v>886.52193586635917</v>
      </c>
      <c r="M133" s="6">
        <f t="shared" si="68"/>
        <v>1118.4184688854191</v>
      </c>
      <c r="N133" s="6">
        <f t="shared" ref="N133:R133" si="69">(N128-N130)</f>
        <v>1442.835279020946</v>
      </c>
      <c r="O133" s="6">
        <f t="shared" si="69"/>
        <v>1668.1092595642031</v>
      </c>
      <c r="P133" s="6" t="e">
        <f t="shared" si="69"/>
        <v>#REF!</v>
      </c>
      <c r="Q133" s="6" t="e">
        <f t="shared" si="69"/>
        <v>#REF!</v>
      </c>
      <c r="R133" s="6" t="e">
        <f t="shared" si="69"/>
        <v>#REF!</v>
      </c>
    </row>
    <row r="135" spans="1:18" x14ac:dyDescent="0.35">
      <c r="I135" s="139"/>
      <c r="J135" s="139"/>
      <c r="K135" s="445"/>
      <c r="L135" s="445"/>
      <c r="M135" s="139"/>
      <c r="N135" s="139"/>
      <c r="O135" s="139"/>
      <c r="P135" s="139"/>
      <c r="Q135" s="139"/>
      <c r="R135" s="139"/>
    </row>
    <row r="136" spans="1:18" x14ac:dyDescent="0.35">
      <c r="A136" s="1" t="s">
        <v>82</v>
      </c>
    </row>
    <row r="137" spans="1:18" x14ac:dyDescent="0.35">
      <c r="A137" s="1" t="s">
        <v>83</v>
      </c>
      <c r="C137" s="12">
        <f t="shared" ref="C137:K137" si="70">(C133/C128)</f>
        <v>1</v>
      </c>
      <c r="D137" s="12">
        <f t="shared" si="70"/>
        <v>1</v>
      </c>
      <c r="E137" s="12">
        <f t="shared" si="70"/>
        <v>1</v>
      </c>
      <c r="F137" s="12">
        <f t="shared" si="70"/>
        <v>1</v>
      </c>
      <c r="G137" s="12">
        <f t="shared" si="70"/>
        <v>1</v>
      </c>
      <c r="H137" s="325">
        <f t="shared" si="70"/>
        <v>1</v>
      </c>
      <c r="I137" s="12">
        <f t="shared" si="70"/>
        <v>1</v>
      </c>
      <c r="J137" s="12">
        <f t="shared" ref="J137" si="71">(J133/J128)</f>
        <v>1</v>
      </c>
      <c r="K137" s="12">
        <f t="shared" si="70"/>
        <v>1</v>
      </c>
      <c r="L137" s="12">
        <f t="shared" ref="L137" si="72">(L133/L128)</f>
        <v>1</v>
      </c>
      <c r="M137" s="12">
        <f t="shared" ref="M137" si="73">(M133/M128)</f>
        <v>1</v>
      </c>
      <c r="N137" s="12">
        <f t="shared" ref="N137:R137" si="74">(N133/N128)</f>
        <v>1</v>
      </c>
      <c r="O137" s="12">
        <f t="shared" ref="O137" si="75">(O133/O128)</f>
        <v>1</v>
      </c>
      <c r="P137" s="12" t="e">
        <f t="shared" si="74"/>
        <v>#REF!</v>
      </c>
      <c r="Q137" s="12" t="e">
        <f t="shared" si="74"/>
        <v>#REF!</v>
      </c>
      <c r="R137" s="12" t="e">
        <f t="shared" si="74"/>
        <v>#REF!</v>
      </c>
    </row>
    <row r="139" spans="1:18" x14ac:dyDescent="0.35">
      <c r="H139" s="1"/>
    </row>
    <row r="140" spans="1:18" x14ac:dyDescent="0.35">
      <c r="A140" s="1" t="s">
        <v>594</v>
      </c>
      <c r="E140" s="2"/>
      <c r="F140" s="2">
        <f t="shared" ref="F140:J140" si="76">F102+F90+F53</f>
        <v>694.05599999999993</v>
      </c>
      <c r="G140" s="2">
        <f t="shared" si="76"/>
        <v>973.45</v>
      </c>
      <c r="H140" s="2">
        <f t="shared" si="76"/>
        <v>1471.85</v>
      </c>
      <c r="I140" s="2">
        <f t="shared" si="76"/>
        <v>1143.0225062</v>
      </c>
      <c r="J140" s="2">
        <f t="shared" si="76"/>
        <v>1528.5805039999996</v>
      </c>
      <c r="K140" s="2">
        <f t="shared" ref="K140" si="77">K102+K90+K53</f>
        <v>3039.1838600000001</v>
      </c>
      <c r="L140" s="2">
        <f t="shared" ref="L140" si="78">L102+L90+L53</f>
        <v>3125.3403675</v>
      </c>
      <c r="M140" s="2">
        <f t="shared" ref="M140" si="79">M102+M90+M53</f>
        <v>3105.4923000000003</v>
      </c>
      <c r="N140" s="2">
        <f t="shared" ref="N140" si="80">N102+N90+N53</f>
        <v>3221.9288103234376</v>
      </c>
      <c r="O140" s="2">
        <f t="shared" ref="O140" si="81">O102+O90+O53</f>
        <v>3299.264722844101</v>
      </c>
      <c r="P140" s="1" t="e">
        <f t="shared" ref="P140:R140" si="82">P102+P90+P53</f>
        <v>#REF!</v>
      </c>
      <c r="Q140" s="1" t="e">
        <f t="shared" si="82"/>
        <v>#REF!</v>
      </c>
      <c r="R140" s="1" t="e">
        <f t="shared" si="82"/>
        <v>#REF!</v>
      </c>
    </row>
    <row r="141" spans="1:18" x14ac:dyDescent="0.35">
      <c r="D141" s="2"/>
      <c r="E141" s="81"/>
      <c r="F141" s="13"/>
      <c r="G141" s="13"/>
      <c r="H141" s="326"/>
      <c r="I141" s="13"/>
      <c r="J141" s="13"/>
      <c r="K141" s="446"/>
      <c r="L141" s="446"/>
      <c r="M141" s="13"/>
      <c r="N141" s="13"/>
      <c r="O141" s="13"/>
      <c r="P141" s="13"/>
      <c r="Q141" s="13"/>
      <c r="R141" s="13"/>
    </row>
    <row r="142" spans="1:18" x14ac:dyDescent="0.35">
      <c r="A142" s="2" t="s">
        <v>84</v>
      </c>
      <c r="B142" s="2"/>
      <c r="C142" s="2"/>
      <c r="D142" s="2"/>
      <c r="E142" s="2"/>
      <c r="F142" s="2"/>
      <c r="G142" s="2"/>
      <c r="H142" s="141"/>
      <c r="I142" s="2"/>
      <c r="J142" s="2"/>
    </row>
    <row r="143" spans="1:18" x14ac:dyDescent="0.35">
      <c r="A143" s="2" t="s">
        <v>85</v>
      </c>
      <c r="B143" s="2"/>
      <c r="C143" s="2"/>
      <c r="D143" s="2"/>
      <c r="E143" s="2"/>
      <c r="G143" s="2"/>
      <c r="H143" s="141"/>
      <c r="I143" s="2"/>
      <c r="J143" s="2"/>
    </row>
    <row r="144" spans="1:18" x14ac:dyDescent="0.35">
      <c r="A144" s="3" t="str">
        <f>A7</f>
        <v>Name: CRPLINFRA PVT. LTD.</v>
      </c>
      <c r="B144" s="3"/>
      <c r="C144" s="3"/>
      <c r="D144" s="3"/>
      <c r="E144" s="3"/>
      <c r="G144" s="3"/>
      <c r="H144" s="317"/>
      <c r="I144" s="3"/>
      <c r="J144" s="3"/>
    </row>
    <row r="145" spans="1:18" x14ac:dyDescent="0.35">
      <c r="A145" s="2" t="s">
        <v>86</v>
      </c>
      <c r="B145" s="2"/>
      <c r="C145" s="2"/>
      <c r="D145" s="2"/>
      <c r="E145" s="2"/>
      <c r="F145" s="2"/>
      <c r="G145" s="2"/>
      <c r="H145" s="141"/>
      <c r="I145" s="2"/>
      <c r="J145" s="2"/>
    </row>
    <row r="146" spans="1:18" x14ac:dyDescent="0.35">
      <c r="A146" s="6"/>
      <c r="B146" s="6"/>
      <c r="C146" s="4" t="str">
        <f t="shared" ref="C146:I146" si="83">C8</f>
        <v>2017-18</v>
      </c>
      <c r="D146" s="4" t="str">
        <f t="shared" si="83"/>
        <v>2018-19</v>
      </c>
      <c r="E146" s="4" t="str">
        <f t="shared" si="83"/>
        <v>2019-20</v>
      </c>
      <c r="F146" s="78" t="str">
        <f t="shared" si="83"/>
        <v>2020-21</v>
      </c>
      <c r="G146" s="4" t="str">
        <f t="shared" si="83"/>
        <v>2021-22</v>
      </c>
      <c r="H146" s="318" t="str">
        <f t="shared" si="83"/>
        <v>2022-23</v>
      </c>
      <c r="I146" s="4" t="str">
        <f t="shared" si="83"/>
        <v>2023-24</v>
      </c>
      <c r="J146" s="78" t="s">
        <v>673</v>
      </c>
      <c r="K146" s="78" t="s">
        <v>356</v>
      </c>
      <c r="L146" s="78" t="s">
        <v>674</v>
      </c>
      <c r="M146" s="78" t="s">
        <v>358</v>
      </c>
      <c r="N146" s="78" t="s">
        <v>675</v>
      </c>
      <c r="O146" s="78" t="s">
        <v>11</v>
      </c>
      <c r="P146" s="4" t="str">
        <f t="shared" ref="P146:R148" si="84">P8</f>
        <v>2030-31</v>
      </c>
      <c r="Q146" s="4" t="str">
        <f t="shared" si="84"/>
        <v>2031-32</v>
      </c>
      <c r="R146" s="4" t="str">
        <f t="shared" si="84"/>
        <v>2032-33</v>
      </c>
    </row>
    <row r="147" spans="1:18" x14ac:dyDescent="0.35">
      <c r="A147" s="6"/>
      <c r="B147" s="6"/>
      <c r="C147" s="4" t="s">
        <v>14</v>
      </c>
      <c r="D147" s="4" t="str">
        <f t="shared" ref="D147:I148" si="85">D9</f>
        <v>Aud.</v>
      </c>
      <c r="E147" s="4" t="str">
        <f t="shared" si="85"/>
        <v>Aud.</v>
      </c>
      <c r="F147" s="4" t="str">
        <f t="shared" si="85"/>
        <v>Aud.</v>
      </c>
      <c r="G147" s="4" t="str">
        <f t="shared" si="85"/>
        <v>Aud.</v>
      </c>
      <c r="H147" s="318" t="str">
        <f t="shared" si="85"/>
        <v>Aud.</v>
      </c>
      <c r="I147" s="318" t="s">
        <v>14</v>
      </c>
      <c r="J147" s="4" t="s">
        <v>15</v>
      </c>
      <c r="K147" s="4" t="s">
        <v>672</v>
      </c>
      <c r="L147" s="4" t="s">
        <v>672</v>
      </c>
      <c r="M147" s="4" t="s">
        <v>672</v>
      </c>
      <c r="N147" s="4" t="s">
        <v>672</v>
      </c>
      <c r="O147" s="4" t="s">
        <v>672</v>
      </c>
      <c r="P147" s="4" t="str">
        <f t="shared" si="84"/>
        <v>Proj</v>
      </c>
      <c r="Q147" s="4" t="str">
        <f t="shared" si="84"/>
        <v>Proj</v>
      </c>
      <c r="R147" s="4" t="str">
        <f t="shared" si="84"/>
        <v>Proj</v>
      </c>
    </row>
    <row r="148" spans="1:18" x14ac:dyDescent="0.35">
      <c r="A148" s="6"/>
      <c r="B148" s="6"/>
      <c r="C148" s="5">
        <f>C10</f>
        <v>1</v>
      </c>
      <c r="D148" s="5">
        <f t="shared" si="85"/>
        <v>1</v>
      </c>
      <c r="E148" s="5">
        <f t="shared" si="85"/>
        <v>2</v>
      </c>
      <c r="F148" s="5">
        <f t="shared" si="85"/>
        <v>3</v>
      </c>
      <c r="G148" s="5">
        <f t="shared" si="85"/>
        <v>4</v>
      </c>
      <c r="H148" s="319">
        <f t="shared" si="85"/>
        <v>5</v>
      </c>
      <c r="I148" s="5">
        <f t="shared" si="85"/>
        <v>6</v>
      </c>
      <c r="J148" s="5">
        <v>7</v>
      </c>
      <c r="K148" s="5">
        <v>8</v>
      </c>
      <c r="L148" s="5">
        <v>9</v>
      </c>
      <c r="M148" s="5">
        <v>10</v>
      </c>
      <c r="N148" s="5">
        <v>11</v>
      </c>
      <c r="O148" s="5">
        <v>12</v>
      </c>
      <c r="P148" s="5" t="e">
        <f t="shared" si="84"/>
        <v>#REF!</v>
      </c>
      <c r="Q148" s="5" t="e">
        <f t="shared" si="84"/>
        <v>#REF!</v>
      </c>
      <c r="R148" s="5" t="e">
        <f t="shared" si="84"/>
        <v>#REF!</v>
      </c>
    </row>
    <row r="149" spans="1:18" x14ac:dyDescent="0.35">
      <c r="A149" s="6"/>
      <c r="B149" s="6"/>
      <c r="C149" s="6"/>
      <c r="D149" s="6"/>
      <c r="E149" s="6"/>
      <c r="F149" s="24"/>
      <c r="G149" s="24"/>
      <c r="H149" s="327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x14ac:dyDescent="0.35">
      <c r="A150" s="7" t="s">
        <v>87</v>
      </c>
      <c r="B150" s="7"/>
      <c r="C150" s="7"/>
      <c r="D150" s="7"/>
      <c r="E150" s="7"/>
      <c r="F150" s="7"/>
      <c r="G150" s="7"/>
      <c r="H150" s="320"/>
      <c r="I150" s="7"/>
      <c r="J150" s="7"/>
      <c r="K150" s="6"/>
      <c r="L150" s="6"/>
      <c r="M150" s="6"/>
      <c r="N150" s="6"/>
      <c r="O150" s="6"/>
      <c r="P150" s="6"/>
      <c r="Q150" s="6"/>
      <c r="R150" s="6"/>
    </row>
    <row r="151" spans="1:18" x14ac:dyDescent="0.35">
      <c r="A151" s="6"/>
      <c r="B151" s="6"/>
      <c r="C151" s="6"/>
      <c r="D151" s="6"/>
      <c r="E151" s="6"/>
      <c r="F151" s="6"/>
      <c r="G151" s="6"/>
      <c r="H151" s="25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x14ac:dyDescent="0.35">
      <c r="A152" s="6" t="s">
        <v>88</v>
      </c>
      <c r="B152" s="6"/>
      <c r="C152" s="6"/>
      <c r="D152" s="6"/>
      <c r="E152" s="6"/>
      <c r="F152" s="6"/>
      <c r="G152" s="6"/>
      <c r="H152" s="25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x14ac:dyDescent="0.35">
      <c r="A153" s="6" t="s">
        <v>89</v>
      </c>
      <c r="B153" s="6"/>
      <c r="C153" s="6"/>
      <c r="D153" s="6"/>
      <c r="E153" s="6"/>
      <c r="F153" s="6"/>
      <c r="G153" s="6"/>
      <c r="H153" s="25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x14ac:dyDescent="0.35">
      <c r="A154" s="6" t="s">
        <v>90</v>
      </c>
      <c r="B154" s="6"/>
      <c r="C154" s="6"/>
      <c r="D154" s="6"/>
      <c r="E154" s="6"/>
      <c r="F154" s="6"/>
      <c r="G154" s="6"/>
      <c r="H154" s="25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x14ac:dyDescent="0.35">
      <c r="A155" s="6" t="s">
        <v>91</v>
      </c>
      <c r="B155" s="6"/>
      <c r="C155" s="6"/>
      <c r="D155" s="6"/>
      <c r="E155" s="6"/>
      <c r="F155" s="6"/>
      <c r="G155" s="6"/>
      <c r="H155" s="25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x14ac:dyDescent="0.35">
      <c r="A156" s="6" t="s">
        <v>66</v>
      </c>
      <c r="B156" s="6"/>
      <c r="C156" s="6"/>
      <c r="D156" s="6"/>
      <c r="E156" s="6"/>
      <c r="F156" s="6"/>
      <c r="G156" s="6"/>
      <c r="H156" s="25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x14ac:dyDescent="0.35">
      <c r="A157" s="6" t="s">
        <v>92</v>
      </c>
      <c r="B157" s="6"/>
      <c r="C157" s="6">
        <v>43.631570000000004</v>
      </c>
      <c r="D157" s="6">
        <v>283.33557999999999</v>
      </c>
      <c r="E157" s="6">
        <v>44.554000000000002</v>
      </c>
      <c r="F157" s="477">
        <v>0</v>
      </c>
      <c r="G157" s="477">
        <v>0</v>
      </c>
      <c r="H157" s="488">
        <v>0</v>
      </c>
      <c r="I157" s="477">
        <v>0</v>
      </c>
      <c r="J157" s="477">
        <v>0</v>
      </c>
      <c r="K157" s="491">
        <v>0</v>
      </c>
      <c r="L157" s="477">
        <v>0</v>
      </c>
      <c r="M157" s="477">
        <v>0</v>
      </c>
      <c r="N157" s="477">
        <f>M157</f>
        <v>0</v>
      </c>
      <c r="O157" s="477">
        <v>0</v>
      </c>
      <c r="P157" s="6">
        <v>0</v>
      </c>
      <c r="Q157" s="6">
        <v>0</v>
      </c>
      <c r="R157" s="6">
        <v>0</v>
      </c>
    </row>
    <row r="158" spans="1:18" x14ac:dyDescent="0.35">
      <c r="A158" s="6" t="s">
        <v>602</v>
      </c>
      <c r="B158" s="6"/>
      <c r="C158" s="6">
        <v>0</v>
      </c>
      <c r="D158" s="6">
        <v>0</v>
      </c>
      <c r="E158" s="6">
        <v>0</v>
      </c>
      <c r="F158" s="477">
        <v>0</v>
      </c>
      <c r="G158" s="477">
        <v>71.400000000000006</v>
      </c>
      <c r="H158" s="488">
        <v>0</v>
      </c>
      <c r="I158" s="477">
        <v>74.33</v>
      </c>
      <c r="J158" s="485">
        <f>'Detailed BS'!E9</f>
        <v>150</v>
      </c>
      <c r="K158" s="538">
        <f>'Detailed BS'!G9</f>
        <v>415</v>
      </c>
      <c r="L158" s="485">
        <f>'Detailed BS'!I9</f>
        <v>415</v>
      </c>
      <c r="M158" s="485">
        <f>'Detailed BS'!K9</f>
        <v>415</v>
      </c>
      <c r="N158" s="485">
        <f>'Detailed BS'!M9</f>
        <v>415</v>
      </c>
      <c r="O158" s="485">
        <f>'Detailed BS'!O9</f>
        <v>415</v>
      </c>
      <c r="P158" s="6" t="e">
        <f>+#REF!</f>
        <v>#REF!</v>
      </c>
      <c r="Q158" s="6" t="e">
        <f t="shared" ref="Q158:R158" si="86">+P158</f>
        <v>#REF!</v>
      </c>
      <c r="R158" s="6" t="e">
        <f t="shared" si="86"/>
        <v>#REF!</v>
      </c>
    </row>
    <row r="159" spans="1:18" x14ac:dyDescent="0.35">
      <c r="A159" s="6" t="s">
        <v>93</v>
      </c>
      <c r="B159" s="6"/>
      <c r="C159" s="6">
        <v>0</v>
      </c>
      <c r="D159" s="6">
        <v>0</v>
      </c>
      <c r="E159" s="6">
        <v>0</v>
      </c>
      <c r="F159" s="477">
        <v>0</v>
      </c>
      <c r="G159" s="477">
        <v>0</v>
      </c>
      <c r="H159" s="488">
        <v>0</v>
      </c>
      <c r="I159" s="477">
        <v>0</v>
      </c>
      <c r="J159" s="477">
        <v>0</v>
      </c>
      <c r="K159" s="491">
        <f>J159</f>
        <v>0</v>
      </c>
      <c r="L159" s="477">
        <v>0</v>
      </c>
      <c r="M159" s="477">
        <v>0</v>
      </c>
      <c r="N159" s="477">
        <f>M159</f>
        <v>0</v>
      </c>
      <c r="O159" s="477">
        <v>0</v>
      </c>
      <c r="P159" s="6">
        <v>0</v>
      </c>
      <c r="Q159" s="6">
        <v>0</v>
      </c>
      <c r="R159" s="6">
        <v>0</v>
      </c>
    </row>
    <row r="160" spans="1:18" x14ac:dyDescent="0.35">
      <c r="A160" s="6"/>
      <c r="B160" s="6"/>
      <c r="C160" s="6"/>
      <c r="D160" s="6"/>
      <c r="E160" s="6"/>
      <c r="F160" s="6"/>
      <c r="G160" s="6"/>
      <c r="H160" s="25"/>
      <c r="I160" s="6"/>
      <c r="J160" s="6"/>
      <c r="K160" s="450"/>
      <c r="L160" s="6"/>
      <c r="M160" s="6"/>
      <c r="N160" s="6"/>
      <c r="O160" s="6"/>
      <c r="P160" s="6"/>
      <c r="Q160" s="6"/>
      <c r="R160" s="6"/>
    </row>
    <row r="161" spans="1:18" x14ac:dyDescent="0.35">
      <c r="A161" s="6"/>
      <c r="B161" s="6"/>
      <c r="C161" s="6"/>
      <c r="D161" s="6"/>
      <c r="E161" s="6"/>
      <c r="F161" s="6"/>
      <c r="G161" s="6"/>
      <c r="H161" s="25"/>
      <c r="I161" s="6"/>
      <c r="J161" s="6"/>
      <c r="K161" s="450"/>
      <c r="L161" s="6"/>
      <c r="M161" s="6"/>
      <c r="N161" s="6"/>
      <c r="O161" s="6"/>
      <c r="P161" s="6"/>
      <c r="Q161" s="6"/>
      <c r="R161" s="6"/>
    </row>
    <row r="162" spans="1:18" x14ac:dyDescent="0.35">
      <c r="A162" s="6" t="s">
        <v>477</v>
      </c>
      <c r="B162" s="6"/>
      <c r="C162" s="6">
        <v>0</v>
      </c>
      <c r="D162" s="25">
        <v>0</v>
      </c>
      <c r="E162" s="25">
        <v>0</v>
      </c>
      <c r="F162" s="488">
        <v>0</v>
      </c>
      <c r="G162" s="488">
        <v>0</v>
      </c>
      <c r="H162" s="488">
        <v>0</v>
      </c>
      <c r="I162" s="488">
        <v>0</v>
      </c>
      <c r="J162" s="477">
        <v>0</v>
      </c>
      <c r="K162" s="491">
        <f>J162</f>
        <v>0</v>
      </c>
      <c r="L162" s="477">
        <v>0</v>
      </c>
      <c r="M162" s="477">
        <v>0</v>
      </c>
      <c r="N162" s="488">
        <v>0</v>
      </c>
      <c r="O162" s="488">
        <v>0</v>
      </c>
      <c r="P162" s="208" t="e">
        <f>#REF!</f>
        <v>#REF!</v>
      </c>
      <c r="Q162" s="208" t="e">
        <f t="shared" ref="Q162:R162" si="87">P162</f>
        <v>#REF!</v>
      </c>
      <c r="R162" s="208" t="e">
        <f t="shared" si="87"/>
        <v>#REF!</v>
      </c>
    </row>
    <row r="163" spans="1:18" x14ac:dyDescent="0.35">
      <c r="A163" s="6"/>
      <c r="B163" s="6"/>
      <c r="C163" s="6"/>
      <c r="D163" s="6"/>
      <c r="E163" s="6"/>
      <c r="F163" s="6"/>
      <c r="G163" s="6"/>
      <c r="H163" s="25"/>
      <c r="I163" s="6"/>
      <c r="J163" s="6"/>
      <c r="K163" s="450"/>
      <c r="L163" s="6"/>
      <c r="M163" s="6"/>
      <c r="N163" s="6"/>
      <c r="O163" s="6"/>
      <c r="P163" s="6"/>
      <c r="Q163" s="6"/>
      <c r="R163" s="6"/>
    </row>
    <row r="164" spans="1:18" x14ac:dyDescent="0.35">
      <c r="A164" s="6" t="s">
        <v>94</v>
      </c>
      <c r="B164" s="6"/>
      <c r="C164" s="6">
        <v>0</v>
      </c>
      <c r="D164" s="6">
        <v>0</v>
      </c>
      <c r="E164" s="6">
        <v>0</v>
      </c>
      <c r="F164" s="477">
        <v>0</v>
      </c>
      <c r="G164" s="477">
        <v>0</v>
      </c>
      <c r="H164" s="488">
        <v>0</v>
      </c>
      <c r="I164" s="477">
        <v>0</v>
      </c>
      <c r="J164" s="477">
        <v>0</v>
      </c>
      <c r="K164" s="491">
        <f>J164</f>
        <v>0</v>
      </c>
      <c r="L164" s="477">
        <v>0</v>
      </c>
      <c r="M164" s="477">
        <v>0</v>
      </c>
      <c r="N164" s="477">
        <v>0</v>
      </c>
      <c r="O164" s="477">
        <v>0</v>
      </c>
      <c r="P164" s="6">
        <v>0</v>
      </c>
      <c r="Q164" s="6">
        <v>0</v>
      </c>
      <c r="R164" s="6">
        <v>0</v>
      </c>
    </row>
    <row r="165" spans="1:18" x14ac:dyDescent="0.35">
      <c r="A165" s="6"/>
      <c r="B165" s="6"/>
      <c r="C165" s="8" t="s">
        <v>19</v>
      </c>
      <c r="D165" s="8" t="s">
        <v>19</v>
      </c>
      <c r="E165" s="8" t="s">
        <v>19</v>
      </c>
      <c r="F165" s="8" t="s">
        <v>19</v>
      </c>
      <c r="G165" s="8" t="s">
        <v>19</v>
      </c>
      <c r="H165" s="321" t="s">
        <v>19</v>
      </c>
      <c r="I165" s="8" t="s">
        <v>19</v>
      </c>
      <c r="J165" s="8"/>
      <c r="K165" s="451"/>
      <c r="L165" s="8"/>
      <c r="M165" s="8"/>
      <c r="N165" s="8"/>
      <c r="O165" s="8"/>
      <c r="P165" s="8" t="s">
        <v>19</v>
      </c>
      <c r="Q165" s="8" t="s">
        <v>19</v>
      </c>
      <c r="R165" s="8" t="s">
        <v>19</v>
      </c>
    </row>
    <row r="166" spans="1:18" x14ac:dyDescent="0.35">
      <c r="A166" s="6" t="s">
        <v>95</v>
      </c>
      <c r="B166" s="6"/>
      <c r="C166" s="6">
        <f t="shared" ref="C166:K166" si="88">SUM(C157:C164)</f>
        <v>43.631570000000004</v>
      </c>
      <c r="D166" s="6">
        <f t="shared" si="88"/>
        <v>283.33557999999999</v>
      </c>
      <c r="E166" s="6">
        <f t="shared" si="88"/>
        <v>44.554000000000002</v>
      </c>
      <c r="F166" s="447">
        <f t="shared" si="88"/>
        <v>0</v>
      </c>
      <c r="G166" s="6">
        <f t="shared" si="88"/>
        <v>71.400000000000006</v>
      </c>
      <c r="H166" s="447">
        <f t="shared" si="88"/>
        <v>0</v>
      </c>
      <c r="I166" s="423">
        <f t="shared" si="88"/>
        <v>74.33</v>
      </c>
      <c r="J166" s="6">
        <f t="shared" si="88"/>
        <v>150</v>
      </c>
      <c r="K166" s="450">
        <f t="shared" si="88"/>
        <v>415</v>
      </c>
      <c r="L166" s="6">
        <f t="shared" ref="L166:R166" si="89">SUM(L157:L164)</f>
        <v>415</v>
      </c>
      <c r="M166" s="6">
        <f t="shared" si="89"/>
        <v>415</v>
      </c>
      <c r="N166" s="6">
        <f t="shared" si="89"/>
        <v>415</v>
      </c>
      <c r="O166" s="6">
        <f t="shared" si="89"/>
        <v>415</v>
      </c>
      <c r="P166" s="6" t="e">
        <f t="shared" si="89"/>
        <v>#REF!</v>
      </c>
      <c r="Q166" s="6" t="e">
        <f t="shared" si="89"/>
        <v>#REF!</v>
      </c>
      <c r="R166" s="6" t="e">
        <f t="shared" si="89"/>
        <v>#REF!</v>
      </c>
    </row>
    <row r="167" spans="1:18" x14ac:dyDescent="0.35">
      <c r="A167" s="6"/>
      <c r="B167" s="6"/>
      <c r="C167" s="6"/>
      <c r="D167" s="6"/>
      <c r="E167" s="6"/>
      <c r="F167" s="6">
        <f t="shared" ref="F167:O167" si="90">F166-E166</f>
        <v>-44.554000000000002</v>
      </c>
      <c r="G167" s="6">
        <f t="shared" si="90"/>
        <v>71.400000000000006</v>
      </c>
      <c r="H167" s="6">
        <f t="shared" si="90"/>
        <v>-71.400000000000006</v>
      </c>
      <c r="I167" s="6">
        <f t="shared" si="90"/>
        <v>74.33</v>
      </c>
      <c r="J167" s="6">
        <f t="shared" si="90"/>
        <v>75.67</v>
      </c>
      <c r="K167" s="6">
        <f t="shared" si="90"/>
        <v>265</v>
      </c>
      <c r="L167" s="6">
        <f t="shared" si="90"/>
        <v>0</v>
      </c>
      <c r="M167" s="6">
        <f t="shared" si="90"/>
        <v>0</v>
      </c>
      <c r="N167" s="6">
        <f t="shared" si="90"/>
        <v>0</v>
      </c>
      <c r="O167" s="6">
        <f t="shared" si="90"/>
        <v>0</v>
      </c>
      <c r="P167" s="6"/>
      <c r="Q167" s="6"/>
      <c r="R167" s="6"/>
    </row>
    <row r="168" spans="1:18" x14ac:dyDescent="0.35">
      <c r="A168" s="6" t="s">
        <v>96</v>
      </c>
      <c r="B168" s="6"/>
      <c r="C168" s="6">
        <v>0</v>
      </c>
      <c r="D168" s="6">
        <v>0</v>
      </c>
      <c r="E168" s="6">
        <v>0</v>
      </c>
      <c r="F168" s="477">
        <v>0</v>
      </c>
      <c r="G168" s="477">
        <v>0</v>
      </c>
      <c r="H168" s="488">
        <v>0</v>
      </c>
      <c r="I168" s="477">
        <v>0</v>
      </c>
      <c r="J168" s="477">
        <v>0</v>
      </c>
      <c r="K168" s="491">
        <v>0</v>
      </c>
      <c r="L168" s="477">
        <v>0</v>
      </c>
      <c r="M168" s="477">
        <v>0</v>
      </c>
      <c r="N168" s="477">
        <v>0</v>
      </c>
      <c r="O168" s="477">
        <v>0</v>
      </c>
      <c r="P168" s="6">
        <v>0</v>
      </c>
      <c r="Q168" s="6">
        <v>0</v>
      </c>
      <c r="R168" s="6">
        <v>0</v>
      </c>
    </row>
    <row r="169" spans="1:18" x14ac:dyDescent="0.35">
      <c r="A169" s="6"/>
      <c r="B169" s="6"/>
      <c r="C169" s="6"/>
      <c r="D169" s="6"/>
      <c r="E169" s="6"/>
      <c r="F169" s="6"/>
      <c r="G169" s="6"/>
      <c r="H169" s="25"/>
      <c r="I169" s="6"/>
      <c r="J169" s="6"/>
      <c r="K169" s="450"/>
      <c r="L169" s="6"/>
      <c r="M169" s="6"/>
      <c r="N169" s="6"/>
      <c r="O169" s="6"/>
      <c r="P169" s="6"/>
      <c r="Q169" s="6"/>
      <c r="R169" s="6"/>
    </row>
    <row r="170" spans="1:18" x14ac:dyDescent="0.35">
      <c r="A170" s="6" t="s">
        <v>97</v>
      </c>
      <c r="B170" s="6"/>
      <c r="C170" s="6">
        <v>23.63419</v>
      </c>
      <c r="D170" s="6">
        <v>21.85</v>
      </c>
      <c r="E170" s="6">
        <v>114.988</v>
      </c>
      <c r="F170" s="477">
        <v>79.843999999999994</v>
      </c>
      <c r="G170" s="477">
        <v>180.15</v>
      </c>
      <c r="H170" s="486">
        <v>118.52</v>
      </c>
      <c r="I170" s="486">
        <v>87.94</v>
      </c>
      <c r="J170" s="488">
        <f>'Detailed BS'!E14</f>
        <v>47.252927166666723</v>
      </c>
      <c r="K170" s="491">
        <f>'Detailed BS'!G14</f>
        <v>52.083333333333485</v>
      </c>
      <c r="L170" s="477">
        <f>'Detailed BS'!I14</f>
        <v>53.75</v>
      </c>
      <c r="M170" s="488">
        <f>'Detailed BS'!K14</f>
        <v>51.75</v>
      </c>
      <c r="N170" s="488">
        <f>'Detailed BS'!M14</f>
        <v>55.666666666666515</v>
      </c>
      <c r="O170" s="488">
        <f>'Detailed BS'!O14</f>
        <v>57.333333333333485</v>
      </c>
      <c r="P170" s="208" t="e">
        <f>WC!P12</f>
        <v>#REF!</v>
      </c>
      <c r="Q170" s="208" t="e">
        <f>WC!Q12</f>
        <v>#REF!</v>
      </c>
      <c r="R170" s="208" t="e">
        <f>WC!R12</f>
        <v>#REF!</v>
      </c>
    </row>
    <row r="171" spans="1:18" x14ac:dyDescent="0.35">
      <c r="A171" s="6"/>
      <c r="B171" s="6"/>
      <c r="C171" s="6"/>
      <c r="D171" s="6"/>
      <c r="E171" s="6"/>
      <c r="F171" s="6"/>
      <c r="G171" s="6"/>
      <c r="H171" s="484"/>
      <c r="I171" s="423"/>
      <c r="J171" s="6"/>
      <c r="K171" s="450"/>
      <c r="L171" s="6"/>
      <c r="M171" s="6"/>
      <c r="N171" s="6"/>
      <c r="O171" s="6"/>
      <c r="P171" s="6"/>
      <c r="Q171" s="6"/>
      <c r="R171" s="6"/>
    </row>
    <row r="172" spans="1:18" x14ac:dyDescent="0.35">
      <c r="A172" s="6" t="s">
        <v>98</v>
      </c>
      <c r="B172" s="6"/>
      <c r="C172" s="6">
        <v>2.8000000000000001E-2</v>
      </c>
      <c r="D172" s="6">
        <v>0.36</v>
      </c>
      <c r="E172" s="6">
        <v>0.73</v>
      </c>
      <c r="F172" s="477">
        <v>0</v>
      </c>
      <c r="G172" s="25">
        <v>4</v>
      </c>
      <c r="H172" s="484">
        <v>4.0199999999999996</v>
      </c>
      <c r="I172" s="423">
        <v>9.18</v>
      </c>
      <c r="J172" s="6">
        <f>'Detailed BS'!E18</f>
        <v>9.18</v>
      </c>
      <c r="K172" s="450">
        <f>'Detailed BS'!G18</f>
        <v>9.18</v>
      </c>
      <c r="L172" s="6">
        <f>'Detailed BS'!I18</f>
        <v>9.18</v>
      </c>
      <c r="M172" s="6">
        <f>'Detailed BS'!K18</f>
        <v>9.18</v>
      </c>
      <c r="N172" s="6">
        <f>'Detailed BS'!M18</f>
        <v>9.18</v>
      </c>
      <c r="O172" s="6">
        <f>'Detailed BS'!O18</f>
        <v>9.18</v>
      </c>
      <c r="P172" s="6" t="e">
        <f>#REF!</f>
        <v>#REF!</v>
      </c>
      <c r="Q172" s="6" t="e">
        <f t="shared" ref="Q172:R172" si="91">P172</f>
        <v>#REF!</v>
      </c>
      <c r="R172" s="6" t="e">
        <f t="shared" si="91"/>
        <v>#REF!</v>
      </c>
    </row>
    <row r="173" spans="1:18" x14ac:dyDescent="0.35">
      <c r="A173" s="6" t="s">
        <v>99</v>
      </c>
      <c r="B173" s="6"/>
      <c r="C173" s="6"/>
      <c r="D173" s="6"/>
      <c r="E173" s="6"/>
      <c r="F173" s="6"/>
      <c r="G173" s="6"/>
      <c r="H173" s="484"/>
      <c r="I173" s="423"/>
      <c r="J173" s="6"/>
      <c r="K173" s="450"/>
      <c r="L173" s="6"/>
      <c r="M173" s="6"/>
      <c r="N173" s="6"/>
      <c r="O173" s="6"/>
      <c r="P173" s="6"/>
      <c r="Q173" s="6"/>
      <c r="R173" s="6"/>
    </row>
    <row r="174" spans="1:18" x14ac:dyDescent="0.35">
      <c r="A174" s="6"/>
      <c r="B174" s="6"/>
      <c r="C174" s="6"/>
      <c r="D174" s="6"/>
      <c r="E174" s="6"/>
      <c r="F174" s="6"/>
      <c r="G174" s="6"/>
      <c r="H174" s="484"/>
      <c r="I174" s="423"/>
      <c r="J174" s="6"/>
      <c r="K174" s="450"/>
      <c r="L174" s="6"/>
      <c r="M174" s="6"/>
      <c r="N174" s="6"/>
      <c r="O174" s="6"/>
      <c r="P174" s="6"/>
      <c r="Q174" s="6"/>
      <c r="R174" s="6"/>
    </row>
    <row r="175" spans="1:18" x14ac:dyDescent="0.35">
      <c r="A175" s="6" t="s">
        <v>100</v>
      </c>
      <c r="B175" s="6"/>
      <c r="C175" s="6">
        <v>0</v>
      </c>
      <c r="D175" s="6">
        <v>0</v>
      </c>
      <c r="E175" s="6">
        <v>0</v>
      </c>
      <c r="F175" s="477">
        <v>0</v>
      </c>
      <c r="G175" s="477">
        <v>0</v>
      </c>
      <c r="H175" s="486">
        <v>0</v>
      </c>
      <c r="I175" s="485">
        <v>0</v>
      </c>
      <c r="J175" s="477">
        <v>0</v>
      </c>
      <c r="K175" s="491">
        <f>J175</f>
        <v>0</v>
      </c>
      <c r="L175" s="477">
        <f>K175</f>
        <v>0</v>
      </c>
      <c r="M175" s="477">
        <f>L175</f>
        <v>0</v>
      </c>
      <c r="N175" s="477">
        <f>M175</f>
        <v>0</v>
      </c>
      <c r="O175" s="477">
        <v>0</v>
      </c>
      <c r="P175" s="6">
        <v>0</v>
      </c>
      <c r="Q175" s="6">
        <v>0</v>
      </c>
      <c r="R175" s="6">
        <v>0</v>
      </c>
    </row>
    <row r="176" spans="1:18" x14ac:dyDescent="0.35">
      <c r="A176" s="6"/>
      <c r="B176" s="6"/>
      <c r="C176" s="6"/>
      <c r="D176" s="6"/>
      <c r="E176" s="6"/>
      <c r="F176" s="6"/>
      <c r="G176" s="6"/>
      <c r="H176" s="484"/>
      <c r="I176" s="423"/>
      <c r="J176" s="6"/>
      <c r="K176" s="450"/>
      <c r="L176" s="6"/>
      <c r="M176" s="6"/>
      <c r="N176" s="6"/>
      <c r="O176" s="6"/>
      <c r="P176" s="6"/>
      <c r="Q176" s="6"/>
      <c r="R176" s="6"/>
    </row>
    <row r="177" spans="1:18" x14ac:dyDescent="0.35">
      <c r="A177" s="6" t="s">
        <v>101</v>
      </c>
      <c r="B177" s="6"/>
      <c r="C177" s="6">
        <v>0</v>
      </c>
      <c r="D177" s="6">
        <v>0</v>
      </c>
      <c r="E177" s="6">
        <v>0</v>
      </c>
      <c r="F177" s="477">
        <v>0</v>
      </c>
      <c r="G177" s="477">
        <v>0</v>
      </c>
      <c r="H177" s="486">
        <v>0</v>
      </c>
      <c r="I177" s="485">
        <v>0</v>
      </c>
      <c r="J177" s="477">
        <v>0</v>
      </c>
      <c r="K177" s="491">
        <f>J177</f>
        <v>0</v>
      </c>
      <c r="L177" s="477">
        <f>K177</f>
        <v>0</v>
      </c>
      <c r="M177" s="477">
        <v>0</v>
      </c>
      <c r="N177" s="477">
        <v>0</v>
      </c>
      <c r="O177" s="477">
        <v>0</v>
      </c>
      <c r="P177" s="6">
        <v>0</v>
      </c>
      <c r="Q177" s="6">
        <v>0</v>
      </c>
      <c r="R177" s="6">
        <v>0</v>
      </c>
    </row>
    <row r="178" spans="1:18" x14ac:dyDescent="0.35">
      <c r="A178" s="6"/>
      <c r="B178" s="6"/>
      <c r="C178" s="6"/>
      <c r="D178" s="6"/>
      <c r="E178" s="6"/>
      <c r="F178" s="6"/>
      <c r="G178" s="6"/>
      <c r="H178" s="484"/>
      <c r="I178" s="423"/>
      <c r="J178" s="6"/>
      <c r="K178" s="450"/>
      <c r="L178" s="6"/>
      <c r="M178" s="6"/>
      <c r="N178" s="6"/>
      <c r="O178" s="6"/>
      <c r="P178" s="6"/>
      <c r="Q178" s="6"/>
      <c r="R178" s="6"/>
    </row>
    <row r="179" spans="1:18" x14ac:dyDescent="0.35">
      <c r="A179" s="6" t="s">
        <v>102</v>
      </c>
      <c r="B179" s="6"/>
      <c r="C179" s="6">
        <v>0</v>
      </c>
      <c r="D179" s="6">
        <v>3.06</v>
      </c>
      <c r="E179" s="6">
        <v>6.43</v>
      </c>
      <c r="F179" s="6">
        <v>6.09</v>
      </c>
      <c r="G179" s="6">
        <v>61.72</v>
      </c>
      <c r="H179" s="484">
        <v>69.75</v>
      </c>
      <c r="I179" s="423">
        <v>7.04</v>
      </c>
      <c r="J179" s="590">
        <f>'Detailed BS'!E23</f>
        <v>0</v>
      </c>
      <c r="K179" s="591">
        <f>'Detailed BS'!G23</f>
        <v>0</v>
      </c>
      <c r="L179" s="590">
        <f>'Detailed BS'!I23</f>
        <v>0</v>
      </c>
      <c r="M179" s="590">
        <f>'Detailed BS'!K23</f>
        <v>0</v>
      </c>
      <c r="N179" s="590">
        <f>'Detailed BS'!M23</f>
        <v>0</v>
      </c>
      <c r="O179" s="590">
        <f>'Detailed BS'!O23</f>
        <v>0</v>
      </c>
      <c r="P179" s="208">
        <v>434.87034194500814</v>
      </c>
      <c r="Q179" s="208">
        <v>434.87034194500814</v>
      </c>
      <c r="R179" s="208">
        <v>456.61385904225858</v>
      </c>
    </row>
    <row r="180" spans="1:18" x14ac:dyDescent="0.35">
      <c r="A180" s="6" t="s">
        <v>103</v>
      </c>
      <c r="B180" s="6"/>
      <c r="C180" s="6"/>
      <c r="D180" s="6"/>
      <c r="E180" s="6"/>
      <c r="F180" s="6"/>
      <c r="G180" s="6"/>
      <c r="H180" s="484"/>
      <c r="I180" s="423"/>
      <c r="J180" s="6"/>
      <c r="K180" s="450"/>
      <c r="L180" s="6"/>
      <c r="M180" s="6"/>
      <c r="N180" s="6"/>
      <c r="O180" s="6"/>
      <c r="P180" s="6"/>
      <c r="Q180" s="6"/>
      <c r="R180" s="6"/>
    </row>
    <row r="181" spans="1:18" x14ac:dyDescent="0.35">
      <c r="A181" s="8" t="s">
        <v>37</v>
      </c>
      <c r="B181" s="8"/>
      <c r="C181" s="8"/>
      <c r="D181" s="8"/>
      <c r="E181" s="8"/>
      <c r="F181" s="8"/>
      <c r="G181" s="8"/>
      <c r="H181" s="535"/>
      <c r="I181" s="536"/>
      <c r="J181" s="8"/>
      <c r="K181" s="451"/>
      <c r="L181" s="8"/>
      <c r="M181" s="8"/>
      <c r="N181" s="8"/>
      <c r="O181" s="8"/>
      <c r="P181" s="8"/>
      <c r="Q181" s="8"/>
      <c r="R181" s="8"/>
    </row>
    <row r="182" spans="1:18" x14ac:dyDescent="0.35">
      <c r="A182" s="6" t="s">
        <v>104</v>
      </c>
      <c r="B182" s="6"/>
      <c r="C182" s="6">
        <v>296.22000000000003</v>
      </c>
      <c r="D182" s="6">
        <v>315.00599999999997</v>
      </c>
      <c r="E182" s="6">
        <v>198.96</v>
      </c>
      <c r="F182" s="6">
        <f>296.49</f>
        <v>296.49</v>
      </c>
      <c r="G182" s="6">
        <v>376.94</v>
      </c>
      <c r="H182" s="484">
        <v>163.75</v>
      </c>
      <c r="I182" s="423">
        <v>335.04</v>
      </c>
      <c r="J182" s="6">
        <f>'Detailed BS'!E28</f>
        <v>1110.2311111111112</v>
      </c>
      <c r="K182" s="510">
        <f>'Detailed BS'!G28</f>
        <v>1406.2199999999998</v>
      </c>
      <c r="L182" s="423">
        <f>'Detailed BS'!I28</f>
        <v>1456.06</v>
      </c>
      <c r="M182" s="423">
        <f>'Detailed BS'!K28</f>
        <v>1218.52</v>
      </c>
      <c r="N182" s="423">
        <f>'Detailed BS'!M28</f>
        <v>1278.52</v>
      </c>
      <c r="O182" s="423">
        <f>'Detailed BS'!O28</f>
        <v>1077.2100000000005</v>
      </c>
      <c r="P182" s="228">
        <f>'Existing Loan Working'!N36/10^5+Debt!L38</f>
        <v>0</v>
      </c>
      <c r="Q182" s="228">
        <f>'Existing Loan Working'!O36/10^5+Debt!M38</f>
        <v>0</v>
      </c>
      <c r="R182" s="228">
        <f>'Existing Loan Working'!P36/10^5+Debt!N38</f>
        <v>0</v>
      </c>
    </row>
    <row r="183" spans="1:18" x14ac:dyDescent="0.35">
      <c r="A183" s="6" t="s">
        <v>105</v>
      </c>
      <c r="B183" s="6"/>
      <c r="C183" s="6"/>
      <c r="D183" s="6"/>
      <c r="E183" s="6"/>
      <c r="F183" s="6"/>
      <c r="G183" s="6"/>
      <c r="H183" s="484"/>
      <c r="I183" s="423"/>
      <c r="J183" s="6"/>
      <c r="K183" s="450"/>
      <c r="L183" s="6"/>
      <c r="M183" s="6"/>
      <c r="N183" s="6"/>
      <c r="O183" s="6"/>
      <c r="P183" s="6"/>
      <c r="Q183" s="6"/>
      <c r="R183" s="6"/>
    </row>
    <row r="184" spans="1:18" x14ac:dyDescent="0.35">
      <c r="A184" s="6" t="s">
        <v>106</v>
      </c>
      <c r="B184" s="6"/>
      <c r="C184" s="6"/>
      <c r="D184" s="6"/>
      <c r="E184" s="6"/>
      <c r="F184" s="6"/>
      <c r="G184" s="6"/>
      <c r="H184" s="484"/>
      <c r="I184" s="423"/>
      <c r="J184" s="6"/>
      <c r="K184" s="450"/>
      <c r="L184" s="6"/>
      <c r="M184" s="6"/>
      <c r="N184" s="6"/>
      <c r="O184" s="6"/>
      <c r="P184" s="6"/>
      <c r="Q184" s="6"/>
      <c r="R184" s="6"/>
    </row>
    <row r="185" spans="1:18" x14ac:dyDescent="0.35">
      <c r="A185" s="6"/>
      <c r="B185" s="6"/>
      <c r="C185" s="6"/>
      <c r="D185" s="6"/>
      <c r="E185" s="6"/>
      <c r="F185" s="6"/>
      <c r="G185" s="6"/>
      <c r="H185" s="484"/>
      <c r="I185" s="423"/>
      <c r="J185" s="6"/>
      <c r="K185" s="450"/>
      <c r="L185" s="6"/>
      <c r="M185" s="6"/>
      <c r="N185" s="6"/>
      <c r="O185" s="6"/>
      <c r="P185" s="6"/>
      <c r="Q185" s="6"/>
      <c r="R185" s="6"/>
    </row>
    <row r="186" spans="1:18" x14ac:dyDescent="0.35">
      <c r="A186" s="64" t="s">
        <v>107</v>
      </c>
      <c r="B186" s="6"/>
      <c r="C186" s="6"/>
      <c r="D186" s="6">
        <f>564.28-D172-D219-D215-315.006-D188-D189-D179-D190</f>
        <v>21.107000000000028</v>
      </c>
      <c r="E186" s="6">
        <f>453.887-E172-E219-E215+0.38-E182+0.29-E187-E188-E179-E190</f>
        <v>-3.0000000000081073E-3</v>
      </c>
      <c r="F186" s="6">
        <f>667.692-F182-F219-F179-F188-F190</f>
        <v>-1.0000000000047748E-3</v>
      </c>
      <c r="G186" s="6">
        <f>379.85-G219-G179-G188-G190-G172</f>
        <v>256.20999999999998</v>
      </c>
      <c r="H186" s="484">
        <f>192.58+2.99+3.48+2.41</f>
        <v>201.46</v>
      </c>
      <c r="I186" s="423">
        <f>136.44+19.2+13.01+3.34</f>
        <v>171.98999999999998</v>
      </c>
      <c r="J186" s="6">
        <f>'Detailed BS'!E36+'Detailed BS'!E47+'Detailed BS'!E57</f>
        <v>158.97999999999959</v>
      </c>
      <c r="K186" s="450">
        <f>'Detailed BS'!G36+'Detailed BS'!G47+'Detailed BS'!G57</f>
        <v>158.97999999999959</v>
      </c>
      <c r="L186" s="6">
        <f>'Detailed BS'!I36+'Detailed BS'!I47+'Detailed BS'!I57</f>
        <v>158.97999999999959</v>
      </c>
      <c r="M186" s="6">
        <f>'Detailed BS'!K36+'Detailed BS'!K47+'Detailed BS'!K57</f>
        <v>158.97999999999959</v>
      </c>
      <c r="N186" s="6">
        <f>'Detailed BS'!M36+'Detailed BS'!M47+'Detailed BS'!M57</f>
        <v>158.97999999999959</v>
      </c>
      <c r="O186" s="6">
        <f>'Detailed BS'!O36+'Detailed BS'!O47+'Detailed BS'!O57</f>
        <v>158.97999999999959</v>
      </c>
      <c r="P186" s="6">
        <v>252.77801724567288</v>
      </c>
      <c r="Q186" s="6">
        <v>252.77801724567288</v>
      </c>
      <c r="R186" s="6">
        <v>265.41691810795652</v>
      </c>
    </row>
    <row r="187" spans="1:18" x14ac:dyDescent="0.35">
      <c r="A187" s="6" t="s">
        <v>108</v>
      </c>
      <c r="B187" s="6"/>
      <c r="C187" s="6"/>
      <c r="D187" s="6">
        <f>0.68</f>
        <v>0.68</v>
      </c>
      <c r="E187" s="6">
        <v>0.68</v>
      </c>
      <c r="F187" s="6">
        <v>0.79</v>
      </c>
      <c r="G187" s="6">
        <v>1.02</v>
      </c>
      <c r="H187" s="484">
        <v>1.82</v>
      </c>
      <c r="I187" s="423">
        <v>2.2599999999999998</v>
      </c>
      <c r="J187" s="6">
        <f>'Detailed BS'!E67</f>
        <v>2.2599999999999998</v>
      </c>
      <c r="K187" s="450">
        <f>'Detailed BS'!G67</f>
        <v>2.2599999999999998</v>
      </c>
      <c r="L187" s="6">
        <f>'Detailed BS'!I67</f>
        <v>2.2599999999999998</v>
      </c>
      <c r="M187" s="6">
        <f>'Detailed BS'!K67</f>
        <v>2.2599999999999998</v>
      </c>
      <c r="N187" s="6">
        <f>'Detailed BS'!M67</f>
        <v>2.2599999999999998</v>
      </c>
      <c r="O187" s="6">
        <f>'Detailed BS'!O67</f>
        <v>2.2599999999999998</v>
      </c>
      <c r="P187" s="6">
        <v>2.4436107968540637</v>
      </c>
      <c r="Q187" s="6">
        <v>2.4436107968540637</v>
      </c>
      <c r="R187" s="6">
        <v>2.5657913366967668</v>
      </c>
    </row>
    <row r="188" spans="1:18" x14ac:dyDescent="0.35">
      <c r="A188" s="6" t="s">
        <v>109</v>
      </c>
      <c r="B188" s="6"/>
      <c r="C188" s="6"/>
      <c r="D188" s="6">
        <v>37.94</v>
      </c>
      <c r="E188" s="6">
        <v>46.19</v>
      </c>
      <c r="F188" s="6">
        <v>45.94</v>
      </c>
      <c r="G188" s="6">
        <v>45.94</v>
      </c>
      <c r="H188" s="484">
        <v>45.94</v>
      </c>
      <c r="I188" s="423">
        <f>H188</f>
        <v>45.94</v>
      </c>
      <c r="J188" s="6">
        <f>'Detailed BS'!E62</f>
        <v>45.94</v>
      </c>
      <c r="K188" s="450">
        <f>'Detailed BS'!G62</f>
        <v>45.94</v>
      </c>
      <c r="L188" s="6">
        <f>'Detailed BS'!I62</f>
        <v>45.94</v>
      </c>
      <c r="M188" s="6">
        <f>'Detailed BS'!K62</f>
        <v>45.94</v>
      </c>
      <c r="N188" s="6">
        <f>'Detailed BS'!M62</f>
        <v>11.430000000000007</v>
      </c>
      <c r="O188" s="477">
        <f>'Detailed BS'!O62</f>
        <v>0</v>
      </c>
      <c r="P188" s="6" t="e">
        <f>#REF!</f>
        <v>#REF!</v>
      </c>
      <c r="Q188" s="6" t="e">
        <f t="shared" ref="Q188:R188" si="92">P188</f>
        <v>#REF!</v>
      </c>
      <c r="R188" s="6" t="e">
        <f t="shared" si="92"/>
        <v>#REF!</v>
      </c>
    </row>
    <row r="189" spans="1:18" x14ac:dyDescent="0.35">
      <c r="A189" s="6" t="s">
        <v>110</v>
      </c>
      <c r="B189" s="6"/>
      <c r="C189" s="6"/>
      <c r="D189" s="6">
        <f>30.71</f>
        <v>30.71</v>
      </c>
      <c r="E189" s="6">
        <v>0</v>
      </c>
      <c r="F189" s="477">
        <f>E189</f>
        <v>0</v>
      </c>
      <c r="G189" s="477">
        <f t="shared" ref="G189:R189" si="93">F189</f>
        <v>0</v>
      </c>
      <c r="H189" s="486">
        <f t="shared" si="93"/>
        <v>0</v>
      </c>
      <c r="I189" s="485">
        <v>0</v>
      </c>
      <c r="J189" s="477">
        <f>'Detailed BS'!E52</f>
        <v>13.01</v>
      </c>
      <c r="K189" s="491">
        <f>'Detailed BS'!G52</f>
        <v>13.01</v>
      </c>
      <c r="L189" s="477">
        <f>'Detailed BS'!I52</f>
        <v>13.01</v>
      </c>
      <c r="M189" s="1">
        <f>'Detailed BS'!K52</f>
        <v>13.01</v>
      </c>
      <c r="N189" s="1">
        <f>'Detailed BS'!M52</f>
        <v>13.01</v>
      </c>
      <c r="O189" s="1">
        <f>'Detailed BS'!O52</f>
        <v>13.01</v>
      </c>
      <c r="P189" s="6" t="e">
        <f>#REF!</f>
        <v>#REF!</v>
      </c>
      <c r="Q189" s="6" t="e">
        <f t="shared" si="93"/>
        <v>#REF!</v>
      </c>
      <c r="R189" s="6" t="e">
        <f t="shared" si="93"/>
        <v>#REF!</v>
      </c>
    </row>
    <row r="190" spans="1:18" x14ac:dyDescent="0.35">
      <c r="A190" s="6" t="s">
        <v>111</v>
      </c>
      <c r="B190" s="6"/>
      <c r="C190" s="6"/>
      <c r="D190" s="6">
        <f>10.73</f>
        <v>10.73</v>
      </c>
      <c r="E190" s="6">
        <v>6.11</v>
      </c>
      <c r="F190" s="6">
        <v>135.87</v>
      </c>
      <c r="G190" s="25">
        <v>11.98</v>
      </c>
      <c r="H190" s="484">
        <v>90.26</v>
      </c>
      <c r="I190" s="423">
        <v>60.2</v>
      </c>
      <c r="J190" s="6">
        <f>'Detailed BS'!E42</f>
        <v>60.199999999999989</v>
      </c>
      <c r="K190" s="450">
        <f>'Detailed BS'!G42</f>
        <v>60.200000000000045</v>
      </c>
      <c r="L190" s="6">
        <f>'Detailed BS'!I42</f>
        <v>60.200000000000045</v>
      </c>
      <c r="M190" s="477">
        <f>'Detailed BS'!K42</f>
        <v>60.200000000000045</v>
      </c>
      <c r="N190" s="477">
        <f>'Detailed BS'!M42</f>
        <v>60.200000000000045</v>
      </c>
      <c r="O190" s="477">
        <f>'Detailed BS'!O42</f>
        <v>60.200000000000045</v>
      </c>
      <c r="P190" s="6">
        <v>0</v>
      </c>
      <c r="Q190" s="6">
        <v>0</v>
      </c>
      <c r="R190" s="6">
        <v>193.8195553913425</v>
      </c>
    </row>
    <row r="191" spans="1:18" x14ac:dyDescent="0.35">
      <c r="A191" s="6"/>
      <c r="B191" s="6"/>
      <c r="C191" s="6"/>
      <c r="D191" s="6"/>
      <c r="E191" s="6"/>
      <c r="F191" s="6"/>
      <c r="G191" s="6"/>
      <c r="H191" s="25"/>
      <c r="I191" s="6"/>
      <c r="J191" s="6"/>
      <c r="K191" s="450"/>
      <c r="L191" s="6"/>
      <c r="M191" s="6"/>
      <c r="N191" s="6"/>
      <c r="O191" s="6"/>
      <c r="P191" s="6"/>
      <c r="Q191" s="6"/>
      <c r="R191" s="6"/>
    </row>
    <row r="192" spans="1:18" x14ac:dyDescent="0.35">
      <c r="A192" s="6" t="s">
        <v>112</v>
      </c>
      <c r="B192" s="6"/>
      <c r="C192" s="6"/>
      <c r="D192" s="6"/>
      <c r="E192" s="6"/>
      <c r="F192" s="6"/>
      <c r="G192" s="6"/>
      <c r="H192" s="25"/>
      <c r="I192" s="6"/>
      <c r="J192" s="6"/>
      <c r="K192" s="450"/>
      <c r="L192" s="6"/>
      <c r="M192" s="6"/>
      <c r="N192" s="6"/>
      <c r="O192" s="6"/>
      <c r="P192" s="6"/>
      <c r="Q192" s="6"/>
      <c r="R192" s="6"/>
    </row>
    <row r="193" spans="1:18" x14ac:dyDescent="0.35">
      <c r="A193" s="6"/>
      <c r="B193" s="6"/>
      <c r="C193" s="8" t="s">
        <v>19</v>
      </c>
      <c r="D193" s="8" t="s">
        <v>19</v>
      </c>
      <c r="E193" s="8" t="s">
        <v>19</v>
      </c>
      <c r="F193" s="8" t="s">
        <v>19</v>
      </c>
      <c r="G193" s="8" t="s">
        <v>19</v>
      </c>
      <c r="H193" s="321" t="s">
        <v>19</v>
      </c>
      <c r="I193" s="8" t="s">
        <v>19</v>
      </c>
      <c r="J193" s="8"/>
      <c r="K193" s="451"/>
      <c r="L193" s="8"/>
      <c r="M193" s="8"/>
      <c r="N193" s="8"/>
      <c r="O193" s="8"/>
      <c r="P193" s="8" t="s">
        <v>19</v>
      </c>
      <c r="Q193" s="8" t="s">
        <v>19</v>
      </c>
      <c r="R193" s="8" t="s">
        <v>19</v>
      </c>
    </row>
    <row r="194" spans="1:18" x14ac:dyDescent="0.35">
      <c r="A194" s="6" t="s">
        <v>113</v>
      </c>
      <c r="B194" s="6"/>
      <c r="C194" s="6">
        <f>SUM(C168:C192)</f>
        <v>319.88219000000004</v>
      </c>
      <c r="D194" s="6">
        <f t="shared" ref="D194:E194" si="94">SUM(D168:D192)</f>
        <v>441.44299999999998</v>
      </c>
      <c r="E194" s="6">
        <f t="shared" si="94"/>
        <v>374.08500000000004</v>
      </c>
      <c r="F194" s="6">
        <f>SUM(F168:F192)</f>
        <v>565.02300000000002</v>
      </c>
      <c r="G194" s="6">
        <f t="shared" ref="G194:R194" si="95">SUM(G168:G192)</f>
        <v>937.96</v>
      </c>
      <c r="H194" s="6">
        <f>SUM(H168:H192)+H166</f>
        <v>695.52</v>
      </c>
      <c r="I194" s="6">
        <f>SUM(I168:I192)</f>
        <v>719.59000000000015</v>
      </c>
      <c r="J194" s="6">
        <f t="shared" si="95"/>
        <v>1447.0540382777776</v>
      </c>
      <c r="K194" s="6">
        <f>SUM(K168:K192)</f>
        <v>1747.873333333333</v>
      </c>
      <c r="L194" s="6">
        <f t="shared" ref="L194:N194" si="96">SUM(L168:L192)</f>
        <v>1799.3799999999997</v>
      </c>
      <c r="M194" s="6">
        <f t="shared" si="96"/>
        <v>1559.8399999999997</v>
      </c>
      <c r="N194" s="6">
        <f t="shared" si="96"/>
        <v>1589.2466666666662</v>
      </c>
      <c r="O194" s="6">
        <f t="shared" si="95"/>
        <v>1378.1733333333336</v>
      </c>
      <c r="P194" s="6" t="e">
        <f t="shared" si="95"/>
        <v>#REF!</v>
      </c>
      <c r="Q194" s="6" t="e">
        <f t="shared" si="95"/>
        <v>#REF!</v>
      </c>
      <c r="R194" s="6" t="e">
        <f t="shared" si="95"/>
        <v>#REF!</v>
      </c>
    </row>
    <row r="195" spans="1:18" x14ac:dyDescent="0.35">
      <c r="A195" s="6"/>
      <c r="B195" s="6"/>
      <c r="C195" s="6"/>
      <c r="D195" s="6"/>
      <c r="E195" s="6"/>
      <c r="F195" s="6"/>
      <c r="G195" s="6"/>
      <c r="H195" s="25"/>
      <c r="I195" s="6"/>
      <c r="J195" s="6"/>
      <c r="K195" s="450"/>
      <c r="L195" s="6"/>
      <c r="M195" s="6"/>
      <c r="N195" s="6"/>
      <c r="O195" s="6"/>
      <c r="P195" s="6"/>
      <c r="Q195" s="6"/>
      <c r="R195" s="6"/>
    </row>
    <row r="196" spans="1:18" x14ac:dyDescent="0.35">
      <c r="A196" s="6" t="s">
        <v>114</v>
      </c>
      <c r="B196" s="6"/>
      <c r="C196" s="6">
        <f>(C194+C166)</f>
        <v>363.51376000000005</v>
      </c>
      <c r="D196" s="6">
        <f t="shared" ref="D196:E196" si="97">(D194+D166)</f>
        <v>724.77857999999992</v>
      </c>
      <c r="E196" s="6">
        <f t="shared" si="97"/>
        <v>418.63900000000001</v>
      </c>
      <c r="F196" s="6">
        <f t="shared" ref="F196:R196" si="98">F194+F166</f>
        <v>565.02300000000002</v>
      </c>
      <c r="G196" s="6">
        <f t="shared" si="98"/>
        <v>1009.36</v>
      </c>
      <c r="H196" s="6">
        <f t="shared" si="98"/>
        <v>695.52</v>
      </c>
      <c r="I196" s="6">
        <f>I194+I166</f>
        <v>793.92000000000019</v>
      </c>
      <c r="J196" s="6">
        <f t="shared" si="98"/>
        <v>1597.0540382777776</v>
      </c>
      <c r="K196" s="6">
        <f>K194+K166</f>
        <v>2162.873333333333</v>
      </c>
      <c r="L196" s="6">
        <f t="shared" ref="L196:N196" si="99">L194+L166</f>
        <v>2214.3799999999997</v>
      </c>
      <c r="M196" s="6">
        <f t="shared" si="99"/>
        <v>1974.8399999999997</v>
      </c>
      <c r="N196" s="6">
        <f t="shared" si="99"/>
        <v>2004.2466666666662</v>
      </c>
      <c r="O196" s="6">
        <f t="shared" si="98"/>
        <v>1793.1733333333336</v>
      </c>
      <c r="P196" s="6" t="e">
        <f t="shared" si="98"/>
        <v>#REF!</v>
      </c>
      <c r="Q196" s="6" t="e">
        <f t="shared" si="98"/>
        <v>#REF!</v>
      </c>
      <c r="R196" s="6" t="e">
        <f t="shared" si="98"/>
        <v>#REF!</v>
      </c>
    </row>
    <row r="197" spans="1:18" x14ac:dyDescent="0.35">
      <c r="A197" s="6" t="s">
        <v>115</v>
      </c>
      <c r="B197" s="6"/>
      <c r="C197" s="6"/>
      <c r="D197" s="6"/>
      <c r="E197" s="6"/>
      <c r="F197" s="6"/>
      <c r="G197" s="6"/>
      <c r="H197" s="25"/>
      <c r="I197" s="6"/>
      <c r="J197" s="6"/>
      <c r="K197" s="450"/>
      <c r="L197" s="6"/>
      <c r="M197" s="6"/>
      <c r="N197" s="6"/>
      <c r="O197" s="6"/>
      <c r="P197" s="6"/>
      <c r="Q197" s="6"/>
      <c r="R197" s="6"/>
    </row>
    <row r="198" spans="1:18" x14ac:dyDescent="0.35">
      <c r="A198" s="6"/>
      <c r="B198" s="6"/>
      <c r="C198" s="6"/>
      <c r="D198" s="6"/>
      <c r="E198" s="6"/>
      <c r="F198" s="6"/>
      <c r="G198" s="6"/>
      <c r="H198" s="25"/>
      <c r="I198" s="6"/>
      <c r="J198" s="6"/>
      <c r="K198" s="450"/>
      <c r="L198" s="6"/>
      <c r="M198" s="6"/>
      <c r="N198" s="6"/>
      <c r="O198" s="6"/>
      <c r="P198" s="6"/>
      <c r="Q198" s="6"/>
      <c r="R198" s="6"/>
    </row>
    <row r="199" spans="1:18" x14ac:dyDescent="0.35">
      <c r="A199" s="7" t="s">
        <v>116</v>
      </c>
      <c r="B199" s="7"/>
      <c r="C199" s="7"/>
      <c r="D199" s="7"/>
      <c r="E199" s="7"/>
      <c r="F199" s="7"/>
      <c r="G199" s="7"/>
      <c r="H199" s="320"/>
      <c r="I199" s="7"/>
      <c r="J199" s="7"/>
      <c r="K199" s="452"/>
      <c r="L199" s="7"/>
      <c r="M199" s="7"/>
      <c r="N199" s="7"/>
      <c r="O199" s="7"/>
      <c r="P199" s="7"/>
      <c r="Q199" s="7"/>
      <c r="R199" s="7"/>
    </row>
    <row r="200" spans="1:18" x14ac:dyDescent="0.35">
      <c r="A200" s="6" t="s">
        <v>117</v>
      </c>
      <c r="B200" s="6"/>
      <c r="C200" s="6">
        <v>0</v>
      </c>
      <c r="D200" s="6">
        <v>0</v>
      </c>
      <c r="E200" s="6">
        <v>0</v>
      </c>
      <c r="F200" s="477">
        <v>0</v>
      </c>
      <c r="G200" s="477">
        <v>0</v>
      </c>
      <c r="H200" s="488">
        <v>0</v>
      </c>
      <c r="I200" s="477">
        <v>0</v>
      </c>
      <c r="J200" s="477">
        <v>0</v>
      </c>
      <c r="K200" s="491">
        <f>J200</f>
        <v>0</v>
      </c>
      <c r="L200" s="477">
        <v>0</v>
      </c>
      <c r="M200" s="477">
        <v>0</v>
      </c>
      <c r="N200" s="477">
        <v>0</v>
      </c>
      <c r="O200" s="477">
        <v>0</v>
      </c>
      <c r="P200" s="6">
        <v>0</v>
      </c>
      <c r="Q200" s="6">
        <v>0</v>
      </c>
      <c r="R200" s="6">
        <v>0</v>
      </c>
    </row>
    <row r="201" spans="1:18" x14ac:dyDescent="0.35">
      <c r="A201" s="6" t="s">
        <v>118</v>
      </c>
      <c r="B201" s="6"/>
      <c r="C201" s="6"/>
      <c r="D201" s="6"/>
      <c r="E201" s="6"/>
      <c r="F201" s="6"/>
      <c r="G201" s="6"/>
      <c r="H201" s="25"/>
      <c r="I201" s="6"/>
      <c r="J201" s="6"/>
      <c r="K201" s="450"/>
      <c r="L201" s="6"/>
      <c r="M201" s="6"/>
      <c r="N201" s="6"/>
      <c r="O201" s="6"/>
      <c r="P201" s="6"/>
      <c r="Q201" s="6"/>
      <c r="R201" s="6"/>
    </row>
    <row r="202" spans="1:18" x14ac:dyDescent="0.35">
      <c r="A202" s="6"/>
      <c r="B202" s="6"/>
      <c r="C202" s="6"/>
      <c r="D202" s="6"/>
      <c r="E202" s="6"/>
      <c r="F202" s="6"/>
      <c r="G202" s="6"/>
      <c r="H202" s="25"/>
      <c r="I202" s="6"/>
      <c r="J202" s="6"/>
      <c r="K202" s="450"/>
      <c r="L202" s="6"/>
      <c r="M202" s="6"/>
      <c r="N202" s="6"/>
      <c r="O202" s="6"/>
      <c r="P202" s="6"/>
      <c r="Q202" s="6"/>
      <c r="R202" s="6"/>
    </row>
    <row r="203" spans="1:18" x14ac:dyDescent="0.35">
      <c r="A203" s="6" t="s">
        <v>119</v>
      </c>
      <c r="B203" s="6"/>
      <c r="C203" s="6">
        <v>0</v>
      </c>
      <c r="D203" s="6">
        <v>0</v>
      </c>
      <c r="E203" s="6">
        <v>0</v>
      </c>
      <c r="F203" s="477">
        <v>0</v>
      </c>
      <c r="G203" s="477">
        <v>0</v>
      </c>
      <c r="H203" s="488">
        <v>0</v>
      </c>
      <c r="I203" s="477">
        <v>0</v>
      </c>
      <c r="J203" s="477">
        <v>0</v>
      </c>
      <c r="K203" s="491">
        <f>J203</f>
        <v>0</v>
      </c>
      <c r="L203" s="477">
        <v>0</v>
      </c>
      <c r="M203" s="477">
        <v>0</v>
      </c>
      <c r="N203" s="477">
        <v>0</v>
      </c>
      <c r="O203" s="477">
        <v>0</v>
      </c>
      <c r="P203" s="6">
        <v>0</v>
      </c>
      <c r="Q203" s="6">
        <v>0</v>
      </c>
      <c r="R203" s="6">
        <v>0</v>
      </c>
    </row>
    <row r="204" spans="1:18" x14ac:dyDescent="0.35">
      <c r="A204" s="6" t="s">
        <v>120</v>
      </c>
      <c r="B204" s="6"/>
      <c r="C204" s="6"/>
      <c r="D204" s="6"/>
      <c r="E204" s="6"/>
      <c r="F204" s="6"/>
      <c r="G204" s="6"/>
      <c r="H204" s="25"/>
      <c r="I204" s="6"/>
      <c r="J204" s="6"/>
      <c r="K204" s="450"/>
      <c r="L204" s="6"/>
      <c r="M204" s="6"/>
      <c r="N204" s="6"/>
      <c r="O204" s="6"/>
      <c r="P204" s="6"/>
      <c r="Q204" s="6"/>
      <c r="R204" s="6"/>
    </row>
    <row r="205" spans="1:18" x14ac:dyDescent="0.35">
      <c r="A205" s="6"/>
      <c r="B205" s="6"/>
      <c r="C205" s="6"/>
      <c r="D205" s="6"/>
      <c r="E205" s="6"/>
      <c r="F205" s="6"/>
      <c r="G205" s="6"/>
      <c r="H205" s="25"/>
      <c r="I205" s="6"/>
      <c r="J205" s="6"/>
      <c r="K205" s="450"/>
      <c r="L205" s="6"/>
      <c r="M205" s="6"/>
      <c r="N205" s="6"/>
      <c r="O205" s="6"/>
      <c r="P205" s="6"/>
      <c r="Q205" s="6"/>
      <c r="R205" s="6"/>
    </row>
    <row r="206" spans="1:18" x14ac:dyDescent="0.35">
      <c r="A206" s="6" t="s">
        <v>121</v>
      </c>
      <c r="B206" s="6"/>
      <c r="C206" s="6"/>
      <c r="D206" s="6"/>
      <c r="E206" s="6"/>
      <c r="F206" s="6"/>
      <c r="G206" s="6"/>
      <c r="H206" s="25"/>
      <c r="I206" s="6"/>
      <c r="J206" s="6"/>
      <c r="K206" s="450"/>
      <c r="L206" s="6"/>
      <c r="M206" s="6"/>
      <c r="N206" s="6"/>
      <c r="O206" s="6"/>
      <c r="P206" s="6"/>
      <c r="Q206" s="6"/>
      <c r="R206" s="6"/>
    </row>
    <row r="207" spans="1:18" x14ac:dyDescent="0.35">
      <c r="A207" s="6" t="s">
        <v>122</v>
      </c>
      <c r="B207" s="6"/>
      <c r="C207" s="6"/>
      <c r="D207" s="6">
        <f>1565.389-D182</f>
        <v>1250.3829999999998</v>
      </c>
      <c r="E207" s="6">
        <f>1840.261-E182</f>
        <v>1641.3009999999999</v>
      </c>
      <c r="F207" s="484">
        <v>1860.0719999999999</v>
      </c>
      <c r="G207" s="484">
        <v>2553.6799999999998</v>
      </c>
      <c r="H207" s="484">
        <f>2983.78-163.75</f>
        <v>2820.03</v>
      </c>
      <c r="I207" s="484">
        <f>3211.21-335.04</f>
        <v>2876.17</v>
      </c>
      <c r="J207" s="484">
        <f>'Detailed BS'!E75</f>
        <v>6859.1688888888884</v>
      </c>
      <c r="K207" s="493">
        <f>'Detailed BS'!G75</f>
        <v>5452.9488888888882</v>
      </c>
      <c r="L207" s="484">
        <f>'Detailed BS'!I75</f>
        <v>3996.8888888888882</v>
      </c>
      <c r="M207" s="484">
        <f>'Detailed BS'!K75</f>
        <v>2778.3688888888883</v>
      </c>
      <c r="N207" s="484">
        <f>'Detailed BS'!M75</f>
        <v>1499.8488888888883</v>
      </c>
      <c r="O207" s="484">
        <f>'Detailed BS'!O75</f>
        <v>422.638888888888</v>
      </c>
      <c r="P207" s="208">
        <f>'Existing Loan Working'!M37/100000+Debt!K39-P182</f>
        <v>6.700000166893005E-6</v>
      </c>
      <c r="Q207" s="208">
        <f>'Existing Loan Working'!N37/100000+Debt!L39-Q182</f>
        <v>6.700000166893005E-6</v>
      </c>
      <c r="R207" s="208">
        <f>'Existing Loan Working'!O37/100000+Debt!M39-R182</f>
        <v>0</v>
      </c>
    </row>
    <row r="208" spans="1:18" x14ac:dyDescent="0.35">
      <c r="A208" s="6"/>
      <c r="B208" s="6"/>
      <c r="C208" s="6"/>
      <c r="D208" s="6"/>
      <c r="E208" s="6"/>
      <c r="F208" s="6"/>
      <c r="G208" s="6"/>
      <c r="H208" s="25"/>
      <c r="I208" s="25"/>
      <c r="J208" s="25"/>
      <c r="K208" s="450"/>
      <c r="L208" s="6"/>
      <c r="M208" s="25"/>
      <c r="N208" s="25"/>
      <c r="O208" s="25"/>
      <c r="P208" s="25"/>
      <c r="Q208" s="25"/>
      <c r="R208" s="25"/>
    </row>
    <row r="209" spans="1:18" x14ac:dyDescent="0.35">
      <c r="A209" s="6" t="s">
        <v>123</v>
      </c>
      <c r="B209" s="6"/>
      <c r="C209" s="6"/>
      <c r="D209" s="6">
        <f>3.72</f>
        <v>3.72</v>
      </c>
      <c r="E209" s="6">
        <f>8.87</f>
        <v>8.8699999999999992</v>
      </c>
      <c r="F209" s="6">
        <v>9.3000000000000007</v>
      </c>
      <c r="G209" s="6">
        <f>8.46</f>
        <v>8.4600000000000009</v>
      </c>
      <c r="H209" s="25">
        <v>7.72</v>
      </c>
      <c r="I209" s="6">
        <v>15.17</v>
      </c>
      <c r="J209" s="6">
        <f>'Detailed BS'!E77</f>
        <v>15.17</v>
      </c>
      <c r="K209" s="450">
        <f>'Detailed BS'!G77</f>
        <v>15.17</v>
      </c>
      <c r="L209" s="6">
        <f>'Detailed BS'!I77</f>
        <v>15.17</v>
      </c>
      <c r="M209" s="6">
        <f>'Detailed BS'!K77</f>
        <v>15.17</v>
      </c>
      <c r="N209" s="6">
        <f>'Detailed BS'!M77</f>
        <v>15.17</v>
      </c>
      <c r="O209" s="6">
        <f>'Detailed BS'!O77</f>
        <v>15.17</v>
      </c>
      <c r="P209" s="6" t="e">
        <f>#REF!</f>
        <v>#REF!</v>
      </c>
      <c r="Q209" s="6" t="e">
        <f t="shared" ref="Q209:R209" si="100">P209</f>
        <v>#REF!</v>
      </c>
      <c r="R209" s="6" t="e">
        <f t="shared" si="100"/>
        <v>#REF!</v>
      </c>
    </row>
    <row r="210" spans="1:18" x14ac:dyDescent="0.35">
      <c r="A210" s="6" t="s">
        <v>680</v>
      </c>
      <c r="B210" s="6"/>
      <c r="C210" s="6"/>
      <c r="D210" s="6"/>
      <c r="E210" s="6"/>
      <c r="F210" s="6"/>
      <c r="G210" s="6"/>
      <c r="H210" s="25"/>
      <c r="I210" s="477"/>
      <c r="J210" s="6"/>
      <c r="K210" s="450"/>
      <c r="L210" s="6"/>
      <c r="M210" s="6"/>
      <c r="N210" s="6"/>
      <c r="O210" s="6"/>
      <c r="P210" s="6"/>
      <c r="Q210" s="6"/>
      <c r="R210" s="6"/>
    </row>
    <row r="211" spans="1:18" x14ac:dyDescent="0.35">
      <c r="A211" s="6"/>
      <c r="B211" s="6"/>
      <c r="C211" s="6"/>
      <c r="D211" s="6"/>
      <c r="E211" s="6"/>
      <c r="F211" s="6"/>
      <c r="G211" s="6"/>
      <c r="H211" s="25"/>
      <c r="I211" s="6"/>
      <c r="J211" s="6"/>
      <c r="K211" s="450"/>
      <c r="L211" s="6"/>
      <c r="M211" s="6"/>
      <c r="N211" s="6"/>
      <c r="O211" s="6"/>
      <c r="P211" s="6"/>
      <c r="Q211" s="6"/>
      <c r="R211" s="6"/>
    </row>
    <row r="212" spans="1:18" x14ac:dyDescent="0.35">
      <c r="A212" s="6" t="s">
        <v>124</v>
      </c>
      <c r="B212" s="6"/>
      <c r="C212" s="6">
        <v>389.02177</v>
      </c>
      <c r="D212" s="6">
        <v>313.14</v>
      </c>
      <c r="E212" s="6">
        <v>378.69600000000003</v>
      </c>
      <c r="F212" s="486">
        <v>333.00700000000001</v>
      </c>
      <c r="G212" s="486">
        <v>287.06700000000001</v>
      </c>
      <c r="H212" s="486">
        <v>241.13</v>
      </c>
      <c r="I212" s="486">
        <f>H212-I188</f>
        <v>195.19</v>
      </c>
      <c r="J212" s="486">
        <f>'Detailed BS'!E82</f>
        <v>149.25</v>
      </c>
      <c r="K212" s="537">
        <f>'Detailed BS'!G82</f>
        <v>103.31</v>
      </c>
      <c r="L212" s="486">
        <f>'Detailed BS'!I82</f>
        <v>57.370000000000005</v>
      </c>
      <c r="M212" s="486">
        <f>'Detailed BS'!K82</f>
        <v>11.430000000000007</v>
      </c>
      <c r="N212" s="486">
        <f>'Detailed BS'!M82</f>
        <v>0</v>
      </c>
      <c r="O212" s="486">
        <f>'Detailed BS'!O82</f>
        <v>0</v>
      </c>
      <c r="P212" s="6">
        <v>0</v>
      </c>
      <c r="Q212" s="6">
        <v>0</v>
      </c>
      <c r="R212" s="6">
        <v>0</v>
      </c>
    </row>
    <row r="213" spans="1:18" x14ac:dyDescent="0.35">
      <c r="A213" s="6" t="s">
        <v>125</v>
      </c>
      <c r="B213" s="6"/>
      <c r="C213" s="6"/>
      <c r="D213" s="6"/>
      <c r="E213" s="6"/>
      <c r="F213" s="6"/>
      <c r="G213" s="6"/>
      <c r="H213" s="25"/>
      <c r="I213" s="6"/>
      <c r="J213" s="6"/>
      <c r="K213" s="450"/>
      <c r="L213" s="6"/>
      <c r="M213" s="6"/>
      <c r="N213" s="6"/>
      <c r="O213" s="6"/>
      <c r="P213" s="6"/>
      <c r="Q213" s="6"/>
      <c r="R213" s="6"/>
    </row>
    <row r="214" spans="1:18" x14ac:dyDescent="0.35">
      <c r="A214" s="6"/>
      <c r="B214" s="6"/>
      <c r="C214" s="6"/>
      <c r="D214" s="6"/>
      <c r="E214" s="6"/>
      <c r="F214" s="6"/>
      <c r="G214" s="6"/>
      <c r="H214" s="25"/>
      <c r="I214" s="6"/>
      <c r="J214" s="6"/>
      <c r="K214" s="450"/>
      <c r="L214" s="6"/>
      <c r="M214" s="6"/>
      <c r="N214" s="6"/>
      <c r="O214" s="6"/>
      <c r="P214" s="6"/>
      <c r="Q214" s="6"/>
      <c r="R214" s="6"/>
    </row>
    <row r="215" spans="1:18" x14ac:dyDescent="0.35">
      <c r="A215" s="6" t="s">
        <v>126</v>
      </c>
      <c r="B215" s="6"/>
      <c r="C215" s="6">
        <v>11.788</v>
      </c>
      <c r="D215" s="6">
        <v>0.9</v>
      </c>
      <c r="E215" s="6">
        <v>0.9</v>
      </c>
      <c r="F215" s="477">
        <v>0</v>
      </c>
      <c r="G215" s="477">
        <v>0</v>
      </c>
      <c r="H215" s="488">
        <v>0</v>
      </c>
      <c r="I215" s="477">
        <v>0</v>
      </c>
      <c r="J215" s="477">
        <v>0</v>
      </c>
      <c r="K215" s="491">
        <v>0</v>
      </c>
      <c r="L215" s="477">
        <f>K215</f>
        <v>0</v>
      </c>
      <c r="M215" s="477">
        <f>L215</f>
        <v>0</v>
      </c>
      <c r="N215" s="477">
        <f>M215</f>
        <v>0</v>
      </c>
      <c r="O215" s="477">
        <f>N215</f>
        <v>0</v>
      </c>
      <c r="P215" s="6">
        <v>0.9</v>
      </c>
      <c r="Q215" s="6">
        <v>0.9</v>
      </c>
      <c r="R215" s="6">
        <v>0.9</v>
      </c>
    </row>
    <row r="216" spans="1:18" x14ac:dyDescent="0.35">
      <c r="A216" s="6" t="s">
        <v>31</v>
      </c>
      <c r="B216" s="6"/>
      <c r="C216" s="6"/>
      <c r="D216" s="6"/>
      <c r="E216" s="6"/>
      <c r="F216" s="6"/>
      <c r="G216" s="6"/>
      <c r="H216" s="25"/>
      <c r="I216" s="6"/>
      <c r="J216" s="6"/>
      <c r="K216" s="450"/>
      <c r="L216" s="6"/>
      <c r="M216" s="6"/>
      <c r="N216" s="6"/>
      <c r="O216" s="6"/>
      <c r="P216" s="6"/>
      <c r="Q216" s="6"/>
      <c r="R216" s="6"/>
    </row>
    <row r="217" spans="1:18" x14ac:dyDescent="0.35">
      <c r="A217" s="6"/>
      <c r="B217" s="6"/>
      <c r="C217" s="6"/>
      <c r="D217" s="6"/>
      <c r="E217" s="6"/>
      <c r="F217" s="6"/>
      <c r="G217" s="6"/>
      <c r="H217" s="25"/>
      <c r="I217" s="6"/>
      <c r="J217" s="6"/>
      <c r="K217" s="450"/>
      <c r="L217" s="6"/>
      <c r="M217" s="6"/>
      <c r="N217" s="6"/>
      <c r="O217" s="6"/>
      <c r="P217" s="6"/>
      <c r="Q217" s="6"/>
      <c r="R217" s="6"/>
    </row>
    <row r="218" spans="1:18" x14ac:dyDescent="0.35">
      <c r="A218" s="6" t="s">
        <v>127</v>
      </c>
      <c r="B218" s="6"/>
      <c r="C218" s="6">
        <v>259.39999999999998</v>
      </c>
      <c r="D218" s="6">
        <f>813.885+109.81</f>
        <v>923.69499999999994</v>
      </c>
      <c r="E218" s="6">
        <f>1382.885+16.547</f>
        <v>1399.432</v>
      </c>
      <c r="F218" s="6">
        <v>2232.8850000000002</v>
      </c>
      <c r="G218" s="6">
        <v>2232.89</v>
      </c>
      <c r="H218" s="25">
        <v>2232.89</v>
      </c>
      <c r="I218" s="6">
        <v>1242.44</v>
      </c>
      <c r="J218" s="6">
        <f>'Detailed BS'!E87</f>
        <v>1242.44</v>
      </c>
      <c r="K218" s="450">
        <f>'Detailed BS'!G87</f>
        <v>1242.44</v>
      </c>
      <c r="L218" s="6">
        <f>'Detailed BS'!I87</f>
        <v>1242.44</v>
      </c>
      <c r="M218" s="6">
        <f>'Detailed BS'!K87</f>
        <v>1242.44</v>
      </c>
      <c r="N218" s="6">
        <f>'Detailed BS'!M87</f>
        <v>1242.44</v>
      </c>
      <c r="O218" s="6">
        <f>'Detailed BS'!O87</f>
        <v>1242.44</v>
      </c>
      <c r="P218" s="6" t="e">
        <f>#REF!</f>
        <v>#REF!</v>
      </c>
      <c r="Q218" s="6" t="e">
        <f t="shared" ref="Q218:R218" si="101">P218</f>
        <v>#REF!</v>
      </c>
      <c r="R218" s="6" t="e">
        <f t="shared" si="101"/>
        <v>#REF!</v>
      </c>
    </row>
    <row r="219" spans="1:18" x14ac:dyDescent="0.35">
      <c r="A219" s="6" t="s">
        <v>128</v>
      </c>
      <c r="B219" s="6"/>
      <c r="C219" s="6">
        <v>119.452</v>
      </c>
      <c r="D219" s="6">
        <v>144.46700000000001</v>
      </c>
      <c r="E219" s="6">
        <v>194.56</v>
      </c>
      <c r="F219" s="477">
        <v>183.303</v>
      </c>
      <c r="G219" s="477">
        <v>0</v>
      </c>
      <c r="H219" s="488">
        <v>0</v>
      </c>
      <c r="I219" s="477">
        <v>0</v>
      </c>
      <c r="J219" s="477"/>
      <c r="K219" s="491"/>
      <c r="L219" s="477"/>
      <c r="M219" s="477"/>
      <c r="N219" s="477"/>
      <c r="O219" s="477">
        <v>0</v>
      </c>
      <c r="P219" s="6">
        <v>0</v>
      </c>
      <c r="Q219" s="6">
        <v>0</v>
      </c>
      <c r="R219" s="6">
        <v>0</v>
      </c>
    </row>
    <row r="220" spans="1:18" x14ac:dyDescent="0.35">
      <c r="A220" s="6"/>
      <c r="B220" s="6"/>
      <c r="C220" s="8"/>
      <c r="D220" s="8"/>
      <c r="E220" s="8" t="s">
        <v>19</v>
      </c>
      <c r="F220" s="8" t="s">
        <v>19</v>
      </c>
      <c r="G220" s="8" t="s">
        <v>19</v>
      </c>
      <c r="H220" s="321" t="s">
        <v>19</v>
      </c>
      <c r="I220" s="8" t="s">
        <v>19</v>
      </c>
      <c r="J220" s="8"/>
      <c r="K220" s="451"/>
      <c r="L220" s="8"/>
      <c r="M220" s="8"/>
      <c r="N220" s="8"/>
      <c r="O220" s="8"/>
      <c r="P220" s="8" t="s">
        <v>19</v>
      </c>
      <c r="Q220" s="8" t="s">
        <v>19</v>
      </c>
      <c r="R220" s="8" t="s">
        <v>19</v>
      </c>
    </row>
    <row r="221" spans="1:18" x14ac:dyDescent="0.35">
      <c r="A221" s="6" t="s">
        <v>129</v>
      </c>
      <c r="B221" s="6"/>
      <c r="C221" s="6">
        <f t="shared" ref="C221:H221" si="102">SUM(C201:C218)+C219</f>
        <v>779.66176999999993</v>
      </c>
      <c r="D221" s="6">
        <f t="shared" si="102"/>
        <v>2636.3049999999998</v>
      </c>
      <c r="E221" s="6">
        <f t="shared" si="102"/>
        <v>3623.7589999999996</v>
      </c>
      <c r="F221" s="6">
        <f t="shared" si="102"/>
        <v>4618.567</v>
      </c>
      <c r="G221" s="6">
        <f t="shared" si="102"/>
        <v>5082.0969999999998</v>
      </c>
      <c r="H221" s="6">
        <f t="shared" si="102"/>
        <v>5301.77</v>
      </c>
      <c r="I221" s="6">
        <f>SUM(I200:I218)+I219</f>
        <v>4328.97</v>
      </c>
      <c r="J221" s="6">
        <f t="shared" ref="J221:R221" si="103">SUM(J200:J218)+J219</f>
        <v>8266.0288888888881</v>
      </c>
      <c r="K221" s="6">
        <f>SUM(K200:K218)+K219</f>
        <v>6813.8688888888883</v>
      </c>
      <c r="L221" s="6">
        <f t="shared" ref="L221:N221" si="104">SUM(L200:L218)+L219</f>
        <v>5311.8688888888883</v>
      </c>
      <c r="M221" s="6">
        <f t="shared" si="104"/>
        <v>4047.4088888888882</v>
      </c>
      <c r="N221" s="6">
        <f t="shared" si="104"/>
        <v>2757.4588888888884</v>
      </c>
      <c r="O221" s="6">
        <f t="shared" si="103"/>
        <v>1680.2488888888881</v>
      </c>
      <c r="P221" s="6" t="e">
        <f t="shared" si="103"/>
        <v>#REF!</v>
      </c>
      <c r="Q221" s="6" t="e">
        <f t="shared" si="103"/>
        <v>#REF!</v>
      </c>
      <c r="R221" s="6" t="e">
        <f t="shared" si="103"/>
        <v>#REF!</v>
      </c>
    </row>
    <row r="222" spans="1:18" x14ac:dyDescent="0.35">
      <c r="A222" s="6" t="s">
        <v>130</v>
      </c>
      <c r="B222" s="6"/>
      <c r="C222" s="6"/>
      <c r="D222" s="6"/>
      <c r="E222" s="6"/>
      <c r="F222" s="6"/>
      <c r="G222" s="6"/>
      <c r="H222" s="25"/>
      <c r="I222" s="6"/>
      <c r="J222" s="6"/>
      <c r="K222" s="450"/>
      <c r="L222" s="6"/>
      <c r="M222" s="6"/>
      <c r="N222" s="6"/>
      <c r="O222" s="6"/>
      <c r="P222" s="6"/>
      <c r="Q222" s="6"/>
      <c r="R222" s="6"/>
    </row>
    <row r="223" spans="1:18" x14ac:dyDescent="0.35">
      <c r="A223" s="6"/>
      <c r="B223" s="6"/>
      <c r="C223" s="6"/>
      <c r="D223" s="6"/>
      <c r="E223" s="6"/>
      <c r="F223" s="6"/>
      <c r="G223" s="6"/>
      <c r="H223" s="25"/>
      <c r="I223" s="6"/>
      <c r="J223" s="6"/>
      <c r="K223" s="450"/>
      <c r="L223" s="6"/>
      <c r="M223" s="6"/>
      <c r="N223" s="6"/>
      <c r="O223" s="6"/>
      <c r="P223" s="6"/>
      <c r="Q223" s="6"/>
      <c r="R223" s="6"/>
    </row>
    <row r="224" spans="1:18" x14ac:dyDescent="0.35">
      <c r="A224" s="6" t="s">
        <v>131</v>
      </c>
      <c r="B224" s="6"/>
      <c r="C224" s="6">
        <f t="shared" ref="C224:R224" si="105">(C221+C196)</f>
        <v>1143.17553</v>
      </c>
      <c r="D224" s="6">
        <f t="shared" si="105"/>
        <v>3361.0835799999995</v>
      </c>
      <c r="E224" s="6">
        <f t="shared" si="105"/>
        <v>4042.3979999999997</v>
      </c>
      <c r="F224" s="6">
        <f t="shared" si="105"/>
        <v>5183.59</v>
      </c>
      <c r="G224" s="6">
        <f t="shared" si="105"/>
        <v>6091.4569999999994</v>
      </c>
      <c r="H224" s="6">
        <f t="shared" si="105"/>
        <v>5997.2900000000009</v>
      </c>
      <c r="I224" s="6">
        <f>(I221+I196)</f>
        <v>5122.8900000000003</v>
      </c>
      <c r="J224" s="6">
        <f t="shared" si="105"/>
        <v>9863.0829271666662</v>
      </c>
      <c r="K224" s="6">
        <f>(K221+K196)</f>
        <v>8976.7422222222212</v>
      </c>
      <c r="L224" s="6">
        <f t="shared" ref="L224:N224" si="106">(L221+L196)</f>
        <v>7526.2488888888874</v>
      </c>
      <c r="M224" s="6">
        <f t="shared" si="106"/>
        <v>6022.2488888888874</v>
      </c>
      <c r="N224" s="6">
        <f t="shared" si="106"/>
        <v>4761.7055555555544</v>
      </c>
      <c r="O224" s="6">
        <f t="shared" si="105"/>
        <v>3473.4222222222215</v>
      </c>
      <c r="P224" s="6" t="e">
        <f t="shared" si="105"/>
        <v>#REF!</v>
      </c>
      <c r="Q224" s="6" t="e">
        <f t="shared" si="105"/>
        <v>#REF!</v>
      </c>
      <c r="R224" s="6" t="e">
        <f t="shared" si="105"/>
        <v>#REF!</v>
      </c>
    </row>
    <row r="225" spans="1:21" x14ac:dyDescent="0.35">
      <c r="A225" s="6" t="s">
        <v>132</v>
      </c>
      <c r="B225" s="6"/>
      <c r="C225" s="6"/>
      <c r="D225" s="6"/>
      <c r="E225" s="6"/>
      <c r="F225" s="6"/>
      <c r="G225" s="6"/>
      <c r="H225" s="25"/>
      <c r="I225" s="6"/>
      <c r="J225" s="6"/>
      <c r="K225" s="450"/>
      <c r="L225" s="6"/>
      <c r="M225" s="6"/>
      <c r="N225" s="6"/>
      <c r="O225" s="6"/>
      <c r="P225" s="6"/>
      <c r="Q225" s="6"/>
      <c r="R225" s="6"/>
    </row>
    <row r="226" spans="1:21" x14ac:dyDescent="0.35">
      <c r="A226" s="6"/>
      <c r="B226" s="6"/>
      <c r="C226" s="6"/>
      <c r="D226" s="6"/>
      <c r="E226" s="6"/>
      <c r="F226" s="6"/>
      <c r="G226" s="6"/>
      <c r="H226" s="25"/>
      <c r="I226" s="6"/>
      <c r="J226" s="6"/>
      <c r="K226" s="450"/>
      <c r="L226" s="6"/>
      <c r="M226" s="6"/>
      <c r="N226" s="6"/>
      <c r="O226" s="6"/>
      <c r="P226" s="6"/>
      <c r="Q226" s="6"/>
      <c r="R226" s="6"/>
    </row>
    <row r="227" spans="1:21" x14ac:dyDescent="0.35">
      <c r="A227" s="7" t="s">
        <v>133</v>
      </c>
      <c r="B227" s="7"/>
      <c r="C227" s="7"/>
      <c r="D227" s="7"/>
      <c r="E227" s="7"/>
      <c r="F227" s="7"/>
      <c r="G227" s="7"/>
      <c r="H227" s="320"/>
      <c r="I227" s="7"/>
      <c r="J227" s="7"/>
      <c r="K227" s="452"/>
      <c r="L227" s="7"/>
      <c r="M227" s="7"/>
      <c r="N227" s="7"/>
      <c r="O227" s="7"/>
      <c r="P227" s="7"/>
      <c r="Q227" s="7"/>
      <c r="R227" s="7"/>
    </row>
    <row r="228" spans="1:21" x14ac:dyDescent="0.35">
      <c r="A228" s="6" t="s">
        <v>134</v>
      </c>
      <c r="B228" s="6"/>
      <c r="C228" s="6">
        <v>523</v>
      </c>
      <c r="D228" s="6">
        <v>523.32899999999995</v>
      </c>
      <c r="E228" s="6">
        <v>755.88699999999994</v>
      </c>
      <c r="F228" s="6">
        <v>755.88699999999994</v>
      </c>
      <c r="G228" s="6">
        <v>755.88699999999994</v>
      </c>
      <c r="H228" s="25">
        <v>755.89</v>
      </c>
      <c r="I228" s="6">
        <v>755.88699999999994</v>
      </c>
      <c r="J228" s="6">
        <f>'Detailed BS'!E97</f>
        <v>755.89</v>
      </c>
      <c r="K228" s="450">
        <f>'Detailed BS'!G97</f>
        <v>755.89</v>
      </c>
      <c r="L228" s="6">
        <f>'Detailed BS'!I97</f>
        <v>755.89</v>
      </c>
      <c r="M228" s="6">
        <f>'Detailed BS'!K97</f>
        <v>755.89</v>
      </c>
      <c r="N228" s="6">
        <f>'Detailed BS'!M97</f>
        <v>755.89</v>
      </c>
      <c r="O228" s="6">
        <f>'Detailed BS'!O97</f>
        <v>755.89</v>
      </c>
      <c r="P228" s="6">
        <v>755.88699999999994</v>
      </c>
      <c r="Q228" s="6">
        <v>755.88699999999994</v>
      </c>
      <c r="R228" s="6">
        <v>755.88699999999994</v>
      </c>
    </row>
    <row r="229" spans="1:21" x14ac:dyDescent="0.35">
      <c r="A229" s="6" t="s">
        <v>135</v>
      </c>
      <c r="B229" s="6"/>
      <c r="C229" s="6">
        <v>0</v>
      </c>
      <c r="D229" s="6">
        <v>0</v>
      </c>
      <c r="E229" s="6">
        <v>0</v>
      </c>
      <c r="F229" s="477">
        <v>0</v>
      </c>
      <c r="G229" s="477">
        <v>0</v>
      </c>
      <c r="H229" s="488">
        <v>0</v>
      </c>
      <c r="I229" s="477">
        <v>0</v>
      </c>
      <c r="J229" s="477">
        <v>0</v>
      </c>
      <c r="K229" s="491">
        <v>0</v>
      </c>
      <c r="L229" s="477">
        <v>0</v>
      </c>
      <c r="M229" s="477">
        <v>0</v>
      </c>
      <c r="N229" s="477">
        <v>0</v>
      </c>
      <c r="O229" s="477">
        <v>0</v>
      </c>
      <c r="P229" s="6">
        <v>0</v>
      </c>
      <c r="Q229" s="6">
        <v>0</v>
      </c>
      <c r="R229" s="6">
        <v>0</v>
      </c>
    </row>
    <row r="230" spans="1:21" x14ac:dyDescent="0.35">
      <c r="A230" s="6" t="s">
        <v>136</v>
      </c>
      <c r="B230" s="6"/>
      <c r="C230" s="6">
        <v>0</v>
      </c>
      <c r="D230" s="6">
        <v>0</v>
      </c>
      <c r="E230" s="6">
        <v>0</v>
      </c>
      <c r="F230" s="477">
        <v>0</v>
      </c>
      <c r="G230" s="477">
        <v>0</v>
      </c>
      <c r="H230" s="488">
        <v>0</v>
      </c>
      <c r="I230" s="477">
        <v>0</v>
      </c>
      <c r="J230" s="477">
        <v>0</v>
      </c>
      <c r="K230" s="491">
        <v>0</v>
      </c>
      <c r="L230" s="477">
        <v>0</v>
      </c>
      <c r="M230" s="477">
        <v>0</v>
      </c>
      <c r="N230" s="477">
        <v>0</v>
      </c>
      <c r="O230" s="477">
        <v>0</v>
      </c>
      <c r="P230" s="6">
        <v>0</v>
      </c>
      <c r="Q230" s="6">
        <v>0</v>
      </c>
      <c r="R230" s="6">
        <v>0</v>
      </c>
    </row>
    <row r="231" spans="1:21" x14ac:dyDescent="0.35">
      <c r="A231" s="6" t="s">
        <v>137</v>
      </c>
      <c r="B231" s="6"/>
      <c r="C231" s="6">
        <f>1884.471</f>
        <v>1884.471</v>
      </c>
      <c r="D231" s="6">
        <v>1885.471</v>
      </c>
      <c r="E231" s="6">
        <v>2652.913</v>
      </c>
      <c r="F231" s="6">
        <v>2652.913</v>
      </c>
      <c r="G231" s="6">
        <v>2652.913</v>
      </c>
      <c r="H231" s="25">
        <v>2652.91</v>
      </c>
      <c r="I231" s="6">
        <v>2652.91</v>
      </c>
      <c r="J231" s="6">
        <f>'Detailed BS'!E99</f>
        <v>2652.91</v>
      </c>
      <c r="K231" s="450">
        <f>'Detailed BS'!G99</f>
        <v>2652.91</v>
      </c>
      <c r="L231" s="6">
        <f>'Detailed BS'!I99</f>
        <v>2652.91</v>
      </c>
      <c r="M231" s="6">
        <f>'Detailed BS'!K99</f>
        <v>2652.91</v>
      </c>
      <c r="N231" s="6">
        <f>'Detailed BS'!M99</f>
        <v>2652.91</v>
      </c>
      <c r="O231" s="6">
        <f>'Detailed BS'!O99</f>
        <v>2652.91</v>
      </c>
      <c r="P231" s="6">
        <v>2652.913</v>
      </c>
      <c r="Q231" s="6">
        <v>2652.913</v>
      </c>
      <c r="R231" s="6">
        <v>2652.913</v>
      </c>
    </row>
    <row r="232" spans="1:21" x14ac:dyDescent="0.35">
      <c r="A232" s="6"/>
      <c r="B232" s="6"/>
      <c r="C232" s="6"/>
      <c r="D232" s="6"/>
      <c r="E232" s="6"/>
      <c r="F232" s="6"/>
      <c r="G232" s="6"/>
      <c r="H232" s="25"/>
      <c r="I232" s="6"/>
      <c r="J232" s="6"/>
      <c r="K232" s="450"/>
      <c r="L232" s="6"/>
      <c r="M232" s="6"/>
      <c r="N232" s="6"/>
      <c r="O232" s="6"/>
      <c r="P232" s="6"/>
      <c r="Q232" s="6"/>
      <c r="R232" s="6"/>
    </row>
    <row r="233" spans="1:21" x14ac:dyDescent="0.35">
      <c r="A233" s="6" t="s">
        <v>138</v>
      </c>
      <c r="B233" s="6"/>
      <c r="C233" s="6">
        <v>0</v>
      </c>
      <c r="D233" s="6">
        <v>0</v>
      </c>
      <c r="E233" s="6">
        <v>0</v>
      </c>
      <c r="F233" s="477">
        <v>0</v>
      </c>
      <c r="G233" s="477">
        <v>0</v>
      </c>
      <c r="H233" s="488">
        <v>0</v>
      </c>
      <c r="I233" s="477">
        <v>0</v>
      </c>
      <c r="J233" s="477">
        <v>0</v>
      </c>
      <c r="K233" s="491">
        <v>0</v>
      </c>
      <c r="L233" s="477">
        <v>0</v>
      </c>
      <c r="M233" s="477">
        <v>0</v>
      </c>
      <c r="N233" s="477">
        <v>0</v>
      </c>
      <c r="O233" s="477">
        <v>0</v>
      </c>
      <c r="P233" s="6">
        <v>0</v>
      </c>
      <c r="Q233" s="6">
        <v>0</v>
      </c>
      <c r="R233" s="6">
        <v>0</v>
      </c>
    </row>
    <row r="234" spans="1:21" x14ac:dyDescent="0.35">
      <c r="A234" s="6"/>
      <c r="B234" s="6"/>
      <c r="C234" s="6"/>
      <c r="D234" s="6"/>
      <c r="E234" s="6"/>
      <c r="F234" s="6"/>
      <c r="G234" s="6"/>
      <c r="H234" s="25"/>
      <c r="I234" s="6"/>
      <c r="J234" s="6"/>
      <c r="K234" s="450"/>
      <c r="L234" s="6"/>
      <c r="M234" s="6"/>
      <c r="N234" s="6"/>
      <c r="O234" s="6"/>
      <c r="P234" s="6"/>
      <c r="Q234" s="6"/>
      <c r="R234" s="6"/>
    </row>
    <row r="235" spans="1:21" x14ac:dyDescent="0.35">
      <c r="A235" s="6" t="s">
        <v>139</v>
      </c>
      <c r="B235" s="6"/>
      <c r="C235" s="6">
        <v>89.49</v>
      </c>
      <c r="D235" s="6">
        <v>73.540000000000006</v>
      </c>
      <c r="E235" s="6">
        <v>45.43</v>
      </c>
      <c r="F235" s="6">
        <v>69.512</v>
      </c>
      <c r="G235" s="6">
        <f>99.39</f>
        <v>99.39</v>
      </c>
      <c r="H235" s="25">
        <v>18.850000000000001</v>
      </c>
      <c r="I235" s="6">
        <v>-33.4</v>
      </c>
      <c r="J235" s="6">
        <f>'Detailed BS'!E93</f>
        <v>-33.4</v>
      </c>
      <c r="K235" s="450">
        <f>'Detailed BS'!G93</f>
        <v>-33.4</v>
      </c>
      <c r="L235" s="6">
        <f>'Detailed BS'!I93</f>
        <v>-33.4</v>
      </c>
      <c r="M235" s="6">
        <f>'Detailed BS'!K93</f>
        <v>-33.4</v>
      </c>
      <c r="N235" s="6">
        <f>'Detailed BS'!M93</f>
        <v>-33.4</v>
      </c>
      <c r="O235" s="6">
        <f>'Detailed BS'!O93</f>
        <v>-33.4</v>
      </c>
      <c r="P235" s="6" t="e">
        <f>#REF!</f>
        <v>#REF!</v>
      </c>
      <c r="Q235" s="6" t="e">
        <f t="shared" ref="Q235:R235" si="107">P235</f>
        <v>#REF!</v>
      </c>
      <c r="R235" s="6" t="e">
        <f t="shared" si="107"/>
        <v>#REF!</v>
      </c>
      <c r="T235" s="23">
        <v>83.74</v>
      </c>
      <c r="U235" s="23">
        <f>T235-I235</f>
        <v>117.13999999999999</v>
      </c>
    </row>
    <row r="236" spans="1:21" x14ac:dyDescent="0.35">
      <c r="A236" s="6"/>
      <c r="B236" s="6"/>
      <c r="C236" s="6"/>
      <c r="D236" s="6"/>
      <c r="E236" s="6"/>
      <c r="F236" s="6"/>
      <c r="G236" s="6"/>
      <c r="H236" s="25"/>
      <c r="I236" s="6"/>
      <c r="J236" s="6"/>
      <c r="K236" s="450"/>
      <c r="L236" s="6"/>
      <c r="M236" s="6"/>
      <c r="N236" s="6"/>
      <c r="O236" s="6"/>
      <c r="P236" s="6"/>
      <c r="Q236" s="6"/>
      <c r="R236" s="6"/>
    </row>
    <row r="237" spans="1:21" x14ac:dyDescent="0.35">
      <c r="A237" s="6"/>
      <c r="B237" s="6"/>
      <c r="C237" s="6"/>
      <c r="D237" s="6"/>
      <c r="E237" s="6"/>
      <c r="F237" s="6"/>
      <c r="G237" s="6"/>
      <c r="H237" s="25"/>
      <c r="I237" s="6"/>
      <c r="J237" s="6"/>
      <c r="K237" s="450"/>
      <c r="L237" s="6"/>
      <c r="M237" s="6"/>
      <c r="N237" s="6"/>
      <c r="O237" s="6"/>
      <c r="P237" s="6"/>
      <c r="Q237" s="6"/>
      <c r="R237" s="6"/>
    </row>
    <row r="238" spans="1:21" x14ac:dyDescent="0.35">
      <c r="A238" s="6" t="s">
        <v>140</v>
      </c>
      <c r="B238" s="6"/>
      <c r="C238" s="6">
        <v>-694.14098997171732</v>
      </c>
      <c r="D238" s="6">
        <v>-609.53099999999995</v>
      </c>
      <c r="E238" s="6">
        <v>-462.72899999999981</v>
      </c>
      <c r="F238" s="6">
        <v>-366.80000000000018</v>
      </c>
      <c r="G238" s="6">
        <v>-213.30299999999988</v>
      </c>
      <c r="H238" s="25">
        <v>40.89</v>
      </c>
      <c r="I238" s="6">
        <v>283.60000000000002</v>
      </c>
      <c r="J238" s="25">
        <f>'Detailed BS'!E104</f>
        <v>740.44200246599974</v>
      </c>
      <c r="K238" s="450">
        <f>'Detailed BS'!G104</f>
        <v>1409.2980703180151</v>
      </c>
      <c r="L238" s="450">
        <f>'Detailed BS'!I104</f>
        <v>2295.8200061843741</v>
      </c>
      <c r="M238" s="450">
        <f>'Detailed BS'!K104</f>
        <v>3469.6629238822934</v>
      </c>
      <c r="N238" s="6">
        <f>'Detailed BS'!M104</f>
        <v>4912.4982029032399</v>
      </c>
      <c r="O238" s="6">
        <f>'Detailed BS'!O104</f>
        <v>6580.6074624674438</v>
      </c>
      <c r="P238" s="6" t="e">
        <f>#REF!+P133</f>
        <v>#REF!</v>
      </c>
      <c r="Q238" s="6" t="e">
        <f t="shared" ref="Q238:R238" si="108">P238+Q133</f>
        <v>#REF!</v>
      </c>
      <c r="R238" s="6" t="e">
        <f t="shared" si="108"/>
        <v>#REF!</v>
      </c>
    </row>
    <row r="239" spans="1:21" x14ac:dyDescent="0.35">
      <c r="A239" s="6" t="s">
        <v>141</v>
      </c>
      <c r="B239" s="6"/>
      <c r="C239" s="6"/>
      <c r="D239" s="6"/>
      <c r="E239" s="6"/>
      <c r="F239" s="6"/>
      <c r="G239" s="6"/>
      <c r="H239" s="25"/>
      <c r="I239" s="6"/>
      <c r="J239" s="6"/>
      <c r="K239" s="450"/>
      <c r="L239" s="6"/>
      <c r="M239" s="6"/>
      <c r="N239" s="6"/>
      <c r="O239" s="6"/>
      <c r="P239" s="6"/>
      <c r="Q239" s="6"/>
      <c r="R239" s="6"/>
    </row>
    <row r="240" spans="1:21" x14ac:dyDescent="0.35">
      <c r="A240" s="6"/>
      <c r="B240" s="6"/>
      <c r="C240" s="6"/>
      <c r="D240" s="6"/>
      <c r="E240" s="6"/>
      <c r="F240" s="6"/>
      <c r="G240" s="6"/>
      <c r="H240" s="25"/>
      <c r="I240" s="6"/>
      <c r="J240" s="6"/>
      <c r="K240" s="450"/>
      <c r="L240" s="6"/>
      <c r="M240" s="6"/>
      <c r="N240" s="6"/>
      <c r="O240" s="6"/>
      <c r="P240" s="6"/>
      <c r="Q240" s="6"/>
      <c r="R240" s="6"/>
    </row>
    <row r="241" spans="1:18" x14ac:dyDescent="0.35">
      <c r="A241" s="6" t="s">
        <v>142</v>
      </c>
      <c r="B241" s="6"/>
      <c r="C241" s="6">
        <f t="shared" ref="C241:J241" si="109">SUM(C228:C238)</f>
        <v>1802.8200100282825</v>
      </c>
      <c r="D241" s="6">
        <f t="shared" si="109"/>
        <v>1872.8090000000002</v>
      </c>
      <c r="E241" s="6">
        <f t="shared" si="109"/>
        <v>2991.5010000000002</v>
      </c>
      <c r="F241" s="6">
        <f t="shared" si="109"/>
        <v>3111.5120000000002</v>
      </c>
      <c r="G241" s="6">
        <f t="shared" si="109"/>
        <v>3294.8870000000002</v>
      </c>
      <c r="H241" s="6">
        <f t="shared" si="109"/>
        <v>3468.5399999999995</v>
      </c>
      <c r="I241" s="6">
        <f t="shared" si="109"/>
        <v>3658.9969999999994</v>
      </c>
      <c r="J241" s="6">
        <f t="shared" si="109"/>
        <v>4115.842002465999</v>
      </c>
      <c r="K241" s="6">
        <f t="shared" ref="K241:R241" si="110">SUM(K228:K238)</f>
        <v>4784.6980703180143</v>
      </c>
      <c r="L241" s="6">
        <f t="shared" si="110"/>
        <v>5671.2200061843741</v>
      </c>
      <c r="M241" s="6">
        <f t="shared" si="110"/>
        <v>6845.062923882293</v>
      </c>
      <c r="N241" s="6">
        <f t="shared" si="110"/>
        <v>8287.8982029032395</v>
      </c>
      <c r="O241" s="6">
        <f t="shared" si="110"/>
        <v>9956.0074624674435</v>
      </c>
      <c r="P241" s="6" t="e">
        <f t="shared" si="110"/>
        <v>#REF!</v>
      </c>
      <c r="Q241" s="6" t="e">
        <f t="shared" si="110"/>
        <v>#REF!</v>
      </c>
      <c r="R241" s="6" t="e">
        <f t="shared" si="110"/>
        <v>#REF!</v>
      </c>
    </row>
    <row r="242" spans="1:18" x14ac:dyDescent="0.35">
      <c r="A242" s="6"/>
      <c r="B242" s="6"/>
      <c r="C242" s="6"/>
      <c r="D242" s="6"/>
      <c r="E242" s="6"/>
      <c r="F242" s="6"/>
      <c r="G242" s="6"/>
      <c r="H242" s="25"/>
      <c r="I242" s="6"/>
      <c r="J242" s="6"/>
      <c r="K242" s="450"/>
      <c r="L242" s="6"/>
      <c r="M242" s="6"/>
      <c r="N242" s="6"/>
      <c r="O242" s="6"/>
      <c r="P242" s="6"/>
      <c r="Q242" s="6"/>
      <c r="R242" s="6"/>
    </row>
    <row r="243" spans="1:18" x14ac:dyDescent="0.35">
      <c r="A243" s="6" t="s">
        <v>143</v>
      </c>
      <c r="B243" s="6"/>
      <c r="C243" s="6">
        <f t="shared" ref="C243:J243" si="111">(C241+C224)</f>
        <v>2945.9955400282824</v>
      </c>
      <c r="D243" s="6">
        <f t="shared" si="111"/>
        <v>5233.8925799999997</v>
      </c>
      <c r="E243" s="6">
        <f t="shared" si="111"/>
        <v>7033.8989999999994</v>
      </c>
      <c r="F243" s="6">
        <f t="shared" si="111"/>
        <v>8295.1020000000008</v>
      </c>
      <c r="G243" s="6">
        <f t="shared" si="111"/>
        <v>9386.3439999999991</v>
      </c>
      <c r="H243" s="6">
        <f t="shared" si="111"/>
        <v>9465.83</v>
      </c>
      <c r="I243" s="6">
        <f t="shared" si="111"/>
        <v>8781.8869999999988</v>
      </c>
      <c r="J243" s="6">
        <f t="shared" si="111"/>
        <v>13978.924929632665</v>
      </c>
      <c r="K243" s="511">
        <f t="shared" ref="K243:R243" si="112">(K241+K224)</f>
        <v>13761.440292540236</v>
      </c>
      <c r="L243" s="6">
        <f t="shared" si="112"/>
        <v>13197.468895073262</v>
      </c>
      <c r="M243" s="6">
        <f t="shared" si="112"/>
        <v>12867.31181277118</v>
      </c>
      <c r="N243" s="6">
        <f t="shared" si="112"/>
        <v>13049.603758458794</v>
      </c>
      <c r="O243" s="6">
        <f t="shared" si="112"/>
        <v>13429.429684689665</v>
      </c>
      <c r="P243" s="227" t="e">
        <f t="shared" si="112"/>
        <v>#REF!</v>
      </c>
      <c r="Q243" s="227" t="e">
        <f t="shared" si="112"/>
        <v>#REF!</v>
      </c>
      <c r="R243" s="227" t="e">
        <f t="shared" si="112"/>
        <v>#REF!</v>
      </c>
    </row>
    <row r="244" spans="1:18" x14ac:dyDescent="0.35">
      <c r="A244" s="6" t="s">
        <v>144</v>
      </c>
      <c r="B244" s="6"/>
      <c r="C244" s="6">
        <v>4134.0729400282826</v>
      </c>
      <c r="D244" s="6"/>
      <c r="E244" s="6"/>
      <c r="F244" s="6"/>
      <c r="G244" s="6"/>
      <c r="H244" s="25"/>
      <c r="I244" s="6"/>
      <c r="J244" s="6"/>
      <c r="K244" s="450"/>
      <c r="L244" s="6"/>
      <c r="M244" s="6"/>
      <c r="N244" s="6"/>
      <c r="O244" s="6"/>
      <c r="P244" s="6"/>
      <c r="Q244" s="6"/>
      <c r="R244" s="6"/>
    </row>
    <row r="245" spans="1:18" x14ac:dyDescent="0.35">
      <c r="A245" s="6" t="s">
        <v>145</v>
      </c>
      <c r="B245" s="6"/>
      <c r="C245" s="6">
        <f>C244-C243</f>
        <v>1188.0774000000001</v>
      </c>
      <c r="D245" s="6"/>
      <c r="E245" s="6"/>
      <c r="F245" s="6"/>
      <c r="G245" s="6"/>
      <c r="H245" s="25"/>
      <c r="I245" s="6"/>
      <c r="J245" s="6"/>
      <c r="K245" s="450"/>
      <c r="L245" s="6"/>
      <c r="M245" s="6"/>
      <c r="N245" s="6"/>
      <c r="O245" s="6"/>
      <c r="P245" s="6"/>
      <c r="Q245" s="6"/>
      <c r="R245" s="6"/>
    </row>
    <row r="246" spans="1:18" x14ac:dyDescent="0.35">
      <c r="A246" s="8" t="s">
        <v>37</v>
      </c>
      <c r="B246" s="8"/>
      <c r="C246" s="8"/>
      <c r="D246" s="8"/>
      <c r="E246" s="8"/>
      <c r="F246" s="8"/>
      <c r="G246" s="8"/>
      <c r="H246" s="321"/>
      <c r="I246" s="8"/>
      <c r="J246" s="8"/>
      <c r="K246" s="450"/>
      <c r="L246" s="6"/>
      <c r="M246" s="6"/>
      <c r="N246" s="6"/>
      <c r="O246" s="6"/>
      <c r="P246" s="6"/>
      <c r="Q246" s="6"/>
      <c r="R246" s="6"/>
    </row>
    <row r="247" spans="1:18" x14ac:dyDescent="0.35">
      <c r="A247" s="7" t="s">
        <v>146</v>
      </c>
      <c r="B247" s="7"/>
      <c r="C247" s="7"/>
      <c r="D247" s="7"/>
      <c r="E247" s="7"/>
      <c r="F247" s="7"/>
      <c r="G247" s="7"/>
      <c r="H247" s="320"/>
      <c r="I247" s="7"/>
      <c r="J247" s="7"/>
      <c r="K247" s="450"/>
      <c r="L247" s="6"/>
      <c r="M247" s="6"/>
      <c r="N247" s="6"/>
      <c r="O247" s="6"/>
      <c r="P247" s="6"/>
      <c r="Q247" s="6"/>
      <c r="R247" s="6"/>
    </row>
    <row r="248" spans="1:18" x14ac:dyDescent="0.35">
      <c r="A248" s="7" t="s">
        <v>85</v>
      </c>
      <c r="B248" s="7"/>
      <c r="C248" s="7"/>
      <c r="D248" s="7"/>
      <c r="E248" s="7"/>
      <c r="F248" s="7"/>
      <c r="G248" s="7"/>
      <c r="H248" s="320"/>
      <c r="I248" s="7"/>
      <c r="J248" s="7"/>
      <c r="K248" s="450"/>
      <c r="L248" s="6"/>
      <c r="M248" s="6"/>
      <c r="N248" s="6"/>
      <c r="O248" s="6"/>
      <c r="P248" s="6"/>
      <c r="Q248" s="6"/>
      <c r="R248" s="6"/>
    </row>
    <row r="249" spans="1:18" x14ac:dyDescent="0.35">
      <c r="A249" s="6"/>
      <c r="B249" s="6"/>
      <c r="C249" s="6"/>
      <c r="D249" s="4" t="str">
        <f t="shared" ref="D249:I251" si="113">D146</f>
        <v>2018-19</v>
      </c>
      <c r="E249" s="4" t="str">
        <f t="shared" si="113"/>
        <v>2019-20</v>
      </c>
      <c r="F249" s="78" t="str">
        <f t="shared" si="113"/>
        <v>2020-21</v>
      </c>
      <c r="G249" s="4" t="str">
        <f t="shared" si="113"/>
        <v>2021-22</v>
      </c>
      <c r="H249" s="318" t="str">
        <f t="shared" si="113"/>
        <v>2022-23</v>
      </c>
      <c r="I249" s="4" t="str">
        <f t="shared" si="113"/>
        <v>2023-24</v>
      </c>
      <c r="J249" s="78" t="s">
        <v>673</v>
      </c>
      <c r="K249" s="78" t="s">
        <v>356</v>
      </c>
      <c r="L249" s="78" t="s">
        <v>674</v>
      </c>
      <c r="M249" s="78" t="s">
        <v>358</v>
      </c>
      <c r="N249" s="78" t="s">
        <v>675</v>
      </c>
      <c r="O249" s="78" t="s">
        <v>11</v>
      </c>
      <c r="P249" s="4" t="str">
        <f t="shared" ref="P249:R251" si="114">P146</f>
        <v>2030-31</v>
      </c>
      <c r="Q249" s="4" t="str">
        <f t="shared" si="114"/>
        <v>2031-32</v>
      </c>
      <c r="R249" s="4" t="str">
        <f t="shared" si="114"/>
        <v>2032-33</v>
      </c>
    </row>
    <row r="250" spans="1:18" x14ac:dyDescent="0.35">
      <c r="A250" s="6"/>
      <c r="B250" s="6"/>
      <c r="C250" s="6"/>
      <c r="D250" s="4" t="str">
        <f t="shared" si="113"/>
        <v>Aud.</v>
      </c>
      <c r="E250" s="4" t="str">
        <f t="shared" si="113"/>
        <v>Aud.</v>
      </c>
      <c r="F250" s="4" t="str">
        <f t="shared" si="113"/>
        <v>Aud.</v>
      </c>
      <c r="G250" s="4" t="str">
        <f t="shared" si="113"/>
        <v>Aud.</v>
      </c>
      <c r="H250" s="318" t="str">
        <f t="shared" si="113"/>
        <v>Aud.</v>
      </c>
      <c r="I250" s="4" t="str">
        <f t="shared" si="113"/>
        <v>Aud.</v>
      </c>
      <c r="J250" s="4" t="s">
        <v>15</v>
      </c>
      <c r="K250" s="4" t="s">
        <v>672</v>
      </c>
      <c r="L250" s="4" t="s">
        <v>672</v>
      </c>
      <c r="M250" s="4" t="s">
        <v>672</v>
      </c>
      <c r="N250" s="4" t="s">
        <v>672</v>
      </c>
      <c r="O250" s="4" t="s">
        <v>672</v>
      </c>
      <c r="P250" s="4" t="str">
        <f t="shared" si="114"/>
        <v>Proj</v>
      </c>
      <c r="Q250" s="4" t="str">
        <f t="shared" si="114"/>
        <v>Proj</v>
      </c>
      <c r="R250" s="4" t="str">
        <f t="shared" si="114"/>
        <v>Proj</v>
      </c>
    </row>
    <row r="251" spans="1:18" x14ac:dyDescent="0.35">
      <c r="A251" s="7" t="s">
        <v>147</v>
      </c>
      <c r="B251" s="7"/>
      <c r="C251" s="7"/>
      <c r="D251" s="5">
        <f t="shared" si="113"/>
        <v>1</v>
      </c>
      <c r="E251" s="5">
        <f t="shared" si="113"/>
        <v>2</v>
      </c>
      <c r="F251" s="5">
        <f t="shared" si="113"/>
        <v>3</v>
      </c>
      <c r="G251" s="5">
        <f t="shared" si="113"/>
        <v>4</v>
      </c>
      <c r="H251" s="319">
        <f t="shared" si="113"/>
        <v>5</v>
      </c>
      <c r="I251" s="5">
        <f t="shared" si="113"/>
        <v>6</v>
      </c>
      <c r="J251" s="5">
        <v>7</v>
      </c>
      <c r="K251" s="5">
        <v>8</v>
      </c>
      <c r="L251" s="5">
        <v>9</v>
      </c>
      <c r="M251" s="5">
        <v>10</v>
      </c>
      <c r="N251" s="5">
        <v>11</v>
      </c>
      <c r="O251" s="5">
        <v>12</v>
      </c>
      <c r="P251" s="5" t="e">
        <f t="shared" si="114"/>
        <v>#REF!</v>
      </c>
      <c r="Q251" s="5" t="e">
        <f t="shared" si="114"/>
        <v>#REF!</v>
      </c>
      <c r="R251" s="5" t="e">
        <f t="shared" si="114"/>
        <v>#REF!</v>
      </c>
    </row>
    <row r="252" spans="1:18" x14ac:dyDescent="0.35">
      <c r="A252" s="6"/>
      <c r="B252" s="6"/>
      <c r="C252" s="6"/>
      <c r="D252" s="6"/>
      <c r="E252" s="6"/>
      <c r="F252" s="24"/>
      <c r="G252" s="24"/>
      <c r="H252" s="327"/>
      <c r="I252" s="14"/>
      <c r="J252" s="14"/>
      <c r="K252" s="453"/>
      <c r="L252" s="14"/>
      <c r="M252" s="14"/>
      <c r="N252" s="14"/>
      <c r="O252" s="14"/>
      <c r="P252" s="14"/>
      <c r="Q252" s="14"/>
      <c r="R252" s="14"/>
    </row>
    <row r="253" spans="1:18" x14ac:dyDescent="0.35">
      <c r="A253" s="7" t="s">
        <v>148</v>
      </c>
      <c r="B253" s="7"/>
      <c r="C253" s="7"/>
      <c r="D253" s="7"/>
      <c r="E253" s="7"/>
      <c r="F253" s="7"/>
      <c r="G253" s="7"/>
      <c r="H253" s="320"/>
      <c r="I253" s="7"/>
      <c r="J253" s="7"/>
      <c r="K253" s="454"/>
      <c r="L253" s="447"/>
      <c r="M253" s="488"/>
      <c r="N253" s="488"/>
      <c r="O253" s="488"/>
      <c r="P253" s="421" t="e">
        <f t="shared" ref="P253:R253" si="115">P243-P300-P315-P346</f>
        <v>#REF!</v>
      </c>
      <c r="Q253" s="421" t="e">
        <f t="shared" si="115"/>
        <v>#REF!</v>
      </c>
      <c r="R253" s="421" t="e">
        <f t="shared" si="115"/>
        <v>#REF!</v>
      </c>
    </row>
    <row r="254" spans="1:18" x14ac:dyDescent="0.35">
      <c r="A254" s="6" t="s">
        <v>149</v>
      </c>
      <c r="B254" s="6"/>
      <c r="C254" s="6"/>
      <c r="D254" s="6">
        <f>659.711-D261</f>
        <v>641.44100000000003</v>
      </c>
      <c r="E254" s="6">
        <f>422.092-E261</f>
        <v>71.341999999999985</v>
      </c>
      <c r="F254" s="6">
        <f>200.274-F261</f>
        <v>156.37799999999999</v>
      </c>
      <c r="G254" s="6">
        <f>45.76</f>
        <v>45.76</v>
      </c>
      <c r="H254" s="25">
        <v>184.9</v>
      </c>
      <c r="I254" s="6">
        <v>145.72</v>
      </c>
      <c r="J254" s="534">
        <f>'Detailed BS'!E111</f>
        <v>806.71486363266649</v>
      </c>
      <c r="K254" s="450">
        <f>'Detailed BS'!G111</f>
        <v>1692.1862757370372</v>
      </c>
      <c r="L254" s="6">
        <f>'Detailed BS'!I111</f>
        <v>2328.7802123614265</v>
      </c>
      <c r="M254" s="25">
        <f>'Detailed BS'!K111</f>
        <v>3033.0859147026622</v>
      </c>
      <c r="N254" s="25">
        <f>'Detailed BS'!M111</f>
        <v>4039.5164084338558</v>
      </c>
      <c r="O254" s="25">
        <f>'Detailed BS'!O111</f>
        <v>5102.3747253547353</v>
      </c>
      <c r="P254" s="208">
        <v>2400.4403801703043</v>
      </c>
      <c r="Q254" s="208">
        <v>2905.7480390311389</v>
      </c>
      <c r="R254" s="208">
        <v>3352.9139048474422</v>
      </c>
    </row>
    <row r="255" spans="1:18" x14ac:dyDescent="0.35">
      <c r="A255" s="6"/>
      <c r="B255" s="6"/>
      <c r="C255" s="6"/>
      <c r="D255" s="6"/>
      <c r="E255" s="6"/>
      <c r="F255" s="6"/>
      <c r="G255" s="6"/>
      <c r="H255" s="25"/>
      <c r="I255" s="6"/>
      <c r="J255" s="6"/>
      <c r="K255" s="450"/>
      <c r="L255" s="6"/>
      <c r="M255" s="6"/>
      <c r="N255" s="6"/>
      <c r="O255" s="6"/>
      <c r="P255" s="6"/>
      <c r="Q255" s="6"/>
      <c r="R255" s="6"/>
    </row>
    <row r="256" spans="1:18" x14ac:dyDescent="0.35">
      <c r="A256" s="6" t="s">
        <v>150</v>
      </c>
      <c r="B256" s="6"/>
      <c r="C256" s="6"/>
      <c r="D256" s="6"/>
      <c r="E256" s="6"/>
      <c r="F256" s="6"/>
      <c r="G256" s="6"/>
      <c r="H256" s="25"/>
      <c r="I256" s="6"/>
      <c r="J256" s="6"/>
      <c r="K256" s="450"/>
      <c r="L256" s="6"/>
      <c r="M256" s="6"/>
      <c r="N256" s="6"/>
      <c r="O256" s="6"/>
      <c r="P256" s="6"/>
      <c r="Q256" s="6"/>
      <c r="R256" s="6"/>
    </row>
    <row r="257" spans="1:18" x14ac:dyDescent="0.35">
      <c r="A257" s="6" t="s">
        <v>151</v>
      </c>
      <c r="B257" s="6"/>
      <c r="C257" s="6"/>
      <c r="D257" s="6"/>
      <c r="E257" s="6"/>
      <c r="F257" s="6"/>
      <c r="G257" s="6"/>
      <c r="H257" s="25"/>
      <c r="I257" s="6"/>
      <c r="J257" s="6"/>
      <c r="K257" s="450"/>
      <c r="L257" s="6"/>
      <c r="M257" s="6"/>
      <c r="N257" s="6"/>
      <c r="O257" s="6"/>
      <c r="P257" s="6"/>
      <c r="Q257" s="6"/>
      <c r="R257" s="6"/>
    </row>
    <row r="258" spans="1:18" x14ac:dyDescent="0.35">
      <c r="A258" s="6"/>
      <c r="B258" s="6"/>
      <c r="C258" s="6"/>
      <c r="D258" s="6"/>
      <c r="E258" s="6"/>
      <c r="F258" s="6"/>
      <c r="G258" s="6"/>
      <c r="H258" s="25"/>
      <c r="I258" s="6"/>
      <c r="J258" s="6"/>
      <c r="K258" s="450"/>
      <c r="L258" s="6"/>
      <c r="M258" s="6"/>
      <c r="N258" s="6"/>
      <c r="O258" s="6"/>
      <c r="P258" s="6"/>
      <c r="Q258" s="6"/>
      <c r="R258" s="6"/>
    </row>
    <row r="259" spans="1:18" x14ac:dyDescent="0.35">
      <c r="A259" s="80" t="s">
        <v>152</v>
      </c>
      <c r="B259" s="80"/>
      <c r="C259" s="80"/>
      <c r="D259" s="6">
        <v>0</v>
      </c>
      <c r="E259" s="6">
        <v>0</v>
      </c>
      <c r="F259" s="477">
        <v>0</v>
      </c>
      <c r="G259" s="477">
        <v>0</v>
      </c>
      <c r="H259" s="488">
        <v>0</v>
      </c>
      <c r="I259" s="477">
        <v>0</v>
      </c>
      <c r="J259" s="477">
        <v>0</v>
      </c>
      <c r="K259" s="491">
        <v>0</v>
      </c>
      <c r="L259" s="477">
        <v>0</v>
      </c>
      <c r="M259" s="477">
        <v>0</v>
      </c>
      <c r="N259" s="477">
        <v>0</v>
      </c>
      <c r="O259" s="477">
        <v>0</v>
      </c>
      <c r="P259" s="6">
        <v>0</v>
      </c>
      <c r="Q259" s="6">
        <v>0</v>
      </c>
      <c r="R259" s="6">
        <v>0</v>
      </c>
    </row>
    <row r="260" spans="1:18" x14ac:dyDescent="0.35">
      <c r="A260" s="6"/>
      <c r="B260" s="6"/>
      <c r="C260" s="6"/>
      <c r="D260" s="6"/>
      <c r="E260" s="6"/>
      <c r="F260" s="6"/>
      <c r="G260" s="6"/>
      <c r="H260" s="25"/>
      <c r="I260" s="6"/>
      <c r="J260" s="6"/>
      <c r="K260" s="450"/>
      <c r="L260" s="6"/>
      <c r="M260" s="6"/>
      <c r="N260" s="6"/>
      <c r="O260" s="6"/>
      <c r="P260" s="6"/>
      <c r="Q260" s="6"/>
      <c r="R260" s="6"/>
    </row>
    <row r="261" spans="1:18" x14ac:dyDescent="0.35">
      <c r="A261" s="6" t="s">
        <v>153</v>
      </c>
      <c r="B261" s="6"/>
      <c r="C261" s="6"/>
      <c r="D261" s="6">
        <v>18.27</v>
      </c>
      <c r="E261" s="6">
        <v>350.75</v>
      </c>
      <c r="F261" s="477">
        <v>43.896000000000001</v>
      </c>
      <c r="G261" s="477">
        <v>0</v>
      </c>
      <c r="H261" s="488">
        <v>0</v>
      </c>
      <c r="I261" s="477">
        <f>H261</f>
        <v>0</v>
      </c>
      <c r="J261" s="477">
        <f>'Detailed BS'!E113</f>
        <v>130.9</v>
      </c>
      <c r="K261" s="491">
        <f>'Detailed BS'!G113</f>
        <v>130.9</v>
      </c>
      <c r="L261" s="477">
        <f>'Detailed BS'!I113</f>
        <v>130.9</v>
      </c>
      <c r="M261" s="477">
        <f>'Detailed BS'!K113</f>
        <v>130.9</v>
      </c>
      <c r="N261" s="477">
        <f>'Detailed BS'!M113</f>
        <v>130.9</v>
      </c>
      <c r="O261" s="477">
        <f>'Detailed BS'!O113</f>
        <v>130.9</v>
      </c>
      <c r="P261" s="6">
        <v>3500</v>
      </c>
      <c r="Q261" s="6">
        <v>4700</v>
      </c>
      <c r="R261" s="6">
        <v>6200</v>
      </c>
    </row>
    <row r="262" spans="1:18" x14ac:dyDescent="0.35">
      <c r="A262" s="6"/>
      <c r="B262" s="6"/>
      <c r="C262" s="6"/>
      <c r="D262" s="6"/>
      <c r="E262" s="6"/>
      <c r="F262" s="6"/>
      <c r="G262" s="6"/>
      <c r="H262" s="25"/>
      <c r="I262" s="6"/>
      <c r="J262" s="6"/>
      <c r="K262" s="450"/>
      <c r="L262" s="6"/>
      <c r="M262" s="6"/>
      <c r="N262" s="6"/>
      <c r="O262" s="6"/>
      <c r="P262" s="6"/>
      <c r="Q262" s="6"/>
      <c r="R262" s="6"/>
    </row>
    <row r="263" spans="1:18" x14ac:dyDescent="0.35">
      <c r="A263" s="6" t="s">
        <v>154</v>
      </c>
      <c r="B263" s="6"/>
      <c r="C263" s="6"/>
      <c r="D263" s="6"/>
      <c r="E263" s="6"/>
      <c r="F263" s="6"/>
      <c r="G263" s="6"/>
      <c r="H263" s="25"/>
      <c r="I263" s="6"/>
      <c r="J263" s="6"/>
      <c r="K263" s="450"/>
      <c r="L263" s="6"/>
      <c r="M263" s="6"/>
      <c r="N263" s="6"/>
      <c r="O263" s="6"/>
      <c r="P263" s="6"/>
      <c r="Q263" s="6"/>
      <c r="R263" s="6"/>
    </row>
    <row r="264" spans="1:18" x14ac:dyDescent="0.35">
      <c r="A264" s="6" t="s">
        <v>155</v>
      </c>
      <c r="B264" s="6"/>
      <c r="C264" s="6"/>
      <c r="D264" s="6"/>
      <c r="E264" s="6"/>
      <c r="F264" s="6"/>
      <c r="G264" s="6"/>
      <c r="H264" s="25"/>
      <c r="I264" s="6"/>
      <c r="J264" s="6"/>
      <c r="K264" s="450"/>
      <c r="L264" s="6"/>
      <c r="M264" s="6"/>
      <c r="N264" s="6"/>
      <c r="O264" s="6"/>
      <c r="P264" s="6"/>
      <c r="Q264" s="6"/>
      <c r="R264" s="6"/>
    </row>
    <row r="265" spans="1:18" x14ac:dyDescent="0.35">
      <c r="A265" s="6" t="s">
        <v>156</v>
      </c>
      <c r="B265" s="6"/>
      <c r="C265" s="6"/>
      <c r="D265" s="6"/>
      <c r="E265" s="6"/>
      <c r="F265" s="6"/>
      <c r="G265" s="6"/>
      <c r="H265" s="25"/>
      <c r="I265" s="6"/>
      <c r="J265" s="6"/>
      <c r="K265" s="450"/>
      <c r="L265" s="6"/>
      <c r="M265" s="6"/>
      <c r="N265" s="6"/>
      <c r="O265" s="6"/>
      <c r="P265" s="6"/>
      <c r="Q265" s="6"/>
      <c r="R265" s="6"/>
    </row>
    <row r="266" spans="1:18" x14ac:dyDescent="0.35">
      <c r="A266" s="6" t="s">
        <v>157</v>
      </c>
      <c r="B266" s="6"/>
      <c r="C266" s="6"/>
      <c r="D266" s="6">
        <v>180.90700000000001</v>
      </c>
      <c r="E266" s="6">
        <v>420.62700000000001</v>
      </c>
      <c r="F266" s="25">
        <f>579.128</f>
        <v>579.12800000000004</v>
      </c>
      <c r="G266" s="25">
        <f>777.59</f>
        <v>777.59</v>
      </c>
      <c r="H266" s="25">
        <v>866.51</v>
      </c>
      <c r="I266" s="25">
        <v>557.88</v>
      </c>
      <c r="J266" s="25">
        <f>'Detailed BS'!E119</f>
        <v>904.89425200000005</v>
      </c>
      <c r="K266" s="492">
        <f>'Detailed BS'!G119</f>
        <v>1166.8099999999995</v>
      </c>
      <c r="L266" s="25">
        <f>'Detailed BS'!I119</f>
        <v>1214.9699999999993</v>
      </c>
      <c r="M266" s="25">
        <f>'Detailed BS'!K119</f>
        <v>1223.619999999999</v>
      </c>
      <c r="N266" s="25">
        <f>'Detailed BS'!M119</f>
        <v>1272.7999999999993</v>
      </c>
      <c r="O266" s="25">
        <f>'Detailed BS'!O119</f>
        <v>1322.5299999999997</v>
      </c>
      <c r="P266" s="208">
        <f>WC!P10</f>
        <v>1375.5563334646681</v>
      </c>
      <c r="Q266" s="208">
        <f>WC!Q10</f>
        <v>1123.5874601339615</v>
      </c>
      <c r="R266" s="208">
        <f>WC!R10</f>
        <v>1146.0592093366406</v>
      </c>
    </row>
    <row r="267" spans="1:18" x14ac:dyDescent="0.35">
      <c r="A267" s="6"/>
      <c r="B267" s="6"/>
      <c r="C267" s="6"/>
      <c r="D267" s="6"/>
      <c r="E267" s="6"/>
      <c r="F267" s="6"/>
      <c r="G267" s="6"/>
      <c r="H267" s="25"/>
      <c r="I267" s="6"/>
      <c r="J267" s="6"/>
      <c r="K267" s="450"/>
      <c r="L267" s="6"/>
      <c r="M267" s="6"/>
      <c r="N267" s="6"/>
      <c r="O267" s="6"/>
      <c r="P267" s="6"/>
      <c r="Q267" s="6"/>
      <c r="R267" s="6"/>
    </row>
    <row r="268" spans="1:18" x14ac:dyDescent="0.35">
      <c r="A268" s="6" t="s">
        <v>158</v>
      </c>
      <c r="B268" s="6"/>
      <c r="C268" s="6"/>
      <c r="D268" s="6">
        <v>0</v>
      </c>
      <c r="E268" s="6">
        <v>0</v>
      </c>
      <c r="F268" s="477">
        <v>0</v>
      </c>
      <c r="G268" s="477">
        <v>0</v>
      </c>
      <c r="H268" s="488">
        <v>0</v>
      </c>
      <c r="I268" s="477">
        <v>0</v>
      </c>
      <c r="J268" s="477">
        <f>0</f>
        <v>0</v>
      </c>
      <c r="K268" s="491">
        <v>0</v>
      </c>
      <c r="L268" s="477">
        <v>0</v>
      </c>
      <c r="M268" s="477">
        <v>0</v>
      </c>
      <c r="N268" s="477">
        <v>0</v>
      </c>
      <c r="O268" s="477">
        <v>0</v>
      </c>
      <c r="P268" s="6">
        <v>0</v>
      </c>
      <c r="Q268" s="6">
        <v>0</v>
      </c>
      <c r="R268" s="6">
        <v>0</v>
      </c>
    </row>
    <row r="269" spans="1:18" x14ac:dyDescent="0.35">
      <c r="A269" s="6" t="s">
        <v>159</v>
      </c>
      <c r="B269" s="6"/>
      <c r="C269" s="6"/>
      <c r="D269" s="6"/>
      <c r="E269" s="6"/>
      <c r="F269" s="6"/>
      <c r="G269" s="6"/>
      <c r="H269" s="25"/>
      <c r="I269" s="6"/>
      <c r="J269" s="6"/>
      <c r="K269" s="450"/>
      <c r="L269" s="6"/>
      <c r="M269" s="6"/>
      <c r="N269" s="6"/>
      <c r="O269" s="6"/>
      <c r="P269" s="6"/>
      <c r="Q269" s="6"/>
      <c r="R269" s="6"/>
    </row>
    <row r="270" spans="1:18" x14ac:dyDescent="0.35">
      <c r="A270" s="6" t="s">
        <v>160</v>
      </c>
      <c r="B270" s="6"/>
      <c r="C270" s="6"/>
      <c r="D270" s="6"/>
      <c r="E270" s="6"/>
      <c r="F270" s="6"/>
      <c r="G270" s="6"/>
      <c r="H270" s="25"/>
      <c r="I270" s="6"/>
      <c r="J270" s="6"/>
      <c r="K270" s="450"/>
      <c r="L270" s="6"/>
      <c r="M270" s="6"/>
      <c r="N270" s="6"/>
      <c r="O270" s="6"/>
      <c r="P270" s="6"/>
      <c r="Q270" s="6"/>
      <c r="R270" s="6"/>
    </row>
    <row r="271" spans="1:18" x14ac:dyDescent="0.35">
      <c r="A271" s="6"/>
      <c r="B271" s="6"/>
      <c r="C271" s="6"/>
      <c r="D271" s="6"/>
      <c r="E271" s="6"/>
      <c r="F271" s="6"/>
      <c r="G271" s="6"/>
      <c r="H271" s="25"/>
      <c r="I271" s="6"/>
      <c r="J271" s="6"/>
      <c r="K271" s="450"/>
      <c r="L271" s="6"/>
      <c r="M271" s="6"/>
      <c r="N271" s="6"/>
      <c r="O271" s="6"/>
      <c r="P271" s="6"/>
      <c r="Q271" s="6"/>
      <c r="R271" s="6"/>
    </row>
    <row r="272" spans="1:18" x14ac:dyDescent="0.35">
      <c r="A272" s="6" t="s">
        <v>161</v>
      </c>
      <c r="B272" s="6"/>
      <c r="C272" s="6"/>
      <c r="D272" s="6"/>
      <c r="E272" s="6"/>
      <c r="F272" s="6"/>
      <c r="G272" s="6"/>
      <c r="H272" s="25"/>
      <c r="I272" s="6"/>
      <c r="J272" s="6"/>
      <c r="K272" s="450"/>
      <c r="L272" s="6"/>
      <c r="M272" s="6"/>
      <c r="N272" s="6"/>
      <c r="O272" s="6"/>
      <c r="P272" s="6"/>
      <c r="Q272" s="6"/>
      <c r="R272" s="6"/>
    </row>
    <row r="273" spans="1:18" x14ac:dyDescent="0.35">
      <c r="A273" s="6" t="s">
        <v>162</v>
      </c>
      <c r="B273" s="6"/>
      <c r="C273" s="6"/>
      <c r="D273" s="6">
        <v>0</v>
      </c>
      <c r="E273" s="6">
        <v>0</v>
      </c>
      <c r="F273" s="477">
        <v>0</v>
      </c>
      <c r="G273" s="477">
        <v>0</v>
      </c>
      <c r="H273" s="488">
        <v>0</v>
      </c>
      <c r="I273" s="477">
        <v>0</v>
      </c>
      <c r="J273" s="477">
        <v>0</v>
      </c>
      <c r="K273" s="491">
        <v>0</v>
      </c>
      <c r="L273" s="477">
        <v>0</v>
      </c>
      <c r="M273" s="477">
        <v>0</v>
      </c>
      <c r="N273" s="477">
        <v>0</v>
      </c>
      <c r="O273" s="477">
        <v>0</v>
      </c>
      <c r="P273" s="6">
        <v>0</v>
      </c>
      <c r="Q273" s="6">
        <v>0</v>
      </c>
      <c r="R273" s="6">
        <v>0</v>
      </c>
    </row>
    <row r="274" spans="1:18" x14ac:dyDescent="0.35">
      <c r="A274" s="6"/>
      <c r="B274" s="6"/>
      <c r="C274" s="6"/>
      <c r="D274" s="6"/>
      <c r="E274" s="6"/>
      <c r="F274" s="6"/>
      <c r="G274" s="6"/>
      <c r="H274" s="25"/>
      <c r="I274" s="6"/>
      <c r="J274" s="6"/>
      <c r="K274" s="450"/>
      <c r="L274" s="6"/>
      <c r="M274" s="6"/>
      <c r="N274" s="6"/>
      <c r="O274" s="6"/>
      <c r="P274" s="6"/>
      <c r="Q274" s="6"/>
      <c r="R274" s="6"/>
    </row>
    <row r="275" spans="1:18" x14ac:dyDescent="0.35">
      <c r="A275" s="6" t="s">
        <v>163</v>
      </c>
      <c r="B275" s="6"/>
      <c r="C275" s="6"/>
      <c r="D275" s="6"/>
      <c r="E275" s="6"/>
      <c r="F275" s="6"/>
      <c r="G275" s="6"/>
      <c r="H275" s="25"/>
      <c r="I275" s="6"/>
      <c r="J275" s="6"/>
      <c r="K275" s="450"/>
      <c r="L275" s="6"/>
      <c r="M275" s="6"/>
      <c r="N275" s="6"/>
      <c r="O275" s="6"/>
      <c r="P275" s="6"/>
      <c r="Q275" s="6"/>
      <c r="R275" s="6"/>
    </row>
    <row r="276" spans="1:18" x14ac:dyDescent="0.35">
      <c r="A276" s="6" t="s">
        <v>164</v>
      </c>
      <c r="B276" s="6"/>
      <c r="C276" s="6"/>
      <c r="D276" s="6"/>
      <c r="E276" s="6"/>
      <c r="F276" s="6"/>
      <c r="G276" s="6"/>
      <c r="H276" s="25"/>
      <c r="I276" s="6"/>
      <c r="J276" s="6"/>
      <c r="K276" s="450"/>
      <c r="L276" s="6"/>
      <c r="M276" s="6"/>
      <c r="N276" s="6"/>
      <c r="O276" s="6"/>
      <c r="P276" s="6"/>
      <c r="Q276" s="6"/>
      <c r="R276" s="6"/>
    </row>
    <row r="277" spans="1:18" x14ac:dyDescent="0.35">
      <c r="A277" s="6" t="s">
        <v>165</v>
      </c>
      <c r="B277" s="6"/>
      <c r="C277" s="6"/>
      <c r="D277" s="6"/>
      <c r="E277" s="6"/>
      <c r="F277" s="6"/>
      <c r="G277" s="6"/>
      <c r="H277" s="25"/>
      <c r="I277" s="6"/>
      <c r="J277" s="6"/>
      <c r="K277" s="450"/>
      <c r="L277" s="6"/>
      <c r="M277" s="6"/>
      <c r="N277" s="6"/>
      <c r="O277" s="6"/>
      <c r="P277" s="6"/>
      <c r="Q277" s="6"/>
      <c r="R277" s="6"/>
    </row>
    <row r="278" spans="1:18" x14ac:dyDescent="0.35">
      <c r="A278" s="6" t="s">
        <v>166</v>
      </c>
      <c r="B278" s="6"/>
      <c r="C278" s="6"/>
      <c r="D278" s="6"/>
      <c r="E278" s="6"/>
      <c r="F278" s="6"/>
      <c r="G278" s="6"/>
      <c r="H278" s="25"/>
      <c r="I278" s="6"/>
      <c r="J278" s="6"/>
      <c r="K278" s="450"/>
      <c r="L278" s="6"/>
      <c r="M278" s="6"/>
      <c r="N278" s="6"/>
      <c r="O278" s="6"/>
      <c r="P278" s="6"/>
      <c r="Q278" s="6"/>
      <c r="R278" s="6"/>
    </row>
    <row r="279" spans="1:18" x14ac:dyDescent="0.35">
      <c r="A279" s="6" t="s">
        <v>167</v>
      </c>
      <c r="B279" s="6"/>
      <c r="C279" s="6"/>
      <c r="D279" s="6"/>
      <c r="E279" s="6"/>
      <c r="F279" s="6"/>
      <c r="G279" s="6"/>
      <c r="H279" s="25"/>
      <c r="I279" s="6"/>
      <c r="J279" s="6"/>
      <c r="K279" s="450"/>
      <c r="L279" s="6"/>
      <c r="M279" s="6"/>
      <c r="N279" s="6"/>
      <c r="O279" s="6"/>
      <c r="P279" s="6"/>
      <c r="Q279" s="6"/>
      <c r="R279" s="6"/>
    </row>
    <row r="280" spans="1:18" x14ac:dyDescent="0.35">
      <c r="A280" s="6" t="s">
        <v>168</v>
      </c>
      <c r="B280" s="6"/>
      <c r="C280" s="6"/>
      <c r="D280" s="6">
        <v>0</v>
      </c>
      <c r="E280" s="6">
        <v>0</v>
      </c>
      <c r="F280" s="488">
        <v>0</v>
      </c>
      <c r="G280" s="488">
        <v>0</v>
      </c>
      <c r="H280" s="488">
        <v>0</v>
      </c>
      <c r="I280" s="488">
        <v>5</v>
      </c>
      <c r="J280" s="488">
        <f>'Detailed BS'!E121</f>
        <v>5</v>
      </c>
      <c r="K280" s="494">
        <f>'Detailed BS'!G121</f>
        <v>5</v>
      </c>
      <c r="L280" s="488">
        <f>'Detailed BS'!I121</f>
        <v>5</v>
      </c>
      <c r="M280" s="488">
        <f>'Detailed BS'!K121</f>
        <v>5</v>
      </c>
      <c r="N280" s="488">
        <f>'Detailed BS'!M121</f>
        <v>5</v>
      </c>
      <c r="O280" s="488">
        <f>'Detailed BS'!O121</f>
        <v>5</v>
      </c>
      <c r="P280" s="6">
        <v>114.12117866212898</v>
      </c>
      <c r="Q280" s="6">
        <v>114.12117866212898</v>
      </c>
      <c r="R280" s="6">
        <v>119.82723759523543</v>
      </c>
    </row>
    <row r="281" spans="1:18" x14ac:dyDescent="0.35">
      <c r="A281" s="6"/>
      <c r="B281" s="6"/>
      <c r="C281" s="6"/>
      <c r="D281" s="6"/>
      <c r="E281" s="6"/>
      <c r="F281" s="6"/>
      <c r="G281" s="6"/>
      <c r="H281" s="25"/>
      <c r="I281" s="6"/>
      <c r="J281" s="6"/>
      <c r="K281" s="450"/>
      <c r="L281" s="6"/>
      <c r="M281" s="6"/>
      <c r="N281" s="6"/>
      <c r="O281" s="6"/>
      <c r="P281" s="6"/>
      <c r="Q281" s="6"/>
      <c r="R281" s="6"/>
    </row>
    <row r="282" spans="1:18" x14ac:dyDescent="0.35">
      <c r="A282" s="6" t="s">
        <v>169</v>
      </c>
      <c r="B282" s="6"/>
      <c r="C282" s="6"/>
      <c r="D282" s="6">
        <f>D67</f>
        <v>0</v>
      </c>
      <c r="E282" s="6">
        <f>E67</f>
        <v>0</v>
      </c>
      <c r="F282" s="488">
        <v>0</v>
      </c>
      <c r="G282" s="488">
        <v>0</v>
      </c>
      <c r="H282" s="488">
        <v>0</v>
      </c>
      <c r="I282" s="488">
        <v>0</v>
      </c>
      <c r="J282" s="488">
        <v>0</v>
      </c>
      <c r="K282" s="494">
        <v>0</v>
      </c>
      <c r="L282" s="488">
        <v>0</v>
      </c>
      <c r="M282" s="488">
        <v>0</v>
      </c>
      <c r="N282" s="488">
        <v>0</v>
      </c>
      <c r="O282" s="488">
        <v>0</v>
      </c>
      <c r="P282" s="6">
        <v>0</v>
      </c>
      <c r="Q282" s="6">
        <v>0</v>
      </c>
      <c r="R282" s="6">
        <v>0</v>
      </c>
    </row>
    <row r="283" spans="1:18" x14ac:dyDescent="0.35">
      <c r="A283" s="6"/>
      <c r="B283" s="6"/>
      <c r="C283" s="6"/>
      <c r="D283" s="6"/>
      <c r="E283" s="6"/>
      <c r="F283" s="6"/>
      <c r="G283" s="6"/>
      <c r="H283" s="25"/>
      <c r="I283" s="6"/>
      <c r="J283" s="6"/>
      <c r="K283" s="450"/>
      <c r="L283" s="6"/>
      <c r="M283" s="6"/>
      <c r="N283" s="6"/>
      <c r="O283" s="6"/>
      <c r="P283" s="6"/>
      <c r="Q283" s="6"/>
      <c r="R283" s="6"/>
    </row>
    <row r="284" spans="1:18" x14ac:dyDescent="0.35">
      <c r="A284" s="6" t="s">
        <v>170</v>
      </c>
      <c r="B284" s="6"/>
      <c r="C284" s="6"/>
      <c r="D284" s="6">
        <f>D77</f>
        <v>0</v>
      </c>
      <c r="E284" s="6">
        <f>E77</f>
        <v>0</v>
      </c>
      <c r="F284" s="488">
        <f>F77</f>
        <v>0</v>
      </c>
      <c r="G284" s="488">
        <f>G77</f>
        <v>0</v>
      </c>
      <c r="H284" s="488">
        <f>H77</f>
        <v>0</v>
      </c>
      <c r="I284" s="488">
        <v>0</v>
      </c>
      <c r="J284" s="488">
        <v>0</v>
      </c>
      <c r="K284" s="494">
        <v>0</v>
      </c>
      <c r="L284" s="488">
        <v>0</v>
      </c>
      <c r="M284" s="488">
        <v>0</v>
      </c>
      <c r="N284" s="488">
        <v>0</v>
      </c>
      <c r="O284" s="488">
        <v>0</v>
      </c>
      <c r="P284" s="6">
        <f t="shared" ref="P284:R284" si="116">P77</f>
        <v>0</v>
      </c>
      <c r="Q284" s="6">
        <f t="shared" si="116"/>
        <v>0</v>
      </c>
      <c r="R284" s="6">
        <f t="shared" si="116"/>
        <v>0</v>
      </c>
    </row>
    <row r="285" spans="1:18" x14ac:dyDescent="0.35">
      <c r="A285" s="6"/>
      <c r="B285" s="6"/>
      <c r="C285" s="6"/>
      <c r="D285" s="6"/>
      <c r="E285" s="6"/>
      <c r="F285" s="6"/>
      <c r="G285" s="6"/>
      <c r="H285" s="25"/>
      <c r="I285" s="6"/>
      <c r="J285" s="6"/>
      <c r="K285" s="450"/>
      <c r="L285" s="6"/>
      <c r="M285" s="6"/>
      <c r="N285" s="6"/>
      <c r="O285" s="6"/>
      <c r="P285" s="6"/>
      <c r="Q285" s="6"/>
      <c r="R285" s="6"/>
    </row>
    <row r="286" spans="1:18" x14ac:dyDescent="0.35">
      <c r="A286" s="25" t="s">
        <v>171</v>
      </c>
      <c r="B286" s="6"/>
      <c r="C286" s="6"/>
      <c r="D286" s="6"/>
      <c r="E286" s="6"/>
      <c r="F286" s="6"/>
      <c r="G286" s="6"/>
      <c r="H286" s="25"/>
      <c r="I286" s="6"/>
      <c r="J286" s="25"/>
      <c r="K286" s="450"/>
      <c r="L286" s="6"/>
      <c r="M286" s="6"/>
      <c r="N286" s="6"/>
      <c r="O286" s="6"/>
      <c r="P286" s="6"/>
      <c r="Q286" s="6"/>
      <c r="R286" s="6"/>
    </row>
    <row r="287" spans="1:18" x14ac:dyDescent="0.35">
      <c r="A287" s="6" t="s">
        <v>172</v>
      </c>
      <c r="B287" s="6"/>
      <c r="C287" s="6"/>
      <c r="D287" s="6">
        <v>0</v>
      </c>
      <c r="E287" s="6">
        <v>0</v>
      </c>
      <c r="F287" s="488">
        <v>0</v>
      </c>
      <c r="G287" s="488">
        <v>0</v>
      </c>
      <c r="H287" s="488">
        <v>0</v>
      </c>
      <c r="I287" s="488">
        <v>0</v>
      </c>
      <c r="J287" s="488">
        <v>0</v>
      </c>
      <c r="K287" s="494">
        <v>0</v>
      </c>
      <c r="L287" s="488">
        <v>0</v>
      </c>
      <c r="M287" s="488">
        <v>0</v>
      </c>
      <c r="N287" s="488">
        <v>0</v>
      </c>
      <c r="O287" s="488">
        <v>0</v>
      </c>
      <c r="P287" s="6">
        <v>0</v>
      </c>
      <c r="Q287" s="6">
        <v>0</v>
      </c>
      <c r="R287" s="6">
        <v>0</v>
      </c>
    </row>
    <row r="288" spans="1:18" x14ac:dyDescent="0.35">
      <c r="A288" s="6" t="s">
        <v>173</v>
      </c>
      <c r="B288" s="6"/>
      <c r="C288" s="6"/>
      <c r="D288" s="6">
        <v>1.5069999999999999</v>
      </c>
      <c r="E288" s="6">
        <v>2.3940000000000001</v>
      </c>
      <c r="F288" s="477">
        <v>0.7</v>
      </c>
      <c r="G288" s="477">
        <v>0</v>
      </c>
      <c r="H288" s="488">
        <v>0</v>
      </c>
      <c r="I288" s="477">
        <v>0</v>
      </c>
      <c r="J288" s="477">
        <v>0</v>
      </c>
      <c r="K288" s="491">
        <v>0</v>
      </c>
      <c r="L288" s="477">
        <v>0</v>
      </c>
      <c r="M288" s="477">
        <v>0</v>
      </c>
      <c r="N288" s="477">
        <v>0</v>
      </c>
      <c r="O288" s="477">
        <v>0</v>
      </c>
      <c r="P288" s="6">
        <v>0</v>
      </c>
      <c r="Q288" s="6">
        <v>0</v>
      </c>
      <c r="R288" s="6">
        <v>0</v>
      </c>
    </row>
    <row r="289" spans="1:18" x14ac:dyDescent="0.35">
      <c r="A289" s="6"/>
      <c r="B289" s="6"/>
      <c r="C289" s="6"/>
      <c r="D289" s="6"/>
      <c r="E289" s="6"/>
      <c r="F289" s="6"/>
      <c r="G289" s="6"/>
      <c r="H289" s="25"/>
      <c r="I289" s="6"/>
      <c r="J289" s="6"/>
      <c r="K289" s="450"/>
      <c r="L289" s="6"/>
      <c r="M289" s="6"/>
      <c r="N289" s="6"/>
      <c r="O289" s="6"/>
      <c r="P289" s="6"/>
      <c r="Q289" s="6"/>
      <c r="R289" s="6"/>
    </row>
    <row r="290" spans="1:18" x14ac:dyDescent="0.35">
      <c r="A290" s="6" t="s">
        <v>174</v>
      </c>
      <c r="B290" s="6"/>
      <c r="C290" s="6"/>
      <c r="D290" s="6"/>
      <c r="E290" s="6"/>
      <c r="F290" s="6"/>
      <c r="G290" s="6"/>
      <c r="H290" s="25"/>
      <c r="I290" s="6"/>
      <c r="J290" s="6"/>
      <c r="K290" s="450"/>
      <c r="L290" s="6"/>
      <c r="M290" s="6"/>
      <c r="N290" s="6"/>
      <c r="O290" s="6"/>
      <c r="P290" s="6"/>
      <c r="Q290" s="6"/>
      <c r="R290" s="6"/>
    </row>
    <row r="291" spans="1:18" x14ac:dyDescent="0.35">
      <c r="A291" s="6" t="s">
        <v>175</v>
      </c>
      <c r="B291" s="6"/>
      <c r="C291" s="6"/>
      <c r="D291" s="6">
        <v>0</v>
      </c>
      <c r="E291" s="6">
        <v>0</v>
      </c>
      <c r="F291" s="477">
        <v>0</v>
      </c>
      <c r="G291" s="477">
        <v>0</v>
      </c>
      <c r="H291" s="488">
        <v>24.45</v>
      </c>
      <c r="I291" s="477">
        <v>21.55</v>
      </c>
      <c r="J291" s="477">
        <f>'Detailed BS'!E123</f>
        <v>21.55</v>
      </c>
      <c r="K291" s="491">
        <f>'Detailed BS'!G123</f>
        <v>21.55</v>
      </c>
      <c r="L291" s="477">
        <f>'Detailed BS'!I123</f>
        <v>21.55</v>
      </c>
      <c r="M291" s="477">
        <f>'Detailed BS'!K123</f>
        <v>21.55</v>
      </c>
      <c r="N291" s="477">
        <f>'Detailed BS'!M123</f>
        <v>21.55</v>
      </c>
      <c r="O291" s="477">
        <f>'Detailed BS'!O123</f>
        <v>21.55</v>
      </c>
      <c r="P291" s="6">
        <v>0</v>
      </c>
      <c r="Q291" s="6">
        <v>0</v>
      </c>
      <c r="R291" s="6">
        <v>0</v>
      </c>
    </row>
    <row r="292" spans="1:18" x14ac:dyDescent="0.35">
      <c r="A292" s="6" t="s">
        <v>681</v>
      </c>
      <c r="B292" s="6"/>
      <c r="C292" s="6"/>
      <c r="D292" s="6"/>
      <c r="E292" s="6"/>
      <c r="F292" s="6"/>
      <c r="G292" s="6"/>
      <c r="H292" s="25">
        <v>89.26</v>
      </c>
      <c r="I292" s="6">
        <v>81.2</v>
      </c>
      <c r="J292" s="6">
        <f>'Detailed BS'!E124</f>
        <v>81.2</v>
      </c>
      <c r="K292" s="450">
        <f>'Detailed BS'!G124</f>
        <v>81.2</v>
      </c>
      <c r="L292" s="6">
        <f>'Detailed BS'!I124</f>
        <v>81.2</v>
      </c>
      <c r="M292" s="6">
        <f>'Detailed BS'!K124</f>
        <v>81.2</v>
      </c>
      <c r="N292" s="6">
        <f>'Detailed BS'!M124</f>
        <v>81.2</v>
      </c>
      <c r="O292" s="6">
        <f>'Detailed BS'!O124</f>
        <v>81.2</v>
      </c>
      <c r="P292" s="6"/>
      <c r="Q292" s="6"/>
      <c r="R292" s="6"/>
    </row>
    <row r="293" spans="1:18" x14ac:dyDescent="0.35">
      <c r="A293" s="6" t="s">
        <v>176</v>
      </c>
      <c r="B293" s="6"/>
      <c r="C293" s="6"/>
      <c r="D293" s="6">
        <v>0</v>
      </c>
      <c r="E293" s="6">
        <v>0</v>
      </c>
      <c r="F293" s="477">
        <v>0</v>
      </c>
      <c r="G293" s="477">
        <v>0</v>
      </c>
      <c r="H293" s="488">
        <v>0</v>
      </c>
      <c r="I293" s="477">
        <v>0</v>
      </c>
      <c r="J293" s="477">
        <v>0</v>
      </c>
      <c r="K293" s="491">
        <v>0</v>
      </c>
      <c r="L293" s="477"/>
      <c r="M293" s="477">
        <v>0</v>
      </c>
      <c r="N293" s="477"/>
      <c r="O293" s="477"/>
      <c r="P293" s="6">
        <v>0</v>
      </c>
      <c r="Q293" s="6">
        <v>0</v>
      </c>
      <c r="R293" s="6">
        <v>0</v>
      </c>
    </row>
    <row r="294" spans="1:18" x14ac:dyDescent="0.35">
      <c r="A294" s="6"/>
      <c r="B294" s="6"/>
      <c r="C294" s="6"/>
      <c r="D294" s="6"/>
      <c r="E294" s="6"/>
      <c r="F294" s="6"/>
      <c r="G294" s="6"/>
      <c r="H294" s="25"/>
      <c r="I294" s="6"/>
      <c r="J294" s="6"/>
      <c r="K294" s="450"/>
      <c r="L294" s="6"/>
      <c r="M294" s="6"/>
      <c r="N294" s="6"/>
      <c r="O294" s="6"/>
      <c r="P294" s="6"/>
      <c r="Q294" s="6"/>
      <c r="R294" s="6"/>
    </row>
    <row r="295" spans="1:18" x14ac:dyDescent="0.35">
      <c r="A295" s="6" t="s">
        <v>177</v>
      </c>
      <c r="B295" s="6"/>
      <c r="C295" s="6"/>
      <c r="D295" s="6">
        <f>156.565+5.726-D296-D297</f>
        <v>12.132000000000005</v>
      </c>
      <c r="E295" s="6">
        <f>234.379+32.341-E296-E297-E298</f>
        <v>38.542999999999978</v>
      </c>
      <c r="F295" s="6">
        <f>308.96+18.889-F296-F297-F298</f>
        <v>23.783999999999992</v>
      </c>
      <c r="G295" s="6">
        <f>0.04+7.77+313.29+85.16</f>
        <v>406.26</v>
      </c>
      <c r="H295" s="25">
        <f>0.04+7.77+313.29+85.16</f>
        <v>406.26</v>
      </c>
      <c r="I295" s="6">
        <f>0.54+14.37+46.67+138.42</f>
        <v>200</v>
      </c>
      <c r="J295" s="6">
        <f>'Detailed BS'!E127+'Detailed BS'!E129+'Detailed BS'!E130+'Detailed BS'!E131</f>
        <v>200</v>
      </c>
      <c r="K295" s="450">
        <f>'Detailed BS'!G127+'Detailed BS'!G129+'Detailed BS'!G130+'Detailed BS'!G131</f>
        <v>200</v>
      </c>
      <c r="L295" s="6">
        <f>'Detailed BS'!I127+'Detailed BS'!I129+'Detailed BS'!I130+'Detailed BS'!I131</f>
        <v>200</v>
      </c>
      <c r="M295" s="6">
        <f>'Detailed BS'!K127+'Detailed BS'!K129+'Detailed BS'!K130+'Detailed BS'!K131</f>
        <v>200</v>
      </c>
      <c r="N295" s="6">
        <f>'Detailed BS'!M127+'Detailed BS'!M129+'Detailed BS'!M130+'Detailed BS'!M131</f>
        <v>200</v>
      </c>
      <c r="O295" s="6">
        <f>'Detailed BS'!O127+'Detailed BS'!O129+'Detailed BS'!O130+'Detailed BS'!O131</f>
        <v>200</v>
      </c>
      <c r="P295" s="6" t="e">
        <f>#REF!</f>
        <v>#REF!</v>
      </c>
      <c r="Q295" s="6" t="e">
        <f t="shared" ref="Q295:R295" si="117">P295</f>
        <v>#REF!</v>
      </c>
      <c r="R295" s="6" t="e">
        <f t="shared" si="117"/>
        <v>#REF!</v>
      </c>
    </row>
    <row r="296" spans="1:18" x14ac:dyDescent="0.35">
      <c r="A296" s="6" t="s">
        <v>178</v>
      </c>
      <c r="B296" s="6"/>
      <c r="C296" s="6"/>
      <c r="D296" s="6">
        <v>80.069999999999993</v>
      </c>
      <c r="E296" s="6">
        <f>87.131</f>
        <v>87.131</v>
      </c>
      <c r="F296" s="6">
        <f>79.751</f>
        <v>79.751000000000005</v>
      </c>
      <c r="G296" s="6">
        <f>79.75</f>
        <v>79.75</v>
      </c>
      <c r="H296" s="25">
        <v>79.75</v>
      </c>
      <c r="I296" s="6">
        <v>79.75</v>
      </c>
      <c r="J296" s="6">
        <f>'Detailed BS'!E128</f>
        <v>79.75</v>
      </c>
      <c r="K296" s="450">
        <f>'Detailed BS'!G128</f>
        <v>79.75</v>
      </c>
      <c r="L296" s="6">
        <f>'Detailed BS'!I128</f>
        <v>79.75</v>
      </c>
      <c r="M296" s="6">
        <f>'Detailed BS'!K128</f>
        <v>79.75</v>
      </c>
      <c r="N296" s="6">
        <f>'Detailed BS'!M128</f>
        <v>79.75</v>
      </c>
      <c r="O296" s="6">
        <f>'Detailed BS'!O128</f>
        <v>79.75</v>
      </c>
      <c r="P296" s="6">
        <v>119.08278802678126</v>
      </c>
      <c r="Q296" s="6">
        <v>119.08278802678126</v>
      </c>
      <c r="R296" s="6">
        <v>125.03692742812032</v>
      </c>
    </row>
    <row r="297" spans="1:18" x14ac:dyDescent="0.35">
      <c r="A297" s="6" t="s">
        <v>179</v>
      </c>
      <c r="B297" s="6"/>
      <c r="C297" s="6"/>
      <c r="D297" s="6">
        <v>70.088999999999999</v>
      </c>
      <c r="E297" s="6">
        <f>21.046</f>
        <v>21.045999999999999</v>
      </c>
      <c r="F297" s="6">
        <v>224.31399999999999</v>
      </c>
      <c r="G297" s="6">
        <f>229.21</f>
        <v>229.21</v>
      </c>
      <c r="H297" s="25">
        <v>229.21</v>
      </c>
      <c r="I297" s="6">
        <v>69.89</v>
      </c>
      <c r="J297" s="6">
        <f>'Detailed BS'!E126</f>
        <v>69.89</v>
      </c>
      <c r="K297" s="450">
        <f>'Detailed BS'!G126</f>
        <v>69.89</v>
      </c>
      <c r="L297" s="6">
        <f>'Detailed BS'!I126</f>
        <v>69.89</v>
      </c>
      <c r="M297" s="6">
        <f>'Detailed BS'!K126</f>
        <v>69.89</v>
      </c>
      <c r="N297" s="6">
        <f>'Detailed BS'!M126</f>
        <v>69.89</v>
      </c>
      <c r="O297" s="6">
        <f>'Detailed BS'!O126</f>
        <v>69.89</v>
      </c>
      <c r="P297" s="6">
        <v>649.67574159565947</v>
      </c>
      <c r="Q297" s="6">
        <v>649.67574159565947</v>
      </c>
      <c r="R297" s="6">
        <v>682.1595286754424</v>
      </c>
    </row>
    <row r="298" spans="1:18" x14ac:dyDescent="0.35">
      <c r="A298" s="6" t="s">
        <v>180</v>
      </c>
      <c r="B298" s="6"/>
      <c r="C298" s="6"/>
      <c r="D298" s="6">
        <v>0</v>
      </c>
      <c r="E298" s="6">
        <f>120</f>
        <v>120</v>
      </c>
      <c r="F298" s="6"/>
      <c r="G298" s="6"/>
      <c r="H298" s="25"/>
      <c r="I298" s="6"/>
      <c r="J298" s="6"/>
      <c r="K298" s="450"/>
      <c r="L298" s="6"/>
      <c r="M298" s="6"/>
      <c r="N298" s="6"/>
      <c r="O298" s="6"/>
      <c r="P298" s="6"/>
      <c r="Q298" s="6"/>
      <c r="R298" s="6"/>
    </row>
    <row r="299" spans="1:18" x14ac:dyDescent="0.35">
      <c r="A299" s="6"/>
      <c r="B299" s="6"/>
      <c r="C299" s="6"/>
      <c r="D299" s="8" t="s">
        <v>19</v>
      </c>
      <c r="E299" s="8" t="s">
        <v>19</v>
      </c>
      <c r="F299" s="8" t="s">
        <v>19</v>
      </c>
      <c r="G299" s="8" t="s">
        <v>19</v>
      </c>
      <c r="H299" s="321" t="s">
        <v>19</v>
      </c>
      <c r="I299" s="8" t="s">
        <v>19</v>
      </c>
      <c r="J299" s="8"/>
      <c r="K299" s="451"/>
      <c r="L299" s="8"/>
      <c r="M299" s="8"/>
      <c r="N299" s="8"/>
      <c r="O299" s="8"/>
      <c r="P299" s="8" t="s">
        <v>19</v>
      </c>
      <c r="Q299" s="8" t="s">
        <v>19</v>
      </c>
      <c r="R299" s="8" t="s">
        <v>19</v>
      </c>
    </row>
    <row r="300" spans="1:18" x14ac:dyDescent="0.35">
      <c r="A300" s="6" t="s">
        <v>181</v>
      </c>
      <c r="B300" s="6"/>
      <c r="C300" s="6"/>
      <c r="D300" s="6">
        <f>SUM(D254:D298)</f>
        <v>1004.4159999999999</v>
      </c>
      <c r="E300" s="6">
        <f t="shared" ref="E300:I300" si="118">SUM(E254:E298)</f>
        <v>1111.8330000000001</v>
      </c>
      <c r="F300" s="6">
        <f t="shared" si="118"/>
        <v>1107.951</v>
      </c>
      <c r="G300" s="6">
        <f t="shared" si="118"/>
        <v>1538.5700000000002</v>
      </c>
      <c r="H300" s="6">
        <f t="shared" si="118"/>
        <v>1880.3400000000001</v>
      </c>
      <c r="I300" s="6">
        <f t="shared" si="118"/>
        <v>1160.99</v>
      </c>
      <c r="J300" s="6">
        <f t="shared" ref="J300:N300" si="119">SUM(J254:J298)</f>
        <v>2299.8991156326665</v>
      </c>
      <c r="K300" s="512">
        <f t="shared" si="119"/>
        <v>3447.2862757370367</v>
      </c>
      <c r="L300" s="6">
        <f t="shared" si="119"/>
        <v>4132.0402123614258</v>
      </c>
      <c r="M300" s="6">
        <f t="shared" si="119"/>
        <v>4844.9959147026611</v>
      </c>
      <c r="N300" s="6">
        <f t="shared" si="119"/>
        <v>5900.606408433855</v>
      </c>
      <c r="O300" s="6">
        <f t="shared" ref="O300:R300" si="120">SUM(O254:O298)</f>
        <v>7013.1947253547351</v>
      </c>
      <c r="P300" s="6" t="e">
        <f t="shared" si="120"/>
        <v>#REF!</v>
      </c>
      <c r="Q300" s="6" t="e">
        <f t="shared" si="120"/>
        <v>#REF!</v>
      </c>
      <c r="R300" s="6" t="e">
        <f t="shared" si="120"/>
        <v>#REF!</v>
      </c>
    </row>
    <row r="301" spans="1:18" x14ac:dyDescent="0.35">
      <c r="A301" s="6" t="s">
        <v>182</v>
      </c>
      <c r="B301" s="6"/>
      <c r="C301" s="6"/>
      <c r="D301" s="6"/>
      <c r="E301" s="6"/>
      <c r="F301" s="6">
        <f>F300-E300</f>
        <v>-3.8820000000000618</v>
      </c>
      <c r="G301" s="6"/>
      <c r="H301" s="25"/>
      <c r="I301" s="6"/>
      <c r="J301" s="6"/>
      <c r="K301" s="450"/>
      <c r="L301" s="6"/>
      <c r="M301" s="6"/>
      <c r="N301" s="6"/>
      <c r="O301" s="6"/>
      <c r="P301" s="6"/>
      <c r="Q301" s="6"/>
      <c r="R301" s="6"/>
    </row>
    <row r="302" spans="1:18" x14ac:dyDescent="0.35">
      <c r="A302" s="6"/>
      <c r="B302" s="6"/>
      <c r="C302" s="6"/>
      <c r="D302" s="6"/>
      <c r="E302" s="6"/>
      <c r="F302" s="6"/>
      <c r="G302" s="6"/>
      <c r="H302" s="25"/>
      <c r="I302" s="6"/>
      <c r="J302" s="6"/>
      <c r="K302" s="450"/>
      <c r="L302" s="6"/>
      <c r="M302" s="6"/>
      <c r="N302" s="6"/>
      <c r="O302" s="6"/>
      <c r="P302" s="6"/>
      <c r="Q302" s="6"/>
      <c r="R302" s="6"/>
    </row>
    <row r="303" spans="1:18" x14ac:dyDescent="0.35">
      <c r="A303" s="7" t="s">
        <v>183</v>
      </c>
      <c r="B303" s="7"/>
      <c r="C303" s="7"/>
      <c r="D303" s="7"/>
      <c r="E303" s="7"/>
      <c r="F303" s="7"/>
      <c r="G303" s="7"/>
      <c r="H303" s="320"/>
      <c r="I303" s="7"/>
      <c r="J303" s="7"/>
      <c r="K303" s="452"/>
      <c r="L303" s="7"/>
      <c r="M303" s="7"/>
      <c r="N303" s="7"/>
      <c r="O303" s="7"/>
      <c r="P303" s="7"/>
      <c r="Q303" s="7"/>
      <c r="R303" s="7"/>
    </row>
    <row r="304" spans="1:18" x14ac:dyDescent="0.35">
      <c r="A304" s="8" t="s">
        <v>37</v>
      </c>
      <c r="B304" s="8"/>
      <c r="C304" s="8"/>
      <c r="D304" s="8"/>
      <c r="E304" s="8"/>
      <c r="F304" s="8"/>
      <c r="G304" s="8"/>
      <c r="H304" s="321"/>
      <c r="I304" s="15"/>
      <c r="J304" s="15"/>
      <c r="K304" s="455"/>
      <c r="L304" s="15"/>
      <c r="M304" s="8"/>
      <c r="N304" s="8"/>
      <c r="O304" s="8"/>
      <c r="P304" s="8"/>
      <c r="Q304" s="8"/>
      <c r="R304" s="8"/>
    </row>
    <row r="305" spans="1:107" x14ac:dyDescent="0.35">
      <c r="A305" s="64" t="s">
        <v>184</v>
      </c>
      <c r="B305" s="6"/>
      <c r="C305" s="6"/>
      <c r="D305" s="15">
        <f>4764.756+1123.272</f>
        <v>5888.0280000000002</v>
      </c>
      <c r="E305" s="15">
        <f>4770.366+2162.051</f>
        <v>6932.4169999999995</v>
      </c>
      <c r="F305" s="15">
        <f>6662.659+1824.79</f>
        <v>8487.4490000000005</v>
      </c>
      <c r="G305" s="15">
        <f>9842.2+225.37</f>
        <v>10067.570000000002</v>
      </c>
      <c r="H305" s="15">
        <f>SUM(H306:H311)</f>
        <v>10698.630000000001</v>
      </c>
      <c r="I305" s="15">
        <f>SUM(I306:I311)</f>
        <v>11046.300000000001</v>
      </c>
      <c r="J305" s="15">
        <f>'Detailed BS'!E139+'Detailed BS'!E149</f>
        <v>15846.31</v>
      </c>
      <c r="K305" s="513">
        <f>'Detailed BS'!G139+'Detailed BS'!G149</f>
        <v>15846.31</v>
      </c>
      <c r="L305" s="513">
        <f>'Detailed BS'!I139+'Detailed BS'!I149</f>
        <v>15846.31</v>
      </c>
      <c r="M305" s="15">
        <f>'Detailed BS'!K139+'Detailed BS'!K149</f>
        <v>15846.31</v>
      </c>
      <c r="N305" s="15">
        <f>'Detailed BS'!M139+'Detailed BS'!M149</f>
        <v>15846.31</v>
      </c>
      <c r="O305" s="15">
        <f>'Detailed BS'!O139+'Detailed BS'!O149</f>
        <v>15846.31</v>
      </c>
      <c r="P305" s="15" t="e">
        <f t="shared" ref="P305:R305" si="121">SUM(P306:P311)</f>
        <v>#REF!</v>
      </c>
      <c r="Q305" s="15" t="e">
        <f t="shared" si="121"/>
        <v>#REF!</v>
      </c>
      <c r="R305" s="15" t="e">
        <f t="shared" si="121"/>
        <v>#REF!</v>
      </c>
    </row>
    <row r="306" spans="1:107" s="84" customFormat="1" ht="16" x14ac:dyDescent="0.4">
      <c r="A306" s="82" t="s">
        <v>185</v>
      </c>
      <c r="B306" s="11"/>
      <c r="C306" s="11"/>
      <c r="D306" s="16"/>
      <c r="E306" s="16"/>
      <c r="F306" s="16"/>
      <c r="G306" s="83">
        <f>242.33</f>
        <v>242.33</v>
      </c>
      <c r="H306" s="328">
        <v>242.33</v>
      </c>
      <c r="I306" s="16">
        <f t="shared" ref="I306" si="122">H306</f>
        <v>242.33</v>
      </c>
      <c r="J306" s="15"/>
      <c r="K306" s="456"/>
      <c r="L306" s="16"/>
      <c r="M306" s="15"/>
      <c r="N306" s="15"/>
      <c r="O306" s="16"/>
      <c r="P306" s="16" t="e">
        <f>#REF!</f>
        <v>#REF!</v>
      </c>
      <c r="Q306" s="16" t="e">
        <f t="shared" ref="Q306:R306" si="123">P306</f>
        <v>#REF!</v>
      </c>
      <c r="R306" s="16" t="e">
        <f t="shared" si="123"/>
        <v>#REF!</v>
      </c>
    </row>
    <row r="307" spans="1:107" s="84" customFormat="1" ht="16" x14ac:dyDescent="0.4">
      <c r="A307" s="82" t="s">
        <v>186</v>
      </c>
      <c r="B307" s="11"/>
      <c r="C307" s="11"/>
      <c r="D307" s="16"/>
      <c r="E307" s="16"/>
      <c r="F307" s="16"/>
      <c r="G307" s="83">
        <f>2390.53+548.9</f>
        <v>2939.4300000000003</v>
      </c>
      <c r="H307" s="328">
        <f>548.9+2444.31</f>
        <v>2993.21</v>
      </c>
      <c r="I307" s="16">
        <f>548.9+2444.31</f>
        <v>2993.21</v>
      </c>
      <c r="J307" s="15"/>
      <c r="K307" s="456"/>
      <c r="L307" s="16"/>
      <c r="M307" s="15"/>
      <c r="N307" s="15"/>
      <c r="O307" s="16"/>
      <c r="P307" s="16" t="e">
        <f>#REF!</f>
        <v>#REF!</v>
      </c>
      <c r="Q307" s="16" t="e">
        <f t="shared" ref="Q307:R307" si="124">P307</f>
        <v>#REF!</v>
      </c>
      <c r="R307" s="16" t="e">
        <f t="shared" si="124"/>
        <v>#REF!</v>
      </c>
    </row>
    <row r="308" spans="1:107" s="255" customFormat="1" ht="16" x14ac:dyDescent="0.4">
      <c r="A308" s="495" t="s">
        <v>187</v>
      </c>
      <c r="B308" s="323"/>
      <c r="C308" s="323"/>
      <c r="D308" s="328"/>
      <c r="E308" s="328"/>
      <c r="F308" s="328"/>
      <c r="G308" s="496">
        <f>5988.65</f>
        <v>5988.65</v>
      </c>
      <c r="H308" s="328">
        <v>6062.13</v>
      </c>
      <c r="I308" s="16">
        <v>6052.98</v>
      </c>
      <c r="J308" s="15"/>
      <c r="K308" s="456"/>
      <c r="L308" s="16"/>
      <c r="M308" s="15"/>
      <c r="N308" s="15"/>
      <c r="O308" s="16"/>
      <c r="P308" s="308" t="e">
        <f>#REF!+'Fixed Assets - Existing'!K15</f>
        <v>#REF!</v>
      </c>
      <c r="Q308" s="308" t="e">
        <f>P308+'Fixed Assets - Existing'!L15</f>
        <v>#REF!</v>
      </c>
      <c r="R308" s="308" t="e">
        <f>Q308+'Fixed Assets - Existing'!M15</f>
        <v>#REF!</v>
      </c>
      <c r="S308" s="497"/>
      <c r="T308" s="497"/>
      <c r="U308" s="497"/>
      <c r="V308" s="497"/>
      <c r="W308" s="497"/>
      <c r="X308" s="497"/>
      <c r="Y308" s="497"/>
      <c r="Z308" s="497"/>
      <c r="AA308" s="497"/>
      <c r="AB308" s="497"/>
      <c r="AC308" s="497"/>
      <c r="AD308" s="497"/>
      <c r="AE308" s="497"/>
      <c r="AF308" s="497"/>
      <c r="AG308" s="497"/>
      <c r="AH308" s="497"/>
      <c r="AI308" s="497"/>
      <c r="AJ308" s="497"/>
      <c r="AK308" s="497"/>
      <c r="AL308" s="497"/>
      <c r="AM308" s="497"/>
      <c r="AN308" s="497"/>
      <c r="AO308" s="497"/>
      <c r="AP308" s="497"/>
      <c r="AQ308" s="497"/>
      <c r="AR308" s="497"/>
      <c r="AS308" s="497"/>
      <c r="AT308" s="497"/>
      <c r="AU308" s="497"/>
      <c r="AV308" s="497"/>
      <c r="AW308" s="497"/>
      <c r="AX308" s="497"/>
      <c r="AY308" s="497"/>
      <c r="AZ308" s="497"/>
      <c r="BA308" s="497"/>
      <c r="BB308" s="497"/>
      <c r="BC308" s="497"/>
      <c r="BD308" s="497"/>
      <c r="BE308" s="497"/>
      <c r="BF308" s="497"/>
      <c r="BG308" s="497"/>
      <c r="BH308" s="497"/>
      <c r="BI308" s="497"/>
      <c r="BJ308" s="497"/>
      <c r="BK308" s="497"/>
      <c r="BL308" s="497"/>
      <c r="BM308" s="497"/>
      <c r="BN308" s="497"/>
      <c r="BO308" s="497"/>
      <c r="BP308" s="497"/>
      <c r="BQ308" s="497"/>
      <c r="BR308" s="497"/>
      <c r="BS308" s="497"/>
      <c r="BT308" s="497"/>
      <c r="BU308" s="497"/>
      <c r="BV308" s="497"/>
      <c r="BW308" s="497"/>
      <c r="BX308" s="497"/>
      <c r="BY308" s="497"/>
      <c r="BZ308" s="497"/>
      <c r="CA308" s="497"/>
      <c r="CB308" s="497"/>
      <c r="CC308" s="497"/>
      <c r="CD308" s="497"/>
      <c r="CE308" s="497"/>
      <c r="CF308" s="497"/>
      <c r="CG308" s="497"/>
      <c r="CH308" s="497"/>
      <c r="CI308" s="497"/>
      <c r="CJ308" s="497"/>
      <c r="CK308" s="497"/>
      <c r="CL308" s="497"/>
      <c r="CM308" s="497"/>
    </row>
    <row r="309" spans="1:107" s="84" customFormat="1" ht="16" x14ac:dyDescent="0.4">
      <c r="A309" s="82" t="s">
        <v>188</v>
      </c>
      <c r="B309" s="11"/>
      <c r="C309" s="11"/>
      <c r="D309" s="16"/>
      <c r="E309" s="16"/>
      <c r="F309" s="16"/>
      <c r="G309" s="83">
        <f>621.74</f>
        <v>621.74</v>
      </c>
      <c r="H309" s="328">
        <v>712.74</v>
      </c>
      <c r="I309" s="16">
        <v>712.74</v>
      </c>
      <c r="J309" s="15"/>
      <c r="K309" s="456"/>
      <c r="L309" s="16"/>
      <c r="M309" s="15"/>
      <c r="N309" s="15"/>
      <c r="O309" s="16"/>
      <c r="P309" s="16" t="e">
        <f>#REF!</f>
        <v>#REF!</v>
      </c>
      <c r="Q309" s="16" t="e">
        <f t="shared" ref="Q309:R309" si="125">P309</f>
        <v>#REF!</v>
      </c>
      <c r="R309" s="16" t="e">
        <f t="shared" si="125"/>
        <v>#REF!</v>
      </c>
    </row>
    <row r="310" spans="1:107" s="84" customFormat="1" ht="16" x14ac:dyDescent="0.4">
      <c r="A310" s="82" t="s">
        <v>189</v>
      </c>
      <c r="B310" s="11"/>
      <c r="C310" s="11"/>
      <c r="D310" s="16"/>
      <c r="E310" s="16"/>
      <c r="F310" s="16"/>
      <c r="G310" s="83">
        <f>5.5+14.22+30.33</f>
        <v>50.05</v>
      </c>
      <c r="H310" s="328">
        <f>5.5+64.2+36.42-0.02</f>
        <v>106.10000000000001</v>
      </c>
      <c r="I310" s="16">
        <f>5.73+66.72+40.77-0.02</f>
        <v>113.2</v>
      </c>
      <c r="J310" s="15"/>
      <c r="K310" s="456"/>
      <c r="L310" s="16"/>
      <c r="M310" s="15"/>
      <c r="N310" s="15"/>
      <c r="O310" s="16"/>
      <c r="P310" s="16" t="e">
        <f>#REF!</f>
        <v>#REF!</v>
      </c>
      <c r="Q310" s="16" t="e">
        <f t="shared" ref="Q310:R310" si="126">P310</f>
        <v>#REF!</v>
      </c>
      <c r="R310" s="16" t="e">
        <f t="shared" si="126"/>
        <v>#REF!</v>
      </c>
    </row>
    <row r="311" spans="1:107" s="255" customFormat="1" ht="16" x14ac:dyDescent="0.4">
      <c r="A311" s="495" t="s">
        <v>190</v>
      </c>
      <c r="B311" s="323"/>
      <c r="C311" s="323"/>
      <c r="D311" s="328"/>
      <c r="E311" s="328"/>
      <c r="F311" s="328"/>
      <c r="G311" s="496">
        <v>225.37</v>
      </c>
      <c r="H311" s="328">
        <v>582.12</v>
      </c>
      <c r="I311" s="16">
        <v>931.84</v>
      </c>
      <c r="J311" s="15"/>
      <c r="K311" s="456"/>
      <c r="L311" s="16"/>
      <c r="M311" s="15"/>
      <c r="N311" s="15"/>
      <c r="O311" s="16"/>
      <c r="P311" s="308">
        <v>0</v>
      </c>
      <c r="Q311" s="308">
        <v>0</v>
      </c>
      <c r="R311" s="308">
        <v>0</v>
      </c>
      <c r="S311" s="497"/>
      <c r="T311" s="497"/>
      <c r="U311" s="497"/>
      <c r="V311" s="497"/>
      <c r="W311" s="497"/>
      <c r="X311" s="497"/>
      <c r="Y311" s="497"/>
      <c r="Z311" s="497"/>
      <c r="AA311" s="497"/>
      <c r="AB311" s="497"/>
      <c r="AC311" s="497"/>
      <c r="AD311" s="497"/>
      <c r="AE311" s="497"/>
      <c r="AF311" s="497"/>
      <c r="AG311" s="497"/>
      <c r="AH311" s="497"/>
      <c r="AI311" s="497"/>
      <c r="AJ311" s="497"/>
      <c r="AK311" s="497"/>
      <c r="AL311" s="497"/>
      <c r="AM311" s="497"/>
      <c r="AN311" s="497"/>
      <c r="AO311" s="497"/>
      <c r="AP311" s="497"/>
      <c r="AQ311" s="497"/>
      <c r="AR311" s="497"/>
      <c r="AS311" s="497"/>
      <c r="AT311" s="497"/>
      <c r="AU311" s="497"/>
      <c r="AV311" s="497"/>
      <c r="AW311" s="497"/>
      <c r="AX311" s="497"/>
      <c r="AY311" s="497"/>
      <c r="AZ311" s="497"/>
      <c r="BA311" s="497"/>
      <c r="BB311" s="497"/>
      <c r="BC311" s="497"/>
      <c r="BD311" s="497"/>
      <c r="BE311" s="497"/>
      <c r="BF311" s="497"/>
      <c r="BG311" s="497"/>
      <c r="BH311" s="497"/>
      <c r="BI311" s="497"/>
      <c r="BJ311" s="497"/>
      <c r="BK311" s="497"/>
      <c r="BL311" s="497"/>
      <c r="BM311" s="497"/>
      <c r="BN311" s="497"/>
      <c r="BO311" s="497"/>
      <c r="BP311" s="497"/>
      <c r="BQ311" s="497"/>
      <c r="BR311" s="497"/>
      <c r="BS311" s="497"/>
      <c r="BT311" s="497"/>
      <c r="BU311" s="497"/>
      <c r="BV311" s="497"/>
      <c r="BW311" s="497"/>
      <c r="BX311" s="497"/>
      <c r="BY311" s="497"/>
      <c r="BZ311" s="497"/>
      <c r="CA311" s="497"/>
      <c r="CB311" s="497"/>
      <c r="CC311" s="497"/>
      <c r="CD311" s="497"/>
      <c r="CE311" s="497"/>
      <c r="CF311" s="497"/>
      <c r="CG311" s="497"/>
      <c r="CH311" s="497"/>
      <c r="CI311" s="497"/>
      <c r="CJ311" s="497"/>
      <c r="CK311" s="497"/>
      <c r="CL311" s="497"/>
      <c r="CM311" s="497"/>
      <c r="CN311" s="497"/>
      <c r="CO311" s="497"/>
      <c r="CP311" s="497"/>
      <c r="CQ311" s="497"/>
      <c r="CR311" s="497"/>
      <c r="CS311" s="497"/>
      <c r="CT311" s="497"/>
      <c r="CU311" s="497"/>
      <c r="CV311" s="497"/>
      <c r="CW311" s="497"/>
      <c r="CX311" s="497"/>
      <c r="CY311" s="497"/>
      <c r="CZ311" s="497"/>
      <c r="DA311" s="497"/>
      <c r="DB311" s="497"/>
      <c r="DC311" s="497"/>
    </row>
    <row r="312" spans="1:107" x14ac:dyDescent="0.35">
      <c r="A312" s="6" t="s">
        <v>31</v>
      </c>
      <c r="B312" s="6"/>
      <c r="C312" s="6"/>
      <c r="D312" s="6"/>
      <c r="E312" s="6"/>
      <c r="F312" s="6"/>
      <c r="G312" s="6"/>
      <c r="H312" s="25"/>
      <c r="I312" s="6"/>
      <c r="J312" s="15"/>
      <c r="K312" s="450"/>
      <c r="L312" s="6"/>
      <c r="M312" s="6"/>
      <c r="N312" s="6"/>
      <c r="O312" s="6"/>
      <c r="P312" s="6"/>
      <c r="Q312" s="6"/>
      <c r="R312" s="6"/>
    </row>
    <row r="313" spans="1:107" ht="16" x14ac:dyDescent="0.35">
      <c r="A313" s="6" t="s">
        <v>191</v>
      </c>
      <c r="B313" s="6"/>
      <c r="C313" s="6"/>
      <c r="D313" s="6">
        <v>1726.64</v>
      </c>
      <c r="E313" s="6">
        <v>2155.7750000000001</v>
      </c>
      <c r="F313" s="6">
        <v>2644.1729999999998</v>
      </c>
      <c r="G313" s="6">
        <v>3278.57</v>
      </c>
      <c r="H313" s="25">
        <v>4417.79</v>
      </c>
      <c r="I313" s="6">
        <v>5351.32</v>
      </c>
      <c r="J313" s="15">
        <f>'Detailed BS'!E143*-1</f>
        <v>6093.2041859999999</v>
      </c>
      <c r="K313" s="450">
        <f>'Detailed BS'!G143*-1</f>
        <v>7458.0759831967998</v>
      </c>
      <c r="L313" s="16">
        <f>'Detailed BS'!I143*-1</f>
        <v>8706.801317288162</v>
      </c>
      <c r="M313" s="15">
        <f>'Detailed BS'!K143*-1</f>
        <v>9749.9141019314757</v>
      </c>
      <c r="N313" s="15">
        <f>'Detailed BS'!M143*-1</f>
        <v>10623.232649975058</v>
      </c>
      <c r="O313" s="6">
        <f>'Detailed BS'!O143*-1</f>
        <v>11355.995040665066</v>
      </c>
      <c r="P313" s="208" t="e">
        <f>#REF!+'Fixed Assets - Existing'!K18+'Fixed Assets - Existing'!K21</f>
        <v>#REF!</v>
      </c>
      <c r="Q313" s="208" t="e">
        <f>P313+'Fixed Assets - Existing'!L18+'Fixed Assets - Existing'!L21</f>
        <v>#REF!</v>
      </c>
      <c r="R313" s="208" t="e">
        <f>Q313+'Fixed Assets - Existing'!M18+'Fixed Assets - Existing'!M21</f>
        <v>#REF!</v>
      </c>
    </row>
    <row r="314" spans="1:107" x14ac:dyDescent="0.35">
      <c r="A314" s="6"/>
      <c r="B314" s="6"/>
      <c r="C314" s="6"/>
      <c r="D314" s="6"/>
      <c r="E314" s="6"/>
      <c r="F314" s="6"/>
      <c r="G314" s="6"/>
      <c r="H314" s="25"/>
      <c r="I314" s="6"/>
      <c r="J314" s="15"/>
      <c r="K314" s="450"/>
      <c r="L314" s="6"/>
      <c r="M314" s="6"/>
      <c r="N314" s="6"/>
      <c r="O314" s="6"/>
      <c r="P314" s="6"/>
      <c r="Q314" s="6"/>
      <c r="R314" s="6"/>
    </row>
    <row r="315" spans="1:107" x14ac:dyDescent="0.35">
      <c r="A315" s="6" t="s">
        <v>192</v>
      </c>
      <c r="B315" s="6"/>
      <c r="C315" s="6"/>
      <c r="D315" s="6">
        <f t="shared" ref="D315:R315" si="127">(D305-D313)</f>
        <v>4161.3879999999999</v>
      </c>
      <c r="E315" s="6">
        <f t="shared" si="127"/>
        <v>4776.6419999999998</v>
      </c>
      <c r="F315" s="6">
        <f t="shared" si="127"/>
        <v>5843.2760000000007</v>
      </c>
      <c r="G315" s="6">
        <f t="shared" si="127"/>
        <v>6789.0000000000018</v>
      </c>
      <c r="H315" s="6">
        <f t="shared" si="127"/>
        <v>6280.8400000000011</v>
      </c>
      <c r="I315" s="6">
        <f>(I305-I313)</f>
        <v>5694.9800000000014</v>
      </c>
      <c r="J315" s="6">
        <f t="shared" si="127"/>
        <v>9753.1058139999986</v>
      </c>
      <c r="K315" s="450">
        <f t="shared" si="127"/>
        <v>8388.2340168031988</v>
      </c>
      <c r="L315" s="450">
        <f t="shared" si="127"/>
        <v>7139.5086827118375</v>
      </c>
      <c r="M315" s="450">
        <f t="shared" si="127"/>
        <v>6096.3958980685238</v>
      </c>
      <c r="N315" s="6">
        <f>(N305-N313)</f>
        <v>5223.0773500249416</v>
      </c>
      <c r="O315" s="6">
        <f t="shared" si="127"/>
        <v>4490.3149593349335</v>
      </c>
      <c r="P315" s="6" t="e">
        <f t="shared" si="127"/>
        <v>#REF!</v>
      </c>
      <c r="Q315" s="6" t="e">
        <f t="shared" si="127"/>
        <v>#REF!</v>
      </c>
      <c r="R315" s="6" t="e">
        <f t="shared" si="127"/>
        <v>#REF!</v>
      </c>
    </row>
    <row r="316" spans="1:107" x14ac:dyDescent="0.35">
      <c r="A316" s="6"/>
      <c r="B316" s="6"/>
      <c r="C316" s="6"/>
      <c r="D316" s="6"/>
      <c r="E316" s="6"/>
      <c r="F316" s="6"/>
      <c r="G316" s="6"/>
      <c r="H316" s="25"/>
      <c r="I316" s="6"/>
      <c r="J316" s="6"/>
      <c r="K316" s="450"/>
      <c r="L316" s="6"/>
      <c r="M316" s="6"/>
      <c r="N316" s="6"/>
      <c r="O316" s="6"/>
      <c r="P316" s="6"/>
      <c r="Q316" s="6"/>
      <c r="R316" s="6"/>
    </row>
    <row r="317" spans="1:107" x14ac:dyDescent="0.35">
      <c r="A317" s="7" t="s">
        <v>193</v>
      </c>
      <c r="B317" s="7"/>
      <c r="C317" s="7"/>
      <c r="D317" s="7"/>
      <c r="E317" s="7"/>
      <c r="F317" s="7"/>
      <c r="G317" s="7"/>
      <c r="H317" s="320"/>
      <c r="I317" s="7"/>
      <c r="J317" s="7"/>
      <c r="K317" s="452"/>
      <c r="L317" s="7"/>
      <c r="M317" s="7"/>
      <c r="N317" s="7"/>
      <c r="O317" s="7"/>
      <c r="P317" s="7"/>
      <c r="Q317" s="7"/>
      <c r="R317" s="7"/>
    </row>
    <row r="318" spans="1:107" x14ac:dyDescent="0.35">
      <c r="A318" s="6"/>
      <c r="B318" s="6"/>
      <c r="C318" s="6"/>
      <c r="D318" s="6"/>
      <c r="E318" s="6"/>
      <c r="F318" s="6"/>
      <c r="G318" s="6"/>
      <c r="H318" s="25"/>
      <c r="I318" s="6"/>
      <c r="J318" s="6"/>
      <c r="K318" s="450"/>
      <c r="L318" s="6"/>
      <c r="M318" s="6"/>
      <c r="N318" s="6"/>
      <c r="O318" s="6"/>
      <c r="P318" s="6"/>
      <c r="Q318" s="6"/>
      <c r="R318" s="6"/>
    </row>
    <row r="319" spans="1:107" x14ac:dyDescent="0.35">
      <c r="A319" s="6" t="s">
        <v>194</v>
      </c>
      <c r="B319" s="6"/>
      <c r="C319" s="6"/>
      <c r="D319" s="6"/>
      <c r="E319" s="6"/>
      <c r="F319" s="6"/>
      <c r="G319" s="6"/>
      <c r="H319" s="25"/>
      <c r="I319" s="6"/>
      <c r="J319" s="6"/>
      <c r="K319" s="450"/>
      <c r="L319" s="6"/>
      <c r="M319" s="6"/>
      <c r="N319" s="6"/>
      <c r="O319" s="6"/>
      <c r="P319" s="6"/>
      <c r="Q319" s="6"/>
      <c r="R319" s="6"/>
    </row>
    <row r="320" spans="1:107" x14ac:dyDescent="0.35">
      <c r="A320" s="6" t="s">
        <v>195</v>
      </c>
      <c r="B320" s="6"/>
      <c r="C320" s="6"/>
      <c r="D320" s="6"/>
      <c r="E320" s="6"/>
      <c r="F320" s="6"/>
      <c r="G320" s="6"/>
      <c r="H320" s="25"/>
      <c r="I320" s="6"/>
      <c r="J320" s="6"/>
      <c r="K320" s="450"/>
      <c r="L320" s="6"/>
      <c r="M320" s="6"/>
      <c r="N320" s="6"/>
      <c r="O320" s="6"/>
      <c r="P320" s="6"/>
      <c r="Q320" s="6"/>
      <c r="R320" s="6"/>
    </row>
    <row r="321" spans="1:19" x14ac:dyDescent="0.35">
      <c r="A321" s="6" t="s">
        <v>196</v>
      </c>
      <c r="B321" s="6"/>
      <c r="C321" s="6"/>
      <c r="D321" s="6"/>
      <c r="E321" s="6"/>
      <c r="F321" s="6"/>
      <c r="G321" s="6"/>
      <c r="H321" s="25"/>
      <c r="I321" s="6"/>
      <c r="J321" s="6"/>
      <c r="K321" s="450"/>
      <c r="L321" s="6"/>
      <c r="M321" s="6"/>
      <c r="N321" s="6"/>
      <c r="O321" s="6"/>
      <c r="P321" s="6"/>
      <c r="Q321" s="6"/>
      <c r="R321" s="6"/>
    </row>
    <row r="322" spans="1:19" x14ac:dyDescent="0.35">
      <c r="A322" s="6"/>
      <c r="B322" s="6"/>
      <c r="C322" s="6"/>
      <c r="D322" s="6"/>
      <c r="E322" s="6"/>
      <c r="F322" s="6"/>
      <c r="G322" s="6"/>
      <c r="H322" s="25"/>
      <c r="I322" s="6"/>
      <c r="K322" s="450"/>
      <c r="L322" s="6"/>
      <c r="M322" s="6"/>
      <c r="N322" s="6"/>
      <c r="O322" s="6"/>
      <c r="P322" s="6"/>
      <c r="Q322" s="6"/>
      <c r="R322" s="6"/>
    </row>
    <row r="323" spans="1:19" x14ac:dyDescent="0.35">
      <c r="A323" s="6" t="s">
        <v>197</v>
      </c>
      <c r="B323" s="6"/>
      <c r="C323" s="6"/>
      <c r="D323" s="6">
        <v>0</v>
      </c>
      <c r="E323" s="6">
        <v>2</v>
      </c>
      <c r="F323" s="6">
        <v>1</v>
      </c>
      <c r="G323" s="6">
        <v>1</v>
      </c>
      <c r="H323" s="25">
        <v>1</v>
      </c>
      <c r="I323" s="6">
        <v>1</v>
      </c>
      <c r="J323" s="6">
        <f>'Detailed BS'!E155</f>
        <v>1</v>
      </c>
      <c r="K323" s="450">
        <f>'Detailed BS'!G155</f>
        <v>1</v>
      </c>
      <c r="L323" s="6">
        <f>'Detailed BS'!I155</f>
        <v>1</v>
      </c>
      <c r="M323" s="6">
        <f>'Detailed BS'!K155</f>
        <v>1</v>
      </c>
      <c r="N323" s="6">
        <f>'Detailed BS'!M155</f>
        <v>1</v>
      </c>
      <c r="O323" s="6">
        <f>'Detailed BS'!O155</f>
        <v>1</v>
      </c>
      <c r="P323" s="6">
        <v>1</v>
      </c>
      <c r="Q323" s="6">
        <v>1</v>
      </c>
      <c r="R323" s="6">
        <v>1</v>
      </c>
    </row>
    <row r="324" spans="1:19" x14ac:dyDescent="0.35">
      <c r="A324" s="6" t="s">
        <v>198</v>
      </c>
      <c r="B324" s="6"/>
      <c r="C324" s="6"/>
      <c r="D324" s="6"/>
      <c r="E324" s="6"/>
      <c r="F324" s="6"/>
      <c r="G324" s="6"/>
      <c r="H324" s="25"/>
      <c r="I324" s="6"/>
      <c r="J324" s="6"/>
      <c r="K324" s="450"/>
      <c r="L324" s="6"/>
      <c r="M324" s="6"/>
      <c r="N324" s="6"/>
      <c r="O324" s="6"/>
      <c r="P324" s="6"/>
      <c r="Q324" s="6"/>
      <c r="R324" s="6"/>
    </row>
    <row r="325" spans="1:19" x14ac:dyDescent="0.35">
      <c r="A325" s="6"/>
      <c r="B325" s="6"/>
      <c r="C325" s="6"/>
      <c r="D325" s="6"/>
      <c r="E325" s="6"/>
      <c r="F325" s="6"/>
      <c r="G325" s="6"/>
      <c r="H325" s="25"/>
      <c r="I325" s="6"/>
      <c r="J325" s="6"/>
      <c r="K325" s="450"/>
      <c r="L325" s="6"/>
      <c r="M325" s="6"/>
      <c r="N325" s="6"/>
      <c r="O325" s="6"/>
      <c r="P325" s="6"/>
      <c r="Q325" s="6"/>
      <c r="R325" s="6"/>
    </row>
    <row r="326" spans="1:19" x14ac:dyDescent="0.35">
      <c r="A326" s="80" t="s">
        <v>199</v>
      </c>
      <c r="B326" s="80"/>
      <c r="C326" s="80"/>
      <c r="D326" s="6">
        <v>0</v>
      </c>
      <c r="E326" s="6">
        <v>0</v>
      </c>
      <c r="F326" s="447">
        <v>0</v>
      </c>
      <c r="G326" s="447">
        <v>0</v>
      </c>
      <c r="H326" s="498">
        <v>0</v>
      </c>
      <c r="I326" s="498">
        <v>0</v>
      </c>
      <c r="J326" s="447">
        <v>0</v>
      </c>
      <c r="K326" s="499">
        <f>J326</f>
        <v>0</v>
      </c>
      <c r="L326" s="498">
        <v>0</v>
      </c>
      <c r="M326" s="498">
        <f>L326</f>
        <v>0</v>
      </c>
      <c r="N326" s="498">
        <v>0</v>
      </c>
      <c r="O326" s="498">
        <v>0</v>
      </c>
      <c r="P326" s="299">
        <v>0</v>
      </c>
      <c r="Q326" s="299">
        <v>0</v>
      </c>
      <c r="R326" s="299">
        <v>0</v>
      </c>
      <c r="S326" s="140"/>
    </row>
    <row r="327" spans="1:19" x14ac:dyDescent="0.35">
      <c r="A327" s="6"/>
      <c r="B327" s="6"/>
      <c r="C327" s="6"/>
      <c r="D327" s="6"/>
      <c r="E327" s="6"/>
      <c r="F327" s="6"/>
      <c r="G327" s="6"/>
      <c r="H327" s="25"/>
      <c r="I327" s="6"/>
      <c r="J327" s="6"/>
      <c r="K327" s="450"/>
      <c r="L327" s="6"/>
      <c r="M327" s="6"/>
      <c r="N327" s="6"/>
      <c r="O327" s="6"/>
      <c r="P327" s="6"/>
      <c r="Q327" s="6"/>
      <c r="R327" s="6"/>
    </row>
    <row r="328" spans="1:19" x14ac:dyDescent="0.35">
      <c r="A328" s="6" t="s">
        <v>200</v>
      </c>
      <c r="B328" s="6"/>
      <c r="C328" s="6"/>
      <c r="D328" s="6"/>
      <c r="E328" s="6"/>
      <c r="F328" s="6"/>
      <c r="G328" s="6"/>
      <c r="H328" s="25"/>
      <c r="I328" s="6"/>
      <c r="J328" s="6"/>
      <c r="K328" s="450"/>
      <c r="L328" s="6"/>
      <c r="M328" s="6"/>
      <c r="N328" s="6"/>
      <c r="O328" s="6"/>
      <c r="P328" s="6"/>
      <c r="Q328" s="6"/>
      <c r="R328" s="6"/>
    </row>
    <row r="329" spans="1:19" x14ac:dyDescent="0.35">
      <c r="A329" s="6" t="s">
        <v>201</v>
      </c>
      <c r="B329" s="6"/>
      <c r="C329" s="6"/>
      <c r="D329" s="6">
        <v>20.748999999999999</v>
      </c>
      <c r="E329" s="6">
        <v>460.995</v>
      </c>
      <c r="F329" s="6">
        <f>470.28</f>
        <v>470.28</v>
      </c>
      <c r="G329" s="6">
        <f>107.1</f>
        <v>107.1</v>
      </c>
      <c r="H329" s="25">
        <v>64.319999999999993</v>
      </c>
      <c r="I329" s="6">
        <v>554.96</v>
      </c>
      <c r="J329" s="447">
        <f>'Detailed BS'!E158</f>
        <v>554.96</v>
      </c>
      <c r="K329" s="450">
        <f>'Detailed BS'!G158</f>
        <v>554.96</v>
      </c>
      <c r="L329" s="6">
        <f>'Detailed BS'!I158</f>
        <v>554.96</v>
      </c>
      <c r="M329" s="6">
        <f>'Detailed BS'!K158</f>
        <v>554.96</v>
      </c>
      <c r="N329" s="6">
        <f>'Detailed BS'!M158</f>
        <v>554.96</v>
      </c>
      <c r="O329" s="6">
        <f>'Detailed BS'!O158</f>
        <v>554.96</v>
      </c>
      <c r="P329" s="6">
        <v>90.59242211390449</v>
      </c>
      <c r="Q329" s="6">
        <v>90.59242211390449</v>
      </c>
      <c r="R329" s="6">
        <v>95.122043219599703</v>
      </c>
    </row>
    <row r="330" spans="1:19" x14ac:dyDescent="0.35">
      <c r="A330" s="6"/>
      <c r="B330" s="6"/>
      <c r="C330" s="6"/>
      <c r="D330" s="6"/>
      <c r="E330" s="6"/>
      <c r="F330" s="6"/>
      <c r="G330" s="6"/>
      <c r="H330" s="25"/>
      <c r="I330" s="6"/>
      <c r="J330" s="6"/>
      <c r="K330" s="450"/>
      <c r="L330" s="6"/>
      <c r="M330" s="6"/>
      <c r="N330" s="6"/>
      <c r="O330" s="6"/>
      <c r="P330" s="6"/>
      <c r="Q330" s="6"/>
      <c r="R330" s="6"/>
    </row>
    <row r="331" spans="1:19" x14ac:dyDescent="0.35">
      <c r="A331" s="6" t="s">
        <v>202</v>
      </c>
      <c r="B331" s="6"/>
      <c r="C331" s="6"/>
      <c r="D331" s="6">
        <v>0</v>
      </c>
      <c r="E331" s="6">
        <v>0</v>
      </c>
      <c r="F331" s="447">
        <v>0</v>
      </c>
      <c r="G331" s="447">
        <v>0</v>
      </c>
      <c r="H331" s="447">
        <v>0</v>
      </c>
      <c r="I331" s="447">
        <v>0</v>
      </c>
      <c r="J331" s="447">
        <v>0</v>
      </c>
      <c r="K331" s="454">
        <f>J331</f>
        <v>0</v>
      </c>
      <c r="L331" s="447">
        <v>0</v>
      </c>
      <c r="M331" s="447">
        <v>0</v>
      </c>
      <c r="N331" s="447">
        <v>0</v>
      </c>
      <c r="O331" s="447">
        <f>N331</f>
        <v>0</v>
      </c>
      <c r="P331" s="6">
        <v>0</v>
      </c>
      <c r="Q331" s="6">
        <v>0</v>
      </c>
      <c r="R331" s="6">
        <v>0</v>
      </c>
    </row>
    <row r="332" spans="1:19" x14ac:dyDescent="0.35">
      <c r="A332" s="6" t="s">
        <v>203</v>
      </c>
      <c r="B332" s="6"/>
      <c r="C332" s="6"/>
      <c r="D332" s="6"/>
      <c r="E332" s="6"/>
      <c r="F332" s="6"/>
      <c r="G332" s="6"/>
      <c r="H332" s="25"/>
      <c r="I332" s="6"/>
      <c r="J332" s="6"/>
      <c r="K332" s="450"/>
      <c r="L332" s="6"/>
      <c r="M332" s="6"/>
      <c r="N332" s="6"/>
      <c r="O332" s="6"/>
      <c r="P332" s="6"/>
      <c r="Q332" s="6"/>
      <c r="R332" s="6"/>
    </row>
    <row r="333" spans="1:19" x14ac:dyDescent="0.35">
      <c r="A333" s="6"/>
      <c r="B333" s="6"/>
      <c r="C333" s="6"/>
      <c r="D333" s="6"/>
      <c r="E333" s="6"/>
      <c r="F333" s="6"/>
      <c r="G333" s="6"/>
      <c r="H333" s="25"/>
      <c r="I333" s="6"/>
      <c r="J333" s="6"/>
      <c r="K333" s="450"/>
      <c r="L333" s="6"/>
      <c r="M333" s="6"/>
      <c r="N333" s="6"/>
      <c r="O333" s="6"/>
      <c r="P333" s="6"/>
      <c r="Q333" s="6"/>
      <c r="R333" s="6"/>
    </row>
    <row r="334" spans="1:19" x14ac:dyDescent="0.35">
      <c r="A334" s="80" t="s">
        <v>204</v>
      </c>
      <c r="B334" s="80"/>
      <c r="C334" s="80"/>
      <c r="D334" s="6">
        <f>10.46</f>
        <v>10.46</v>
      </c>
      <c r="E334" s="6">
        <v>11.754</v>
      </c>
      <c r="F334" s="6">
        <v>17.899999999999999</v>
      </c>
      <c r="G334" s="6">
        <v>28.83</v>
      </c>
      <c r="H334" s="6">
        <v>42.39</v>
      </c>
      <c r="I334" s="6">
        <v>43.25</v>
      </c>
      <c r="J334" s="6">
        <f>'Detailed BS'!E160</f>
        <v>43.25</v>
      </c>
      <c r="K334" s="450">
        <f>'Detailed BS'!G160</f>
        <v>43.25</v>
      </c>
      <c r="L334" s="6">
        <f>'Detailed BS'!I160</f>
        <v>43.25</v>
      </c>
      <c r="M334" s="6">
        <f>'Detailed BS'!K160</f>
        <v>43.25</v>
      </c>
      <c r="N334" s="6">
        <f>'Detailed BS'!M160</f>
        <v>43.25</v>
      </c>
      <c r="O334" s="6">
        <f>'Detailed BS'!O160</f>
        <v>43.25</v>
      </c>
      <c r="P334" s="6" t="e">
        <f>#REF!</f>
        <v>#REF!</v>
      </c>
      <c r="Q334" s="6" t="e">
        <f t="shared" ref="Q334:R334" si="128">P334</f>
        <v>#REF!</v>
      </c>
      <c r="R334" s="6" t="e">
        <f t="shared" si="128"/>
        <v>#REF!</v>
      </c>
    </row>
    <row r="335" spans="1:19" x14ac:dyDescent="0.35">
      <c r="A335" s="6"/>
      <c r="B335" s="6"/>
      <c r="C335" s="6"/>
      <c r="D335" s="6"/>
      <c r="E335" s="6"/>
      <c r="F335" s="6"/>
      <c r="G335" s="6"/>
      <c r="H335" s="25"/>
      <c r="I335" s="6"/>
      <c r="J335" s="6"/>
      <c r="K335" s="450"/>
      <c r="L335" s="6"/>
      <c r="M335" s="6"/>
      <c r="N335" s="6"/>
      <c r="O335" s="6"/>
      <c r="P335" s="6"/>
      <c r="Q335" s="6"/>
      <c r="R335" s="6"/>
    </row>
    <row r="336" spans="1:19" x14ac:dyDescent="0.35">
      <c r="A336" s="6" t="s">
        <v>205</v>
      </c>
      <c r="B336" s="6"/>
      <c r="C336" s="6"/>
      <c r="D336" s="6">
        <v>0</v>
      </c>
      <c r="E336" s="6">
        <v>0</v>
      </c>
      <c r="F336" s="447">
        <v>0</v>
      </c>
      <c r="G336" s="447">
        <v>0</v>
      </c>
      <c r="H336" s="447">
        <v>0</v>
      </c>
      <c r="I336" s="447">
        <v>0</v>
      </c>
      <c r="J336" s="447">
        <v>0</v>
      </c>
      <c r="K336" s="454">
        <f>J336</f>
        <v>0</v>
      </c>
      <c r="L336" s="447">
        <f>K336</f>
        <v>0</v>
      </c>
      <c r="M336" s="447">
        <v>0</v>
      </c>
      <c r="N336" s="447">
        <v>0</v>
      </c>
      <c r="O336" s="447">
        <f>N336</f>
        <v>0</v>
      </c>
      <c r="P336" s="6">
        <v>0</v>
      </c>
      <c r="Q336" s="6">
        <v>0</v>
      </c>
      <c r="R336" s="6">
        <v>0</v>
      </c>
    </row>
    <row r="337" spans="1:18" x14ac:dyDescent="0.35">
      <c r="A337" s="6"/>
      <c r="B337" s="6"/>
      <c r="C337" s="6"/>
      <c r="D337" s="6"/>
      <c r="E337" s="6"/>
      <c r="F337" s="6"/>
      <c r="G337" s="6"/>
      <c r="H337" s="25"/>
      <c r="I337" s="6"/>
      <c r="J337" s="6"/>
      <c r="K337" s="450"/>
      <c r="L337" s="6"/>
      <c r="M337" s="6"/>
      <c r="N337" s="6"/>
      <c r="O337" s="6"/>
      <c r="P337" s="6"/>
      <c r="Q337" s="6"/>
      <c r="R337" s="6"/>
    </row>
    <row r="338" spans="1:18" x14ac:dyDescent="0.35">
      <c r="A338" s="6" t="s">
        <v>206</v>
      </c>
      <c r="B338" s="6"/>
      <c r="C338" s="6"/>
      <c r="D338" s="6">
        <f>60.769-D329-D339-D334-D342</f>
        <v>4.9999999999954525E-3</v>
      </c>
      <c r="E338" s="6">
        <f>1119.685-E329-E339-E334-E342</f>
        <v>-7.815970093361102E-14</v>
      </c>
      <c r="F338" s="447">
        <v>0</v>
      </c>
      <c r="G338" s="447">
        <f>887.63-G329-G339-G342</f>
        <v>0</v>
      </c>
      <c r="H338" s="447">
        <v>0</v>
      </c>
      <c r="I338" s="447">
        <v>0</v>
      </c>
      <c r="J338" s="447">
        <v>0</v>
      </c>
      <c r="K338" s="454">
        <f>J338</f>
        <v>0</v>
      </c>
      <c r="L338" s="447">
        <f>K338</f>
        <v>0</v>
      </c>
      <c r="M338" s="447">
        <f>L338</f>
        <v>0</v>
      </c>
      <c r="N338" s="447">
        <v>0</v>
      </c>
      <c r="O338" s="447">
        <v>0</v>
      </c>
      <c r="P338" s="6">
        <v>0</v>
      </c>
      <c r="Q338" s="6">
        <v>0</v>
      </c>
      <c r="R338" s="6">
        <v>0</v>
      </c>
    </row>
    <row r="339" spans="1:18" x14ac:dyDescent="0.35">
      <c r="A339" s="6" t="s">
        <v>207</v>
      </c>
      <c r="B339" s="6"/>
      <c r="C339" s="6"/>
      <c r="D339" s="6">
        <v>0</v>
      </c>
      <c r="E339" s="6">
        <f>619.403</f>
        <v>619.40300000000002</v>
      </c>
      <c r="F339" s="6">
        <f>683.26</f>
        <v>683.26</v>
      </c>
      <c r="G339" s="6">
        <f>739.28</f>
        <v>739.28</v>
      </c>
      <c r="H339" s="25">
        <v>791.3</v>
      </c>
      <c r="I339" s="6">
        <v>879.36</v>
      </c>
      <c r="J339" s="6">
        <f>'Detailed BS'!E165</f>
        <v>879.36</v>
      </c>
      <c r="K339" s="450">
        <f>'Detailed BS'!G165</f>
        <v>879.36</v>
      </c>
      <c r="L339" s="6">
        <f>'Detailed BS'!I165</f>
        <v>879.36</v>
      </c>
      <c r="M339" s="6">
        <f>'Detailed BS'!K165</f>
        <v>879.36</v>
      </c>
      <c r="N339" s="6">
        <f>'Detailed BS'!M165</f>
        <v>879.36</v>
      </c>
      <c r="O339" s="6">
        <f>'Detailed BS'!O165</f>
        <v>879.36</v>
      </c>
      <c r="P339" s="6" t="e">
        <f>#REF!</f>
        <v>#REF!</v>
      </c>
      <c r="Q339" s="6" t="e">
        <f t="shared" ref="Q339:R339" si="129">P339</f>
        <v>#REF!</v>
      </c>
      <c r="R339" s="6" t="e">
        <f t="shared" si="129"/>
        <v>#REF!</v>
      </c>
    </row>
    <row r="340" spans="1:18" x14ac:dyDescent="0.35">
      <c r="A340" s="6" t="s">
        <v>208</v>
      </c>
      <c r="B340" s="6"/>
      <c r="C340" s="6"/>
      <c r="D340" s="6">
        <f>3.336</f>
        <v>3.3359999999999999</v>
      </c>
      <c r="E340" s="6">
        <f>2.179</f>
        <v>2.1789999999999998</v>
      </c>
      <c r="F340" s="6">
        <v>1.06</v>
      </c>
      <c r="G340" s="6">
        <v>8.5500000000000007</v>
      </c>
      <c r="H340" s="488">
        <v>0</v>
      </c>
      <c r="I340" s="6">
        <v>5.71</v>
      </c>
      <c r="J340" s="6">
        <f>'Detailed BS'!E167</f>
        <v>5.71</v>
      </c>
      <c r="K340" s="450">
        <f>'Detailed BS'!G167</f>
        <v>5.71</v>
      </c>
      <c r="L340" s="6">
        <f>'Detailed BS'!I167</f>
        <v>5.71</v>
      </c>
      <c r="M340" s="6">
        <f>'Detailed BS'!K167</f>
        <v>5.71</v>
      </c>
      <c r="N340" s="6">
        <f>'Detailed BS'!M167</f>
        <v>5.71</v>
      </c>
      <c r="O340" s="6">
        <f>'Detailed BS'!O167</f>
        <v>5.71</v>
      </c>
      <c r="P340" s="6">
        <v>0.85713857270015659</v>
      </c>
      <c r="Q340" s="6">
        <v>0.85713857270015659</v>
      </c>
      <c r="R340" s="6">
        <v>0.89999550133516448</v>
      </c>
    </row>
    <row r="341" spans="1:18" x14ac:dyDescent="0.35">
      <c r="A341" s="6" t="s">
        <v>209</v>
      </c>
      <c r="B341" s="6"/>
      <c r="C341" s="6"/>
      <c r="D341" s="6">
        <f>3.986</f>
        <v>3.9860000000000002</v>
      </c>
      <c r="E341" s="6">
        <f>21.56</f>
        <v>21.56</v>
      </c>
      <c r="F341" s="6">
        <f>149.43</f>
        <v>149.43</v>
      </c>
      <c r="G341" s="6">
        <f>208.72</f>
        <v>208.72</v>
      </c>
      <c r="H341" s="25">
        <v>309.04000000000002</v>
      </c>
      <c r="I341" s="6">
        <v>325.69</v>
      </c>
      <c r="J341" s="6">
        <f>'Detailed BS'!E169</f>
        <v>325.69</v>
      </c>
      <c r="K341" s="450">
        <f>'Detailed BS'!G169</f>
        <v>325.69</v>
      </c>
      <c r="L341" s="6">
        <f>'Detailed BS'!I169</f>
        <v>325.69</v>
      </c>
      <c r="M341" s="6">
        <f>'Detailed BS'!K169</f>
        <v>325.69</v>
      </c>
      <c r="N341" s="6">
        <f>'Detailed BS'!M169</f>
        <v>325.69</v>
      </c>
      <c r="O341" s="6">
        <f>'Detailed BS'!O169</f>
        <v>325.69</v>
      </c>
      <c r="P341" s="6" t="e">
        <f>#REF!</f>
        <v>#REF!</v>
      </c>
      <c r="Q341" s="6" t="e">
        <f t="shared" ref="Q341:R341" si="130">P341</f>
        <v>#REF!</v>
      </c>
      <c r="R341" s="6" t="e">
        <f t="shared" si="130"/>
        <v>#REF!</v>
      </c>
    </row>
    <row r="342" spans="1:18" x14ac:dyDescent="0.35">
      <c r="A342" s="6" t="s">
        <v>210</v>
      </c>
      <c r="B342" s="6"/>
      <c r="C342" s="6"/>
      <c r="D342" s="6">
        <f>29.555</f>
        <v>29.555</v>
      </c>
      <c r="E342" s="6">
        <f>27.533</f>
        <v>27.533000000000001</v>
      </c>
      <c r="F342" s="6">
        <v>20.95</v>
      </c>
      <c r="G342" s="6">
        <f>41.25</f>
        <v>41.25</v>
      </c>
      <c r="H342" s="25">
        <v>96.6</v>
      </c>
      <c r="I342" s="6">
        <v>115.95</v>
      </c>
      <c r="J342" s="6">
        <f>'Detailed BS'!E174</f>
        <v>115.95000000000002</v>
      </c>
      <c r="K342" s="450">
        <f>'Detailed BS'!G174</f>
        <v>115.95000000000005</v>
      </c>
      <c r="L342" s="6">
        <f>'Detailed BS'!I174</f>
        <v>115.95000000000005</v>
      </c>
      <c r="M342" s="6">
        <f>'Detailed BS'!K174</f>
        <v>115.9500000000001</v>
      </c>
      <c r="N342" s="6">
        <f>'Detailed BS'!M174</f>
        <v>115.95000000000016</v>
      </c>
      <c r="O342" s="6">
        <f>'Detailed BS'!O174</f>
        <v>115.95000000000016</v>
      </c>
      <c r="P342" s="6">
        <v>127.2595850529879</v>
      </c>
      <c r="Q342" s="6">
        <v>127.2595850529879</v>
      </c>
      <c r="R342" s="6">
        <v>133.6225643056373</v>
      </c>
    </row>
    <row r="343" spans="1:18" x14ac:dyDescent="0.35">
      <c r="A343" s="6"/>
      <c r="B343" s="6"/>
      <c r="C343" s="6"/>
      <c r="D343" s="6"/>
      <c r="E343" s="6"/>
      <c r="F343" s="6"/>
      <c r="G343" s="6"/>
      <c r="H343" s="25"/>
      <c r="I343" s="6"/>
      <c r="J343" s="6"/>
      <c r="K343" s="450"/>
      <c r="L343" s="6"/>
      <c r="M343" s="6"/>
      <c r="N343" s="6"/>
      <c r="O343" s="6"/>
      <c r="P343" s="6"/>
      <c r="Q343" s="6"/>
      <c r="R343" s="6"/>
    </row>
    <row r="344" spans="1:18" x14ac:dyDescent="0.35">
      <c r="A344" s="6"/>
      <c r="B344" s="6"/>
      <c r="C344" s="6"/>
      <c r="D344" s="6"/>
      <c r="E344" s="6"/>
      <c r="F344" s="6"/>
      <c r="G344" s="6"/>
      <c r="H344" s="25"/>
      <c r="I344" s="6"/>
      <c r="J344" s="6"/>
      <c r="K344" s="450"/>
      <c r="L344" s="6"/>
      <c r="M344" s="6"/>
      <c r="N344" s="6"/>
      <c r="O344" s="6"/>
      <c r="P344" s="6"/>
      <c r="Q344" s="6"/>
      <c r="R344" s="6"/>
    </row>
    <row r="345" spans="1:18" x14ac:dyDescent="0.35">
      <c r="A345" s="6"/>
      <c r="B345" s="6"/>
      <c r="C345" s="6"/>
      <c r="D345" s="8" t="s">
        <v>19</v>
      </c>
      <c r="E345" s="8" t="s">
        <v>19</v>
      </c>
      <c r="F345" s="8" t="s">
        <v>19</v>
      </c>
      <c r="G345" s="8" t="s">
        <v>19</v>
      </c>
      <c r="H345" s="321" t="s">
        <v>19</v>
      </c>
      <c r="I345" s="8" t="s">
        <v>19</v>
      </c>
      <c r="J345" s="8"/>
      <c r="K345" s="451"/>
      <c r="L345" s="8"/>
      <c r="M345" s="8"/>
      <c r="N345" s="8"/>
      <c r="O345" s="8"/>
      <c r="P345" s="8" t="s">
        <v>19</v>
      </c>
      <c r="Q345" s="8" t="s">
        <v>19</v>
      </c>
      <c r="R345" s="8" t="s">
        <v>19</v>
      </c>
    </row>
    <row r="346" spans="1:18" x14ac:dyDescent="0.35">
      <c r="A346" s="6" t="s">
        <v>211</v>
      </c>
      <c r="B346" s="6"/>
      <c r="C346" s="6"/>
      <c r="D346" s="6">
        <f>SUM(D323:D344)</f>
        <v>68.090999999999994</v>
      </c>
      <c r="E346" s="6">
        <f t="shared" ref="E346:R346" si="131">SUM(E323:E344)</f>
        <v>1145.424</v>
      </c>
      <c r="F346" s="6">
        <f t="shared" si="131"/>
        <v>1343.88</v>
      </c>
      <c r="G346" s="6">
        <f t="shared" si="131"/>
        <v>1134.73</v>
      </c>
      <c r="H346" s="6">
        <f t="shared" si="131"/>
        <v>1304.6499999999999</v>
      </c>
      <c r="I346" s="6">
        <f>SUM(I323:I344)</f>
        <v>1925.9200000000003</v>
      </c>
      <c r="J346" s="6">
        <f t="shared" si="131"/>
        <v>1925.9200000000003</v>
      </c>
      <c r="K346" s="512">
        <f t="shared" ref="K346:N346" si="132">SUM(K323:K344)</f>
        <v>1925.9200000000003</v>
      </c>
      <c r="L346" s="511">
        <f t="shared" si="132"/>
        <v>1925.9200000000003</v>
      </c>
      <c r="M346" s="6">
        <f t="shared" si="132"/>
        <v>1925.9200000000003</v>
      </c>
      <c r="N346" s="6">
        <f t="shared" si="132"/>
        <v>1925.9200000000005</v>
      </c>
      <c r="O346" s="6">
        <f t="shared" si="131"/>
        <v>1925.9200000000005</v>
      </c>
      <c r="P346" s="6" t="e">
        <f t="shared" si="131"/>
        <v>#REF!</v>
      </c>
      <c r="Q346" s="6" t="e">
        <f t="shared" si="131"/>
        <v>#REF!</v>
      </c>
      <c r="R346" s="6" t="e">
        <f t="shared" si="131"/>
        <v>#REF!</v>
      </c>
    </row>
    <row r="347" spans="1:18" x14ac:dyDescent="0.35">
      <c r="A347" s="6" t="s">
        <v>212</v>
      </c>
      <c r="B347" s="6"/>
      <c r="C347" s="6"/>
      <c r="D347" s="6"/>
      <c r="E347" s="6"/>
      <c r="F347" s="6"/>
      <c r="G347" s="6"/>
      <c r="H347" s="25"/>
      <c r="I347" s="6"/>
      <c r="J347" s="6"/>
      <c r="K347" s="450"/>
      <c r="L347" s="6"/>
      <c r="M347" s="6"/>
      <c r="N347" s="6"/>
      <c r="O347" s="6"/>
      <c r="P347" s="6"/>
      <c r="Q347" s="6"/>
      <c r="R347" s="6"/>
    </row>
    <row r="348" spans="1:18" x14ac:dyDescent="0.35">
      <c r="A348" s="6"/>
      <c r="B348" s="6"/>
      <c r="C348" s="6"/>
      <c r="D348" s="6"/>
      <c r="E348" s="6"/>
      <c r="F348" s="6"/>
      <c r="G348" s="6"/>
      <c r="H348" s="25"/>
      <c r="I348" s="6"/>
      <c r="J348" s="6"/>
      <c r="K348" s="450"/>
      <c r="L348" s="6"/>
      <c r="M348" s="6"/>
      <c r="N348" s="6"/>
      <c r="O348" s="6"/>
      <c r="P348" s="6"/>
      <c r="Q348" s="6"/>
      <c r="R348" s="6"/>
    </row>
    <row r="349" spans="1:18" x14ac:dyDescent="0.35">
      <c r="A349" s="6" t="s">
        <v>213</v>
      </c>
      <c r="B349" s="6"/>
      <c r="C349" s="6"/>
      <c r="D349" s="6">
        <v>0</v>
      </c>
      <c r="E349" s="6">
        <v>0</v>
      </c>
      <c r="F349" s="477">
        <v>0</v>
      </c>
      <c r="G349" s="477">
        <v>0</v>
      </c>
      <c r="H349" s="488">
        <v>0</v>
      </c>
      <c r="I349" s="477">
        <v>0</v>
      </c>
      <c r="J349" s="447">
        <v>0</v>
      </c>
      <c r="K349" s="491">
        <v>0</v>
      </c>
      <c r="L349" s="477">
        <v>0</v>
      </c>
      <c r="M349" s="477">
        <v>0</v>
      </c>
      <c r="N349" s="477">
        <v>0</v>
      </c>
      <c r="O349" s="477">
        <v>0</v>
      </c>
      <c r="P349" s="6">
        <v>0</v>
      </c>
      <c r="Q349" s="6">
        <v>0</v>
      </c>
      <c r="R349" s="6">
        <v>0</v>
      </c>
    </row>
    <row r="350" spans="1:18" x14ac:dyDescent="0.35">
      <c r="A350" s="6" t="s">
        <v>214</v>
      </c>
      <c r="B350" s="6"/>
      <c r="C350" s="6"/>
      <c r="D350" s="6"/>
      <c r="E350" s="6"/>
      <c r="F350" s="6"/>
      <c r="G350" s="6"/>
      <c r="H350" s="25"/>
      <c r="I350" s="6"/>
      <c r="J350" s="6"/>
      <c r="K350" s="450"/>
      <c r="L350" s="6"/>
      <c r="M350" s="6"/>
      <c r="N350" s="6"/>
      <c r="O350" s="6"/>
      <c r="P350" s="6"/>
      <c r="Q350" s="6"/>
      <c r="R350" s="6"/>
    </row>
    <row r="351" spans="1:18" x14ac:dyDescent="0.35">
      <c r="A351" s="6" t="s">
        <v>215</v>
      </c>
      <c r="B351" s="6"/>
      <c r="C351" s="6"/>
      <c r="D351" s="6"/>
      <c r="E351" s="6"/>
      <c r="F351" s="6"/>
      <c r="G351" s="6"/>
      <c r="H351" s="25"/>
      <c r="I351" s="6"/>
      <c r="J351" s="6"/>
      <c r="K351" s="450"/>
      <c r="L351" s="6"/>
      <c r="M351" s="6"/>
      <c r="N351" s="6"/>
      <c r="O351" s="6"/>
      <c r="P351" s="6"/>
      <c r="Q351" s="6"/>
      <c r="R351" s="6"/>
    </row>
    <row r="352" spans="1:18" x14ac:dyDescent="0.35">
      <c r="A352" s="6"/>
      <c r="B352" s="6"/>
      <c r="C352" s="6"/>
      <c r="D352" s="6"/>
      <c r="E352" s="6"/>
      <c r="F352" s="6"/>
      <c r="G352" s="6"/>
      <c r="H352" s="25"/>
      <c r="I352" s="6"/>
      <c r="J352" s="6"/>
      <c r="K352" s="450"/>
      <c r="L352" s="6"/>
      <c r="M352" s="6"/>
      <c r="N352" s="6"/>
      <c r="O352" s="6"/>
      <c r="P352" s="6"/>
      <c r="Q352" s="6"/>
      <c r="R352" s="6"/>
    </row>
    <row r="353" spans="1:18" x14ac:dyDescent="0.35">
      <c r="A353" s="6" t="s">
        <v>216</v>
      </c>
      <c r="B353" s="6"/>
      <c r="C353" s="6"/>
      <c r="D353" s="6">
        <f t="shared" ref="D353:H353" si="133">(D346+D349+D300+D315)</f>
        <v>5233.8949999999995</v>
      </c>
      <c r="E353" s="6">
        <f t="shared" si="133"/>
        <v>7033.8989999999994</v>
      </c>
      <c r="F353" s="447">
        <f t="shared" si="133"/>
        <v>8295.107</v>
      </c>
      <c r="G353" s="447">
        <f t="shared" si="133"/>
        <v>9462.3000000000029</v>
      </c>
      <c r="H353" s="447">
        <f t="shared" si="133"/>
        <v>9465.8300000000017</v>
      </c>
      <c r="I353" s="447">
        <f>(I346+I349+I300+I315)</f>
        <v>8781.8900000000012</v>
      </c>
      <c r="J353" s="447">
        <f>(J346+J349+J300+J315)</f>
        <v>13978.924929632665</v>
      </c>
      <c r="K353" s="514">
        <f t="shared" ref="K353:N353" si="134">(K346+K349+K300+K315+K254)-K254</f>
        <v>13761.440292540236</v>
      </c>
      <c r="L353" s="447">
        <f t="shared" si="134"/>
        <v>13197.468895073263</v>
      </c>
      <c r="M353" s="447">
        <f t="shared" si="134"/>
        <v>12867.311812771186</v>
      </c>
      <c r="N353" s="447">
        <f t="shared" si="134"/>
        <v>13049.603758458796</v>
      </c>
      <c r="O353" s="447">
        <f t="shared" ref="O353:R353" si="135">(O346+O349+O300+O315+O254)-O254</f>
        <v>13429.429684689667</v>
      </c>
      <c r="P353" s="227" t="e">
        <f t="shared" si="135"/>
        <v>#REF!</v>
      </c>
      <c r="Q353" s="227" t="e">
        <f t="shared" si="135"/>
        <v>#REF!</v>
      </c>
      <c r="R353" s="227" t="e">
        <f t="shared" si="135"/>
        <v>#REF!</v>
      </c>
    </row>
    <row r="354" spans="1:18" x14ac:dyDescent="0.35">
      <c r="A354" s="6" t="s">
        <v>217</v>
      </c>
      <c r="B354" s="6"/>
      <c r="C354" s="6"/>
      <c r="D354" s="6">
        <f t="shared" ref="D354:H354" si="136">D243</f>
        <v>5233.8925799999997</v>
      </c>
      <c r="E354" s="6">
        <f t="shared" si="136"/>
        <v>7033.8989999999994</v>
      </c>
      <c r="F354" s="477">
        <f t="shared" si="136"/>
        <v>8295.1020000000008</v>
      </c>
      <c r="G354" s="477">
        <f t="shared" si="136"/>
        <v>9386.3439999999991</v>
      </c>
      <c r="H354" s="488">
        <f t="shared" si="136"/>
        <v>9465.83</v>
      </c>
      <c r="I354" s="447">
        <f>I243</f>
        <v>8781.8869999999988</v>
      </c>
      <c r="J354" s="447">
        <f>J243</f>
        <v>13978.924929632665</v>
      </c>
      <c r="K354" s="500">
        <f t="shared" ref="K354:R354" si="137">K243</f>
        <v>13761.440292540236</v>
      </c>
      <c r="L354" s="477">
        <f t="shared" si="137"/>
        <v>13197.468895073262</v>
      </c>
      <c r="M354" s="447">
        <f t="shared" si="137"/>
        <v>12867.31181277118</v>
      </c>
      <c r="N354" s="447">
        <f t="shared" si="137"/>
        <v>13049.603758458794</v>
      </c>
      <c r="O354" s="477">
        <f t="shared" si="137"/>
        <v>13429.429684689665</v>
      </c>
      <c r="P354" s="6" t="e">
        <f t="shared" si="137"/>
        <v>#REF!</v>
      </c>
      <c r="Q354" s="6" t="e">
        <f t="shared" si="137"/>
        <v>#REF!</v>
      </c>
      <c r="R354" s="6" t="e">
        <f t="shared" si="137"/>
        <v>#REF!</v>
      </c>
    </row>
    <row r="355" spans="1:18" x14ac:dyDescent="0.35">
      <c r="F355" s="1">
        <f>F353-F354</f>
        <v>4.9999999991996447E-3</v>
      </c>
      <c r="G355" s="1">
        <f t="shared" ref="G355:O355" si="138">G353-G354</f>
        <v>75.956000000003769</v>
      </c>
      <c r="H355" s="1">
        <f t="shared" si="138"/>
        <v>0</v>
      </c>
      <c r="I355" s="1">
        <f t="shared" si="138"/>
        <v>3.0000000024301698E-3</v>
      </c>
      <c r="J355" s="1">
        <f t="shared" si="138"/>
        <v>0</v>
      </c>
      <c r="K355" s="1">
        <f t="shared" si="138"/>
        <v>0</v>
      </c>
      <c r="L355" s="1">
        <f t="shared" si="138"/>
        <v>0</v>
      </c>
      <c r="M355" s="1">
        <f t="shared" si="138"/>
        <v>0</v>
      </c>
      <c r="N355" s="1">
        <f t="shared" si="138"/>
        <v>0</v>
      </c>
      <c r="O355" s="1">
        <f t="shared" si="138"/>
        <v>0</v>
      </c>
    </row>
    <row r="356" spans="1:18" x14ac:dyDescent="0.35">
      <c r="H356" s="329"/>
      <c r="I356" s="307"/>
      <c r="J356" s="307"/>
      <c r="K356" s="307"/>
      <c r="L356" s="307"/>
      <c r="M356" s="307"/>
      <c r="N356" s="307"/>
      <c r="O356" s="307"/>
      <c r="P356" s="307" t="e">
        <f t="shared" ref="P356:R356" si="139">P353-P354</f>
        <v>#REF!</v>
      </c>
      <c r="Q356" s="307" t="e">
        <f t="shared" si="139"/>
        <v>#REF!</v>
      </c>
      <c r="R356" s="307" t="e">
        <f t="shared" si="139"/>
        <v>#REF!</v>
      </c>
    </row>
    <row r="358" spans="1:18" x14ac:dyDescent="0.35">
      <c r="A358" s="1" t="s">
        <v>218</v>
      </c>
      <c r="D358" s="1">
        <f t="shared" ref="D358:R358" si="140">(D241-D349)</f>
        <v>1872.8090000000002</v>
      </c>
      <c r="E358" s="1">
        <f t="shared" si="140"/>
        <v>2991.5010000000002</v>
      </c>
      <c r="F358" s="1">
        <f t="shared" si="140"/>
        <v>3111.5120000000002</v>
      </c>
      <c r="G358" s="1">
        <f t="shared" si="140"/>
        <v>3294.8870000000002</v>
      </c>
      <c r="H358" s="315">
        <f t="shared" si="140"/>
        <v>3468.5399999999995</v>
      </c>
      <c r="I358" s="1">
        <f t="shared" si="140"/>
        <v>3658.9969999999994</v>
      </c>
      <c r="J358" s="1">
        <f t="shared" si="140"/>
        <v>4115.842002465999</v>
      </c>
      <c r="K358" s="1">
        <f t="shared" si="140"/>
        <v>4784.6980703180143</v>
      </c>
      <c r="L358" s="1">
        <f t="shared" si="140"/>
        <v>5671.2200061843741</v>
      </c>
      <c r="M358" s="1">
        <f t="shared" si="140"/>
        <v>6845.062923882293</v>
      </c>
      <c r="N358" s="1">
        <f t="shared" si="140"/>
        <v>8287.8982029032395</v>
      </c>
      <c r="O358" s="1">
        <f t="shared" si="140"/>
        <v>9956.0074624674435</v>
      </c>
      <c r="P358" s="1" t="e">
        <f t="shared" si="140"/>
        <v>#REF!</v>
      </c>
      <c r="Q358" s="1" t="e">
        <f t="shared" si="140"/>
        <v>#REF!</v>
      </c>
      <c r="R358" s="1" t="e">
        <f t="shared" si="140"/>
        <v>#REF!</v>
      </c>
    </row>
    <row r="360" spans="1:18" x14ac:dyDescent="0.35">
      <c r="A360" s="1" t="s">
        <v>219</v>
      </c>
      <c r="D360" s="17" t="s">
        <v>37</v>
      </c>
      <c r="E360" s="17" t="s">
        <v>37</v>
      </c>
      <c r="F360" s="17" t="s">
        <v>37</v>
      </c>
      <c r="G360" s="17" t="s">
        <v>37</v>
      </c>
      <c r="H360" s="330" t="s">
        <v>37</v>
      </c>
      <c r="I360" s="17" t="s">
        <v>37</v>
      </c>
      <c r="J360" s="17"/>
      <c r="K360" s="17"/>
      <c r="L360" s="17"/>
      <c r="M360" s="17"/>
      <c r="N360" s="17"/>
      <c r="O360" s="17"/>
      <c r="P360" s="17" t="s">
        <v>37</v>
      </c>
      <c r="Q360" s="17" t="s">
        <v>37</v>
      </c>
      <c r="R360" s="17" t="s">
        <v>37</v>
      </c>
    </row>
    <row r="361" spans="1:18" x14ac:dyDescent="0.35">
      <c r="A361" s="1" t="s">
        <v>220</v>
      </c>
      <c r="D361" s="1">
        <f t="shared" ref="D361:R361" si="141">(D300-D196)</f>
        <v>279.63742000000002</v>
      </c>
      <c r="E361" s="1">
        <f t="shared" si="141"/>
        <v>693.19400000000007</v>
      </c>
      <c r="F361" s="1">
        <f t="shared" si="141"/>
        <v>542.928</v>
      </c>
      <c r="G361" s="1">
        <f t="shared" si="141"/>
        <v>529.21000000000015</v>
      </c>
      <c r="H361" s="315">
        <f t="shared" si="141"/>
        <v>1184.8200000000002</v>
      </c>
      <c r="I361" s="1">
        <f t="shared" si="141"/>
        <v>367.06999999999982</v>
      </c>
      <c r="J361" s="1">
        <f t="shared" si="141"/>
        <v>702.84507735488887</v>
      </c>
      <c r="K361" s="1">
        <f t="shared" si="141"/>
        <v>1284.4129424037037</v>
      </c>
      <c r="L361" s="1">
        <f t="shared" si="141"/>
        <v>1917.6602123614261</v>
      </c>
      <c r="M361" s="1">
        <f t="shared" si="141"/>
        <v>2870.1559147026614</v>
      </c>
      <c r="N361" s="1">
        <f t="shared" si="141"/>
        <v>3896.359741767189</v>
      </c>
      <c r="O361" s="1">
        <f t="shared" si="141"/>
        <v>5220.021392021401</v>
      </c>
      <c r="P361" s="1" t="e">
        <f t="shared" si="141"/>
        <v>#REF!</v>
      </c>
      <c r="Q361" s="1" t="e">
        <f t="shared" si="141"/>
        <v>#REF!</v>
      </c>
      <c r="R361" s="1" t="e">
        <f t="shared" si="141"/>
        <v>#REF!</v>
      </c>
    </row>
    <row r="362" spans="1:18" x14ac:dyDescent="0.35">
      <c r="D362" s="76"/>
      <c r="E362" s="76"/>
    </row>
    <row r="363" spans="1:18" x14ac:dyDescent="0.35">
      <c r="A363" s="1" t="s">
        <v>221</v>
      </c>
      <c r="D363" s="1">
        <f t="shared" ref="D363:R363" si="142">(D300/D196)</f>
        <v>1.3858246197066144</v>
      </c>
      <c r="E363" s="1">
        <f t="shared" si="142"/>
        <v>2.655827574592907</v>
      </c>
      <c r="F363" s="1">
        <f t="shared" si="142"/>
        <v>1.9608953971785219</v>
      </c>
      <c r="G363" s="1">
        <f t="shared" si="142"/>
        <v>1.5243025283347866</v>
      </c>
      <c r="H363" s="315">
        <f t="shared" si="142"/>
        <v>2.7035024154589373</v>
      </c>
      <c r="I363" s="1">
        <f t="shared" si="142"/>
        <v>1.4623513704151549</v>
      </c>
      <c r="J363" s="1">
        <f t="shared" ref="J363" si="143">(J300/J196)</f>
        <v>1.4400884757242274</v>
      </c>
      <c r="K363" s="1">
        <f t="shared" ref="K363" si="144">(K300/K196)</f>
        <v>1.5938456601266697</v>
      </c>
      <c r="L363" s="1">
        <f t="shared" ref="L363" si="145">(L300/L196)</f>
        <v>1.8660032209293014</v>
      </c>
      <c r="M363" s="1">
        <f t="shared" ref="M363" si="146">(M300/M196)</f>
        <v>2.453361241772833</v>
      </c>
      <c r="N363" s="1">
        <f t="shared" ref="N363" si="147">(N300/N196)</f>
        <v>2.9440520004692652</v>
      </c>
      <c r="O363" s="1">
        <f t="shared" ref="O363" si="148">(O300/O196)</f>
        <v>3.9110523199215175</v>
      </c>
      <c r="P363" s="1" t="e">
        <f t="shared" si="142"/>
        <v>#REF!</v>
      </c>
      <c r="Q363" s="1" t="e">
        <f t="shared" si="142"/>
        <v>#REF!</v>
      </c>
      <c r="R363" s="1" t="e">
        <f t="shared" si="142"/>
        <v>#REF!</v>
      </c>
    </row>
    <row r="364" spans="1:18" x14ac:dyDescent="0.35">
      <c r="A364" s="1" t="s">
        <v>222</v>
      </c>
      <c r="D364" s="1">
        <f t="shared" ref="D364:R364" si="149">D300/(D196-D182)</f>
        <v>2.4511547356340926</v>
      </c>
      <c r="E364" s="1">
        <f t="shared" si="149"/>
        <v>5.0611710723373653</v>
      </c>
      <c r="F364" s="1">
        <f t="shared" si="149"/>
        <v>4.1259398286244151</v>
      </c>
      <c r="G364" s="1">
        <f t="shared" si="149"/>
        <v>2.4328294487840361</v>
      </c>
      <c r="H364" s="315">
        <f t="shared" si="149"/>
        <v>3.5360024070556824</v>
      </c>
      <c r="I364" s="1">
        <f t="shared" si="149"/>
        <v>2.5300514295676422</v>
      </c>
      <c r="J364" s="1">
        <f t="shared" ref="J364" si="150">J300/(J196-J182)</f>
        <v>4.7243032061332721</v>
      </c>
      <c r="K364" s="1">
        <f t="shared" ref="K364" si="151">K300/(K196-K182)</f>
        <v>4.5559652272335684</v>
      </c>
      <c r="L364" s="1">
        <f t="shared" ref="L364" si="152">L300/(L196-L182)</f>
        <v>5.4489400416201965</v>
      </c>
      <c r="M364" s="1">
        <f t="shared" ref="M364" si="153">M300/(M196-M182)</f>
        <v>6.4060132149125542</v>
      </c>
      <c r="N364" s="1">
        <f t="shared" ref="N364" si="154">N300/(N196-N182)</f>
        <v>8.1306181506818795</v>
      </c>
      <c r="O364" s="1">
        <f t="shared" ref="O364" si="155">O300/(O196-O182)</f>
        <v>9.7954663302423359</v>
      </c>
      <c r="P364" s="1" t="e">
        <f t="shared" si="149"/>
        <v>#REF!</v>
      </c>
      <c r="Q364" s="1" t="e">
        <f t="shared" si="149"/>
        <v>#REF!</v>
      </c>
      <c r="R364" s="1" t="e">
        <f t="shared" si="149"/>
        <v>#REF!</v>
      </c>
    </row>
    <row r="365" spans="1:18" x14ac:dyDescent="0.35">
      <c r="A365" s="1" t="s">
        <v>223</v>
      </c>
    </row>
    <row r="366" spans="1:18" x14ac:dyDescent="0.35">
      <c r="A366" s="1" t="s">
        <v>224</v>
      </c>
      <c r="D366" s="1">
        <f t="shared" ref="D366:R366" si="156">(D224/D358)</f>
        <v>1.7946750469481934</v>
      </c>
      <c r="E366" s="1">
        <f t="shared" si="156"/>
        <v>1.3512942165153878</v>
      </c>
      <c r="F366" s="1">
        <f t="shared" si="156"/>
        <v>1.66593926039816</v>
      </c>
      <c r="G366" s="1">
        <f t="shared" si="156"/>
        <v>1.8487605189495115</v>
      </c>
      <c r="H366" s="315">
        <f t="shared" si="156"/>
        <v>1.7290531462805681</v>
      </c>
      <c r="I366" s="1">
        <f t="shared" si="156"/>
        <v>1.4000804045480226</v>
      </c>
      <c r="J366" s="1">
        <f t="shared" ref="J366" si="157">(J224/J358)</f>
        <v>2.3963706384397696</v>
      </c>
      <c r="K366" s="1">
        <f t="shared" ref="K366" si="158">(K224/K358)</f>
        <v>1.8761355659847485</v>
      </c>
      <c r="L366" s="1">
        <f t="shared" ref="L366" si="159">(L224/L358)</f>
        <v>1.3270952071479565</v>
      </c>
      <c r="M366" s="1">
        <f t="shared" ref="M366" si="160">(M224/M358)</f>
        <v>0.87979452575627559</v>
      </c>
      <c r="N366" s="1">
        <f t="shared" ref="N366" si="161">(N224/N358)</f>
        <v>0.57453716720211834</v>
      </c>
      <c r="O366" s="1">
        <f t="shared" ref="O366" si="162">(O224/O358)</f>
        <v>0.34887702076524835</v>
      </c>
      <c r="P366" s="1" t="e">
        <f t="shared" si="156"/>
        <v>#REF!</v>
      </c>
      <c r="Q366" s="1" t="e">
        <f t="shared" si="156"/>
        <v>#REF!</v>
      </c>
      <c r="R366" s="1" t="e">
        <f t="shared" si="156"/>
        <v>#REF!</v>
      </c>
    </row>
    <row r="369" spans="1:18" x14ac:dyDescent="0.35">
      <c r="A369" s="2" t="s">
        <v>225</v>
      </c>
      <c r="B369" s="2"/>
      <c r="C369" s="2"/>
      <c r="D369" s="2"/>
      <c r="E369" s="2"/>
      <c r="F369" s="2"/>
      <c r="G369" s="2"/>
      <c r="H369" s="141"/>
      <c r="I369" s="2"/>
      <c r="J369" s="2"/>
    </row>
    <row r="371" spans="1:18" x14ac:dyDescent="0.35">
      <c r="A371" s="1" t="s">
        <v>226</v>
      </c>
      <c r="D371" s="1">
        <v>0</v>
      </c>
      <c r="E371" s="1">
        <v>0</v>
      </c>
      <c r="F371" s="501">
        <v>0</v>
      </c>
      <c r="G371" s="501">
        <v>0</v>
      </c>
      <c r="H371" s="502">
        <v>0</v>
      </c>
      <c r="I371" s="501">
        <v>0</v>
      </c>
      <c r="J371" s="501">
        <v>0</v>
      </c>
      <c r="K371" s="501">
        <v>0</v>
      </c>
      <c r="L371" s="501">
        <v>0</v>
      </c>
      <c r="M371" s="501">
        <v>0</v>
      </c>
      <c r="N371" s="501">
        <v>0</v>
      </c>
      <c r="O371" s="501">
        <v>0</v>
      </c>
      <c r="P371" s="1">
        <v>0</v>
      </c>
      <c r="Q371" s="1">
        <v>0</v>
      </c>
      <c r="R371" s="1">
        <v>0</v>
      </c>
    </row>
    <row r="372" spans="1:18" x14ac:dyDescent="0.35">
      <c r="A372" s="17" t="s">
        <v>37</v>
      </c>
      <c r="B372" s="17"/>
      <c r="C372" s="17"/>
    </row>
    <row r="373" spans="1:18" x14ac:dyDescent="0.35">
      <c r="A373" s="1" t="s">
        <v>227</v>
      </c>
      <c r="D373" s="1">
        <v>0</v>
      </c>
      <c r="E373" s="1">
        <v>0</v>
      </c>
      <c r="F373" s="501">
        <v>0</v>
      </c>
      <c r="G373" s="501">
        <v>0</v>
      </c>
      <c r="H373" s="502">
        <v>0</v>
      </c>
      <c r="I373" s="501">
        <v>0</v>
      </c>
      <c r="J373" s="501">
        <v>0</v>
      </c>
      <c r="K373" s="501">
        <v>0</v>
      </c>
      <c r="L373" s="501">
        <v>0</v>
      </c>
      <c r="M373" s="501">
        <v>0</v>
      </c>
      <c r="N373" s="501">
        <v>0</v>
      </c>
      <c r="O373" s="501">
        <v>0</v>
      </c>
      <c r="P373" s="1">
        <v>0</v>
      </c>
      <c r="Q373" s="1">
        <v>0</v>
      </c>
      <c r="R373" s="1">
        <v>0</v>
      </c>
    </row>
    <row r="375" spans="1:18" x14ac:dyDescent="0.35">
      <c r="A375" s="1" t="s">
        <v>228</v>
      </c>
    </row>
    <row r="376" spans="1:18" x14ac:dyDescent="0.35">
      <c r="A376" s="1" t="s">
        <v>229</v>
      </c>
      <c r="D376" s="1">
        <v>0</v>
      </c>
      <c r="E376" s="1">
        <v>0</v>
      </c>
      <c r="F376" s="501">
        <v>0</v>
      </c>
      <c r="G376" s="501">
        <v>0</v>
      </c>
      <c r="H376" s="502">
        <v>0</v>
      </c>
      <c r="I376" s="501">
        <v>0</v>
      </c>
      <c r="J376" s="501">
        <v>0</v>
      </c>
      <c r="K376" s="501">
        <v>0</v>
      </c>
      <c r="L376" s="501">
        <v>0</v>
      </c>
      <c r="M376" s="501">
        <v>0</v>
      </c>
      <c r="N376" s="501">
        <v>0</v>
      </c>
      <c r="O376" s="501">
        <v>0</v>
      </c>
      <c r="P376" s="1">
        <v>0</v>
      </c>
      <c r="Q376" s="1">
        <v>0</v>
      </c>
      <c r="R376" s="1">
        <v>0</v>
      </c>
    </row>
    <row r="378" spans="1:18" x14ac:dyDescent="0.35">
      <c r="A378" s="1" t="s">
        <v>230</v>
      </c>
    </row>
    <row r="379" spans="1:18" x14ac:dyDescent="0.35">
      <c r="A379" s="1" t="s">
        <v>231</v>
      </c>
      <c r="D379" s="1">
        <v>0</v>
      </c>
      <c r="E379" s="1">
        <v>0</v>
      </c>
      <c r="F379" s="501">
        <v>0</v>
      </c>
      <c r="G379" s="501">
        <v>0</v>
      </c>
      <c r="H379" s="502">
        <v>0</v>
      </c>
      <c r="I379" s="501">
        <v>0</v>
      </c>
      <c r="J379" s="501">
        <v>0</v>
      </c>
      <c r="K379" s="501">
        <v>0</v>
      </c>
      <c r="L379" s="501">
        <v>0</v>
      </c>
      <c r="M379" s="501">
        <v>0</v>
      </c>
      <c r="N379" s="501">
        <v>0</v>
      </c>
      <c r="O379" s="501">
        <v>0</v>
      </c>
      <c r="P379" s="1">
        <v>0</v>
      </c>
      <c r="Q379" s="1">
        <v>0</v>
      </c>
      <c r="R379" s="1">
        <v>0</v>
      </c>
    </row>
    <row r="381" spans="1:18" x14ac:dyDescent="0.35">
      <c r="A381" s="1" t="s">
        <v>232</v>
      </c>
    </row>
    <row r="382" spans="1:18" x14ac:dyDescent="0.35">
      <c r="A382" s="1" t="s">
        <v>233</v>
      </c>
      <c r="D382" s="1">
        <v>0</v>
      </c>
      <c r="E382" s="1">
        <v>0</v>
      </c>
      <c r="F382" s="501">
        <v>0</v>
      </c>
      <c r="G382" s="501">
        <v>0</v>
      </c>
      <c r="H382" s="502">
        <v>0</v>
      </c>
      <c r="I382" s="501">
        <v>0</v>
      </c>
      <c r="J382" s="501">
        <v>0</v>
      </c>
      <c r="K382" s="501">
        <v>0</v>
      </c>
      <c r="L382" s="501">
        <v>0</v>
      </c>
      <c r="M382" s="501">
        <v>0</v>
      </c>
      <c r="N382" s="501">
        <v>0</v>
      </c>
      <c r="O382" s="501">
        <v>0</v>
      </c>
      <c r="P382" s="1">
        <v>0</v>
      </c>
      <c r="Q382" s="1">
        <v>0</v>
      </c>
      <c r="R382" s="1">
        <v>0</v>
      </c>
    </row>
    <row r="384" spans="1:18" x14ac:dyDescent="0.35">
      <c r="A384" s="1" t="s">
        <v>234</v>
      </c>
    </row>
    <row r="385" spans="1:18" x14ac:dyDescent="0.35">
      <c r="A385" s="1" t="s">
        <v>235</v>
      </c>
      <c r="D385" s="1">
        <v>0</v>
      </c>
      <c r="E385" s="1">
        <v>0</v>
      </c>
      <c r="F385" s="501">
        <v>0</v>
      </c>
      <c r="G385" s="501">
        <v>0</v>
      </c>
      <c r="H385" s="502">
        <v>0</v>
      </c>
      <c r="I385" s="501">
        <v>0</v>
      </c>
      <c r="J385" s="501">
        <v>0</v>
      </c>
      <c r="K385" s="501">
        <v>0</v>
      </c>
      <c r="L385" s="501">
        <v>0</v>
      </c>
      <c r="M385" s="501">
        <v>0</v>
      </c>
      <c r="N385" s="501">
        <v>0</v>
      </c>
      <c r="O385" s="501">
        <v>0</v>
      </c>
      <c r="P385" s="1">
        <v>0</v>
      </c>
      <c r="Q385" s="1">
        <v>0</v>
      </c>
      <c r="R385" s="1">
        <v>0</v>
      </c>
    </row>
    <row r="395" spans="1:18" x14ac:dyDescent="0.35">
      <c r="A395" s="2" t="s">
        <v>236</v>
      </c>
      <c r="B395" s="2"/>
      <c r="C395" s="2"/>
      <c r="D395" s="2"/>
      <c r="E395" s="2"/>
      <c r="F395" s="2"/>
      <c r="G395" s="2"/>
      <c r="H395" s="141"/>
      <c r="I395" s="2"/>
      <c r="J395" s="2"/>
    </row>
    <row r="396" spans="1:18" x14ac:dyDescent="0.35">
      <c r="A396" s="2" t="s">
        <v>237</v>
      </c>
      <c r="B396" s="2"/>
      <c r="C396" s="2"/>
      <c r="D396" s="2"/>
      <c r="E396" s="2"/>
      <c r="F396" s="2"/>
      <c r="G396" s="2"/>
      <c r="H396" s="141"/>
      <c r="I396" s="2"/>
      <c r="J396" s="2"/>
    </row>
    <row r="397" spans="1:18" x14ac:dyDescent="0.35">
      <c r="A397" s="2" t="s">
        <v>87</v>
      </c>
      <c r="B397" s="2"/>
      <c r="C397" s="2"/>
      <c r="D397" s="2"/>
      <c r="E397" s="2"/>
      <c r="F397" s="2"/>
      <c r="G397" s="2"/>
      <c r="H397" s="141"/>
      <c r="I397" s="2"/>
      <c r="J397" s="2"/>
    </row>
    <row r="399" spans="1:18" x14ac:dyDescent="0.35">
      <c r="A399" s="3" t="str">
        <f>A7</f>
        <v>Name: CRPLINFRA PVT. LTD.</v>
      </c>
      <c r="B399" s="3"/>
      <c r="C399" s="3"/>
      <c r="D399" s="3"/>
      <c r="E399" s="3"/>
      <c r="F399" s="3"/>
      <c r="G399" s="3"/>
      <c r="H399" s="317"/>
      <c r="I399" s="3"/>
      <c r="J399" s="3"/>
    </row>
    <row r="400" spans="1:18" x14ac:dyDescent="0.35">
      <c r="A400" s="2"/>
      <c r="B400" s="2"/>
      <c r="C400" s="2"/>
      <c r="D400" s="2"/>
      <c r="E400" s="2"/>
      <c r="F400" s="2"/>
      <c r="G400" s="2"/>
      <c r="H400" s="141"/>
      <c r="I400" s="2"/>
      <c r="J400" s="2"/>
    </row>
    <row r="401" spans="1:18" x14ac:dyDescent="0.35">
      <c r="A401" s="85"/>
      <c r="B401" s="85"/>
      <c r="C401" s="85"/>
      <c r="D401" s="18" t="str">
        <f t="shared" ref="D401:I403" si="163">D249</f>
        <v>2018-19</v>
      </c>
      <c r="E401" s="18" t="str">
        <f t="shared" si="163"/>
        <v>2019-20</v>
      </c>
      <c r="F401" s="86" t="str">
        <f t="shared" si="163"/>
        <v>2020-21</v>
      </c>
      <c r="G401" s="18" t="str">
        <f t="shared" si="163"/>
        <v>2021-22</v>
      </c>
      <c r="H401" s="331" t="str">
        <f t="shared" si="163"/>
        <v>2022-23</v>
      </c>
      <c r="I401" s="18" t="str">
        <f t="shared" si="163"/>
        <v>2023-24</v>
      </c>
      <c r="J401" s="78" t="s">
        <v>673</v>
      </c>
      <c r="K401" s="78" t="s">
        <v>356</v>
      </c>
      <c r="L401" s="78" t="s">
        <v>674</v>
      </c>
      <c r="M401" s="78" t="s">
        <v>358</v>
      </c>
      <c r="N401" s="78" t="s">
        <v>675</v>
      </c>
      <c r="O401" s="78" t="s">
        <v>11</v>
      </c>
      <c r="P401" s="18" t="str">
        <f t="shared" ref="P401:R403" si="164">P249</f>
        <v>2030-31</v>
      </c>
      <c r="Q401" s="18" t="str">
        <f t="shared" si="164"/>
        <v>2031-32</v>
      </c>
      <c r="R401" s="18" t="str">
        <f t="shared" si="164"/>
        <v>2032-33</v>
      </c>
    </row>
    <row r="402" spans="1:18" x14ac:dyDescent="0.35">
      <c r="A402" s="87"/>
      <c r="B402" s="87"/>
      <c r="C402" s="87"/>
      <c r="D402" s="18" t="str">
        <f t="shared" si="163"/>
        <v>Aud.</v>
      </c>
      <c r="E402" s="18" t="str">
        <f t="shared" si="163"/>
        <v>Aud.</v>
      </c>
      <c r="F402" s="18" t="str">
        <f t="shared" si="163"/>
        <v>Aud.</v>
      </c>
      <c r="G402" s="18" t="str">
        <f t="shared" si="163"/>
        <v>Aud.</v>
      </c>
      <c r="H402" s="331" t="str">
        <f t="shared" si="163"/>
        <v>Aud.</v>
      </c>
      <c r="I402" s="18" t="str">
        <f t="shared" si="163"/>
        <v>Aud.</v>
      </c>
      <c r="J402" s="4" t="s">
        <v>15</v>
      </c>
      <c r="K402" s="4" t="s">
        <v>672</v>
      </c>
      <c r="L402" s="4" t="s">
        <v>672</v>
      </c>
      <c r="M402" s="4" t="s">
        <v>672</v>
      </c>
      <c r="N402" s="4" t="s">
        <v>672</v>
      </c>
      <c r="O402" s="4" t="s">
        <v>672</v>
      </c>
      <c r="P402" s="18" t="str">
        <f t="shared" si="164"/>
        <v>Proj</v>
      </c>
      <c r="Q402" s="18" t="str">
        <f t="shared" si="164"/>
        <v>Proj</v>
      </c>
      <c r="R402" s="18" t="str">
        <f t="shared" si="164"/>
        <v>Proj</v>
      </c>
    </row>
    <row r="403" spans="1:18" x14ac:dyDescent="0.35">
      <c r="A403" s="88"/>
      <c r="B403" s="88"/>
      <c r="C403" s="88"/>
      <c r="D403" s="5">
        <f t="shared" si="163"/>
        <v>1</v>
      </c>
      <c r="E403" s="5">
        <f t="shared" si="163"/>
        <v>2</v>
      </c>
      <c r="F403" s="5">
        <f t="shared" si="163"/>
        <v>3</v>
      </c>
      <c r="G403" s="5">
        <f t="shared" si="163"/>
        <v>4</v>
      </c>
      <c r="H403" s="319">
        <f t="shared" si="163"/>
        <v>5</v>
      </c>
      <c r="I403" s="5">
        <f t="shared" si="163"/>
        <v>6</v>
      </c>
      <c r="J403" s="5">
        <v>7</v>
      </c>
      <c r="K403" s="5">
        <v>8</v>
      </c>
      <c r="L403" s="5">
        <v>9</v>
      </c>
      <c r="M403" s="5">
        <v>10</v>
      </c>
      <c r="N403" s="5">
        <v>11</v>
      </c>
      <c r="O403" s="5">
        <v>12</v>
      </c>
      <c r="P403" s="5" t="e">
        <f t="shared" si="164"/>
        <v>#REF!</v>
      </c>
      <c r="Q403" s="5" t="e">
        <f t="shared" si="164"/>
        <v>#REF!</v>
      </c>
      <c r="R403" s="5" t="e">
        <f t="shared" si="164"/>
        <v>#REF!</v>
      </c>
    </row>
    <row r="404" spans="1:18" x14ac:dyDescent="0.35">
      <c r="A404" s="2" t="s">
        <v>238</v>
      </c>
      <c r="B404" s="2"/>
      <c r="C404" s="2"/>
      <c r="D404" s="22"/>
      <c r="E404" s="22"/>
      <c r="F404" s="22"/>
      <c r="G404" s="22"/>
      <c r="H404" s="332"/>
      <c r="I404" s="19"/>
      <c r="J404" s="19"/>
      <c r="K404" s="19"/>
      <c r="L404" s="19"/>
      <c r="M404" s="19"/>
      <c r="N404" s="19"/>
      <c r="O404" s="19"/>
      <c r="P404" s="19"/>
      <c r="Q404" s="19"/>
      <c r="R404" s="19"/>
    </row>
    <row r="405" spans="1:18" x14ac:dyDescent="0.35">
      <c r="A405" s="1" t="s">
        <v>239</v>
      </c>
    </row>
    <row r="406" spans="1:18" x14ac:dyDescent="0.35">
      <c r="A406" s="1" t="s">
        <v>240</v>
      </c>
    </row>
    <row r="407" spans="1:18" x14ac:dyDescent="0.35">
      <c r="A407" s="1" t="s">
        <v>241</v>
      </c>
      <c r="F407" s="501"/>
    </row>
    <row r="409" spans="1:18" x14ac:dyDescent="0.35">
      <c r="A409" s="1" t="s">
        <v>242</v>
      </c>
      <c r="D409" s="1">
        <f t="shared" ref="D409:I409" si="165">(D279)</f>
        <v>0</v>
      </c>
      <c r="E409" s="1">
        <f t="shared" si="165"/>
        <v>0</v>
      </c>
      <c r="F409" s="501">
        <f t="shared" si="165"/>
        <v>0</v>
      </c>
      <c r="G409" s="501">
        <f t="shared" si="165"/>
        <v>0</v>
      </c>
      <c r="H409" s="502">
        <f t="shared" si="165"/>
        <v>0</v>
      </c>
      <c r="I409" s="501">
        <f t="shared" si="165"/>
        <v>0</v>
      </c>
      <c r="J409" s="501">
        <f t="shared" ref="J409" si="166">(J279)</f>
        <v>0</v>
      </c>
      <c r="K409" s="501">
        <f t="shared" ref="K409" si="167">(K279)</f>
        <v>0</v>
      </c>
      <c r="L409" s="501">
        <f t="shared" ref="L409" si="168">(L279)</f>
        <v>0</v>
      </c>
      <c r="M409" s="501">
        <f t="shared" ref="M409" si="169">(M279)</f>
        <v>0</v>
      </c>
      <c r="N409" s="501">
        <f t="shared" ref="N409" si="170">(N279)</f>
        <v>0</v>
      </c>
      <c r="O409" s="501">
        <f t="shared" ref="O409" si="171">(O279)</f>
        <v>0</v>
      </c>
      <c r="P409" s="1">
        <f>(P279)</f>
        <v>0</v>
      </c>
      <c r="Q409" s="1">
        <f>(Q279)</f>
        <v>0</v>
      </c>
      <c r="R409" s="1">
        <f>(R279)</f>
        <v>0</v>
      </c>
    </row>
    <row r="410" spans="1:18" x14ac:dyDescent="0.35">
      <c r="A410" s="1" t="s">
        <v>243</v>
      </c>
      <c r="D410" s="1">
        <v>0</v>
      </c>
      <c r="E410" s="1">
        <v>0</v>
      </c>
      <c r="F410" s="501">
        <v>0</v>
      </c>
      <c r="G410" s="501">
        <v>0</v>
      </c>
      <c r="H410" s="502">
        <v>0</v>
      </c>
      <c r="I410" s="501">
        <v>0</v>
      </c>
      <c r="J410" s="501">
        <v>0</v>
      </c>
      <c r="K410" s="501">
        <v>0</v>
      </c>
      <c r="L410" s="501">
        <v>0</v>
      </c>
      <c r="M410" s="501">
        <v>0</v>
      </c>
      <c r="N410" s="501">
        <v>0</v>
      </c>
      <c r="O410" s="501">
        <v>0</v>
      </c>
      <c r="P410" s="1">
        <v>0</v>
      </c>
      <c r="Q410" s="1">
        <v>0</v>
      </c>
      <c r="R410" s="1">
        <v>0</v>
      </c>
    </row>
    <row r="412" spans="1:18" x14ac:dyDescent="0.35">
      <c r="A412" s="1" t="s">
        <v>244</v>
      </c>
      <c r="D412" s="1">
        <f t="shared" ref="D412:I412" si="172">(D280)</f>
        <v>0</v>
      </c>
      <c r="E412" s="1">
        <f t="shared" si="172"/>
        <v>0</v>
      </c>
      <c r="F412" s="501">
        <f t="shared" si="172"/>
        <v>0</v>
      </c>
      <c r="G412" s="501">
        <f t="shared" si="172"/>
        <v>0</v>
      </c>
      <c r="H412" s="502">
        <f t="shared" si="172"/>
        <v>0</v>
      </c>
      <c r="I412" s="501">
        <f t="shared" si="172"/>
        <v>5</v>
      </c>
      <c r="J412" s="501">
        <f t="shared" ref="J412" si="173">(J280)</f>
        <v>5</v>
      </c>
      <c r="K412" s="501">
        <f t="shared" ref="K412" si="174">(K280)</f>
        <v>5</v>
      </c>
      <c r="L412" s="501">
        <f t="shared" ref="L412" si="175">(L280)</f>
        <v>5</v>
      </c>
      <c r="M412" s="501">
        <f t="shared" ref="M412" si="176">(M280)</f>
        <v>5</v>
      </c>
      <c r="N412" s="501">
        <f t="shared" ref="N412" si="177">(N280)</f>
        <v>5</v>
      </c>
      <c r="O412" s="501">
        <f t="shared" ref="O412" si="178">(O280)</f>
        <v>5</v>
      </c>
      <c r="P412" s="1">
        <f>(P280)</f>
        <v>114.12117866212898</v>
      </c>
      <c r="Q412" s="1">
        <f>(Q280)</f>
        <v>114.12117866212898</v>
      </c>
      <c r="R412" s="1">
        <f>(R280)</f>
        <v>119.82723759523543</v>
      </c>
    </row>
    <row r="413" spans="1:18" x14ac:dyDescent="0.35">
      <c r="A413" s="1" t="s">
        <v>243</v>
      </c>
      <c r="F413" s="501">
        <v>0</v>
      </c>
      <c r="G413" s="501">
        <v>0</v>
      </c>
      <c r="H413" s="502">
        <v>0</v>
      </c>
      <c r="I413" s="501">
        <v>0</v>
      </c>
      <c r="J413" s="501">
        <v>0</v>
      </c>
      <c r="K413" s="501">
        <v>0</v>
      </c>
      <c r="L413" s="501">
        <v>0</v>
      </c>
      <c r="M413" s="501">
        <v>0</v>
      </c>
      <c r="N413" s="501">
        <v>0</v>
      </c>
      <c r="O413" s="501">
        <v>0</v>
      </c>
      <c r="P413" s="1">
        <v>0</v>
      </c>
      <c r="Q413" s="1">
        <v>0</v>
      </c>
      <c r="R413" s="1">
        <v>0</v>
      </c>
    </row>
    <row r="415" spans="1:18" x14ac:dyDescent="0.35">
      <c r="A415" s="1" t="s">
        <v>245</v>
      </c>
    </row>
    <row r="416" spans="1:18" x14ac:dyDescent="0.35">
      <c r="A416" s="1" t="s">
        <v>246</v>
      </c>
    </row>
    <row r="418" spans="1:18" x14ac:dyDescent="0.35">
      <c r="A418" s="1" t="s">
        <v>242</v>
      </c>
      <c r="D418" s="1">
        <v>0</v>
      </c>
      <c r="E418" s="1">
        <v>0</v>
      </c>
      <c r="F418" s="501">
        <v>0</v>
      </c>
      <c r="G418" s="501">
        <v>0</v>
      </c>
      <c r="H418" s="502">
        <v>0</v>
      </c>
      <c r="I418" s="501">
        <v>0</v>
      </c>
      <c r="J418" s="501">
        <v>0</v>
      </c>
      <c r="K418" s="501">
        <v>0</v>
      </c>
      <c r="L418" s="501">
        <v>0</v>
      </c>
      <c r="M418" s="501">
        <v>0</v>
      </c>
      <c r="N418" s="501">
        <v>0</v>
      </c>
      <c r="O418" s="501">
        <v>0</v>
      </c>
      <c r="P418" s="1">
        <v>0</v>
      </c>
      <c r="Q418" s="1">
        <v>0</v>
      </c>
      <c r="R418" s="1">
        <v>0</v>
      </c>
    </row>
    <row r="419" spans="1:18" x14ac:dyDescent="0.35">
      <c r="A419" s="1" t="s">
        <v>243</v>
      </c>
    </row>
    <row r="420" spans="1:18" x14ac:dyDescent="0.35">
      <c r="A420" s="1" t="s">
        <v>244</v>
      </c>
      <c r="D420" s="1">
        <f t="shared" ref="D420:I420" si="179">(D288)</f>
        <v>1.5069999999999999</v>
      </c>
      <c r="E420" s="1">
        <f t="shared" si="179"/>
        <v>2.3940000000000001</v>
      </c>
      <c r="F420" s="501">
        <f t="shared" si="179"/>
        <v>0.7</v>
      </c>
      <c r="G420" s="501">
        <f t="shared" si="179"/>
        <v>0</v>
      </c>
      <c r="H420" s="502">
        <f t="shared" si="179"/>
        <v>0</v>
      </c>
      <c r="I420" s="501">
        <f t="shared" si="179"/>
        <v>0</v>
      </c>
      <c r="J420" s="501">
        <f t="shared" ref="J420" si="180">(J288)</f>
        <v>0</v>
      </c>
      <c r="K420" s="501">
        <f t="shared" ref="K420" si="181">(K288)</f>
        <v>0</v>
      </c>
      <c r="L420" s="501">
        <f t="shared" ref="L420" si="182">(L288)</f>
        <v>0</v>
      </c>
      <c r="M420" s="501">
        <f t="shared" ref="M420" si="183">(M288)</f>
        <v>0</v>
      </c>
      <c r="N420" s="501">
        <f t="shared" ref="N420" si="184">(N288)</f>
        <v>0</v>
      </c>
      <c r="O420" s="501">
        <f t="shared" ref="O420" si="185">(O288)</f>
        <v>0</v>
      </c>
      <c r="P420" s="1">
        <f>(P288)</f>
        <v>0</v>
      </c>
      <c r="Q420" s="1">
        <f>(Q288)</f>
        <v>0</v>
      </c>
      <c r="R420" s="1">
        <f>(R288)</f>
        <v>0</v>
      </c>
    </row>
    <row r="421" spans="1:18" x14ac:dyDescent="0.35">
      <c r="A421" s="1" t="s">
        <v>243</v>
      </c>
      <c r="F421" s="501">
        <v>0</v>
      </c>
      <c r="G421" s="501">
        <v>0</v>
      </c>
      <c r="H421" s="502">
        <v>0</v>
      </c>
      <c r="I421" s="501">
        <v>0</v>
      </c>
      <c r="J421" s="501">
        <v>0</v>
      </c>
      <c r="K421" s="501">
        <v>0</v>
      </c>
      <c r="L421" s="501">
        <v>0</v>
      </c>
      <c r="M421" s="501">
        <v>0</v>
      </c>
      <c r="N421" s="501">
        <v>0</v>
      </c>
      <c r="O421" s="501">
        <v>0</v>
      </c>
      <c r="P421" s="1">
        <v>0</v>
      </c>
      <c r="Q421" s="1">
        <v>0</v>
      </c>
      <c r="R421" s="1">
        <v>0</v>
      </c>
    </row>
    <row r="423" spans="1:18" x14ac:dyDescent="0.35">
      <c r="A423" s="1" t="s">
        <v>247</v>
      </c>
      <c r="D423" s="1">
        <f t="shared" ref="D423:I423" si="186">(D282)</f>
        <v>0</v>
      </c>
      <c r="E423" s="1">
        <f t="shared" si="186"/>
        <v>0</v>
      </c>
      <c r="F423" s="501">
        <f t="shared" si="186"/>
        <v>0</v>
      </c>
      <c r="G423" s="501">
        <f t="shared" si="186"/>
        <v>0</v>
      </c>
      <c r="H423" s="502">
        <f t="shared" si="186"/>
        <v>0</v>
      </c>
      <c r="I423" s="501">
        <f t="shared" si="186"/>
        <v>0</v>
      </c>
      <c r="J423" s="501">
        <f t="shared" ref="J423" si="187">(J282)</f>
        <v>0</v>
      </c>
      <c r="K423" s="501">
        <f t="shared" ref="K423" si="188">(K282)</f>
        <v>0</v>
      </c>
      <c r="L423" s="501">
        <f t="shared" ref="L423" si="189">(L282)</f>
        <v>0</v>
      </c>
      <c r="M423" s="501">
        <f t="shared" ref="M423" si="190">(M282)</f>
        <v>0</v>
      </c>
      <c r="N423" s="501">
        <f t="shared" ref="N423" si="191">(N282)</f>
        <v>0</v>
      </c>
      <c r="O423" s="501">
        <f t="shared" ref="O423" si="192">(O282)</f>
        <v>0</v>
      </c>
      <c r="P423" s="1">
        <f>(P282)</f>
        <v>0</v>
      </c>
      <c r="Q423" s="1">
        <f>(Q282)</f>
        <v>0</v>
      </c>
      <c r="R423" s="1">
        <f>(R282)</f>
        <v>0</v>
      </c>
    </row>
    <row r="424" spans="1:18" x14ac:dyDescent="0.35">
      <c r="A424" s="1" t="s">
        <v>248</v>
      </c>
      <c r="F424" s="501">
        <f>(F423/F70)*6</f>
        <v>0</v>
      </c>
      <c r="G424" s="501">
        <f t="shared" ref="G424:O424" si="193">(G423/G70)*12</f>
        <v>0</v>
      </c>
      <c r="H424" s="502">
        <f t="shared" si="193"/>
        <v>0</v>
      </c>
      <c r="I424" s="501">
        <f t="shared" si="193"/>
        <v>0</v>
      </c>
      <c r="J424" s="501">
        <f t="shared" si="193"/>
        <v>0</v>
      </c>
      <c r="K424" s="501">
        <f t="shared" si="193"/>
        <v>0</v>
      </c>
      <c r="L424" s="501">
        <f t="shared" si="193"/>
        <v>0</v>
      </c>
      <c r="M424" s="501">
        <f t="shared" si="193"/>
        <v>0</v>
      </c>
      <c r="N424" s="501">
        <f t="shared" si="193"/>
        <v>0</v>
      </c>
      <c r="O424" s="501">
        <f t="shared" si="193"/>
        <v>0</v>
      </c>
      <c r="P424" s="1" t="e">
        <f t="shared" ref="P424:R424" si="194">(P423/P70)*12</f>
        <v>#REF!</v>
      </c>
      <c r="Q424" s="1" t="e">
        <f t="shared" si="194"/>
        <v>#REF!</v>
      </c>
      <c r="R424" s="1" t="e">
        <f t="shared" si="194"/>
        <v>#REF!</v>
      </c>
    </row>
    <row r="426" spans="1:18" x14ac:dyDescent="0.35">
      <c r="A426" s="1" t="s">
        <v>249</v>
      </c>
      <c r="D426" s="1">
        <f t="shared" ref="D426:I426" si="195">(D284)</f>
        <v>0</v>
      </c>
      <c r="E426" s="1">
        <f t="shared" si="195"/>
        <v>0</v>
      </c>
      <c r="F426" s="501">
        <f t="shared" si="195"/>
        <v>0</v>
      </c>
      <c r="G426" s="501">
        <f t="shared" si="195"/>
        <v>0</v>
      </c>
      <c r="H426" s="502">
        <f t="shared" si="195"/>
        <v>0</v>
      </c>
      <c r="I426" s="501">
        <f t="shared" si="195"/>
        <v>0</v>
      </c>
      <c r="J426" s="501">
        <f t="shared" ref="J426" si="196">(J284)</f>
        <v>0</v>
      </c>
      <c r="K426" s="501">
        <f t="shared" ref="K426" si="197">(K284)</f>
        <v>0</v>
      </c>
      <c r="L426" s="501">
        <f t="shared" ref="L426" si="198">(L284)</f>
        <v>0</v>
      </c>
      <c r="M426" s="501">
        <f t="shared" ref="M426" si="199">(M284)</f>
        <v>0</v>
      </c>
      <c r="N426" s="501">
        <f t="shared" ref="N426" si="200">(N284)</f>
        <v>0</v>
      </c>
      <c r="O426" s="501">
        <f t="shared" ref="O426" si="201">(O284)</f>
        <v>0</v>
      </c>
      <c r="P426" s="1">
        <f>(P284)</f>
        <v>0</v>
      </c>
      <c r="Q426" s="1">
        <f>(Q284)</f>
        <v>0</v>
      </c>
      <c r="R426" s="1">
        <f>(R284)</f>
        <v>0</v>
      </c>
    </row>
    <row r="427" spans="1:18" x14ac:dyDescent="0.35">
      <c r="A427" s="1" t="s">
        <v>250</v>
      </c>
      <c r="F427" s="501">
        <f>(F426/F80)*6</f>
        <v>0</v>
      </c>
      <c r="G427" s="501">
        <f t="shared" ref="G427:O427" si="202">(G426/G80)*12</f>
        <v>0</v>
      </c>
      <c r="H427" s="502">
        <f t="shared" si="202"/>
        <v>0</v>
      </c>
      <c r="I427" s="501">
        <f t="shared" si="202"/>
        <v>0</v>
      </c>
      <c r="J427" s="501">
        <f t="shared" si="202"/>
        <v>0</v>
      </c>
      <c r="K427" s="501">
        <f t="shared" si="202"/>
        <v>0</v>
      </c>
      <c r="L427" s="501">
        <f t="shared" si="202"/>
        <v>0</v>
      </c>
      <c r="M427" s="501">
        <f t="shared" si="202"/>
        <v>0</v>
      </c>
      <c r="N427" s="501">
        <f t="shared" si="202"/>
        <v>0</v>
      </c>
      <c r="O427" s="501">
        <f t="shared" si="202"/>
        <v>0</v>
      </c>
      <c r="P427" s="1" t="e">
        <f t="shared" ref="P427:R427" si="203">(P426/P80)*12</f>
        <v>#REF!</v>
      </c>
      <c r="Q427" s="1" t="e">
        <f t="shared" si="203"/>
        <v>#REF!</v>
      </c>
      <c r="R427" s="1" t="e">
        <f t="shared" si="203"/>
        <v>#REF!</v>
      </c>
    </row>
    <row r="429" spans="1:18" x14ac:dyDescent="0.35">
      <c r="A429" s="1" t="s">
        <v>251</v>
      </c>
    </row>
    <row r="430" spans="1:18" x14ac:dyDescent="0.35">
      <c r="A430" s="1" t="s">
        <v>252</v>
      </c>
    </row>
    <row r="431" spans="1:18" x14ac:dyDescent="0.35">
      <c r="A431" s="1" t="s">
        <v>253</v>
      </c>
      <c r="D431" s="1">
        <f t="shared" ref="D431:I431" si="204">(D266)</f>
        <v>180.90700000000001</v>
      </c>
      <c r="E431" s="1">
        <f t="shared" si="204"/>
        <v>420.62700000000001</v>
      </c>
      <c r="F431" s="1">
        <f t="shared" si="204"/>
        <v>579.12800000000004</v>
      </c>
      <c r="G431" s="1">
        <f t="shared" si="204"/>
        <v>777.59</v>
      </c>
      <c r="H431" s="315">
        <f t="shared" si="204"/>
        <v>866.51</v>
      </c>
      <c r="I431" s="1">
        <f t="shared" si="204"/>
        <v>557.88</v>
      </c>
      <c r="J431" s="1">
        <f t="shared" ref="J431" si="205">(J266)</f>
        <v>904.89425200000005</v>
      </c>
      <c r="K431" s="1">
        <f t="shared" ref="K431" si="206">(K266)</f>
        <v>1166.8099999999995</v>
      </c>
      <c r="L431" s="1">
        <f t="shared" ref="L431" si="207">(L266)</f>
        <v>1214.9699999999993</v>
      </c>
      <c r="M431" s="1">
        <f t="shared" ref="M431" si="208">(M266)</f>
        <v>1223.619999999999</v>
      </c>
      <c r="N431" s="1">
        <f t="shared" ref="N431" si="209">(N266)</f>
        <v>1272.7999999999993</v>
      </c>
      <c r="O431" s="1">
        <f t="shared" ref="O431" si="210">(O266)</f>
        <v>1322.5299999999997</v>
      </c>
      <c r="P431" s="1">
        <f>(P266)</f>
        <v>1375.5563334646681</v>
      </c>
      <c r="Q431" s="1">
        <f>(Q266)</f>
        <v>1123.5874601339615</v>
      </c>
      <c r="R431" s="1">
        <f>(R266)</f>
        <v>1146.0592093366406</v>
      </c>
    </row>
    <row r="432" spans="1:18" x14ac:dyDescent="0.35">
      <c r="A432" s="1" t="s">
        <v>254</v>
      </c>
      <c r="D432" s="1">
        <f t="shared" ref="D432:R432" si="211">(D431/D13)*12</f>
        <v>2.2049415268233128</v>
      </c>
      <c r="E432" s="1">
        <f t="shared" si="211"/>
        <v>4.0225116132286818</v>
      </c>
      <c r="F432" s="1">
        <f t="shared" si="211"/>
        <v>5.4894733308319683</v>
      </c>
      <c r="G432" s="1">
        <f t="shared" si="211"/>
        <v>4.9720150049021701</v>
      </c>
      <c r="H432" s="315">
        <f t="shared" si="211"/>
        <v>4.0413065107891297</v>
      </c>
      <c r="I432" s="1">
        <f t="shared" si="211"/>
        <v>3.1260750146768643</v>
      </c>
      <c r="J432" s="1">
        <f t="shared" si="211"/>
        <v>4.8575675604113044</v>
      </c>
      <c r="K432" s="1">
        <f t="shared" si="211"/>
        <v>2.4413707100795987</v>
      </c>
      <c r="L432" s="1">
        <f t="shared" si="211"/>
        <v>2.4468563413156845</v>
      </c>
      <c r="M432" s="1">
        <f t="shared" si="211"/>
        <v>2.4114672696484436</v>
      </c>
      <c r="N432" s="1">
        <f t="shared" si="211"/>
        <v>2.4140035238696806</v>
      </c>
      <c r="O432" s="1">
        <f t="shared" si="211"/>
        <v>2.4144014519595247</v>
      </c>
      <c r="P432" s="1" t="e">
        <f t="shared" si="211"/>
        <v>#REF!</v>
      </c>
      <c r="Q432" s="1" t="e">
        <f t="shared" si="211"/>
        <v>#REF!</v>
      </c>
      <c r="R432" s="1" t="e">
        <f t="shared" si="211"/>
        <v>#REF!</v>
      </c>
    </row>
    <row r="433" spans="1:18" x14ac:dyDescent="0.35">
      <c r="A433" s="1" t="s">
        <v>255</v>
      </c>
    </row>
    <row r="435" spans="1:18" x14ac:dyDescent="0.35">
      <c r="A435" s="1" t="s">
        <v>256</v>
      </c>
      <c r="D435" s="1">
        <f t="shared" ref="D435:I435" si="212">(D270)</f>
        <v>0</v>
      </c>
      <c r="E435" s="1">
        <f t="shared" si="212"/>
        <v>0</v>
      </c>
      <c r="F435" s="501">
        <f t="shared" si="212"/>
        <v>0</v>
      </c>
      <c r="G435" s="501">
        <f t="shared" si="212"/>
        <v>0</v>
      </c>
      <c r="H435" s="502">
        <f t="shared" si="212"/>
        <v>0</v>
      </c>
      <c r="I435" s="501">
        <f t="shared" si="212"/>
        <v>0</v>
      </c>
      <c r="J435" s="501">
        <f t="shared" ref="J435" si="213">(J270)</f>
        <v>0</v>
      </c>
      <c r="K435" s="501">
        <f t="shared" ref="K435" si="214">(K270)</f>
        <v>0</v>
      </c>
      <c r="L435" s="501">
        <f t="shared" ref="L435" si="215">(L270)</f>
        <v>0</v>
      </c>
      <c r="M435" s="501">
        <f t="shared" ref="M435" si="216">(M270)</f>
        <v>0</v>
      </c>
      <c r="N435" s="501">
        <f t="shared" ref="N435" si="217">(N270)</f>
        <v>0</v>
      </c>
      <c r="O435" s="501">
        <f t="shared" ref="O435" si="218">(O270)</f>
        <v>0</v>
      </c>
      <c r="P435" s="1">
        <f>(P270)</f>
        <v>0</v>
      </c>
      <c r="Q435" s="1">
        <f>(Q270)</f>
        <v>0</v>
      </c>
      <c r="R435" s="1">
        <f>(R270)</f>
        <v>0</v>
      </c>
    </row>
    <row r="436" spans="1:18" x14ac:dyDescent="0.35">
      <c r="A436" s="1" t="s">
        <v>257</v>
      </c>
      <c r="D436" s="1">
        <v>0</v>
      </c>
      <c r="E436" s="1">
        <v>0</v>
      </c>
      <c r="F436" s="501">
        <v>0</v>
      </c>
      <c r="G436" s="501">
        <v>0</v>
      </c>
      <c r="H436" s="502">
        <v>0</v>
      </c>
      <c r="I436" s="501">
        <v>0</v>
      </c>
      <c r="J436" s="501">
        <v>0</v>
      </c>
      <c r="K436" s="501">
        <v>0</v>
      </c>
      <c r="L436" s="501">
        <v>0</v>
      </c>
      <c r="M436" s="501">
        <v>0</v>
      </c>
      <c r="N436" s="501">
        <v>0</v>
      </c>
      <c r="O436" s="501">
        <v>0</v>
      </c>
      <c r="P436" s="1">
        <v>0</v>
      </c>
      <c r="Q436" s="1">
        <v>0</v>
      </c>
      <c r="R436" s="1">
        <v>0</v>
      </c>
    </row>
    <row r="437" spans="1:18" x14ac:dyDescent="0.35">
      <c r="A437" s="17" t="s">
        <v>37</v>
      </c>
      <c r="B437" s="17"/>
      <c r="C437" s="17"/>
    </row>
    <row r="438" spans="1:18" x14ac:dyDescent="0.35">
      <c r="A438" s="1" t="s">
        <v>258</v>
      </c>
      <c r="D438" s="1">
        <f t="shared" ref="D438:I438" si="219">(D291)</f>
        <v>0</v>
      </c>
      <c r="E438" s="1">
        <f t="shared" si="219"/>
        <v>0</v>
      </c>
      <c r="F438" s="501">
        <f t="shared" si="219"/>
        <v>0</v>
      </c>
      <c r="G438" s="501">
        <f t="shared" si="219"/>
        <v>0</v>
      </c>
      <c r="H438" s="502">
        <f t="shared" si="219"/>
        <v>24.45</v>
      </c>
      <c r="I438" s="501">
        <f t="shared" si="219"/>
        <v>21.55</v>
      </c>
      <c r="J438" s="501">
        <f t="shared" ref="J438" si="220">(J291)</f>
        <v>21.55</v>
      </c>
      <c r="K438" s="501">
        <f t="shared" ref="K438" si="221">(K291)</f>
        <v>21.55</v>
      </c>
      <c r="L438" s="501">
        <f t="shared" ref="L438" si="222">(L291)</f>
        <v>21.55</v>
      </c>
      <c r="M438" s="501">
        <f t="shared" ref="M438" si="223">(M291)</f>
        <v>21.55</v>
      </c>
      <c r="N438" s="501">
        <f t="shared" ref="N438" si="224">(N291)</f>
        <v>21.55</v>
      </c>
      <c r="O438" s="501">
        <f t="shared" ref="O438" si="225">(O291)</f>
        <v>21.55</v>
      </c>
      <c r="P438" s="1">
        <f>(P291)</f>
        <v>0</v>
      </c>
      <c r="Q438" s="1">
        <f>(Q291)</f>
        <v>0</v>
      </c>
      <c r="R438" s="1">
        <f>(R291)</f>
        <v>0</v>
      </c>
    </row>
    <row r="439" spans="1:18" x14ac:dyDescent="0.35">
      <c r="A439" s="1" t="s">
        <v>259</v>
      </c>
    </row>
    <row r="441" spans="1:18" x14ac:dyDescent="0.35">
      <c r="A441" s="1" t="s">
        <v>260</v>
      </c>
    </row>
    <row r="442" spans="1:18" x14ac:dyDescent="0.35">
      <c r="A442" s="1" t="s">
        <v>261</v>
      </c>
    </row>
    <row r="443" spans="1:18" x14ac:dyDescent="0.35">
      <c r="A443" s="1" t="s">
        <v>262</v>
      </c>
    </row>
    <row r="444" spans="1:18" x14ac:dyDescent="0.35">
      <c r="A444" s="1" t="s">
        <v>263</v>
      </c>
      <c r="D444" s="1">
        <f t="shared" ref="D444:G444" si="226">(D254+D259+D261+D273+D293+D295+D296+D297)</f>
        <v>822.00199999999995</v>
      </c>
      <c r="E444" s="1">
        <f>(E254+E259+E261+E273+E293+E295+E296+E297+E298)</f>
        <v>688.81200000000001</v>
      </c>
      <c r="F444" s="1">
        <f t="shared" si="226"/>
        <v>528.12299999999993</v>
      </c>
      <c r="G444" s="1">
        <f t="shared" si="226"/>
        <v>760.98</v>
      </c>
      <c r="H444" s="315">
        <f>(H254+H259+H261+H273+H293+H295+H296+H297)</f>
        <v>900.12</v>
      </c>
      <c r="I444" s="1">
        <f t="shared" ref="I444:R444" si="227">(I254+I259+I261+I273+I293+I295+I296+I297)</f>
        <v>495.36</v>
      </c>
      <c r="J444" s="1">
        <f t="shared" ref="J444" si="228">(J254+J259+J261+J273+J293+J295+J296+J297)</f>
        <v>1287.2548636326667</v>
      </c>
      <c r="K444" s="1">
        <f t="shared" ref="K444" si="229">(K254+K259+K261+K273+K293+K295+K296+K297)</f>
        <v>2172.7262757370372</v>
      </c>
      <c r="L444" s="1">
        <f t="shared" ref="L444" si="230">(L254+L259+L261+L273+L293+L295+L296+L297)</f>
        <v>2809.3202123614265</v>
      </c>
      <c r="M444" s="1">
        <f t="shared" ref="M444" si="231">(M254+M259+M261+M273+M293+M295+M296+M297)</f>
        <v>3513.6259147026622</v>
      </c>
      <c r="N444" s="1">
        <f t="shared" ref="N444" si="232">(N254+N259+N261+N273+N293+N295+N296+N297)</f>
        <v>4520.0564084338557</v>
      </c>
      <c r="O444" s="1">
        <f t="shared" ref="O444" si="233">(O254+O259+O261+O273+O293+O295+O296+O297)</f>
        <v>5582.9147253547353</v>
      </c>
      <c r="P444" s="1" t="e">
        <f t="shared" si="227"/>
        <v>#REF!</v>
      </c>
      <c r="Q444" s="1" t="e">
        <f t="shared" si="227"/>
        <v>#REF!</v>
      </c>
      <c r="R444" s="1" t="e">
        <f t="shared" si="227"/>
        <v>#REF!</v>
      </c>
    </row>
    <row r="445" spans="1:18" x14ac:dyDescent="0.35">
      <c r="A445" s="17" t="s">
        <v>37</v>
      </c>
      <c r="B445" s="17"/>
      <c r="C445" s="17"/>
    </row>
    <row r="446" spans="1:18" x14ac:dyDescent="0.35">
      <c r="A446" s="1" t="s">
        <v>264</v>
      </c>
      <c r="D446" s="1">
        <f t="shared" ref="D446:I446" si="234">(D409+D412+D418+D420+D423+D426+D431+D435+D438+D444)</f>
        <v>1004.4159999999999</v>
      </c>
      <c r="E446" s="1">
        <f t="shared" si="234"/>
        <v>1111.8330000000001</v>
      </c>
      <c r="F446" s="1">
        <f>(F409+F412+F418+F420+F423+F426+F431+F435+F438+F444)</f>
        <v>1107.951</v>
      </c>
      <c r="G446" s="1">
        <f t="shared" si="234"/>
        <v>1538.5700000000002</v>
      </c>
      <c r="H446" s="315">
        <f t="shared" si="234"/>
        <v>1791.08</v>
      </c>
      <c r="I446" s="1">
        <f t="shared" si="234"/>
        <v>1079.79</v>
      </c>
      <c r="J446" s="1">
        <f t="shared" ref="J446" si="235">(J409+J412+J418+J420+J423+J426+J431+J435+J438+J444)</f>
        <v>2218.6991156326667</v>
      </c>
      <c r="K446" s="1">
        <f t="shared" ref="K446" si="236">(K409+K412+K418+K420+K423+K426+K431+K435+K438+K444)</f>
        <v>3366.0862757370369</v>
      </c>
      <c r="L446" s="1">
        <f t="shared" ref="L446" si="237">(L409+L412+L418+L420+L423+L426+L431+L435+L438+L444)</f>
        <v>4050.840212361426</v>
      </c>
      <c r="M446" s="1">
        <f t="shared" ref="M446" si="238">(M409+M412+M418+M420+M423+M426+M431+M435+M438+M444)</f>
        <v>4763.7959147026613</v>
      </c>
      <c r="N446" s="1">
        <f t="shared" ref="N446" si="239">(N409+N412+N418+N420+N423+N426+N431+N435+N438+N444)</f>
        <v>5819.4064084338552</v>
      </c>
      <c r="O446" s="1">
        <f t="shared" ref="O446" si="240">(O409+O412+O418+O420+O423+O426+O431+O435+O438+O444)</f>
        <v>6931.9947253547352</v>
      </c>
      <c r="P446" s="1" t="e">
        <f>(P409+P412+P418+P420+P423+P426+P431+P435+P438+P444)</f>
        <v>#REF!</v>
      </c>
      <c r="Q446" s="1" t="e">
        <f>(Q409+Q412+Q418+Q420+Q423+Q426+Q431+Q435+Q438+Q444)</f>
        <v>#REF!</v>
      </c>
      <c r="R446" s="1" t="e">
        <f>(R409+R412+R418+R420+R423+R426+R431+R435+R438+R444)</f>
        <v>#REF!</v>
      </c>
    </row>
    <row r="447" spans="1:18" x14ac:dyDescent="0.35">
      <c r="A447" s="1" t="s">
        <v>265</v>
      </c>
      <c r="D447" s="1">
        <f t="shared" ref="D447:I447" si="241">D300</f>
        <v>1004.4159999999999</v>
      </c>
      <c r="E447" s="1">
        <f t="shared" si="241"/>
        <v>1111.8330000000001</v>
      </c>
      <c r="F447" s="1">
        <f t="shared" si="241"/>
        <v>1107.951</v>
      </c>
      <c r="G447" s="1">
        <f t="shared" si="241"/>
        <v>1538.5700000000002</v>
      </c>
      <c r="H447" s="315">
        <f t="shared" si="241"/>
        <v>1880.3400000000001</v>
      </c>
      <c r="I447" s="1">
        <f t="shared" si="241"/>
        <v>1160.99</v>
      </c>
      <c r="J447" s="1">
        <f t="shared" ref="J447" si="242">J300</f>
        <v>2299.8991156326665</v>
      </c>
      <c r="K447" s="1">
        <f t="shared" ref="K447" si="243">K300</f>
        <v>3447.2862757370367</v>
      </c>
      <c r="L447" s="1">
        <f t="shared" ref="L447" si="244">L300</f>
        <v>4132.0402123614258</v>
      </c>
      <c r="M447" s="1">
        <f t="shared" ref="M447" si="245">M300</f>
        <v>4844.9959147026611</v>
      </c>
      <c r="N447" s="1">
        <f t="shared" ref="N447" si="246">N300</f>
        <v>5900.606408433855</v>
      </c>
      <c r="O447" s="1">
        <f t="shared" ref="O447" si="247">O300</f>
        <v>7013.1947253547351</v>
      </c>
      <c r="P447" s="1" t="e">
        <f>P300</f>
        <v>#REF!</v>
      </c>
      <c r="Q447" s="1" t="e">
        <f>Q300</f>
        <v>#REF!</v>
      </c>
      <c r="R447" s="1" t="e">
        <f>R300</f>
        <v>#REF!</v>
      </c>
    </row>
    <row r="448" spans="1:18" x14ac:dyDescent="0.35">
      <c r="F448" s="501">
        <f>F446-F447</f>
        <v>0</v>
      </c>
      <c r="G448" s="501">
        <f t="shared" ref="G448:R448" si="248">G446-G447</f>
        <v>0</v>
      </c>
      <c r="H448" s="501">
        <f t="shared" si="248"/>
        <v>-89.260000000000218</v>
      </c>
      <c r="I448" s="501">
        <f t="shared" si="248"/>
        <v>-81.200000000000045</v>
      </c>
      <c r="J448" s="501">
        <f t="shared" ref="J448" si="249">J446-J447</f>
        <v>-81.199999999999818</v>
      </c>
      <c r="K448" s="501">
        <f t="shared" ref="K448" si="250">K446-K447</f>
        <v>-81.199999999999818</v>
      </c>
      <c r="L448" s="501">
        <f t="shared" ref="L448" si="251">L446-L447</f>
        <v>-81.199999999999818</v>
      </c>
      <c r="M448" s="501">
        <f t="shared" ref="M448" si="252">M446-M447</f>
        <v>-81.199999999999818</v>
      </c>
      <c r="N448" s="501">
        <f t="shared" ref="N448" si="253">N446-N447</f>
        <v>-81.199999999999818</v>
      </c>
      <c r="O448" s="501">
        <f t="shared" ref="O448" si="254">O446-O447</f>
        <v>-81.199999999999818</v>
      </c>
      <c r="P448" s="1" t="e">
        <f t="shared" si="248"/>
        <v>#REF!</v>
      </c>
      <c r="Q448" s="1" t="e">
        <f t="shared" si="248"/>
        <v>#REF!</v>
      </c>
      <c r="R448" s="1" t="e">
        <f t="shared" si="248"/>
        <v>#REF!</v>
      </c>
    </row>
    <row r="449" spans="1:18" x14ac:dyDescent="0.35">
      <c r="F449" s="1">
        <f>F446-E446</f>
        <v>-3.8820000000000618</v>
      </c>
      <c r="G449" s="1">
        <f>G446-F446</f>
        <v>430.61900000000014</v>
      </c>
      <c r="H449" s="1">
        <f>H446-G446</f>
        <v>252.50999999999976</v>
      </c>
      <c r="I449" s="1">
        <f t="shared" ref="I449:O449" si="255">I446-H446</f>
        <v>-711.29</v>
      </c>
      <c r="J449" s="1">
        <f t="shared" si="255"/>
        <v>1138.9091156326667</v>
      </c>
      <c r="K449" s="1">
        <f t="shared" si="255"/>
        <v>1147.3871601043702</v>
      </c>
      <c r="L449" s="1">
        <f t="shared" si="255"/>
        <v>684.7539366243891</v>
      </c>
      <c r="M449" s="1">
        <f t="shared" si="255"/>
        <v>712.95570234123534</v>
      </c>
      <c r="N449" s="1">
        <f t="shared" si="255"/>
        <v>1055.6104937311939</v>
      </c>
      <c r="O449" s="1">
        <f t="shared" si="255"/>
        <v>1112.5883169208801</v>
      </c>
    </row>
    <row r="450" spans="1:18" x14ac:dyDescent="0.35">
      <c r="A450" s="2" t="s">
        <v>266</v>
      </c>
      <c r="B450" s="2"/>
      <c r="C450" s="2"/>
    </row>
    <row r="451" spans="1:18" x14ac:dyDescent="0.35">
      <c r="A451" s="1" t="s">
        <v>267</v>
      </c>
    </row>
    <row r="452" spans="1:18" x14ac:dyDescent="0.35">
      <c r="A452" s="1" t="s">
        <v>268</v>
      </c>
    </row>
    <row r="454" spans="1:18" x14ac:dyDescent="0.35">
      <c r="A454" s="1" t="s">
        <v>269</v>
      </c>
    </row>
    <row r="455" spans="1:18" x14ac:dyDescent="0.35">
      <c r="A455" s="1" t="s">
        <v>270</v>
      </c>
      <c r="D455" s="1">
        <f t="shared" ref="D455:R455" si="256">(D170)</f>
        <v>21.85</v>
      </c>
      <c r="E455" s="1">
        <f t="shared" si="256"/>
        <v>114.988</v>
      </c>
      <c r="F455" s="1">
        <f t="shared" si="256"/>
        <v>79.843999999999994</v>
      </c>
      <c r="G455" s="1">
        <f t="shared" si="256"/>
        <v>180.15</v>
      </c>
      <c r="H455" s="315">
        <f t="shared" si="256"/>
        <v>118.52</v>
      </c>
      <c r="I455" s="1">
        <f t="shared" si="256"/>
        <v>87.94</v>
      </c>
      <c r="J455" s="1">
        <f t="shared" ref="J455" si="257">(J170)</f>
        <v>47.252927166666723</v>
      </c>
      <c r="K455" s="1">
        <f t="shared" ref="K455" si="258">(K170)</f>
        <v>52.083333333333485</v>
      </c>
      <c r="L455" s="1">
        <f t="shared" ref="L455" si="259">(L170)</f>
        <v>53.75</v>
      </c>
      <c r="M455" s="1">
        <f t="shared" ref="M455" si="260">(M170)</f>
        <v>51.75</v>
      </c>
      <c r="N455" s="1">
        <f t="shared" ref="N455" si="261">(N170)</f>
        <v>55.666666666666515</v>
      </c>
      <c r="O455" s="1">
        <f t="shared" ref="O455" si="262">(O170)</f>
        <v>57.333333333333485</v>
      </c>
      <c r="P455" s="1" t="e">
        <f t="shared" si="256"/>
        <v>#REF!</v>
      </c>
      <c r="Q455" s="1" t="e">
        <f t="shared" si="256"/>
        <v>#REF!</v>
      </c>
      <c r="R455" s="1" t="e">
        <f t="shared" si="256"/>
        <v>#REF!</v>
      </c>
    </row>
    <row r="456" spans="1:18" x14ac:dyDescent="0.35">
      <c r="A456" s="1" t="s">
        <v>271</v>
      </c>
      <c r="D456" s="1">
        <f t="shared" ref="D456:I456" si="263">(D455)/(D85)*12</f>
        <v>0.30820190868901348</v>
      </c>
      <c r="E456" s="1">
        <f t="shared" si="263"/>
        <v>1.276451907430928</v>
      </c>
      <c r="F456" s="1">
        <f t="shared" si="263"/>
        <v>0.90362410486675204</v>
      </c>
      <c r="G456" s="1">
        <f t="shared" si="263"/>
        <v>1.3965296709259809</v>
      </c>
      <c r="H456" s="315">
        <f t="shared" si="263"/>
        <v>0.62810910118711127</v>
      </c>
      <c r="I456" s="1">
        <f t="shared" si="263"/>
        <v>0.53617592065685715</v>
      </c>
      <c r="J456" s="1">
        <f t="shared" ref="J456" si="264">(J455)/(J85)*12</f>
        <v>0.39156657970182546</v>
      </c>
      <c r="K456" s="1">
        <f t="shared" ref="K456" si="265">(K455)/(K85)*12</f>
        <v>0.15390768141304897</v>
      </c>
      <c r="L456" s="1">
        <f t="shared" ref="L456" si="266">(L455)/(L85)*12</f>
        <v>0.15801449648964036</v>
      </c>
      <c r="M456" s="1">
        <f t="shared" ref="M456" si="267">(M455)/(M85)*12</f>
        <v>0.15422337223119781</v>
      </c>
      <c r="N456" s="1">
        <f t="shared" ref="N456" si="268">(N455)/(N85)*12</f>
        <v>0.16790363785087425</v>
      </c>
      <c r="O456" s="1">
        <f t="shared" ref="O456" si="269">(O455)/(O85)*12</f>
        <v>0.17171219102999752</v>
      </c>
      <c r="P456" s="1" t="e">
        <f t="shared" ref="P456:R456" si="270">(P455)/(P85)*12</f>
        <v>#REF!</v>
      </c>
      <c r="Q456" s="1" t="e">
        <f t="shared" si="270"/>
        <v>#REF!</v>
      </c>
      <c r="R456" s="1" t="e">
        <f t="shared" si="270"/>
        <v>#REF!</v>
      </c>
    </row>
    <row r="458" spans="1:18" x14ac:dyDescent="0.35">
      <c r="A458" s="1" t="s">
        <v>272</v>
      </c>
      <c r="D458" s="1">
        <f t="shared" ref="D458:R458" si="271">(D172)</f>
        <v>0.36</v>
      </c>
      <c r="E458" s="1">
        <f t="shared" si="271"/>
        <v>0.73</v>
      </c>
      <c r="F458" s="501">
        <f t="shared" si="271"/>
        <v>0</v>
      </c>
      <c r="G458" s="1">
        <f t="shared" si="271"/>
        <v>4</v>
      </c>
      <c r="H458" s="315">
        <f t="shared" si="271"/>
        <v>4.0199999999999996</v>
      </c>
      <c r="I458" s="1">
        <f t="shared" si="271"/>
        <v>9.18</v>
      </c>
      <c r="J458" s="1">
        <f t="shared" ref="J458" si="272">(J172)</f>
        <v>9.18</v>
      </c>
      <c r="K458" s="1">
        <f t="shared" ref="K458" si="273">(K172)</f>
        <v>9.18</v>
      </c>
      <c r="L458" s="1">
        <f t="shared" ref="L458" si="274">(L172)</f>
        <v>9.18</v>
      </c>
      <c r="M458" s="1">
        <f t="shared" ref="M458" si="275">(M172)</f>
        <v>9.18</v>
      </c>
      <c r="N458" s="1">
        <f t="shared" ref="N458" si="276">(N172)</f>
        <v>9.18</v>
      </c>
      <c r="O458" s="1">
        <f t="shared" ref="O458" si="277">(O172)</f>
        <v>9.18</v>
      </c>
      <c r="P458" s="1" t="e">
        <f t="shared" si="271"/>
        <v>#REF!</v>
      </c>
      <c r="Q458" s="1" t="e">
        <f t="shared" si="271"/>
        <v>#REF!</v>
      </c>
      <c r="R458" s="1" t="e">
        <f t="shared" si="271"/>
        <v>#REF!</v>
      </c>
    </row>
    <row r="460" spans="1:18" x14ac:dyDescent="0.35">
      <c r="A460" s="1" t="s">
        <v>273</v>
      </c>
      <c r="D460" s="1">
        <f t="shared" ref="D460:R460" si="278">(D175)</f>
        <v>0</v>
      </c>
      <c r="E460" s="1">
        <f t="shared" si="278"/>
        <v>0</v>
      </c>
      <c r="F460" s="501">
        <f t="shared" si="278"/>
        <v>0</v>
      </c>
      <c r="G460" s="501">
        <f t="shared" si="278"/>
        <v>0</v>
      </c>
      <c r="H460" s="502">
        <f t="shared" si="278"/>
        <v>0</v>
      </c>
      <c r="I460" s="501">
        <f t="shared" si="278"/>
        <v>0</v>
      </c>
      <c r="J460" s="501">
        <f t="shared" ref="J460" si="279">(J175)</f>
        <v>0</v>
      </c>
      <c r="K460" s="501">
        <f t="shared" ref="K460" si="280">(K175)</f>
        <v>0</v>
      </c>
      <c r="L460" s="501">
        <f t="shared" ref="L460" si="281">(L175)</f>
        <v>0</v>
      </c>
      <c r="M460" s="501">
        <f t="shared" ref="M460" si="282">(M175)</f>
        <v>0</v>
      </c>
      <c r="N460" s="501">
        <f t="shared" ref="N460" si="283">(N175)</f>
        <v>0</v>
      </c>
      <c r="O460" s="501">
        <f t="shared" ref="O460" si="284">(O175)</f>
        <v>0</v>
      </c>
      <c r="P460" s="1">
        <f t="shared" si="278"/>
        <v>0</v>
      </c>
      <c r="Q460" s="1">
        <f t="shared" si="278"/>
        <v>0</v>
      </c>
      <c r="R460" s="1">
        <f t="shared" si="278"/>
        <v>0</v>
      </c>
    </row>
    <row r="462" spans="1:18" x14ac:dyDescent="0.35">
      <c r="A462" s="1" t="s">
        <v>274</v>
      </c>
    </row>
    <row r="463" spans="1:18" x14ac:dyDescent="0.35">
      <c r="A463" s="1" t="s">
        <v>275</v>
      </c>
    </row>
    <row r="464" spans="1:18" x14ac:dyDescent="0.35">
      <c r="A464" s="1" t="s">
        <v>276</v>
      </c>
    </row>
    <row r="465" spans="1:18" x14ac:dyDescent="0.35">
      <c r="A465" s="1" t="s">
        <v>277</v>
      </c>
    </row>
    <row r="466" spans="1:18" x14ac:dyDescent="0.35">
      <c r="A466" s="1" t="s">
        <v>278</v>
      </c>
      <c r="D466" s="1">
        <f t="shared" ref="D466:E466" si="285">(D168+D177+D179+D182+D186+D187+D188)</f>
        <v>377.79300000000001</v>
      </c>
      <c r="E466" s="1">
        <f t="shared" si="285"/>
        <v>252.25700000000001</v>
      </c>
      <c r="F466" s="1">
        <f t="shared" ref="F466:R466" si="286">(F168+F177+F179+F182+F186+F187+F188+F189+F190)</f>
        <v>485.17899999999997</v>
      </c>
      <c r="G466" s="1">
        <f t="shared" si="286"/>
        <v>753.81</v>
      </c>
      <c r="H466" s="1">
        <f t="shared" si="286"/>
        <v>572.98</v>
      </c>
      <c r="I466" s="1">
        <f t="shared" si="286"/>
        <v>622.47</v>
      </c>
      <c r="J466" s="1">
        <f t="shared" ref="J466" si="287">(J168+J177+J179+J182+J186+J187+J188+J189+J190)</f>
        <v>1390.6211111111108</v>
      </c>
      <c r="K466" s="1">
        <f t="shared" ref="K466" si="288">(K168+K177+K179+K182+K186+K187+K188+K189+K190)</f>
        <v>1686.6099999999994</v>
      </c>
      <c r="L466" s="1">
        <f t="shared" ref="L466" si="289">(L168+L177+L179+L182+L186+L187+L188+L189+L190)</f>
        <v>1736.4499999999996</v>
      </c>
      <c r="M466" s="1">
        <f t="shared" ref="M466" si="290">(M168+M177+M179+M182+M186+M187+M188+M189+M190)</f>
        <v>1498.9099999999996</v>
      </c>
      <c r="N466" s="1">
        <f t="shared" ref="N466" si="291">(N168+N177+N179+N182+N186+N187+N188+N189+N190)</f>
        <v>1524.3999999999996</v>
      </c>
      <c r="O466" s="1">
        <f t="shared" ref="O466" si="292">(O168+O177+O179+O182+O186+O187+O188+O189+O190)</f>
        <v>1311.66</v>
      </c>
      <c r="P466" s="1" t="e">
        <f t="shared" si="286"/>
        <v>#REF!</v>
      </c>
      <c r="Q466" s="1" t="e">
        <f t="shared" si="286"/>
        <v>#REF!</v>
      </c>
      <c r="R466" s="1" t="e">
        <f t="shared" si="286"/>
        <v>#REF!</v>
      </c>
    </row>
    <row r="468" spans="1:18" x14ac:dyDescent="0.35">
      <c r="A468" s="1" t="s">
        <v>279</v>
      </c>
      <c r="D468" s="1">
        <f t="shared" ref="D468:I468" si="293">(D455+D458+D460+D466)</f>
        <v>400.00299999999999</v>
      </c>
      <c r="E468" s="1">
        <f t="shared" si="293"/>
        <v>367.97500000000002</v>
      </c>
      <c r="F468" s="1">
        <f t="shared" si="293"/>
        <v>565.02299999999991</v>
      </c>
      <c r="G468" s="1">
        <f t="shared" si="293"/>
        <v>937.95999999999992</v>
      </c>
      <c r="H468" s="315">
        <f t="shared" si="293"/>
        <v>695.52</v>
      </c>
      <c r="I468" s="1">
        <f t="shared" si="293"/>
        <v>719.59</v>
      </c>
      <c r="J468" s="1">
        <f t="shared" ref="J468" si="294">(J455+J458+J460+J466)</f>
        <v>1447.0540382777776</v>
      </c>
      <c r="K468" s="1">
        <f t="shared" ref="K468" si="295">(K455+K458+K460+K466)</f>
        <v>1747.873333333333</v>
      </c>
      <c r="L468" s="1">
        <f t="shared" ref="L468" si="296">(L455+L458+L460+L466)</f>
        <v>1799.3799999999997</v>
      </c>
      <c r="M468" s="1">
        <f t="shared" ref="M468" si="297">(M455+M458+M460+M466)</f>
        <v>1559.8399999999997</v>
      </c>
      <c r="N468" s="1">
        <f t="shared" ref="N468" si="298">(N455+N458+N460+N466)</f>
        <v>1589.2466666666662</v>
      </c>
      <c r="O468" s="1">
        <f t="shared" ref="O468" si="299">(O455+O458+O460+O466)</f>
        <v>1378.1733333333336</v>
      </c>
      <c r="P468" s="1" t="e">
        <f>(P455+P458+P460+P466)</f>
        <v>#REF!</v>
      </c>
      <c r="Q468" s="1" t="e">
        <f>(Q455+Q458+Q460+Q466)</f>
        <v>#REF!</v>
      </c>
      <c r="R468" s="1" t="e">
        <f>(R455+R458+R460+R466)</f>
        <v>#REF!</v>
      </c>
    </row>
    <row r="469" spans="1:18" x14ac:dyDescent="0.35">
      <c r="A469" s="1" t="s">
        <v>280</v>
      </c>
      <c r="D469" s="1">
        <f t="shared" ref="D469:R469" si="300">D194</f>
        <v>441.44299999999998</v>
      </c>
      <c r="E469" s="1">
        <f t="shared" si="300"/>
        <v>374.08500000000004</v>
      </c>
      <c r="F469" s="1">
        <f t="shared" si="300"/>
        <v>565.02300000000002</v>
      </c>
      <c r="G469" s="1">
        <f t="shared" si="300"/>
        <v>937.96</v>
      </c>
      <c r="H469" s="315">
        <f t="shared" si="300"/>
        <v>695.52</v>
      </c>
      <c r="I469" s="1">
        <f t="shared" si="300"/>
        <v>719.59000000000015</v>
      </c>
      <c r="J469" s="1">
        <f t="shared" ref="J469" si="301">J194</f>
        <v>1447.0540382777776</v>
      </c>
      <c r="K469" s="1">
        <f t="shared" ref="K469" si="302">K194</f>
        <v>1747.873333333333</v>
      </c>
      <c r="L469" s="1">
        <f t="shared" ref="L469" si="303">L194</f>
        <v>1799.3799999999997</v>
      </c>
      <c r="M469" s="1">
        <f t="shared" ref="M469" si="304">M194</f>
        <v>1559.8399999999997</v>
      </c>
      <c r="N469" s="1">
        <f t="shared" ref="N469" si="305">N194</f>
        <v>1589.2466666666662</v>
      </c>
      <c r="O469" s="1">
        <f t="shared" ref="O469" si="306">O194</f>
        <v>1378.1733333333336</v>
      </c>
      <c r="P469" s="1" t="e">
        <f t="shared" si="300"/>
        <v>#REF!</v>
      </c>
      <c r="Q469" s="1" t="e">
        <f t="shared" si="300"/>
        <v>#REF!</v>
      </c>
      <c r="R469" s="1" t="e">
        <f t="shared" si="300"/>
        <v>#REF!</v>
      </c>
    </row>
    <row r="470" spans="1:18" x14ac:dyDescent="0.35">
      <c r="A470" s="1" t="s">
        <v>281</v>
      </c>
      <c r="F470" s="501">
        <f>F468-F469</f>
        <v>0</v>
      </c>
      <c r="G470" s="501">
        <f t="shared" ref="G470:R470" si="307">G468-G469</f>
        <v>0</v>
      </c>
      <c r="H470" s="501">
        <f t="shared" si="307"/>
        <v>0</v>
      </c>
      <c r="I470" s="501">
        <f t="shared" si="307"/>
        <v>0</v>
      </c>
      <c r="J470" s="501">
        <f t="shared" ref="J470" si="308">J468-J469</f>
        <v>0</v>
      </c>
      <c r="K470" s="501">
        <f t="shared" ref="K470" si="309">K468-K469</f>
        <v>0</v>
      </c>
      <c r="L470" s="501">
        <f t="shared" ref="L470" si="310">L468-L469</f>
        <v>0</v>
      </c>
      <c r="M470" s="501">
        <f t="shared" ref="M470" si="311">M468-M469</f>
        <v>0</v>
      </c>
      <c r="N470" s="501">
        <f t="shared" ref="N470" si="312">N468-N469</f>
        <v>0</v>
      </c>
      <c r="O470" s="501">
        <f t="shared" ref="O470" si="313">O468-O469</f>
        <v>0</v>
      </c>
      <c r="P470" s="1" t="e">
        <f t="shared" si="307"/>
        <v>#REF!</v>
      </c>
      <c r="Q470" s="1" t="e">
        <f t="shared" si="307"/>
        <v>#REF!</v>
      </c>
      <c r="R470" s="1" t="e">
        <f t="shared" si="307"/>
        <v>#REF!</v>
      </c>
    </row>
    <row r="471" spans="1:18" x14ac:dyDescent="0.35">
      <c r="F471" s="1">
        <f>F468-E468</f>
        <v>197.04799999999989</v>
      </c>
      <c r="G471" s="1">
        <f t="shared" ref="G471:O471" si="314">G468-F468</f>
        <v>372.93700000000001</v>
      </c>
      <c r="H471" s="1">
        <f t="shared" si="314"/>
        <v>-242.43999999999994</v>
      </c>
      <c r="I471" s="1">
        <f t="shared" si="314"/>
        <v>24.07000000000005</v>
      </c>
      <c r="J471" s="1">
        <f t="shared" si="314"/>
        <v>727.4640382777776</v>
      </c>
      <c r="K471" s="1">
        <f t="shared" si="314"/>
        <v>300.81929505555536</v>
      </c>
      <c r="L471" s="1">
        <f t="shared" si="314"/>
        <v>51.506666666666661</v>
      </c>
      <c r="M471" s="1">
        <f t="shared" si="314"/>
        <v>-239.53999999999996</v>
      </c>
      <c r="N471" s="1">
        <f t="shared" si="314"/>
        <v>29.406666666666524</v>
      </c>
      <c r="O471" s="1">
        <f t="shared" si="314"/>
        <v>-211.07333333333258</v>
      </c>
    </row>
    <row r="478" spans="1:18" x14ac:dyDescent="0.35">
      <c r="A478" s="2" t="s">
        <v>282</v>
      </c>
      <c r="B478" s="2"/>
      <c r="C478" s="2"/>
      <c r="D478" s="2"/>
      <c r="E478" s="2"/>
      <c r="F478" s="2"/>
      <c r="G478" s="2"/>
    </row>
    <row r="480" spans="1:18" x14ac:dyDescent="0.35">
      <c r="A480" s="2" t="s">
        <v>283</v>
      </c>
      <c r="B480" s="2"/>
      <c r="C480" s="2"/>
      <c r="D480" s="2"/>
      <c r="E480" s="2"/>
      <c r="F480" s="2"/>
      <c r="G480" s="2"/>
      <c r="H480" s="141"/>
      <c r="I480" s="2"/>
      <c r="J480" s="2"/>
    </row>
    <row r="481" spans="1:18" x14ac:dyDescent="0.35">
      <c r="A481" s="2" t="s">
        <v>284</v>
      </c>
      <c r="B481" s="2"/>
      <c r="C481" s="2"/>
      <c r="D481" s="2"/>
      <c r="E481" s="2"/>
      <c r="F481" s="2"/>
      <c r="G481" s="2"/>
      <c r="H481" s="141"/>
      <c r="I481" s="2"/>
      <c r="J481" s="2"/>
    </row>
    <row r="483" spans="1:18" x14ac:dyDescent="0.35">
      <c r="A483" s="3" t="str">
        <f>A7</f>
        <v>Name: CRPLINFRA PVT. LTD.</v>
      </c>
      <c r="B483" s="3"/>
      <c r="C483" s="3"/>
      <c r="D483" s="3"/>
      <c r="E483" s="3"/>
      <c r="F483" s="3"/>
      <c r="G483" s="3"/>
      <c r="H483" s="317"/>
      <c r="I483" s="3"/>
      <c r="J483" s="3"/>
    </row>
    <row r="484" spans="1:18" x14ac:dyDescent="0.35">
      <c r="A484" s="2"/>
      <c r="B484" s="2"/>
      <c r="C484" s="2"/>
      <c r="D484" s="2"/>
      <c r="E484" s="2"/>
      <c r="F484" s="2"/>
      <c r="G484" s="2"/>
      <c r="H484" s="141"/>
      <c r="I484" s="2"/>
      <c r="J484" s="2"/>
    </row>
    <row r="485" spans="1:18" x14ac:dyDescent="0.35">
      <c r="A485" s="85"/>
      <c r="B485" s="85"/>
      <c r="C485" s="85"/>
      <c r="D485" s="18" t="str">
        <f t="shared" ref="D485:P486" si="315">D401</f>
        <v>2018-19</v>
      </c>
      <c r="E485" s="18" t="str">
        <f t="shared" si="315"/>
        <v>2019-20</v>
      </c>
      <c r="F485" s="86" t="str">
        <f t="shared" si="315"/>
        <v>2020-21</v>
      </c>
      <c r="G485" s="18" t="str">
        <f t="shared" si="315"/>
        <v>2021-22</v>
      </c>
      <c r="H485" s="331" t="str">
        <f t="shared" si="315"/>
        <v>2022-23</v>
      </c>
      <c r="I485" s="18" t="str">
        <f t="shared" si="315"/>
        <v>2023-24</v>
      </c>
      <c r="J485" s="78" t="s">
        <v>673</v>
      </c>
      <c r="K485" s="78" t="s">
        <v>356</v>
      </c>
      <c r="L485" s="78" t="s">
        <v>674</v>
      </c>
      <c r="M485" s="78" t="s">
        <v>358</v>
      </c>
      <c r="N485" s="78" t="s">
        <v>675</v>
      </c>
      <c r="O485" s="78" t="s">
        <v>11</v>
      </c>
      <c r="P485" s="18" t="str">
        <f t="shared" si="315"/>
        <v>2030-31</v>
      </c>
      <c r="Q485" s="18" t="str">
        <f>Q401</f>
        <v>2031-32</v>
      </c>
      <c r="R485" s="18" t="str">
        <f>R401</f>
        <v>2032-33</v>
      </c>
    </row>
    <row r="486" spans="1:18" x14ac:dyDescent="0.35">
      <c r="A486" s="87"/>
      <c r="B486" s="87"/>
      <c r="C486" s="87"/>
      <c r="D486" s="18" t="str">
        <f t="shared" si="315"/>
        <v>Aud.</v>
      </c>
      <c r="E486" s="18" t="str">
        <f t="shared" si="315"/>
        <v>Aud.</v>
      </c>
      <c r="F486" s="18" t="str">
        <f t="shared" si="315"/>
        <v>Aud.</v>
      </c>
      <c r="G486" s="18" t="str">
        <f t="shared" si="315"/>
        <v>Aud.</v>
      </c>
      <c r="H486" s="331" t="str">
        <f t="shared" si="315"/>
        <v>Aud.</v>
      </c>
      <c r="I486" s="18" t="str">
        <f t="shared" si="315"/>
        <v>Aud.</v>
      </c>
      <c r="J486" s="4" t="s">
        <v>15</v>
      </c>
      <c r="K486" s="4" t="s">
        <v>672</v>
      </c>
      <c r="L486" s="4" t="s">
        <v>672</v>
      </c>
      <c r="M486" s="4" t="s">
        <v>672</v>
      </c>
      <c r="N486" s="4" t="s">
        <v>672</v>
      </c>
      <c r="O486" s="4" t="s">
        <v>672</v>
      </c>
      <c r="P486" s="18" t="str">
        <f t="shared" si="315"/>
        <v>Proj</v>
      </c>
      <c r="Q486" s="18" t="str">
        <f>Q402</f>
        <v>Proj</v>
      </c>
      <c r="R486" s="18" t="str">
        <f>R402</f>
        <v>Proj</v>
      </c>
    </row>
    <row r="487" spans="1:18" x14ac:dyDescent="0.35">
      <c r="A487" s="88"/>
      <c r="B487" s="88"/>
      <c r="C487" s="88"/>
      <c r="D487" s="5">
        <f t="shared" ref="D487:I487" si="316">D251</f>
        <v>1</v>
      </c>
      <c r="E487" s="5">
        <f t="shared" si="316"/>
        <v>2</v>
      </c>
      <c r="F487" s="5">
        <f t="shared" si="316"/>
        <v>3</v>
      </c>
      <c r="G487" s="5">
        <f t="shared" si="316"/>
        <v>4</v>
      </c>
      <c r="H487" s="319">
        <f t="shared" si="316"/>
        <v>5</v>
      </c>
      <c r="I487" s="5">
        <f t="shared" si="316"/>
        <v>6</v>
      </c>
      <c r="J487" s="5">
        <v>7</v>
      </c>
      <c r="K487" s="5">
        <v>8</v>
      </c>
      <c r="L487" s="5">
        <v>9</v>
      </c>
      <c r="M487" s="5">
        <v>10</v>
      </c>
      <c r="N487" s="5">
        <v>11</v>
      </c>
      <c r="O487" s="5">
        <v>12</v>
      </c>
      <c r="P487" s="5" t="e">
        <f>P251</f>
        <v>#REF!</v>
      </c>
      <c r="Q487" s="5" t="e">
        <f>Q251</f>
        <v>#REF!</v>
      </c>
      <c r="R487" s="5" t="e">
        <f>R251</f>
        <v>#REF!</v>
      </c>
    </row>
    <row r="490" spans="1:18" x14ac:dyDescent="0.35">
      <c r="A490" s="1" t="s">
        <v>285</v>
      </c>
    </row>
    <row r="491" spans="1:18" x14ac:dyDescent="0.35">
      <c r="A491" s="1" t="s">
        <v>286</v>
      </c>
      <c r="D491" s="1">
        <f t="shared" ref="D491:I491" si="317">(D446)</f>
        <v>1004.4159999999999</v>
      </c>
      <c r="E491" s="1">
        <f t="shared" si="317"/>
        <v>1111.8330000000001</v>
      </c>
      <c r="F491" s="1">
        <f t="shared" si="317"/>
        <v>1107.951</v>
      </c>
      <c r="G491" s="1">
        <f t="shared" si="317"/>
        <v>1538.5700000000002</v>
      </c>
      <c r="H491" s="315">
        <f t="shared" si="317"/>
        <v>1791.08</v>
      </c>
      <c r="I491" s="1">
        <f t="shared" si="317"/>
        <v>1079.79</v>
      </c>
      <c r="J491" s="1">
        <f t="shared" ref="J491" si="318">(J446)</f>
        <v>2218.6991156326667</v>
      </c>
      <c r="K491" s="315">
        <f t="shared" ref="K491" si="319">(K446)</f>
        <v>3366.0862757370369</v>
      </c>
      <c r="L491" s="1">
        <f t="shared" ref="L491" si="320">(L446)</f>
        <v>4050.840212361426</v>
      </c>
      <c r="M491" s="1">
        <f t="shared" ref="M491" si="321">(M446)</f>
        <v>4763.7959147026613</v>
      </c>
      <c r="N491" s="1">
        <f t="shared" ref="N491" si="322">(N446)</f>
        <v>5819.4064084338552</v>
      </c>
      <c r="O491" s="1">
        <f t="shared" ref="O491" si="323">(O446)</f>
        <v>6931.9947253547352</v>
      </c>
      <c r="P491" s="1" t="e">
        <f>(P446)</f>
        <v>#REF!</v>
      </c>
      <c r="Q491" s="1" t="e">
        <f>(Q446)</f>
        <v>#REF!</v>
      </c>
      <c r="R491" s="1" t="e">
        <f>(R446)</f>
        <v>#REF!</v>
      </c>
    </row>
    <row r="493" spans="1:18" x14ac:dyDescent="0.35">
      <c r="A493" s="1" t="s">
        <v>287</v>
      </c>
    </row>
    <row r="494" spans="1:18" x14ac:dyDescent="0.35">
      <c r="A494" s="1" t="s">
        <v>288</v>
      </c>
    </row>
    <row r="495" spans="1:18" x14ac:dyDescent="0.35">
      <c r="A495" s="1" t="s">
        <v>289</v>
      </c>
      <c r="D495" s="1">
        <f t="shared" ref="D495:I495" si="324">(D468)</f>
        <v>400.00299999999999</v>
      </c>
      <c r="E495" s="1">
        <f t="shared" si="324"/>
        <v>367.97500000000002</v>
      </c>
      <c r="F495" s="1">
        <f t="shared" si="324"/>
        <v>565.02299999999991</v>
      </c>
      <c r="G495" s="1">
        <f t="shared" si="324"/>
        <v>937.95999999999992</v>
      </c>
      <c r="H495" s="315">
        <f t="shared" si="324"/>
        <v>695.52</v>
      </c>
      <c r="I495" s="1">
        <f t="shared" si="324"/>
        <v>719.59</v>
      </c>
      <c r="J495" s="1">
        <f t="shared" ref="J495" si="325">(J468)</f>
        <v>1447.0540382777776</v>
      </c>
      <c r="K495" s="315">
        <f t="shared" ref="K495" si="326">(K468)</f>
        <v>1747.873333333333</v>
      </c>
      <c r="L495" s="1">
        <f t="shared" ref="L495" si="327">(L468)</f>
        <v>1799.3799999999997</v>
      </c>
      <c r="M495" s="1">
        <f t="shared" ref="M495" si="328">(M468)</f>
        <v>1559.8399999999997</v>
      </c>
      <c r="N495" s="1">
        <f t="shared" ref="N495" si="329">(N468)</f>
        <v>1589.2466666666662</v>
      </c>
      <c r="O495" s="1">
        <f t="shared" ref="O495" si="330">(O468)</f>
        <v>1378.1733333333336</v>
      </c>
      <c r="P495" s="1" t="e">
        <f>(P468)</f>
        <v>#REF!</v>
      </c>
      <c r="Q495" s="1" t="e">
        <f>(Q468)</f>
        <v>#REF!</v>
      </c>
      <c r="R495" s="1" t="e">
        <f>(R468)</f>
        <v>#REF!</v>
      </c>
    </row>
    <row r="497" spans="1:19" x14ac:dyDescent="0.35">
      <c r="A497" s="1" t="s">
        <v>290</v>
      </c>
      <c r="D497" s="1">
        <f t="shared" ref="D497:I497" si="331">(D491-D495)</f>
        <v>604.41300000000001</v>
      </c>
      <c r="E497" s="1">
        <f t="shared" si="331"/>
        <v>743.85800000000006</v>
      </c>
      <c r="F497" s="1">
        <f t="shared" si="331"/>
        <v>542.92800000000011</v>
      </c>
      <c r="G497" s="1">
        <f t="shared" si="331"/>
        <v>600.61000000000024</v>
      </c>
      <c r="H497" s="315">
        <f t="shared" si="331"/>
        <v>1095.56</v>
      </c>
      <c r="I497" s="1">
        <f t="shared" si="331"/>
        <v>360.19999999999993</v>
      </c>
      <c r="J497" s="1">
        <f t="shared" ref="J497" si="332">(J491-J495)</f>
        <v>771.64507735488905</v>
      </c>
      <c r="K497" s="1">
        <f t="shared" ref="K497" si="333">(K491-K495)</f>
        <v>1618.2129424037039</v>
      </c>
      <c r="L497" s="1">
        <f t="shared" ref="L497" si="334">(L491-L495)</f>
        <v>2251.4602123614263</v>
      </c>
      <c r="M497" s="1">
        <f t="shared" ref="M497" si="335">(M491-M495)</f>
        <v>3203.9559147026616</v>
      </c>
      <c r="N497" s="1">
        <f t="shared" ref="N497" si="336">(N491-N495)</f>
        <v>4230.1597417671892</v>
      </c>
      <c r="O497" s="1">
        <f t="shared" ref="O497" si="337">(O491-O495)</f>
        <v>5553.8213920214021</v>
      </c>
      <c r="P497" s="1" t="e">
        <f>(P491-P495)</f>
        <v>#REF!</v>
      </c>
      <c r="Q497" s="1" t="e">
        <f>(Q491-Q495)</f>
        <v>#REF!</v>
      </c>
      <c r="R497" s="1" t="e">
        <f>(R491-R495)</f>
        <v>#REF!</v>
      </c>
    </row>
    <row r="498" spans="1:19" x14ac:dyDescent="0.35">
      <c r="A498" s="1" t="s">
        <v>291</v>
      </c>
    </row>
    <row r="500" spans="1:19" x14ac:dyDescent="0.35">
      <c r="A500" s="1" t="s">
        <v>292</v>
      </c>
      <c r="D500" s="1">
        <f t="shared" ref="D500:R500" si="338">(D491-D435)*0.25</f>
        <v>251.10399999999998</v>
      </c>
      <c r="E500" s="1">
        <f t="shared" si="338"/>
        <v>277.95825000000002</v>
      </c>
      <c r="F500" s="1">
        <f t="shared" si="338"/>
        <v>276.98775000000001</v>
      </c>
      <c r="G500" s="1">
        <f t="shared" si="338"/>
        <v>384.64250000000004</v>
      </c>
      <c r="H500" s="315">
        <f t="shared" si="338"/>
        <v>447.77</v>
      </c>
      <c r="I500" s="1">
        <f t="shared" si="338"/>
        <v>269.94749999999999</v>
      </c>
      <c r="J500" s="1">
        <f t="shared" ref="J500" si="339">(J491-J435)*0.25</f>
        <v>554.67477890816667</v>
      </c>
      <c r="K500" s="1">
        <f t="shared" ref="K500" si="340">(K491-K435)*0.25</f>
        <v>841.52156893425922</v>
      </c>
      <c r="L500" s="1">
        <f t="shared" ref="L500" si="341">(L491-L435)*0.25</f>
        <v>1012.7100530903565</v>
      </c>
      <c r="M500" s="1">
        <f t="shared" ref="M500" si="342">(M491-M435)*0.25</f>
        <v>1190.9489786756653</v>
      </c>
      <c r="N500" s="1">
        <f t="shared" ref="N500" si="343">(N491-N435)*0.25</f>
        <v>1454.8516021084638</v>
      </c>
      <c r="O500" s="1">
        <f t="shared" ref="O500" si="344">(O491-O435)*0.25</f>
        <v>1732.9986813386838</v>
      </c>
      <c r="P500" s="1" t="e">
        <f t="shared" si="338"/>
        <v>#REF!</v>
      </c>
      <c r="Q500" s="1" t="e">
        <f t="shared" si="338"/>
        <v>#REF!</v>
      </c>
      <c r="R500" s="1" t="e">
        <f t="shared" si="338"/>
        <v>#REF!</v>
      </c>
    </row>
    <row r="501" spans="1:19" x14ac:dyDescent="0.35">
      <c r="A501" s="1" t="s">
        <v>293</v>
      </c>
    </row>
    <row r="502" spans="1:19" x14ac:dyDescent="0.35">
      <c r="A502" s="1" t="s">
        <v>294</v>
      </c>
    </row>
    <row r="503" spans="1:19" x14ac:dyDescent="0.35">
      <c r="A503" s="1" t="s">
        <v>295</v>
      </c>
    </row>
    <row r="504" spans="1:19" x14ac:dyDescent="0.35">
      <c r="A504" s="1" t="s">
        <v>296</v>
      </c>
    </row>
    <row r="505" spans="1:19" x14ac:dyDescent="0.35">
      <c r="A505" s="1" t="s">
        <v>297</v>
      </c>
    </row>
    <row r="506" spans="1:19" x14ac:dyDescent="0.35">
      <c r="A506" s="1" t="s">
        <v>298</v>
      </c>
    </row>
    <row r="507" spans="1:19" x14ac:dyDescent="0.35">
      <c r="A507" s="17" t="s">
        <v>37</v>
      </c>
      <c r="B507" s="17"/>
      <c r="C507" s="17"/>
    </row>
    <row r="508" spans="1:19" x14ac:dyDescent="0.35">
      <c r="A508" s="1" t="s">
        <v>299</v>
      </c>
    </row>
    <row r="509" spans="1:19" x14ac:dyDescent="0.35">
      <c r="A509" s="1" t="s">
        <v>300</v>
      </c>
      <c r="D509" s="1">
        <f t="shared" ref="D509:I509" si="345">(D361)</f>
        <v>279.63742000000002</v>
      </c>
      <c r="E509" s="1">
        <f t="shared" si="345"/>
        <v>693.19400000000007</v>
      </c>
      <c r="F509" s="1">
        <f t="shared" si="345"/>
        <v>542.928</v>
      </c>
      <c r="G509" s="1">
        <f t="shared" si="345"/>
        <v>529.21000000000015</v>
      </c>
      <c r="H509" s="315">
        <f t="shared" si="345"/>
        <v>1184.8200000000002</v>
      </c>
      <c r="I509" s="1">
        <f t="shared" si="345"/>
        <v>367.06999999999982</v>
      </c>
      <c r="J509" s="1">
        <f t="shared" ref="J509" si="346">(J361)</f>
        <v>702.84507735488887</v>
      </c>
      <c r="K509" s="1">
        <f t="shared" ref="K509" si="347">(K361)</f>
        <v>1284.4129424037037</v>
      </c>
      <c r="L509" s="1">
        <f t="shared" ref="L509" si="348">(L361)</f>
        <v>1917.6602123614261</v>
      </c>
      <c r="M509" s="1">
        <f t="shared" ref="M509" si="349">(M361)</f>
        <v>2870.1559147026614</v>
      </c>
      <c r="N509" s="1">
        <f t="shared" ref="N509" si="350">(N361)</f>
        <v>3896.359741767189</v>
      </c>
      <c r="O509" s="1">
        <f t="shared" ref="O509" si="351">(O361)</f>
        <v>5220.021392021401</v>
      </c>
      <c r="P509" s="1" t="e">
        <f>(P361)</f>
        <v>#REF!</v>
      </c>
      <c r="Q509" s="1" t="e">
        <f>(Q361)</f>
        <v>#REF!</v>
      </c>
      <c r="R509" s="1" t="e">
        <f>(R361)</f>
        <v>#REF!</v>
      </c>
      <c r="S509" s="1"/>
    </row>
    <row r="510" spans="1:19" x14ac:dyDescent="0.35">
      <c r="S510" s="1"/>
    </row>
    <row r="511" spans="1:19" x14ac:dyDescent="0.35">
      <c r="A511" s="1" t="s">
        <v>301</v>
      </c>
      <c r="D511" s="1">
        <f t="shared" ref="D511:R511" si="352">(D497-D500)</f>
        <v>353.30900000000003</v>
      </c>
      <c r="E511" s="1">
        <f t="shared" si="352"/>
        <v>465.89975000000004</v>
      </c>
      <c r="F511" s="1">
        <f t="shared" si="352"/>
        <v>265.94025000000011</v>
      </c>
      <c r="G511" s="1">
        <f t="shared" si="352"/>
        <v>215.9675000000002</v>
      </c>
      <c r="H511" s="315">
        <f t="shared" si="352"/>
        <v>647.79</v>
      </c>
      <c r="I511" s="1">
        <f t="shared" si="352"/>
        <v>90.252499999999941</v>
      </c>
      <c r="J511" s="1">
        <f t="shared" ref="J511" si="353">(J497-J500)</f>
        <v>216.97029844672238</v>
      </c>
      <c r="K511" s="1">
        <f t="shared" ref="K511" si="354">(K497-K500)</f>
        <v>776.69137346944467</v>
      </c>
      <c r="L511" s="1">
        <f t="shared" ref="L511" si="355">(L497-L500)</f>
        <v>1238.7501592710698</v>
      </c>
      <c r="M511" s="1">
        <f t="shared" ref="M511" si="356">(M497-M500)</f>
        <v>2013.0069360269963</v>
      </c>
      <c r="N511" s="1">
        <f t="shared" ref="N511" si="357">(N497-N500)</f>
        <v>2775.3081396587254</v>
      </c>
      <c r="O511" s="1">
        <f t="shared" ref="O511" si="358">(O497-O500)</f>
        <v>3820.822710682718</v>
      </c>
      <c r="P511" s="1" t="e">
        <f t="shared" si="352"/>
        <v>#REF!</v>
      </c>
      <c r="Q511" s="1" t="e">
        <f t="shared" si="352"/>
        <v>#REF!</v>
      </c>
      <c r="R511" s="1" t="e">
        <f t="shared" si="352"/>
        <v>#REF!</v>
      </c>
      <c r="S511" s="1"/>
    </row>
    <row r="512" spans="1:19" x14ac:dyDescent="0.35">
      <c r="S512" s="1"/>
    </row>
    <row r="513" spans="1:19" x14ac:dyDescent="0.35">
      <c r="A513" s="1" t="s">
        <v>302</v>
      </c>
      <c r="D513" s="1">
        <f t="shared" ref="D513:R513" si="359">(D497-D509)</f>
        <v>324.77557999999999</v>
      </c>
      <c r="E513" s="1">
        <f t="shared" si="359"/>
        <v>50.663999999999987</v>
      </c>
      <c r="F513" s="1">
        <f t="shared" si="359"/>
        <v>1.1368683772161603E-13</v>
      </c>
      <c r="G513" s="1">
        <f t="shared" si="359"/>
        <v>71.400000000000091</v>
      </c>
      <c r="H513" s="315">
        <f t="shared" si="359"/>
        <v>-89.260000000000218</v>
      </c>
      <c r="I513" s="1">
        <f t="shared" si="359"/>
        <v>-6.8699999999998909</v>
      </c>
      <c r="J513" s="1">
        <f t="shared" ref="J513" si="360">(J497-J509)</f>
        <v>68.800000000000182</v>
      </c>
      <c r="K513" s="1">
        <f t="shared" ref="K513" si="361">(K497-K509)</f>
        <v>333.80000000000018</v>
      </c>
      <c r="L513" s="1">
        <f t="shared" ref="L513" si="362">(L497-L509)</f>
        <v>333.80000000000018</v>
      </c>
      <c r="M513" s="1">
        <f t="shared" ref="M513" si="363">(M497-M509)</f>
        <v>333.80000000000018</v>
      </c>
      <c r="N513" s="1">
        <f t="shared" ref="N513" si="364">(N497-N509)</f>
        <v>333.80000000000018</v>
      </c>
      <c r="O513" s="1">
        <f t="shared" ref="O513" si="365">(O497-O509)</f>
        <v>333.80000000000109</v>
      </c>
      <c r="P513" s="1" t="e">
        <f t="shared" si="359"/>
        <v>#REF!</v>
      </c>
      <c r="Q513" s="1" t="e">
        <f t="shared" si="359"/>
        <v>#REF!</v>
      </c>
      <c r="R513" s="1" t="e">
        <f t="shared" si="359"/>
        <v>#REF!</v>
      </c>
      <c r="S513" s="1"/>
    </row>
    <row r="514" spans="1:19" x14ac:dyDescent="0.35">
      <c r="S514" s="1"/>
    </row>
    <row r="515" spans="1:19" x14ac:dyDescent="0.35">
      <c r="A515" s="1" t="s">
        <v>303</v>
      </c>
      <c r="D515" s="1">
        <f t="shared" ref="D515:H515" si="366">IF(D511&lt;D513,D511,D513)</f>
        <v>324.77557999999999</v>
      </c>
      <c r="E515" s="1">
        <f t="shared" si="366"/>
        <v>50.663999999999987</v>
      </c>
      <c r="F515" s="1">
        <f t="shared" si="366"/>
        <v>1.1368683772161603E-13</v>
      </c>
      <c r="G515" s="1">
        <f t="shared" si="366"/>
        <v>71.400000000000091</v>
      </c>
      <c r="H515" s="315">
        <f t="shared" si="366"/>
        <v>-89.260000000000218</v>
      </c>
      <c r="I515" s="2">
        <f t="shared" ref="I515:R515" si="367">IF(I513&lt;I511,I513,I511)</f>
        <v>-6.8699999999998909</v>
      </c>
      <c r="J515" s="2">
        <f t="shared" ref="J515" si="368">IF(J513&lt;J511,J513,J511)</f>
        <v>68.800000000000182</v>
      </c>
      <c r="K515" s="603">
        <f t="shared" ref="K515" si="369">IF(K513&lt;K511,K513,K511)</f>
        <v>333.80000000000018</v>
      </c>
      <c r="L515" s="603">
        <f t="shared" ref="L515" si="370">IF(L513&lt;L511,L513,L511)</f>
        <v>333.80000000000018</v>
      </c>
      <c r="M515" s="603">
        <f t="shared" ref="M515" si="371">IF(M513&lt;M511,M513,M511)</f>
        <v>333.80000000000018</v>
      </c>
      <c r="N515" s="603">
        <f t="shared" ref="N515" si="372">IF(N513&lt;N511,N513,N511)</f>
        <v>333.80000000000018</v>
      </c>
      <c r="O515" s="603">
        <f t="shared" ref="O515" si="373">IF(O513&lt;O511,O513,O511)</f>
        <v>333.80000000000109</v>
      </c>
      <c r="P515" s="2" t="e">
        <f t="shared" si="367"/>
        <v>#REF!</v>
      </c>
      <c r="Q515" s="2" t="e">
        <f t="shared" si="367"/>
        <v>#REF!</v>
      </c>
      <c r="R515" s="2" t="e">
        <f t="shared" si="367"/>
        <v>#REF!</v>
      </c>
      <c r="S515" s="2"/>
    </row>
    <row r="516" spans="1:19" x14ac:dyDescent="0.35">
      <c r="A516" s="1" t="s">
        <v>304</v>
      </c>
      <c r="S516" s="1"/>
    </row>
    <row r="517" spans="1:19" x14ac:dyDescent="0.35">
      <c r="S517" s="1"/>
    </row>
    <row r="518" spans="1:19" x14ac:dyDescent="0.35">
      <c r="A518" s="1" t="s">
        <v>305</v>
      </c>
      <c r="S518" s="1"/>
    </row>
    <row r="519" spans="1:19" x14ac:dyDescent="0.35">
      <c r="A519" s="1" t="s">
        <v>306</v>
      </c>
      <c r="D519" s="1">
        <f t="shared" ref="D519:I519" si="374">IF((D500-D509)&lt;0,0,(D500-D509))</f>
        <v>0</v>
      </c>
      <c r="E519" s="1">
        <f t="shared" si="374"/>
        <v>0</v>
      </c>
      <c r="F519" s="501">
        <f t="shared" si="374"/>
        <v>0</v>
      </c>
      <c r="G519" s="501">
        <f t="shared" si="374"/>
        <v>0</v>
      </c>
      <c r="H519" s="502">
        <f t="shared" si="374"/>
        <v>0</v>
      </c>
      <c r="I519" s="501">
        <f t="shared" si="374"/>
        <v>0</v>
      </c>
      <c r="J519" s="501">
        <f t="shared" ref="J519" si="375">IF((J500-J509)&lt;0,0,(J500-J509))</f>
        <v>0</v>
      </c>
      <c r="K519" s="501">
        <f t="shared" ref="K519" si="376">IF((K500-K509)&lt;0,0,(K500-K509))</f>
        <v>0</v>
      </c>
      <c r="L519" s="501">
        <f t="shared" ref="L519" si="377">IF((L500-L509)&lt;0,0,(L500-L509))</f>
        <v>0</v>
      </c>
      <c r="M519" s="501">
        <f t="shared" ref="M519" si="378">IF((M500-M509)&lt;0,0,(M500-M509))</f>
        <v>0</v>
      </c>
      <c r="N519" s="501">
        <f t="shared" ref="N519" si="379">IF((N500-N509)&lt;0,0,(N500-N509))</f>
        <v>0</v>
      </c>
      <c r="O519" s="501">
        <f t="shared" ref="O519" si="380">IF((O500-O509)&lt;0,0,(O500-O509))</f>
        <v>0</v>
      </c>
      <c r="P519" s="1" t="e">
        <f>IF((P500-P509)&lt;0,0,(P500-P509))</f>
        <v>#REF!</v>
      </c>
      <c r="Q519" s="1" t="e">
        <f>IF((Q500-Q509)&lt;0,0,(Q500-Q509))</f>
        <v>#REF!</v>
      </c>
      <c r="R519" s="1" t="e">
        <f>IF((R500-R509)&lt;0,0,(R500-R509))</f>
        <v>#REF!</v>
      </c>
      <c r="S519" s="1"/>
    </row>
    <row r="523" spans="1:19" x14ac:dyDescent="0.35">
      <c r="A523" s="2" t="s">
        <v>307</v>
      </c>
      <c r="B523" s="2"/>
      <c r="C523" s="2"/>
      <c r="D523" s="2"/>
      <c r="E523" s="2"/>
      <c r="F523" s="2"/>
      <c r="G523" s="2"/>
      <c r="H523" s="141"/>
      <c r="I523" s="2"/>
      <c r="J523" s="2"/>
    </row>
    <row r="524" spans="1:19" x14ac:dyDescent="0.35">
      <c r="A524" s="2" t="s">
        <v>308</v>
      </c>
      <c r="B524" s="2"/>
      <c r="C524" s="2"/>
      <c r="D524" s="2"/>
      <c r="E524" s="2"/>
      <c r="F524" s="2"/>
      <c r="G524" s="2"/>
      <c r="H524" s="141"/>
      <c r="I524" s="2"/>
      <c r="J524" s="2"/>
    </row>
    <row r="525" spans="1:19" x14ac:dyDescent="0.35">
      <c r="A525" s="3" t="str">
        <f>A7</f>
        <v>Name: CRPLINFRA PVT. LTD.</v>
      </c>
      <c r="B525" s="3"/>
      <c r="C525" s="3"/>
      <c r="D525" s="3"/>
      <c r="E525" s="3"/>
      <c r="F525" s="3"/>
      <c r="G525" s="3"/>
      <c r="H525" s="317"/>
      <c r="I525" s="3"/>
      <c r="J525" s="3"/>
    </row>
    <row r="526" spans="1:19" x14ac:dyDescent="0.35">
      <c r="A526" s="89" t="s">
        <v>37</v>
      </c>
      <c r="B526" s="89"/>
      <c r="C526" s="89"/>
      <c r="D526" s="10" t="str">
        <f t="shared" ref="D526:P528" si="381">D485</f>
        <v>2018-19</v>
      </c>
      <c r="E526" s="18" t="str">
        <f t="shared" si="381"/>
        <v>2019-20</v>
      </c>
      <c r="F526" s="86" t="str">
        <f t="shared" si="381"/>
        <v>2020-21</v>
      </c>
      <c r="G526" s="18" t="str">
        <f t="shared" si="381"/>
        <v>2021-22</v>
      </c>
      <c r="H526" s="331" t="str">
        <f>H485</f>
        <v>2022-23</v>
      </c>
      <c r="I526" s="18" t="str">
        <f t="shared" si="381"/>
        <v>2023-24</v>
      </c>
      <c r="J526" s="78" t="s">
        <v>673</v>
      </c>
      <c r="K526" s="78" t="s">
        <v>356</v>
      </c>
      <c r="L526" s="78" t="s">
        <v>674</v>
      </c>
      <c r="M526" s="78" t="s">
        <v>358</v>
      </c>
      <c r="N526" s="78" t="s">
        <v>675</v>
      </c>
      <c r="O526" s="78" t="s">
        <v>11</v>
      </c>
      <c r="P526" s="18" t="str">
        <f t="shared" si="381"/>
        <v>2030-31</v>
      </c>
      <c r="Q526" s="18" t="str">
        <f t="shared" ref="Q526:R528" si="382">Q485</f>
        <v>2031-32</v>
      </c>
      <c r="R526" s="18" t="str">
        <f t="shared" si="382"/>
        <v>2032-33</v>
      </c>
    </row>
    <row r="527" spans="1:19" x14ac:dyDescent="0.35">
      <c r="A527" s="90"/>
      <c r="B527" s="90"/>
      <c r="C527" s="90"/>
      <c r="D527" s="10" t="str">
        <f t="shared" si="381"/>
        <v>Aud.</v>
      </c>
      <c r="E527" s="18" t="str">
        <f t="shared" si="381"/>
        <v>Aud.</v>
      </c>
      <c r="F527" s="18" t="str">
        <f t="shared" si="381"/>
        <v>Aud.</v>
      </c>
      <c r="G527" s="18" t="str">
        <f t="shared" si="381"/>
        <v>Aud.</v>
      </c>
      <c r="H527" s="331" t="str">
        <f>H486</f>
        <v>Aud.</v>
      </c>
      <c r="I527" s="18" t="str">
        <f t="shared" si="381"/>
        <v>Aud.</v>
      </c>
      <c r="J527" s="4" t="s">
        <v>15</v>
      </c>
      <c r="K527" s="4" t="s">
        <v>672</v>
      </c>
      <c r="L527" s="4" t="s">
        <v>672</v>
      </c>
      <c r="M527" s="4" t="s">
        <v>672</v>
      </c>
      <c r="N527" s="4" t="s">
        <v>672</v>
      </c>
      <c r="O527" s="4" t="s">
        <v>672</v>
      </c>
      <c r="P527" s="18" t="str">
        <f t="shared" si="381"/>
        <v>Proj</v>
      </c>
      <c r="Q527" s="18" t="str">
        <f t="shared" si="382"/>
        <v>Proj</v>
      </c>
      <c r="R527" s="18" t="str">
        <f t="shared" si="382"/>
        <v>Proj</v>
      </c>
    </row>
    <row r="528" spans="1:19" x14ac:dyDescent="0.35">
      <c r="A528" s="91"/>
      <c r="B528" s="91"/>
      <c r="C528" s="91"/>
      <c r="D528" s="5">
        <f t="shared" si="381"/>
        <v>1</v>
      </c>
      <c r="E528" s="5">
        <f t="shared" si="381"/>
        <v>2</v>
      </c>
      <c r="F528" s="5">
        <f t="shared" si="381"/>
        <v>3</v>
      </c>
      <c r="G528" s="5">
        <f t="shared" si="381"/>
        <v>4</v>
      </c>
      <c r="H528" s="319">
        <f>H487</f>
        <v>5</v>
      </c>
      <c r="I528" s="5">
        <f t="shared" si="381"/>
        <v>6</v>
      </c>
      <c r="J528" s="5">
        <v>7</v>
      </c>
      <c r="K528" s="5">
        <v>8</v>
      </c>
      <c r="L528" s="5">
        <v>9</v>
      </c>
      <c r="M528" s="5">
        <v>10</v>
      </c>
      <c r="N528" s="5">
        <v>11</v>
      </c>
      <c r="O528" s="5">
        <v>12</v>
      </c>
      <c r="P528" s="5" t="e">
        <f t="shared" si="381"/>
        <v>#REF!</v>
      </c>
      <c r="Q528" s="5" t="e">
        <f t="shared" si="382"/>
        <v>#REF!</v>
      </c>
      <c r="R528" s="5" t="e">
        <f t="shared" si="382"/>
        <v>#REF!</v>
      </c>
    </row>
    <row r="529" spans="1:18" x14ac:dyDescent="0.35">
      <c r="A529" s="2" t="s">
        <v>309</v>
      </c>
      <c r="B529" s="2"/>
      <c r="C529" s="2"/>
    </row>
    <row r="531" spans="1:18" x14ac:dyDescent="0.35">
      <c r="A531" s="1" t="s">
        <v>310</v>
      </c>
      <c r="D531" s="1">
        <f t="shared" ref="D531:R531" si="383">D128</f>
        <v>85.610450000000014</v>
      </c>
      <c r="E531" s="1">
        <f t="shared" si="383"/>
        <v>146.79899999999998</v>
      </c>
      <c r="F531" s="1">
        <f t="shared" si="383"/>
        <v>95.93499999999986</v>
      </c>
      <c r="G531" s="1">
        <f t="shared" si="383"/>
        <v>153.5</v>
      </c>
      <c r="H531" s="315">
        <f t="shared" si="383"/>
        <v>254.19375189999991</v>
      </c>
      <c r="I531" s="1">
        <f t="shared" si="383"/>
        <v>242.70539620000011</v>
      </c>
      <c r="J531" s="1">
        <f t="shared" ref="J531" si="384">J128</f>
        <v>456.84200246599971</v>
      </c>
      <c r="K531" s="1">
        <f t="shared" ref="K531" si="385">K128</f>
        <v>668.85606785201526</v>
      </c>
      <c r="L531" s="1">
        <f t="shared" ref="L531" si="386">L128</f>
        <v>886.52193586635917</v>
      </c>
      <c r="M531" s="1">
        <f t="shared" ref="M531" si="387">M128</f>
        <v>1118.4184688854191</v>
      </c>
      <c r="N531" s="1">
        <f t="shared" ref="N531" si="388">N128</f>
        <v>1442.835279020946</v>
      </c>
      <c r="O531" s="1">
        <f t="shared" ref="O531" si="389">O128</f>
        <v>1668.1092595642031</v>
      </c>
      <c r="P531" s="1" t="e">
        <f t="shared" si="383"/>
        <v>#REF!</v>
      </c>
      <c r="Q531" s="1" t="e">
        <f t="shared" si="383"/>
        <v>#REF!</v>
      </c>
      <c r="R531" s="1" t="e">
        <f t="shared" si="383"/>
        <v>#REF!</v>
      </c>
    </row>
    <row r="532" spans="1:18" x14ac:dyDescent="0.35">
      <c r="A532" s="1" t="s">
        <v>311</v>
      </c>
      <c r="D532" s="1">
        <v>0</v>
      </c>
      <c r="E532" s="1">
        <v>0</v>
      </c>
      <c r="F532" s="501">
        <v>0</v>
      </c>
      <c r="G532" s="501">
        <v>0</v>
      </c>
      <c r="H532" s="502">
        <v>0</v>
      </c>
      <c r="I532" s="501">
        <v>0</v>
      </c>
      <c r="J532" s="501">
        <v>0</v>
      </c>
      <c r="K532" s="501">
        <v>0</v>
      </c>
      <c r="L532" s="501">
        <v>0</v>
      </c>
      <c r="M532" s="501">
        <v>0</v>
      </c>
      <c r="N532" s="501">
        <v>0</v>
      </c>
      <c r="O532" s="501">
        <v>0</v>
      </c>
      <c r="P532" s="1">
        <v>0</v>
      </c>
      <c r="Q532" s="1">
        <v>0</v>
      </c>
      <c r="R532" s="1">
        <v>0</v>
      </c>
    </row>
    <row r="533" spans="1:18" x14ac:dyDescent="0.35">
      <c r="A533" s="1" t="s">
        <v>312</v>
      </c>
      <c r="D533" s="1">
        <f t="shared" ref="D533:I533" si="390">D53</f>
        <v>425.55</v>
      </c>
      <c r="E533" s="1">
        <f t="shared" si="390"/>
        <v>429.13400000000001</v>
      </c>
      <c r="F533" s="1">
        <f t="shared" si="390"/>
        <v>488.39800000000002</v>
      </c>
      <c r="G533" s="1">
        <f t="shared" si="390"/>
        <v>644.71</v>
      </c>
      <c r="H533" s="315">
        <f t="shared" si="390"/>
        <v>1163.21</v>
      </c>
      <c r="I533" s="1">
        <f t="shared" si="390"/>
        <v>969.66</v>
      </c>
      <c r="J533" s="1">
        <f t="shared" ref="J533" si="391">J53</f>
        <v>741.27418599999999</v>
      </c>
      <c r="K533" s="1">
        <f t="shared" ref="K533" si="392">K53</f>
        <v>1364.8717971967999</v>
      </c>
      <c r="L533" s="1">
        <f t="shared" ref="L533" si="393">L53</f>
        <v>1248.7253340913628</v>
      </c>
      <c r="M533" s="1">
        <f t="shared" ref="M533" si="394">M53</f>
        <v>1043.1127846433142</v>
      </c>
      <c r="N533" s="1">
        <f t="shared" ref="N533" si="395">N53</f>
        <v>873.31854804358272</v>
      </c>
      <c r="O533" s="1">
        <f t="shared" ref="O533" si="396">O53</f>
        <v>732.76239069000871</v>
      </c>
      <c r="P533" s="1">
        <f t="shared" ref="P533:R533" si="397">P53</f>
        <v>418.06011443809285</v>
      </c>
      <c r="Q533" s="1">
        <f t="shared" si="397"/>
        <v>337.63965937522721</v>
      </c>
      <c r="R533" s="1">
        <f t="shared" si="397"/>
        <v>264.26440811007245</v>
      </c>
    </row>
    <row r="535" spans="1:18" x14ac:dyDescent="0.35">
      <c r="A535" s="1" t="s">
        <v>313</v>
      </c>
      <c r="D535" s="1">
        <f t="shared" ref="D535" si="398">(D228+D231+D229)-(C228+C231+C229)</f>
        <v>1.3290000000001783</v>
      </c>
      <c r="E535" s="1">
        <f t="shared" ref="E535" si="399">(E228+E231+E229)-(D228+D231+D229)</f>
        <v>1000</v>
      </c>
      <c r="F535" s="501">
        <f t="shared" ref="F535" si="400">(F228+F231+F229)-(E228+E231+E229)</f>
        <v>0</v>
      </c>
      <c r="G535" s="501">
        <f t="shared" ref="G535" si="401">(G228+G231+G229)-(F228+F231+F229)</f>
        <v>0</v>
      </c>
      <c r="H535" s="502">
        <f t="shared" ref="H535:R535" si="402">(H228+H231+H229)-(G228+G231+G229)</f>
        <v>0</v>
      </c>
      <c r="I535" s="501">
        <f t="shared" ref="I535:O535" si="403">(I228+I231+I229)-(H228+H231+H229)</f>
        <v>-3.0000000001564331E-3</v>
      </c>
      <c r="J535" s="501">
        <f t="shared" si="403"/>
        <v>3.0000000001564331E-3</v>
      </c>
      <c r="K535" s="501">
        <f t="shared" si="403"/>
        <v>0</v>
      </c>
      <c r="L535" s="501">
        <f t="shared" si="403"/>
        <v>0</v>
      </c>
      <c r="M535" s="501">
        <f t="shared" si="403"/>
        <v>0</v>
      </c>
      <c r="N535" s="501">
        <f t="shared" si="403"/>
        <v>0</v>
      </c>
      <c r="O535" s="501">
        <f t="shared" si="403"/>
        <v>0</v>
      </c>
      <c r="P535" s="1" t="e">
        <f>(P228+P231+P229)-(#REF!+#REF!+#REF!)</f>
        <v>#REF!</v>
      </c>
      <c r="Q535" s="1">
        <f t="shared" si="402"/>
        <v>0</v>
      </c>
      <c r="R535" s="1">
        <f t="shared" si="402"/>
        <v>0</v>
      </c>
    </row>
    <row r="537" spans="1:18" x14ac:dyDescent="0.35">
      <c r="A537" s="1" t="s">
        <v>314</v>
      </c>
      <c r="D537" s="1">
        <f t="shared" ref="D537:G537" si="404">D221-C221</f>
        <v>1856.6432299999999</v>
      </c>
      <c r="E537" s="1">
        <f t="shared" si="404"/>
        <v>987.45399999999972</v>
      </c>
      <c r="F537" s="501">
        <f t="shared" si="404"/>
        <v>994.80800000000045</v>
      </c>
      <c r="G537" s="501">
        <f t="shared" si="404"/>
        <v>463.52999999999975</v>
      </c>
      <c r="H537" s="502">
        <f>H221-G221</f>
        <v>219.67300000000068</v>
      </c>
      <c r="I537" s="501">
        <f t="shared" ref="I537:O537" si="405">IF(I221-H221&lt;=0,0,I221-H221)</f>
        <v>0</v>
      </c>
      <c r="J537" s="501">
        <f t="shared" si="405"/>
        <v>3937.0588888888879</v>
      </c>
      <c r="K537" s="501">
        <f t="shared" si="405"/>
        <v>0</v>
      </c>
      <c r="L537" s="501">
        <f t="shared" si="405"/>
        <v>0</v>
      </c>
      <c r="M537" s="501">
        <f t="shared" si="405"/>
        <v>0</v>
      </c>
      <c r="N537" s="501">
        <f t="shared" si="405"/>
        <v>0</v>
      </c>
      <c r="O537" s="501">
        <f t="shared" si="405"/>
        <v>0</v>
      </c>
      <c r="P537" s="1" t="e">
        <f>IF(P221-#REF!&lt;=0,0,P221-#REF!)</f>
        <v>#REF!</v>
      </c>
      <c r="Q537" s="1" t="e">
        <f>IF(Q221-P221&lt;=0,0,Q221-#REF!)</f>
        <v>#REF!</v>
      </c>
      <c r="R537" s="1" t="e">
        <f t="shared" ref="R537" si="406">IF(R221-Q221&lt;=0,0,R221-P221)</f>
        <v>#REF!</v>
      </c>
    </row>
    <row r="538" spans="1:18" x14ac:dyDescent="0.35">
      <c r="A538" s="1" t="s">
        <v>315</v>
      </c>
    </row>
    <row r="540" spans="1:18" x14ac:dyDescent="0.35">
      <c r="A540" s="1" t="s">
        <v>316</v>
      </c>
    </row>
    <row r="541" spans="1:18" x14ac:dyDescent="0.35">
      <c r="A541" s="1" t="s">
        <v>317</v>
      </c>
      <c r="D541" s="1">
        <v>0</v>
      </c>
      <c r="E541" s="1">
        <v>0</v>
      </c>
      <c r="F541" s="501">
        <f>IF(F305-E305&gt;=0,0,F305-E305)</f>
        <v>0</v>
      </c>
      <c r="G541" s="501">
        <f>IF(G305-F305&gt;=0,0,G305-F305)</f>
        <v>0</v>
      </c>
      <c r="H541" s="501">
        <f>IF(H305-G305&gt;=0,0,H305-G305)</f>
        <v>0</v>
      </c>
      <c r="I541" s="501">
        <f>IF(I305-H305&gt;=0,0,I305-H305)</f>
        <v>0</v>
      </c>
      <c r="J541" s="501">
        <f>IF(J305-I305&gt;=0,0,J305-I305)</f>
        <v>0</v>
      </c>
      <c r="K541" s="501">
        <f>IF(K305-J305&gt;=0,0,-(K305-J305))</f>
        <v>0</v>
      </c>
      <c r="L541" s="501">
        <f>IF(L305-K305&gt;=0,0,L305-K305)</f>
        <v>0</v>
      </c>
      <c r="M541" s="501">
        <f>IF(M305-L305&gt;=0,0,M305-L305)</f>
        <v>0</v>
      </c>
      <c r="N541" s="501">
        <f>IF(N305-M305&gt;=0,0,N305-M305)</f>
        <v>0</v>
      </c>
      <c r="O541" s="501">
        <f>IF(O305-N305&gt;=0,0,O305-N305)</f>
        <v>0</v>
      </c>
      <c r="P541" s="1" t="e">
        <f>IF(P305-#REF!&gt;=0,0,P305-#REF!)</f>
        <v>#REF!</v>
      </c>
      <c r="Q541" s="1" t="e">
        <f>IF(Q305-P305&gt;=0,0,Q305-#REF!)</f>
        <v>#REF!</v>
      </c>
      <c r="R541" s="1" t="e">
        <f t="shared" ref="R541" si="407">IF(R305-Q305&gt;=0,0,R305-P305)</f>
        <v>#REF!</v>
      </c>
    </row>
    <row r="542" spans="1:18" x14ac:dyDescent="0.35">
      <c r="A542" s="1" t="s">
        <v>318</v>
      </c>
      <c r="D542" s="1">
        <v>0</v>
      </c>
      <c r="E542" s="1">
        <v>0</v>
      </c>
      <c r="F542" s="501">
        <v>0</v>
      </c>
      <c r="G542" s="501">
        <v>0</v>
      </c>
      <c r="H542" s="502">
        <v>0</v>
      </c>
      <c r="I542" s="501">
        <f>IF(I346-H346&gt;=0,0,I346-H346)</f>
        <v>0</v>
      </c>
      <c r="J542" s="501">
        <f>-(J346-I346)</f>
        <v>0</v>
      </c>
      <c r="K542" s="501">
        <f>IF(K346-J346&gt;=0,0,K346-J346)</f>
        <v>0</v>
      </c>
      <c r="L542" s="501">
        <f>IF(L346-K346&gt;=0,0,L346-K346)</f>
        <v>0</v>
      </c>
      <c r="M542" s="501">
        <f>IF(M346-L346&gt;=0,0,M346-L346)</f>
        <v>0</v>
      </c>
      <c r="N542" s="501">
        <f>IF(N346-M346&gt;=0,0,N346-M346)</f>
        <v>0</v>
      </c>
      <c r="O542" s="501">
        <f>IF(O346-N346&gt;=0,0,O346-N346)</f>
        <v>0</v>
      </c>
      <c r="P542" s="1" t="e">
        <f>IF(P346-#REF!&gt;=0,0,P346-#REF!)</f>
        <v>#REF!</v>
      </c>
      <c r="Q542" s="1" t="e">
        <f t="shared" ref="Q542:R542" si="408">IF(Q346-P346&gt;=0,0,Q346-P346)</f>
        <v>#REF!</v>
      </c>
      <c r="R542" s="1" t="e">
        <f t="shared" si="408"/>
        <v>#REF!</v>
      </c>
    </row>
    <row r="544" spans="1:18" x14ac:dyDescent="0.35">
      <c r="A544" s="1" t="s">
        <v>319</v>
      </c>
      <c r="D544" s="1">
        <v>0</v>
      </c>
      <c r="E544" s="1">
        <v>0</v>
      </c>
      <c r="F544" s="501">
        <v>0</v>
      </c>
      <c r="G544" s="501">
        <v>0</v>
      </c>
      <c r="H544" s="502">
        <v>0</v>
      </c>
      <c r="I544" s="501">
        <f t="shared" ref="I544:O544" si="409">IF(I235-H235&lt;=0,0,I235-H235)</f>
        <v>0</v>
      </c>
      <c r="J544" s="501">
        <f t="shared" si="409"/>
        <v>0</v>
      </c>
      <c r="K544" s="501">
        <f t="shared" si="409"/>
        <v>0</v>
      </c>
      <c r="L544" s="501">
        <f t="shared" si="409"/>
        <v>0</v>
      </c>
      <c r="M544" s="501">
        <f t="shared" si="409"/>
        <v>0</v>
      </c>
      <c r="N544" s="501">
        <f t="shared" si="409"/>
        <v>0</v>
      </c>
      <c r="O544" s="501">
        <f t="shared" si="409"/>
        <v>0</v>
      </c>
      <c r="P544" s="1" t="e">
        <f>IF(P235-#REF!&lt;=0,0,P235-#REF!)</f>
        <v>#REF!</v>
      </c>
      <c r="Q544" s="1" t="e">
        <f>IF(Q235-P235&lt;=0,0,Q235-#REF!)</f>
        <v>#REF!</v>
      </c>
      <c r="R544" s="1" t="e">
        <f t="shared" ref="R544" si="410">IF(R235-Q235&lt;=0,0,R235-P235)</f>
        <v>#REF!</v>
      </c>
    </row>
    <row r="545" spans="1:18" x14ac:dyDescent="0.35">
      <c r="D545" s="17" t="s">
        <v>19</v>
      </c>
      <c r="E545" s="17" t="s">
        <v>19</v>
      </c>
      <c r="F545" s="17" t="s">
        <v>19</v>
      </c>
      <c r="G545" s="17" t="s">
        <v>19</v>
      </c>
      <c r="H545" s="330" t="s">
        <v>19</v>
      </c>
      <c r="I545" s="17" t="s">
        <v>19</v>
      </c>
      <c r="J545" s="17" t="s">
        <v>19</v>
      </c>
      <c r="K545" s="17" t="s">
        <v>19</v>
      </c>
      <c r="L545" s="17" t="s">
        <v>19</v>
      </c>
      <c r="M545" s="17" t="s">
        <v>19</v>
      </c>
      <c r="N545" s="17" t="s">
        <v>19</v>
      </c>
      <c r="O545" s="17" t="s">
        <v>19</v>
      </c>
      <c r="P545" s="17" t="s">
        <v>19</v>
      </c>
      <c r="Q545" s="17" t="s">
        <v>19</v>
      </c>
      <c r="R545" s="17" t="s">
        <v>19</v>
      </c>
    </row>
    <row r="546" spans="1:18" x14ac:dyDescent="0.35">
      <c r="A546" s="1" t="s">
        <v>320</v>
      </c>
      <c r="D546" s="1">
        <f t="shared" ref="D546:G546" si="411">SUM(D531:D544)</f>
        <v>2369.1326800000002</v>
      </c>
      <c r="E546" s="1">
        <f t="shared" si="411"/>
        <v>2563.3869999999997</v>
      </c>
      <c r="F546" s="1">
        <f t="shared" si="411"/>
        <v>1579.1410000000003</v>
      </c>
      <c r="G546" s="1">
        <f t="shared" si="411"/>
        <v>1261.7399999999998</v>
      </c>
      <c r="H546" s="1">
        <f>SUM(H531:H544)</f>
        <v>1637.0767519000005</v>
      </c>
      <c r="I546" s="1">
        <f t="shared" ref="I546" si="412">SUM(I531:I544)</f>
        <v>1212.3623961999999</v>
      </c>
      <c r="J546" s="1">
        <f t="shared" ref="J546" si="413">SUM(J531:J544)</f>
        <v>5135.1780773548871</v>
      </c>
      <c r="K546" s="1">
        <f t="shared" ref="K546" si="414">SUM(K531:K544)</f>
        <v>2033.7278650488151</v>
      </c>
      <c r="L546" s="1">
        <f t="shared" ref="L546" si="415">SUM(L531:L544)</f>
        <v>2135.247269957722</v>
      </c>
      <c r="M546" s="1">
        <f t="shared" ref="M546" si="416">SUM(M531:M544)</f>
        <v>2161.531253528733</v>
      </c>
      <c r="N546" s="1">
        <f t="shared" ref="N546" si="417">SUM(N531:N544)</f>
        <v>2316.1538270645287</v>
      </c>
      <c r="O546" s="1">
        <f t="shared" ref="O546" si="418">SUM(O531:O544)</f>
        <v>2400.871650254212</v>
      </c>
      <c r="P546" s="1" t="e">
        <f>SUM(P531:P544)</f>
        <v>#REF!</v>
      </c>
      <c r="Q546" s="1" t="e">
        <f>SUM(Q531:Q544)</f>
        <v>#REF!</v>
      </c>
      <c r="R546" s="1" t="e">
        <f>SUM(R531:R544)</f>
        <v>#REF!</v>
      </c>
    </row>
    <row r="548" spans="1:18" x14ac:dyDescent="0.35">
      <c r="A548" s="2" t="s">
        <v>321</v>
      </c>
      <c r="B548" s="2"/>
      <c r="C548" s="2"/>
    </row>
    <row r="550" spans="1:18" x14ac:dyDescent="0.35">
      <c r="A550" s="1" t="s">
        <v>322</v>
      </c>
      <c r="D550" s="1">
        <v>0</v>
      </c>
      <c r="E550" s="1">
        <v>0</v>
      </c>
      <c r="F550" s="501">
        <v>0</v>
      </c>
      <c r="G550" s="501">
        <v>0</v>
      </c>
      <c r="H550" s="502">
        <v>0</v>
      </c>
      <c r="I550" s="501">
        <v>0</v>
      </c>
      <c r="J550" s="501">
        <v>0</v>
      </c>
      <c r="K550" s="501">
        <v>0</v>
      </c>
      <c r="L550" s="501">
        <v>0</v>
      </c>
      <c r="M550" s="501">
        <v>0</v>
      </c>
      <c r="N550" s="501">
        <v>0</v>
      </c>
      <c r="O550" s="501">
        <v>0</v>
      </c>
      <c r="P550" s="1">
        <v>0</v>
      </c>
      <c r="Q550" s="1">
        <v>0</v>
      </c>
      <c r="R550" s="1">
        <v>0</v>
      </c>
    </row>
    <row r="552" spans="1:18" x14ac:dyDescent="0.35">
      <c r="A552" s="1" t="s">
        <v>323</v>
      </c>
      <c r="D552" s="1">
        <f t="shared" ref="D552" si="419">IF((C221-D221)&lt;0,0,(C221-D221))</f>
        <v>0</v>
      </c>
      <c r="E552" s="1">
        <f t="shared" ref="E552" si="420">IF((D221-E221)&lt;0,0,(D221-E221))</f>
        <v>0</v>
      </c>
      <c r="F552" s="501">
        <f t="shared" ref="F552" si="421">IF((E221-F221)&lt;0,0,(E221-F221))</f>
        <v>0</v>
      </c>
      <c r="G552" s="501">
        <f t="shared" ref="G552" si="422">IF((F221-G221)&lt;0,0,(F221-G221))</f>
        <v>0</v>
      </c>
      <c r="H552" s="502">
        <f t="shared" ref="H552:R552" si="423">IF((G221-H221)&lt;0,0,(G221-H221))</f>
        <v>0</v>
      </c>
      <c r="I552" s="501">
        <f t="shared" ref="I552:O552" si="424">IF((H221-I221)&lt;0,0,(H221-I221))</f>
        <v>972.80000000000018</v>
      </c>
      <c r="J552" s="501">
        <f t="shared" si="424"/>
        <v>0</v>
      </c>
      <c r="K552" s="501">
        <f t="shared" si="424"/>
        <v>1452.1599999999999</v>
      </c>
      <c r="L552" s="501">
        <f t="shared" si="424"/>
        <v>1502</v>
      </c>
      <c r="M552" s="501">
        <f t="shared" si="424"/>
        <v>1264.46</v>
      </c>
      <c r="N552" s="501">
        <f t="shared" si="424"/>
        <v>1289.9499999999998</v>
      </c>
      <c r="O552" s="501">
        <f t="shared" si="424"/>
        <v>1077.2100000000003</v>
      </c>
      <c r="P552" s="1" t="e">
        <f>IF((#REF!-P221)&lt;0,0,(#REF!-P221))</f>
        <v>#REF!</v>
      </c>
      <c r="Q552" s="1" t="e">
        <f t="shared" si="423"/>
        <v>#REF!</v>
      </c>
      <c r="R552" s="1" t="e">
        <f t="shared" si="423"/>
        <v>#REF!</v>
      </c>
    </row>
    <row r="553" spans="1:18" x14ac:dyDescent="0.35">
      <c r="A553" s="1" t="s">
        <v>315</v>
      </c>
    </row>
    <row r="554" spans="1:18" x14ac:dyDescent="0.35">
      <c r="A554" s="17" t="s">
        <v>37</v>
      </c>
      <c r="B554" s="17"/>
      <c r="C554" s="17"/>
    </row>
    <row r="555" spans="1:18" x14ac:dyDescent="0.35">
      <c r="A555" s="1" t="s">
        <v>324</v>
      </c>
    </row>
    <row r="557" spans="1:18" x14ac:dyDescent="0.35">
      <c r="A557" s="1" t="s">
        <v>317</v>
      </c>
      <c r="D557" s="1">
        <f t="shared" ref="D557" si="425">D305-C305</f>
        <v>5888.0280000000002</v>
      </c>
      <c r="E557" s="1">
        <f t="shared" ref="E557" si="426">E305-D305</f>
        <v>1044.3889999999992</v>
      </c>
      <c r="F557" s="1">
        <f t="shared" ref="F557:O557" si="427">IF(F305-E305&lt;=0,0,F305-E305)</f>
        <v>1555.0320000000011</v>
      </c>
      <c r="G557" s="1">
        <f t="shared" si="427"/>
        <v>1580.121000000001</v>
      </c>
      <c r="H557" s="1">
        <f t="shared" si="427"/>
        <v>631.05999999999949</v>
      </c>
      <c r="I557" s="1">
        <f t="shared" si="427"/>
        <v>347.67000000000007</v>
      </c>
      <c r="J557" s="1">
        <f t="shared" si="427"/>
        <v>4800.0099999999984</v>
      </c>
      <c r="K557" s="1">
        <f t="shared" si="427"/>
        <v>0</v>
      </c>
      <c r="L557" s="1">
        <f t="shared" si="427"/>
        <v>0</v>
      </c>
      <c r="M557" s="1">
        <f t="shared" si="427"/>
        <v>0</v>
      </c>
      <c r="N557" s="1">
        <f t="shared" si="427"/>
        <v>0</v>
      </c>
      <c r="O557" s="1">
        <f t="shared" si="427"/>
        <v>0</v>
      </c>
      <c r="P557" s="1" t="e">
        <f>P305-#REF!</f>
        <v>#REF!</v>
      </c>
      <c r="Q557" s="1" t="e">
        <f t="shared" ref="Q557:R557" si="428">Q305-P305</f>
        <v>#REF!</v>
      </c>
      <c r="R557" s="1" t="e">
        <f t="shared" si="428"/>
        <v>#REF!</v>
      </c>
    </row>
    <row r="559" spans="1:18" x14ac:dyDescent="0.35">
      <c r="A559" s="1" t="s">
        <v>318</v>
      </c>
      <c r="D559" s="1">
        <f t="shared" ref="D559" si="429">(D346-C346)</f>
        <v>68.090999999999994</v>
      </c>
      <c r="E559" s="1">
        <f t="shared" ref="E559" si="430">(E346-D346)</f>
        <v>1077.3330000000001</v>
      </c>
      <c r="F559" s="1">
        <f t="shared" ref="F559" si="431">(F346-E346)</f>
        <v>198.45600000000013</v>
      </c>
      <c r="G559" s="1">
        <f t="shared" ref="G559" si="432">(G346-F346)</f>
        <v>-209.15000000000009</v>
      </c>
      <c r="H559" s="315">
        <f t="shared" ref="H559:R559" si="433">(H346-G346)</f>
        <v>169.91999999999985</v>
      </c>
      <c r="I559" s="1">
        <f>(I346-H346)</f>
        <v>621.27000000000044</v>
      </c>
      <c r="J559" s="1">
        <f>IF(J346-I346&lt;=0,J436-I436)</f>
        <v>0</v>
      </c>
      <c r="K559" s="1">
        <f>(K346-J346)</f>
        <v>0</v>
      </c>
      <c r="L559" s="1">
        <f>(L346-K346)</f>
        <v>0</v>
      </c>
      <c r="M559" s="1">
        <f>(M346-L346)</f>
        <v>0</v>
      </c>
      <c r="N559" s="1">
        <f>(N346-M346)</f>
        <v>2.2737367544323206E-13</v>
      </c>
      <c r="O559" s="1">
        <f>(O346-N346)</f>
        <v>0</v>
      </c>
      <c r="P559" s="1" t="e">
        <f>(P346-#REF!)</f>
        <v>#REF!</v>
      </c>
      <c r="Q559" s="1" t="e">
        <f t="shared" si="433"/>
        <v>#REF!</v>
      </c>
      <c r="R559" s="1" t="e">
        <f t="shared" si="433"/>
        <v>#REF!</v>
      </c>
    </row>
    <row r="561" spans="1:18" x14ac:dyDescent="0.35">
      <c r="A561" s="1" t="s">
        <v>325</v>
      </c>
      <c r="D561" s="1">
        <f t="shared" ref="D561:R561" si="434">(D130)</f>
        <v>0</v>
      </c>
      <c r="E561" s="1">
        <f t="shared" si="434"/>
        <v>0</v>
      </c>
      <c r="F561" s="501">
        <f t="shared" si="434"/>
        <v>0</v>
      </c>
      <c r="G561" s="501">
        <f t="shared" si="434"/>
        <v>0</v>
      </c>
      <c r="H561" s="502">
        <f t="shared" si="434"/>
        <v>0</v>
      </c>
      <c r="I561" s="501">
        <f t="shared" si="434"/>
        <v>0</v>
      </c>
      <c r="J561" s="501">
        <f t="shared" ref="J561" si="435">(J130)</f>
        <v>0</v>
      </c>
      <c r="K561" s="501">
        <f t="shared" ref="K561" si="436">(K130)</f>
        <v>0</v>
      </c>
      <c r="L561" s="501">
        <f t="shared" ref="L561" si="437">(L130)</f>
        <v>0</v>
      </c>
      <c r="M561" s="501">
        <f t="shared" ref="M561" si="438">(M130)</f>
        <v>0</v>
      </c>
      <c r="N561" s="501">
        <f t="shared" ref="N561" si="439">(N130)</f>
        <v>0</v>
      </c>
      <c r="O561" s="501">
        <f t="shared" ref="O561" si="440">(O130)</f>
        <v>0</v>
      </c>
      <c r="P561" s="1">
        <f t="shared" si="434"/>
        <v>0</v>
      </c>
      <c r="Q561" s="1">
        <f t="shared" si="434"/>
        <v>0</v>
      </c>
      <c r="R561" s="1">
        <f t="shared" si="434"/>
        <v>0</v>
      </c>
    </row>
    <row r="563" spans="1:18" x14ac:dyDescent="0.35">
      <c r="A563" s="1" t="s">
        <v>326</v>
      </c>
      <c r="D563" s="1">
        <f t="shared" ref="D563" si="441">D349-C349</f>
        <v>0</v>
      </c>
      <c r="E563" s="1">
        <f t="shared" ref="E563" si="442">E349-D349</f>
        <v>0</v>
      </c>
      <c r="F563" s="501">
        <f t="shared" ref="F563" si="443">F349-E349</f>
        <v>0</v>
      </c>
      <c r="G563" s="501">
        <f t="shared" ref="G563" si="444">G349-F349</f>
        <v>0</v>
      </c>
      <c r="H563" s="502">
        <f t="shared" ref="H563:R563" si="445">H349-G349</f>
        <v>0</v>
      </c>
      <c r="I563" s="501">
        <f t="shared" ref="I563:O563" si="446">I349-H349</f>
        <v>0</v>
      </c>
      <c r="J563" s="501">
        <f t="shared" si="446"/>
        <v>0</v>
      </c>
      <c r="K563" s="501">
        <f t="shared" si="446"/>
        <v>0</v>
      </c>
      <c r="L563" s="501">
        <f t="shared" si="446"/>
        <v>0</v>
      </c>
      <c r="M563" s="501">
        <f t="shared" si="446"/>
        <v>0</v>
      </c>
      <c r="N563" s="501">
        <f t="shared" si="446"/>
        <v>0</v>
      </c>
      <c r="O563" s="501">
        <f t="shared" si="446"/>
        <v>0</v>
      </c>
      <c r="P563" s="1" t="e">
        <f>P349-#REF!</f>
        <v>#REF!</v>
      </c>
      <c r="Q563" s="1">
        <f t="shared" si="445"/>
        <v>0</v>
      </c>
      <c r="R563" s="1">
        <f t="shared" si="445"/>
        <v>0</v>
      </c>
    </row>
    <row r="564" spans="1:18" x14ac:dyDescent="0.35">
      <c r="D564" s="17" t="s">
        <v>19</v>
      </c>
      <c r="E564" s="17" t="s">
        <v>19</v>
      </c>
      <c r="F564" s="17" t="s">
        <v>19</v>
      </c>
      <c r="G564" s="17" t="s">
        <v>19</v>
      </c>
      <c r="H564" s="330" t="s">
        <v>19</v>
      </c>
      <c r="I564" s="17" t="s">
        <v>19</v>
      </c>
      <c r="J564" s="17" t="s">
        <v>19</v>
      </c>
      <c r="K564" s="17" t="s">
        <v>19</v>
      </c>
      <c r="L564" s="17" t="s">
        <v>19</v>
      </c>
      <c r="M564" s="17" t="s">
        <v>19</v>
      </c>
      <c r="N564" s="17" t="s">
        <v>19</v>
      </c>
      <c r="O564" s="17" t="s">
        <v>19</v>
      </c>
      <c r="P564" s="17" t="s">
        <v>19</v>
      </c>
      <c r="Q564" s="17" t="s">
        <v>19</v>
      </c>
      <c r="R564" s="17" t="s">
        <v>19</v>
      </c>
    </row>
    <row r="565" spans="1:18" x14ac:dyDescent="0.35">
      <c r="A565" s="1" t="s">
        <v>327</v>
      </c>
      <c r="D565" s="1">
        <f t="shared" ref="D565:G565" si="447">SUM(D550:D563)</f>
        <v>5956.1190000000006</v>
      </c>
      <c r="E565" s="1">
        <f t="shared" si="447"/>
        <v>2121.7219999999993</v>
      </c>
      <c r="F565" s="1">
        <f t="shared" si="447"/>
        <v>1753.4880000000012</v>
      </c>
      <c r="G565" s="1">
        <f t="shared" si="447"/>
        <v>1370.9710000000009</v>
      </c>
      <c r="H565" s="1">
        <f>SUM(H550:H563)</f>
        <v>800.97999999999934</v>
      </c>
      <c r="I565" s="1">
        <f t="shared" ref="I565" si="448">SUM(I550:I563)</f>
        <v>1941.7400000000007</v>
      </c>
      <c r="J565" s="1">
        <f t="shared" ref="J565" si="449">SUM(J550:J563)</f>
        <v>4800.0099999999984</v>
      </c>
      <c r="K565" s="1">
        <f t="shared" ref="K565" si="450">SUM(K550:K563)</f>
        <v>1452.1599999999999</v>
      </c>
      <c r="L565" s="1">
        <f t="shared" ref="L565" si="451">SUM(L550:L563)</f>
        <v>1502</v>
      </c>
      <c r="M565" s="1">
        <f t="shared" ref="M565" si="452">SUM(M550:M563)</f>
        <v>1264.46</v>
      </c>
      <c r="N565" s="1">
        <f t="shared" ref="N565" si="453">SUM(N550:N563)</f>
        <v>1289.95</v>
      </c>
      <c r="O565" s="1">
        <f t="shared" ref="O565" si="454">SUM(O550:O563)</f>
        <v>1077.2100000000003</v>
      </c>
      <c r="P565" s="1" t="e">
        <f>SUM(P550:P563)</f>
        <v>#REF!</v>
      </c>
      <c r="Q565" s="1" t="e">
        <f>SUM(Q550:Q563)</f>
        <v>#REF!</v>
      </c>
      <c r="R565" s="1" t="e">
        <f>SUM(R550:R563)</f>
        <v>#REF!</v>
      </c>
    </row>
    <row r="566" spans="1:18" x14ac:dyDescent="0.35">
      <c r="H566" s="1"/>
    </row>
    <row r="567" spans="1:18" x14ac:dyDescent="0.35">
      <c r="A567" s="1" t="s">
        <v>328</v>
      </c>
    </row>
    <row r="568" spans="1:18" x14ac:dyDescent="0.35">
      <c r="A568" s="1" t="s">
        <v>329</v>
      </c>
      <c r="D568" s="1">
        <f t="shared" ref="D568:G568" si="455">(D546-D565)</f>
        <v>-3586.9863200000004</v>
      </c>
      <c r="E568" s="1">
        <f t="shared" si="455"/>
        <v>441.66500000000042</v>
      </c>
      <c r="F568" s="1">
        <f t="shared" si="455"/>
        <v>-174.34700000000089</v>
      </c>
      <c r="G568" s="1">
        <f t="shared" si="455"/>
        <v>-109.23100000000113</v>
      </c>
      <c r="H568" s="1">
        <f>(H546-H565)</f>
        <v>836.09675190000121</v>
      </c>
      <c r="I568" s="515">
        <f t="shared" ref="I568" si="456">(I546-I565)</f>
        <v>-729.37760380000077</v>
      </c>
      <c r="J568" s="515">
        <f t="shared" ref="J568" si="457">(J546-J565)</f>
        <v>335.16807735488874</v>
      </c>
      <c r="K568" s="515">
        <f t="shared" ref="K568" si="458">(K546-K565)</f>
        <v>581.56786504881529</v>
      </c>
      <c r="L568" s="515">
        <f t="shared" ref="L568" si="459">(L546-L565)</f>
        <v>633.24726995772198</v>
      </c>
      <c r="M568" s="515">
        <f t="shared" ref="M568" si="460">(M546-M565)</f>
        <v>897.071253528733</v>
      </c>
      <c r="N568" s="515">
        <f t="shared" ref="N568" si="461">(N546-N565)</f>
        <v>1026.2038270645287</v>
      </c>
      <c r="O568" s="515">
        <f t="shared" ref="O568" si="462">(O546-O565)</f>
        <v>1323.6616502542117</v>
      </c>
      <c r="P568" s="309" t="e">
        <f>(P546-P565)</f>
        <v>#REF!</v>
      </c>
      <c r="Q568" s="309" t="e">
        <f>(Q546-Q565)</f>
        <v>#REF!</v>
      </c>
      <c r="R568" s="309" t="e">
        <f>(R546-R565)</f>
        <v>#REF!</v>
      </c>
    </row>
    <row r="570" spans="1:18" x14ac:dyDescent="0.35">
      <c r="A570" s="1" t="s">
        <v>330</v>
      </c>
    </row>
    <row r="571" spans="1:18" x14ac:dyDescent="0.35">
      <c r="A571" s="1" t="s">
        <v>331</v>
      </c>
      <c r="D571" s="1">
        <f t="shared" ref="D571" si="463">D446-C446</f>
        <v>1004.4159999999999</v>
      </c>
      <c r="E571" s="1">
        <f t="shared" ref="E571" si="464">E446-D446</f>
        <v>107.41700000000014</v>
      </c>
      <c r="F571" s="1">
        <f t="shared" ref="F571" si="465">F446-E446</f>
        <v>-3.8820000000000618</v>
      </c>
      <c r="G571" s="1">
        <f t="shared" ref="G571" si="466">G446-F446</f>
        <v>430.61900000000014</v>
      </c>
      <c r="H571" s="1">
        <f t="shared" ref="H571:R571" si="467">H446-G446</f>
        <v>252.50999999999976</v>
      </c>
      <c r="I571" s="1">
        <f t="shared" ref="I571:O571" si="468">I446-H446</f>
        <v>-711.29</v>
      </c>
      <c r="J571" s="1">
        <f t="shared" si="468"/>
        <v>1138.9091156326667</v>
      </c>
      <c r="K571" s="1">
        <f t="shared" si="468"/>
        <v>1147.3871601043702</v>
      </c>
      <c r="L571" s="1">
        <f t="shared" si="468"/>
        <v>684.7539366243891</v>
      </c>
      <c r="M571" s="1">
        <f t="shared" si="468"/>
        <v>712.95570234123534</v>
      </c>
      <c r="N571" s="1">
        <f t="shared" si="468"/>
        <v>1055.6104937311939</v>
      </c>
      <c r="O571" s="1">
        <f t="shared" si="468"/>
        <v>1112.5883169208801</v>
      </c>
      <c r="P571" s="1" t="e">
        <f>P446-#REF!</f>
        <v>#REF!</v>
      </c>
      <c r="Q571" s="1" t="e">
        <f t="shared" si="467"/>
        <v>#REF!</v>
      </c>
      <c r="R571" s="1" t="e">
        <f t="shared" si="467"/>
        <v>#REF!</v>
      </c>
    </row>
    <row r="572" spans="1:18" x14ac:dyDescent="0.35">
      <c r="A572" s="1" t="s">
        <v>332</v>
      </c>
    </row>
    <row r="573" spans="1:18" x14ac:dyDescent="0.35">
      <c r="A573" s="1" t="s">
        <v>333</v>
      </c>
      <c r="D573" s="1">
        <f t="shared" ref="D573" si="469">D468-C468</f>
        <v>400.00299999999999</v>
      </c>
      <c r="E573" s="1">
        <f t="shared" ref="E573" si="470">E468-D468</f>
        <v>-32.027999999999963</v>
      </c>
      <c r="F573" s="1">
        <f t="shared" ref="F573" si="471">F468-E468</f>
        <v>197.04799999999989</v>
      </c>
      <c r="G573" s="1">
        <f t="shared" ref="G573" si="472">G468-F468</f>
        <v>372.93700000000001</v>
      </c>
      <c r="H573" s="1">
        <f t="shared" ref="H573:R573" si="473">H468-G468</f>
        <v>-242.43999999999994</v>
      </c>
      <c r="I573" s="1">
        <f t="shared" ref="I573:O573" si="474">I468-H468</f>
        <v>24.07000000000005</v>
      </c>
      <c r="J573" s="1">
        <f t="shared" si="474"/>
        <v>727.4640382777776</v>
      </c>
      <c r="K573" s="1">
        <f t="shared" si="474"/>
        <v>300.81929505555536</v>
      </c>
      <c r="L573" s="1">
        <f t="shared" si="474"/>
        <v>51.506666666666661</v>
      </c>
      <c r="M573" s="1">
        <f t="shared" si="474"/>
        <v>-239.53999999999996</v>
      </c>
      <c r="N573" s="1">
        <f t="shared" si="474"/>
        <v>29.406666666666524</v>
      </c>
      <c r="O573" s="1">
        <f t="shared" si="474"/>
        <v>-211.07333333333258</v>
      </c>
      <c r="P573" s="1" t="e">
        <f>P468-#REF!</f>
        <v>#REF!</v>
      </c>
      <c r="Q573" s="1" t="e">
        <f t="shared" si="473"/>
        <v>#REF!</v>
      </c>
      <c r="R573" s="1" t="e">
        <f t="shared" si="473"/>
        <v>#REF!</v>
      </c>
    </row>
    <row r="574" spans="1:18" x14ac:dyDescent="0.35">
      <c r="A574" s="1" t="s">
        <v>334</v>
      </c>
    </row>
    <row r="575" spans="1:18" x14ac:dyDescent="0.35">
      <c r="H575" s="1"/>
    </row>
    <row r="576" spans="1:18" x14ac:dyDescent="0.35">
      <c r="A576" s="1" t="s">
        <v>335</v>
      </c>
      <c r="D576" s="1">
        <f t="shared" ref="D576" si="475">D497-C497</f>
        <v>604.41300000000001</v>
      </c>
      <c r="E576" s="1">
        <f t="shared" ref="E576" si="476">E497-D497</f>
        <v>139.44500000000005</v>
      </c>
      <c r="F576" s="1">
        <f t="shared" ref="F576" si="477">F497-E497</f>
        <v>-200.92999999999995</v>
      </c>
      <c r="G576" s="1">
        <f t="shared" ref="G576" si="478">G497-F497</f>
        <v>57.68200000000013</v>
      </c>
      <c r="H576" s="1">
        <f t="shared" ref="H576:R576" si="479">H497-G497</f>
        <v>494.9499999999997</v>
      </c>
      <c r="I576" s="1">
        <f t="shared" ref="I576:O576" si="480">I497-H497</f>
        <v>-735.36</v>
      </c>
      <c r="J576" s="1">
        <f t="shared" si="480"/>
        <v>411.44507735488912</v>
      </c>
      <c r="K576" s="1">
        <f t="shared" si="480"/>
        <v>846.56786504881484</v>
      </c>
      <c r="L576" s="1">
        <f t="shared" si="480"/>
        <v>633.24726995772244</v>
      </c>
      <c r="M576" s="1">
        <f t="shared" si="480"/>
        <v>952.4957023412353</v>
      </c>
      <c r="N576" s="1">
        <f t="shared" si="480"/>
        <v>1026.2038270645276</v>
      </c>
      <c r="O576" s="1">
        <f t="shared" si="480"/>
        <v>1323.6616502542129</v>
      </c>
      <c r="P576" s="1" t="e">
        <f>P497-#REF!</f>
        <v>#REF!</v>
      </c>
      <c r="Q576" s="1" t="e">
        <f t="shared" si="479"/>
        <v>#REF!</v>
      </c>
      <c r="R576" s="1" t="e">
        <f t="shared" si="479"/>
        <v>#REF!</v>
      </c>
    </row>
    <row r="577" spans="1:18" x14ac:dyDescent="0.35">
      <c r="H577" s="1"/>
    </row>
    <row r="578" spans="1:18" x14ac:dyDescent="0.35">
      <c r="A578" s="1" t="s">
        <v>336</v>
      </c>
      <c r="D578" s="1">
        <f t="shared" ref="D578:G578" si="481">(D576-D568)</f>
        <v>4191.3993200000004</v>
      </c>
      <c r="E578" s="1">
        <f t="shared" si="481"/>
        <v>-302.22000000000037</v>
      </c>
      <c r="F578" s="1">
        <f t="shared" si="481"/>
        <v>-26.58299999999906</v>
      </c>
      <c r="G578" s="1">
        <f t="shared" si="481"/>
        <v>166.91300000000126</v>
      </c>
      <c r="H578" s="1">
        <f t="shared" ref="H578:R578" si="482">(H576-H568)</f>
        <v>-341.1467519000015</v>
      </c>
      <c r="I578" s="1">
        <f t="shared" si="482"/>
        <v>-5.9823961999992434</v>
      </c>
      <c r="J578" s="1">
        <f t="shared" ref="J578" si="483">(J576-J568)</f>
        <v>76.277000000000385</v>
      </c>
      <c r="K578" s="1">
        <f t="shared" ref="K578" si="484">(K576-K568)</f>
        <v>264.99999999999955</v>
      </c>
      <c r="L578" s="1">
        <f t="shared" ref="L578" si="485">(L576-L568)</f>
        <v>4.5474735088646412E-13</v>
      </c>
      <c r="M578" s="1">
        <f t="shared" ref="M578" si="486">(M576-M568)</f>
        <v>55.424448812502305</v>
      </c>
      <c r="N578" s="1">
        <f t="shared" ref="N578" si="487">(N576-N568)</f>
        <v>-1.1368683772161603E-12</v>
      </c>
      <c r="O578" s="1">
        <f t="shared" ref="O578" si="488">(O576-O568)</f>
        <v>1.1368683772161603E-12</v>
      </c>
      <c r="P578" s="1" t="e">
        <f t="shared" si="482"/>
        <v>#REF!</v>
      </c>
      <c r="Q578" s="1" t="e">
        <f t="shared" si="482"/>
        <v>#REF!</v>
      </c>
      <c r="R578" s="1" t="e">
        <f t="shared" si="482"/>
        <v>#REF!</v>
      </c>
    </row>
    <row r="579" spans="1:18" x14ac:dyDescent="0.35">
      <c r="A579" s="1" t="s">
        <v>337</v>
      </c>
    </row>
    <row r="581" spans="1:18" x14ac:dyDescent="0.35">
      <c r="A581" s="1" t="s">
        <v>338</v>
      </c>
      <c r="D581" s="1">
        <f t="shared" ref="D581:R581" si="489">D166-C166</f>
        <v>239.70400999999998</v>
      </c>
      <c r="E581" s="1">
        <f t="shared" si="489"/>
        <v>-238.78157999999999</v>
      </c>
      <c r="F581" s="1">
        <f t="shared" si="489"/>
        <v>-44.554000000000002</v>
      </c>
      <c r="G581" s="1">
        <f t="shared" si="489"/>
        <v>71.400000000000006</v>
      </c>
      <c r="H581" s="1">
        <f t="shared" si="489"/>
        <v>-71.400000000000006</v>
      </c>
      <c r="I581" s="1">
        <f t="shared" si="489"/>
        <v>74.33</v>
      </c>
      <c r="J581" s="516">
        <f t="shared" ref="J581:O581" si="490">J166-I166</f>
        <v>75.67</v>
      </c>
      <c r="K581" s="516">
        <f t="shared" si="490"/>
        <v>265</v>
      </c>
      <c r="L581" s="516">
        <f t="shared" si="490"/>
        <v>0</v>
      </c>
      <c r="M581" s="516">
        <f t="shared" si="490"/>
        <v>0</v>
      </c>
      <c r="N581" s="516">
        <f t="shared" si="490"/>
        <v>0</v>
      </c>
      <c r="O581" s="516">
        <f t="shared" si="490"/>
        <v>0</v>
      </c>
      <c r="P581" s="1" t="e">
        <f>P166-#REF!</f>
        <v>#REF!</v>
      </c>
      <c r="Q581" s="1" t="e">
        <f t="shared" si="489"/>
        <v>#REF!</v>
      </c>
      <c r="R581" s="1" t="e">
        <f t="shared" si="489"/>
        <v>#REF!</v>
      </c>
    </row>
    <row r="583" spans="1:18" x14ac:dyDescent="0.35">
      <c r="A583" s="1" t="s">
        <v>339</v>
      </c>
      <c r="D583" s="1">
        <f t="shared" ref="D583:I583" si="491">D20-C20</f>
        <v>-83.642569999999864</v>
      </c>
      <c r="E583" s="1">
        <f t="shared" si="491"/>
        <v>270.26499999999999</v>
      </c>
      <c r="F583" s="1">
        <f t="shared" si="491"/>
        <v>11.155999999999949</v>
      </c>
      <c r="G583" s="1">
        <f t="shared" si="491"/>
        <v>610.74500000000012</v>
      </c>
      <c r="H583" s="1">
        <f t="shared" si="491"/>
        <v>696.24</v>
      </c>
      <c r="I583" s="1">
        <f t="shared" si="491"/>
        <v>-431.43749380000008</v>
      </c>
      <c r="J583" s="1">
        <f t="shared" ref="J583:O583" si="492">J20-I20</f>
        <v>93.903123799999776</v>
      </c>
      <c r="K583" s="1">
        <f t="shared" si="492"/>
        <v>3499.7623700000004</v>
      </c>
      <c r="L583" s="1">
        <f t="shared" si="492"/>
        <v>223.33100000000013</v>
      </c>
      <c r="M583" s="1">
        <f t="shared" si="492"/>
        <v>130.48754999999983</v>
      </c>
      <c r="N583" s="1">
        <f t="shared" si="492"/>
        <v>238.07617750000009</v>
      </c>
      <c r="O583" s="1">
        <f t="shared" si="492"/>
        <v>246.12405512500027</v>
      </c>
      <c r="P583" s="1" t="e">
        <f>P20-#REF!</f>
        <v>#REF!</v>
      </c>
      <c r="Q583" s="1" t="e">
        <f t="shared" ref="Q583:R583" si="493">Q20-P20</f>
        <v>#REF!</v>
      </c>
      <c r="R583" s="1" t="e">
        <f t="shared" si="493"/>
        <v>#REF!</v>
      </c>
    </row>
    <row r="585" spans="1:18" x14ac:dyDescent="0.35">
      <c r="A585" s="1" t="s">
        <v>340</v>
      </c>
    </row>
    <row r="587" spans="1:18" x14ac:dyDescent="0.35">
      <c r="A587" s="1" t="s">
        <v>341</v>
      </c>
      <c r="D587" s="1">
        <f t="shared" ref="D587" si="494">D280-C280</f>
        <v>0</v>
      </c>
      <c r="E587" s="1">
        <f t="shared" ref="E587" si="495">E280-D280</f>
        <v>0</v>
      </c>
      <c r="F587" s="501">
        <f t="shared" ref="F587" si="496">F280-E280</f>
        <v>0</v>
      </c>
      <c r="G587" s="501">
        <f t="shared" ref="G587" si="497">G280-F280</f>
        <v>0</v>
      </c>
      <c r="H587" s="502">
        <f t="shared" ref="H587:R587" si="498">H280-G280</f>
        <v>0</v>
      </c>
      <c r="I587" s="501">
        <f t="shared" ref="I587:O587" si="499">I280-H280</f>
        <v>5</v>
      </c>
      <c r="J587" s="501">
        <f t="shared" si="499"/>
        <v>0</v>
      </c>
      <c r="K587" s="501">
        <f t="shared" si="499"/>
        <v>0</v>
      </c>
      <c r="L587" s="501">
        <f t="shared" si="499"/>
        <v>0</v>
      </c>
      <c r="M587" s="501">
        <f t="shared" si="499"/>
        <v>0</v>
      </c>
      <c r="N587" s="501">
        <f t="shared" si="499"/>
        <v>0</v>
      </c>
      <c r="O587" s="501">
        <f t="shared" si="499"/>
        <v>0</v>
      </c>
      <c r="P587" s="1" t="e">
        <f>P280-#REF!</f>
        <v>#REF!</v>
      </c>
      <c r="Q587" s="1">
        <f t="shared" si="498"/>
        <v>0</v>
      </c>
      <c r="R587" s="1">
        <f t="shared" si="498"/>
        <v>5.7060589331064477</v>
      </c>
    </row>
    <row r="588" spans="1:18" x14ac:dyDescent="0.35">
      <c r="A588" s="1" t="s">
        <v>342</v>
      </c>
      <c r="D588" s="1">
        <f t="shared" ref="D588" si="500">D282-C282</f>
        <v>0</v>
      </c>
      <c r="E588" s="1">
        <f t="shared" ref="E588" si="501">E282-D282</f>
        <v>0</v>
      </c>
      <c r="F588" s="501">
        <f t="shared" ref="F588" si="502">F282-E282</f>
        <v>0</v>
      </c>
      <c r="G588" s="501">
        <f t="shared" ref="G588" si="503">G282-F282</f>
        <v>0</v>
      </c>
      <c r="H588" s="502">
        <f t="shared" ref="H588:R588" si="504">H282-G282</f>
        <v>0</v>
      </c>
      <c r="I588" s="501">
        <f t="shared" ref="I588:O588" si="505">I282-H282</f>
        <v>0</v>
      </c>
      <c r="J588" s="501">
        <f t="shared" si="505"/>
        <v>0</v>
      </c>
      <c r="K588" s="501">
        <f t="shared" si="505"/>
        <v>0</v>
      </c>
      <c r="L588" s="501">
        <f t="shared" si="505"/>
        <v>0</v>
      </c>
      <c r="M588" s="501">
        <f t="shared" si="505"/>
        <v>0</v>
      </c>
      <c r="N588" s="501">
        <f t="shared" si="505"/>
        <v>0</v>
      </c>
      <c r="O588" s="501">
        <f t="shared" si="505"/>
        <v>0</v>
      </c>
      <c r="P588" s="1" t="e">
        <f>P282-#REF!</f>
        <v>#REF!</v>
      </c>
      <c r="Q588" s="1">
        <f t="shared" si="504"/>
        <v>0</v>
      </c>
      <c r="R588" s="1">
        <f t="shared" si="504"/>
        <v>0</v>
      </c>
    </row>
    <row r="589" spans="1:18" x14ac:dyDescent="0.35">
      <c r="A589" s="1" t="s">
        <v>343</v>
      </c>
      <c r="D589" s="1">
        <f t="shared" ref="D589" si="506">D284-C284</f>
        <v>0</v>
      </c>
      <c r="E589" s="1">
        <f t="shared" ref="E589" si="507">E284-D284</f>
        <v>0</v>
      </c>
      <c r="F589" s="501">
        <f t="shared" ref="F589" si="508">F284-E284</f>
        <v>0</v>
      </c>
      <c r="G589" s="501">
        <f t="shared" ref="G589" si="509">G284-F284</f>
        <v>0</v>
      </c>
      <c r="H589" s="502">
        <f t="shared" ref="H589:R589" si="510">H284-G284</f>
        <v>0</v>
      </c>
      <c r="I589" s="501">
        <f t="shared" ref="I589:O589" si="511">I284-H284</f>
        <v>0</v>
      </c>
      <c r="J589" s="501">
        <f t="shared" si="511"/>
        <v>0</v>
      </c>
      <c r="K589" s="501">
        <f t="shared" si="511"/>
        <v>0</v>
      </c>
      <c r="L589" s="501">
        <f t="shared" si="511"/>
        <v>0</v>
      </c>
      <c r="M589" s="501">
        <f t="shared" si="511"/>
        <v>0</v>
      </c>
      <c r="N589" s="501">
        <f t="shared" si="511"/>
        <v>0</v>
      </c>
      <c r="O589" s="501">
        <f t="shared" si="511"/>
        <v>0</v>
      </c>
      <c r="P589" s="1" t="e">
        <f>P284-#REF!</f>
        <v>#REF!</v>
      </c>
      <c r="Q589" s="1">
        <f t="shared" si="510"/>
        <v>0</v>
      </c>
      <c r="R589" s="1">
        <f t="shared" si="510"/>
        <v>0</v>
      </c>
    </row>
    <row r="590" spans="1:18" x14ac:dyDescent="0.35">
      <c r="A590" s="1" t="s">
        <v>344</v>
      </c>
    </row>
    <row r="591" spans="1:18" x14ac:dyDescent="0.35">
      <c r="A591" s="1" t="s">
        <v>345</v>
      </c>
      <c r="D591" s="1">
        <f t="shared" ref="D591" si="512">D431-C431</f>
        <v>180.90700000000001</v>
      </c>
      <c r="E591" s="1">
        <f t="shared" ref="E591" si="513">E431-D431</f>
        <v>239.72</v>
      </c>
      <c r="F591" s="1">
        <f t="shared" ref="F591" si="514">F431-E431</f>
        <v>158.50100000000003</v>
      </c>
      <c r="G591" s="1">
        <f t="shared" ref="G591" si="515">G431-F431</f>
        <v>198.46199999999999</v>
      </c>
      <c r="H591" s="315">
        <f t="shared" ref="H591:R591" si="516">H431-G431</f>
        <v>88.919999999999959</v>
      </c>
      <c r="I591" s="1">
        <f t="shared" ref="I591:O591" si="517">I431-H431</f>
        <v>-308.63</v>
      </c>
      <c r="J591" s="1">
        <f t="shared" si="517"/>
        <v>347.01425200000006</v>
      </c>
      <c r="K591" s="1">
        <f t="shared" si="517"/>
        <v>261.91574799999944</v>
      </c>
      <c r="L591" s="1">
        <f t="shared" si="517"/>
        <v>48.159999999999854</v>
      </c>
      <c r="M591" s="1">
        <f t="shared" si="517"/>
        <v>8.6499999999996362</v>
      </c>
      <c r="N591" s="1">
        <f t="shared" si="517"/>
        <v>49.180000000000291</v>
      </c>
      <c r="O591" s="1">
        <f t="shared" si="517"/>
        <v>49.730000000000473</v>
      </c>
      <c r="P591" s="1" t="e">
        <f>P431-#REF!</f>
        <v>#REF!</v>
      </c>
      <c r="Q591" s="1">
        <f t="shared" si="516"/>
        <v>-251.96887333070663</v>
      </c>
      <c r="R591" s="1">
        <f t="shared" si="516"/>
        <v>22.471749202679121</v>
      </c>
    </row>
    <row r="592" spans="1:18" x14ac:dyDescent="0.35">
      <c r="A592" s="1" t="s">
        <v>346</v>
      </c>
      <c r="D592" s="1">
        <v>0</v>
      </c>
      <c r="E592" s="1">
        <v>0</v>
      </c>
      <c r="F592" s="501">
        <v>0</v>
      </c>
      <c r="G592" s="501">
        <v>0</v>
      </c>
      <c r="H592" s="502">
        <v>0</v>
      </c>
      <c r="I592" s="501">
        <v>0</v>
      </c>
      <c r="J592" s="501">
        <v>0</v>
      </c>
      <c r="K592" s="501">
        <v>0</v>
      </c>
      <c r="L592" s="501">
        <v>0</v>
      </c>
      <c r="M592" s="501">
        <v>0</v>
      </c>
      <c r="N592" s="501">
        <v>0</v>
      </c>
      <c r="O592" s="501">
        <v>0</v>
      </c>
      <c r="P592" s="1">
        <v>0</v>
      </c>
      <c r="Q592" s="1">
        <v>0</v>
      </c>
      <c r="R592" s="1">
        <v>0</v>
      </c>
    </row>
    <row r="593" spans="1:18" x14ac:dyDescent="0.35">
      <c r="A593" s="1" t="s">
        <v>347</v>
      </c>
      <c r="D593" s="1">
        <f t="shared" ref="D593" si="518">(D288-C288)</f>
        <v>1.5069999999999999</v>
      </c>
      <c r="E593" s="1">
        <f t="shared" ref="E593" si="519">(E288-D288)</f>
        <v>0.88700000000000023</v>
      </c>
      <c r="F593" s="1">
        <f t="shared" ref="F593" si="520">(F288-E288)</f>
        <v>-1.6940000000000002</v>
      </c>
      <c r="G593" s="1">
        <f t="shared" ref="G593" si="521">(G288-F288)</f>
        <v>-0.7</v>
      </c>
      <c r="H593" s="315">
        <f t="shared" ref="H593:R593" si="522">(H288-G288)</f>
        <v>0</v>
      </c>
      <c r="I593" s="1">
        <f t="shared" ref="I593:O593" si="523">(I288-H288)</f>
        <v>0</v>
      </c>
      <c r="J593" s="1">
        <f t="shared" si="523"/>
        <v>0</v>
      </c>
      <c r="K593" s="1">
        <f t="shared" si="523"/>
        <v>0</v>
      </c>
      <c r="L593" s="1">
        <f t="shared" si="523"/>
        <v>0</v>
      </c>
      <c r="M593" s="1">
        <f t="shared" si="523"/>
        <v>0</v>
      </c>
      <c r="N593" s="1">
        <f t="shared" si="523"/>
        <v>0</v>
      </c>
      <c r="O593" s="1">
        <f t="shared" si="523"/>
        <v>0</v>
      </c>
      <c r="P593" s="1" t="e">
        <f>(P288-#REF!)</f>
        <v>#REF!</v>
      </c>
      <c r="Q593" s="1">
        <f t="shared" si="522"/>
        <v>0</v>
      </c>
      <c r="R593" s="1">
        <f t="shared" si="522"/>
        <v>0</v>
      </c>
    </row>
    <row r="594" spans="1:18" x14ac:dyDescent="0.35">
      <c r="A594" s="1" t="s">
        <v>348</v>
      </c>
      <c r="D594" s="20">
        <f t="shared" ref="D594" si="524">D254+D291+D293+D295-C295-C293-C291-C254</f>
        <v>653.57300000000009</v>
      </c>
      <c r="E594" s="20">
        <f t="shared" ref="E594" si="525">E254+E291+E293+E295-D295-D293-D291-D254</f>
        <v>-543.6880000000001</v>
      </c>
      <c r="F594" s="20">
        <f>F254+F261+F291+F293+F295+F296+F297+F298-E295-E293-E291-E254-E261-E296-E297-E298</f>
        <v>-160.68900000000005</v>
      </c>
      <c r="G594" s="20">
        <f t="shared" ref="G594:O594" si="526">G254+G261+G291+G293+G295+G296+G297-F295-F293-F291-F254-F261-F296-F297</f>
        <v>232.85700000000006</v>
      </c>
      <c r="H594" s="20">
        <f t="shared" si="526"/>
        <v>163.59000000000006</v>
      </c>
      <c r="I594" s="20">
        <f t="shared" si="526"/>
        <v>-407.66000000000008</v>
      </c>
      <c r="J594" s="20">
        <f t="shared" si="526"/>
        <v>791.89486363266644</v>
      </c>
      <c r="K594" s="20">
        <f t="shared" si="526"/>
        <v>885.47141210437042</v>
      </c>
      <c r="L594" s="20">
        <f t="shared" si="526"/>
        <v>636.59393662438924</v>
      </c>
      <c r="M594" s="20">
        <f t="shared" si="526"/>
        <v>704.3057023412357</v>
      </c>
      <c r="N594" s="20">
        <f t="shared" si="526"/>
        <v>1006.4304937311935</v>
      </c>
      <c r="O594" s="20">
        <f t="shared" si="526"/>
        <v>1062.8583169208794</v>
      </c>
      <c r="P594" s="20" t="e">
        <f>P254+P291+P293+P295-#REF!-#REF!-#REF!-#REF!</f>
        <v>#REF!</v>
      </c>
      <c r="Q594" s="20" t="e">
        <f t="shared" ref="Q594:R594" si="527">Q254+Q291+Q293+Q295-P295-P293-P291-P254</f>
        <v>#REF!</v>
      </c>
      <c r="R594" s="20" t="e">
        <f t="shared" si="527"/>
        <v>#REF!</v>
      </c>
    </row>
    <row r="595" spans="1:18" x14ac:dyDescent="0.35">
      <c r="A595" s="1" t="s">
        <v>349</v>
      </c>
      <c r="D595" s="1">
        <f t="shared" ref="D595:G595" si="528">SUM(D587:D594)</f>
        <v>835.98700000000008</v>
      </c>
      <c r="E595" s="1">
        <f t="shared" si="528"/>
        <v>-303.08100000000013</v>
      </c>
      <c r="F595" s="1">
        <f t="shared" si="528"/>
        <v>-3.882000000000005</v>
      </c>
      <c r="G595" s="1">
        <f t="shared" si="528"/>
        <v>430.61900000000003</v>
      </c>
      <c r="H595" s="315">
        <f t="shared" ref="H595:R595" si="529">SUM(H587:H594)</f>
        <v>252.51000000000002</v>
      </c>
      <c r="I595" s="1">
        <f t="shared" si="529"/>
        <v>-711.29000000000008</v>
      </c>
      <c r="J595" s="1">
        <f t="shared" ref="J595" si="530">SUM(J587:J594)</f>
        <v>1138.9091156326665</v>
      </c>
      <c r="K595" s="1">
        <f t="shared" ref="K595" si="531">SUM(K587:K594)</f>
        <v>1147.3871601043697</v>
      </c>
      <c r="L595" s="1">
        <f t="shared" ref="L595" si="532">SUM(L587:L594)</f>
        <v>684.7539366243891</v>
      </c>
      <c r="M595" s="1">
        <f t="shared" ref="M595" si="533">SUM(M587:M594)</f>
        <v>712.95570234123534</v>
      </c>
      <c r="N595" s="1">
        <f t="shared" ref="N595" si="534">SUM(N587:N594)</f>
        <v>1055.6104937311939</v>
      </c>
      <c r="O595" s="1">
        <f t="shared" ref="O595" si="535">SUM(O587:O594)</f>
        <v>1112.5883169208798</v>
      </c>
      <c r="P595" s="1" t="e">
        <f t="shared" si="529"/>
        <v>#REF!</v>
      </c>
      <c r="Q595" s="1" t="e">
        <f t="shared" si="529"/>
        <v>#REF!</v>
      </c>
      <c r="R595" s="1" t="e">
        <f t="shared" si="529"/>
        <v>#REF!</v>
      </c>
    </row>
    <row r="596" spans="1:18" x14ac:dyDescent="0.35">
      <c r="A596" s="17" t="s">
        <v>19</v>
      </c>
      <c r="B596" s="17"/>
      <c r="C596" s="17"/>
      <c r="D596" s="17"/>
      <c r="E596" s="17"/>
      <c r="F596" s="17"/>
      <c r="G596" s="17"/>
      <c r="H596" s="330"/>
      <c r="I596" s="17"/>
      <c r="J596" s="17"/>
      <c r="K596" s="17"/>
      <c r="L596" s="17"/>
      <c r="M596" s="17"/>
      <c r="N596" s="17"/>
      <c r="O596" s="17"/>
      <c r="P596" s="17" t="s">
        <v>19</v>
      </c>
      <c r="Q596" s="17" t="s">
        <v>19</v>
      </c>
      <c r="R596" s="17" t="s">
        <v>19</v>
      </c>
    </row>
    <row r="597" spans="1:18" x14ac:dyDescent="0.35">
      <c r="A597" s="21" t="s">
        <v>350</v>
      </c>
      <c r="B597" s="21"/>
      <c r="C597" s="21"/>
      <c r="D597" s="21"/>
      <c r="E597" s="21"/>
      <c r="F597" s="21"/>
      <c r="G597" s="21"/>
      <c r="H597" s="333"/>
      <c r="I597" s="21"/>
      <c r="J597" s="21"/>
    </row>
    <row r="598" spans="1:18" x14ac:dyDescent="0.35">
      <c r="A598" s="1" t="s">
        <v>351</v>
      </c>
    </row>
    <row r="600" spans="1:18" s="93" customFormat="1" ht="18" x14ac:dyDescent="0.4">
      <c r="A600" s="75"/>
      <c r="B600" s="75"/>
      <c r="C600" s="7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92"/>
      <c r="Q600" s="92"/>
      <c r="R600" s="92"/>
    </row>
    <row r="603" spans="1:18" x14ac:dyDescent="0.35">
      <c r="A603" s="94"/>
      <c r="B603" s="94"/>
      <c r="C603" s="94"/>
      <c r="D603" s="95"/>
      <c r="E603" s="95"/>
      <c r="H603" s="1"/>
    </row>
    <row r="604" spans="1:18" x14ac:dyDescent="0.35">
      <c r="A604" s="94"/>
      <c r="B604" s="94"/>
      <c r="C604" s="94"/>
      <c r="D604" s="96"/>
      <c r="E604" s="96"/>
    </row>
    <row r="605" spans="1:18" x14ac:dyDescent="0.35">
      <c r="A605" s="94"/>
      <c r="B605" s="94"/>
      <c r="C605" s="94"/>
      <c r="D605" s="97"/>
      <c r="E605" s="97"/>
    </row>
    <row r="606" spans="1:18" x14ac:dyDescent="0.35">
      <c r="A606" s="94"/>
      <c r="B606" s="94"/>
      <c r="C606" s="94"/>
      <c r="D606" s="97"/>
      <c r="E606" s="97"/>
    </row>
    <row r="607" spans="1:18" x14ac:dyDescent="0.35">
      <c r="A607" s="94"/>
      <c r="B607" s="94"/>
      <c r="C607" s="94"/>
      <c r="D607" s="97"/>
      <c r="E607" s="97"/>
    </row>
    <row r="608" spans="1:18" x14ac:dyDescent="0.35">
      <c r="A608" s="94"/>
      <c r="B608" s="94"/>
      <c r="C608" s="94"/>
      <c r="D608" s="97"/>
      <c r="E608" s="97"/>
      <c r="H608" s="334"/>
      <c r="I608" s="98"/>
      <c r="J608" s="98"/>
      <c r="K608" s="98"/>
      <c r="L608" s="98"/>
      <c r="M608" s="98"/>
      <c r="N608" s="98"/>
      <c r="O608" s="98"/>
      <c r="P608" s="98"/>
      <c r="Q608" s="98"/>
      <c r="R608" s="98"/>
    </row>
    <row r="609" spans="1:18" x14ac:dyDescent="0.35">
      <c r="A609" s="94"/>
      <c r="B609" s="94"/>
      <c r="C609" s="94"/>
      <c r="D609" s="97"/>
      <c r="E609" s="97"/>
    </row>
    <row r="610" spans="1:18" x14ac:dyDescent="0.35">
      <c r="A610" s="94"/>
      <c r="B610" s="94"/>
      <c r="C610" s="94"/>
      <c r="D610" s="97"/>
      <c r="E610" s="97"/>
    </row>
    <row r="611" spans="1:18" x14ac:dyDescent="0.35">
      <c r="A611" s="94"/>
      <c r="B611" s="94"/>
      <c r="C611" s="94"/>
      <c r="D611" s="97"/>
      <c r="E611" s="97"/>
    </row>
    <row r="612" spans="1:18" x14ac:dyDescent="0.35">
      <c r="A612" s="94"/>
      <c r="B612" s="94"/>
      <c r="C612" s="94"/>
      <c r="D612" s="97"/>
      <c r="E612" s="97"/>
      <c r="F612" s="21"/>
      <c r="G612" s="21"/>
    </row>
    <row r="613" spans="1:18" x14ac:dyDescent="0.35">
      <c r="A613" s="94"/>
      <c r="B613" s="94"/>
      <c r="C613" s="94"/>
      <c r="D613" s="99"/>
      <c r="E613" s="99"/>
      <c r="F613" s="21"/>
      <c r="G613" s="21"/>
    </row>
    <row r="614" spans="1:18" x14ac:dyDescent="0.35">
      <c r="A614" s="94"/>
      <c r="B614" s="94"/>
      <c r="C614" s="94"/>
      <c r="D614" s="99"/>
      <c r="E614" s="99"/>
      <c r="F614" s="21"/>
      <c r="G614" s="21"/>
    </row>
    <row r="615" spans="1:18" x14ac:dyDescent="0.35">
      <c r="A615" s="100"/>
      <c r="B615" s="100"/>
      <c r="C615" s="100"/>
      <c r="D615" s="101"/>
      <c r="E615" s="101"/>
      <c r="F615" s="101"/>
      <c r="G615" s="101"/>
      <c r="H615" s="335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</row>
    <row r="616" spans="1:18" x14ac:dyDescent="0.35">
      <c r="A616" s="100"/>
      <c r="B616" s="100"/>
      <c r="C616" s="100"/>
      <c r="D616" s="101"/>
      <c r="E616" s="101"/>
      <c r="F616" s="101"/>
      <c r="G616" s="101"/>
      <c r="H616" s="335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</row>
    <row r="617" spans="1:18" x14ac:dyDescent="0.35">
      <c r="A617" s="102"/>
      <c r="B617" s="102"/>
      <c r="C617" s="102"/>
      <c r="D617" s="103"/>
      <c r="E617" s="103"/>
      <c r="F617" s="103"/>
      <c r="G617" s="103"/>
      <c r="H617" s="336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</row>
    <row r="618" spans="1:18" x14ac:dyDescent="0.35">
      <c r="A618" s="102"/>
      <c r="B618" s="102"/>
      <c r="C618" s="102"/>
      <c r="D618" s="103"/>
      <c r="E618" s="103"/>
      <c r="F618" s="103"/>
      <c r="G618" s="103"/>
      <c r="H618" s="336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</row>
    <row r="619" spans="1:18" x14ac:dyDescent="0.35">
      <c r="A619" s="102"/>
      <c r="B619" s="102"/>
      <c r="C619" s="102"/>
      <c r="D619" s="103"/>
      <c r="E619" s="103"/>
      <c r="F619" s="103"/>
      <c r="G619" s="103"/>
      <c r="H619" s="336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</row>
    <row r="620" spans="1:18" x14ac:dyDescent="0.35">
      <c r="A620" s="102"/>
      <c r="B620" s="102"/>
      <c r="C620" s="102"/>
      <c r="D620" s="103"/>
      <c r="E620" s="103"/>
      <c r="F620" s="103"/>
      <c r="G620" s="103"/>
      <c r="H620" s="336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</row>
    <row r="621" spans="1:18" x14ac:dyDescent="0.35">
      <c r="A621" s="102"/>
      <c r="B621" s="102"/>
      <c r="C621" s="102"/>
      <c r="D621" s="104"/>
      <c r="E621" s="104"/>
      <c r="F621" s="104"/>
      <c r="G621" s="104"/>
      <c r="H621" s="337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</row>
    <row r="622" spans="1:18" x14ac:dyDescent="0.35">
      <c r="A622" s="105"/>
      <c r="B622" s="105"/>
      <c r="C622" s="105"/>
      <c r="D622" s="103"/>
      <c r="E622" s="103"/>
      <c r="F622" s="103"/>
      <c r="G622" s="103"/>
      <c r="H622" s="336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</row>
    <row r="623" spans="1:18" x14ac:dyDescent="0.35">
      <c r="A623" s="105"/>
      <c r="B623" s="105"/>
      <c r="C623" s="105"/>
      <c r="D623" s="103"/>
      <c r="E623" s="103"/>
      <c r="F623" s="103"/>
      <c r="G623" s="103"/>
      <c r="H623" s="336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</row>
    <row r="624" spans="1:18" x14ac:dyDescent="0.35">
      <c r="A624" s="105"/>
      <c r="B624" s="105"/>
      <c r="C624" s="105"/>
      <c r="D624" s="103"/>
      <c r="E624" s="103"/>
      <c r="F624" s="103"/>
      <c r="G624" s="103"/>
      <c r="H624" s="336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</row>
    <row r="625" spans="1:18" x14ac:dyDescent="0.35">
      <c r="A625" s="105"/>
      <c r="B625" s="105"/>
      <c r="C625" s="105"/>
      <c r="D625" s="103"/>
      <c r="E625" s="103"/>
      <c r="F625" s="103"/>
      <c r="G625" s="103"/>
      <c r="H625" s="336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</row>
    <row r="626" spans="1:18" x14ac:dyDescent="0.35">
      <c r="A626" s="105"/>
      <c r="B626" s="105"/>
      <c r="C626" s="105"/>
      <c r="D626" s="103"/>
      <c r="E626" s="103"/>
      <c r="F626" s="103"/>
      <c r="G626" s="103"/>
      <c r="H626" s="336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</row>
    <row r="627" spans="1:18" x14ac:dyDescent="0.35">
      <c r="A627" s="105"/>
      <c r="B627" s="105"/>
      <c r="C627" s="105"/>
      <c r="D627" s="106"/>
      <c r="E627" s="106"/>
      <c r="F627" s="106"/>
      <c r="G627" s="106"/>
      <c r="H627" s="338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</row>
    <row r="628" spans="1:18" x14ac:dyDescent="0.35">
      <c r="A628" s="105"/>
      <c r="B628" s="105"/>
      <c r="C628" s="105"/>
      <c r="D628" s="103"/>
      <c r="E628" s="103"/>
      <c r="F628" s="103"/>
      <c r="G628" s="103"/>
      <c r="H628" s="336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</row>
    <row r="629" spans="1:18" x14ac:dyDescent="0.35">
      <c r="A629" s="105"/>
      <c r="B629" s="105"/>
      <c r="C629" s="105"/>
      <c r="D629" s="103"/>
      <c r="E629" s="103"/>
      <c r="F629" s="103"/>
      <c r="G629" s="103"/>
      <c r="H629" s="336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</row>
    <row r="630" spans="1:18" x14ac:dyDescent="0.35">
      <c r="A630" s="105"/>
      <c r="B630" s="105"/>
      <c r="C630" s="105"/>
      <c r="D630" s="103"/>
      <c r="E630" s="103"/>
      <c r="F630" s="103"/>
      <c r="G630" s="103"/>
      <c r="H630" s="336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</row>
    <row r="631" spans="1:18" x14ac:dyDescent="0.35">
      <c r="A631" s="105"/>
      <c r="B631" s="105"/>
      <c r="C631" s="105"/>
      <c r="D631" s="107"/>
      <c r="E631" s="107"/>
      <c r="F631" s="107"/>
      <c r="G631" s="107"/>
      <c r="H631" s="339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</row>
    <row r="632" spans="1:18" x14ac:dyDescent="0.35">
      <c r="A632" s="102"/>
      <c r="B632" s="102"/>
      <c r="C632" s="102"/>
      <c r="D632" s="103"/>
      <c r="E632" s="103"/>
      <c r="F632" s="103"/>
      <c r="G632" s="103"/>
      <c r="H632" s="336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</row>
    <row r="633" spans="1:18" x14ac:dyDescent="0.35">
      <c r="A633" s="102"/>
      <c r="B633" s="102"/>
      <c r="C633" s="102"/>
      <c r="D633" s="103"/>
      <c r="E633" s="103"/>
      <c r="F633" s="103"/>
      <c r="G633" s="103"/>
      <c r="H633" s="336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</row>
    <row r="634" spans="1:18" x14ac:dyDescent="0.35">
      <c r="A634" s="102"/>
      <c r="B634" s="102"/>
      <c r="C634" s="102"/>
      <c r="D634" s="103"/>
      <c r="E634" s="103"/>
      <c r="F634" s="103"/>
      <c r="G634" s="103"/>
      <c r="H634" s="336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</row>
    <row r="635" spans="1:18" x14ac:dyDescent="0.35">
      <c r="A635" s="102"/>
      <c r="B635" s="102"/>
      <c r="C635" s="102"/>
      <c r="D635" s="103"/>
      <c r="E635" s="103"/>
      <c r="F635" s="103"/>
      <c r="G635" s="103"/>
      <c r="H635" s="336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</row>
    <row r="636" spans="1:18" x14ac:dyDescent="0.35">
      <c r="A636" s="102"/>
      <c r="B636" s="102"/>
      <c r="C636" s="102"/>
      <c r="D636" s="103"/>
      <c r="E636" s="103"/>
      <c r="F636" s="103"/>
      <c r="G636" s="103"/>
      <c r="H636" s="336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</row>
    <row r="637" spans="1:18" x14ac:dyDescent="0.35">
      <c r="A637" s="102"/>
      <c r="B637" s="102"/>
      <c r="C637" s="102"/>
      <c r="D637" s="103"/>
      <c r="E637" s="103"/>
      <c r="F637" s="103"/>
      <c r="G637" s="103"/>
      <c r="H637" s="336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</row>
    <row r="638" spans="1:18" x14ac:dyDescent="0.35">
      <c r="A638" s="102"/>
      <c r="B638" s="102"/>
      <c r="C638" s="102"/>
      <c r="D638" s="107"/>
      <c r="E638" s="107"/>
      <c r="F638" s="107"/>
      <c r="G638" s="107"/>
      <c r="H638" s="339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</row>
    <row r="639" spans="1:18" x14ac:dyDescent="0.35">
      <c r="A639" s="102"/>
      <c r="B639" s="102"/>
      <c r="C639" s="102"/>
      <c r="D639" s="103"/>
      <c r="E639" s="103"/>
      <c r="F639" s="103"/>
      <c r="G639" s="103"/>
      <c r="H639" s="336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</row>
    <row r="640" spans="1:18" x14ac:dyDescent="0.35">
      <c r="A640" s="102"/>
      <c r="B640" s="102"/>
      <c r="C640" s="102"/>
      <c r="D640" s="107"/>
      <c r="E640" s="107"/>
      <c r="F640" s="107"/>
      <c r="G640" s="107"/>
      <c r="H640" s="339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</row>
    <row r="641" spans="1:18" x14ac:dyDescent="0.35">
      <c r="A641" s="102"/>
      <c r="B641" s="102"/>
      <c r="C641" s="102"/>
      <c r="D641" s="103"/>
      <c r="E641" s="103"/>
      <c r="F641" s="103"/>
      <c r="G641" s="103"/>
      <c r="H641" s="336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</row>
    <row r="642" spans="1:18" x14ac:dyDescent="0.35">
      <c r="A642" s="102"/>
      <c r="B642" s="102"/>
      <c r="C642" s="102"/>
      <c r="D642" s="103"/>
      <c r="E642" s="103"/>
      <c r="F642" s="103"/>
      <c r="G642" s="103"/>
      <c r="H642" s="336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</row>
    <row r="643" spans="1:18" x14ac:dyDescent="0.35">
      <c r="A643" s="102"/>
      <c r="B643" s="102"/>
      <c r="C643" s="102"/>
      <c r="D643" s="103"/>
      <c r="E643" s="103"/>
      <c r="F643" s="103"/>
      <c r="G643" s="103"/>
      <c r="H643" s="336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</row>
    <row r="644" spans="1:18" x14ac:dyDescent="0.35">
      <c r="A644" s="102"/>
      <c r="B644" s="102"/>
      <c r="C644" s="102"/>
      <c r="D644" s="103"/>
      <c r="E644" s="103"/>
      <c r="F644" s="103"/>
      <c r="G644" s="103"/>
      <c r="H644" s="336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</row>
    <row r="645" spans="1:18" x14ac:dyDescent="0.35">
      <c r="A645" s="102"/>
      <c r="B645" s="102"/>
      <c r="C645" s="102"/>
      <c r="D645" s="103"/>
      <c r="E645" s="103"/>
      <c r="F645" s="103"/>
      <c r="G645" s="103"/>
      <c r="H645" s="336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</row>
    <row r="646" spans="1:18" x14ac:dyDescent="0.35">
      <c r="A646" s="105"/>
      <c r="B646" s="105"/>
      <c r="C646" s="105"/>
      <c r="D646" s="103"/>
      <c r="E646" s="103"/>
      <c r="F646" s="103"/>
      <c r="G646" s="103"/>
      <c r="H646" s="336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</row>
    <row r="647" spans="1:18" x14ac:dyDescent="0.35">
      <c r="A647" s="105"/>
      <c r="B647" s="105"/>
      <c r="C647" s="105"/>
      <c r="D647" s="103"/>
      <c r="E647" s="103"/>
      <c r="F647" s="103"/>
      <c r="G647" s="103"/>
      <c r="H647" s="336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</row>
    <row r="648" spans="1:18" x14ac:dyDescent="0.35">
      <c r="A648" s="105"/>
      <c r="B648" s="105"/>
      <c r="C648" s="105"/>
      <c r="D648" s="108"/>
      <c r="E648" s="108"/>
      <c r="F648" s="108"/>
      <c r="G648" s="108"/>
      <c r="H648" s="340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</row>
    <row r="649" spans="1:18" s="112" customFormat="1" x14ac:dyDescent="0.35">
      <c r="A649" s="109"/>
      <c r="B649" s="109"/>
      <c r="C649" s="109"/>
      <c r="D649" s="110"/>
      <c r="E649" s="110"/>
      <c r="F649" s="111"/>
      <c r="G649" s="111"/>
      <c r="H649" s="341"/>
      <c r="I649" s="111"/>
      <c r="J649" s="111"/>
      <c r="K649" s="110"/>
      <c r="L649" s="110"/>
      <c r="M649" s="111"/>
      <c r="N649" s="111"/>
      <c r="O649" s="111"/>
      <c r="P649" s="111"/>
      <c r="Q649" s="111"/>
      <c r="R649" s="111"/>
    </row>
    <row r="650" spans="1:18" x14ac:dyDescent="0.35">
      <c r="A650" s="105"/>
      <c r="B650" s="105"/>
      <c r="C650" s="105"/>
      <c r="D650" s="103"/>
      <c r="E650" s="103"/>
      <c r="F650" s="103"/>
      <c r="G650" s="103"/>
      <c r="H650" s="336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</row>
    <row r="651" spans="1:18" x14ac:dyDescent="0.35">
      <c r="A651" s="105"/>
      <c r="B651" s="105"/>
      <c r="C651" s="105"/>
      <c r="D651" s="103"/>
      <c r="E651" s="103"/>
      <c r="F651" s="103"/>
      <c r="G651" s="103"/>
      <c r="H651" s="336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</row>
    <row r="652" spans="1:18" x14ac:dyDescent="0.35">
      <c r="A652" s="105"/>
      <c r="B652" s="105"/>
      <c r="C652" s="105"/>
      <c r="D652" s="103"/>
      <c r="E652" s="103"/>
      <c r="F652" s="103"/>
      <c r="G652" s="103"/>
      <c r="H652" s="336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</row>
    <row r="653" spans="1:18" x14ac:dyDescent="0.35">
      <c r="A653" s="105"/>
      <c r="B653" s="105"/>
      <c r="C653" s="105"/>
      <c r="D653" s="103"/>
      <c r="E653" s="103"/>
      <c r="F653" s="103"/>
      <c r="G653" s="103"/>
      <c r="H653" s="336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</row>
    <row r="654" spans="1:18" x14ac:dyDescent="0.35">
      <c r="A654" s="105"/>
      <c r="B654" s="105"/>
      <c r="C654" s="105"/>
      <c r="D654" s="103"/>
      <c r="E654" s="103"/>
      <c r="F654" s="103"/>
      <c r="G654" s="103"/>
      <c r="H654" s="336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</row>
    <row r="655" spans="1:18" x14ac:dyDescent="0.35">
      <c r="A655" s="105"/>
      <c r="B655" s="105"/>
      <c r="C655" s="105"/>
      <c r="D655" s="103"/>
      <c r="E655" s="103"/>
      <c r="F655" s="103"/>
      <c r="G655" s="103"/>
      <c r="H655" s="336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</row>
    <row r="656" spans="1:18" x14ac:dyDescent="0.35">
      <c r="A656" s="105"/>
      <c r="B656" s="105"/>
      <c r="C656" s="105"/>
      <c r="D656" s="103"/>
      <c r="E656" s="103"/>
      <c r="F656" s="103"/>
      <c r="G656" s="103"/>
      <c r="H656" s="336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</row>
    <row r="657" spans="1:18" x14ac:dyDescent="0.35">
      <c r="D657" s="22"/>
      <c r="E657" s="22"/>
      <c r="F657" s="22"/>
      <c r="G657" s="22"/>
      <c r="H657" s="332"/>
      <c r="I657" s="22"/>
      <c r="J657" s="22"/>
      <c r="K657" s="22"/>
      <c r="L657" s="22"/>
      <c r="M657" s="22"/>
      <c r="N657" s="22"/>
      <c r="O657" s="22"/>
      <c r="P657" s="22"/>
      <c r="Q657" s="22"/>
      <c r="R657" s="22"/>
    </row>
    <row r="658" spans="1:18" x14ac:dyDescent="0.35">
      <c r="D658" s="22"/>
    </row>
    <row r="659" spans="1:18" x14ac:dyDescent="0.35">
      <c r="D659" s="22"/>
    </row>
    <row r="660" spans="1:18" x14ac:dyDescent="0.35">
      <c r="D660" s="22"/>
    </row>
    <row r="661" spans="1:18" x14ac:dyDescent="0.35">
      <c r="D661" s="22"/>
    </row>
    <row r="662" spans="1:18" x14ac:dyDescent="0.35">
      <c r="D662" s="22"/>
      <c r="H662" s="334"/>
      <c r="I662" s="98"/>
      <c r="J662" s="98"/>
    </row>
    <row r="663" spans="1:18" x14ac:dyDescent="0.35">
      <c r="D663" s="22"/>
      <c r="H663" s="342"/>
      <c r="I663" s="113"/>
      <c r="J663" s="113"/>
    </row>
    <row r="664" spans="1:18" x14ac:dyDescent="0.35">
      <c r="D664" s="22"/>
    </row>
    <row r="665" spans="1:18" x14ac:dyDescent="0.35">
      <c r="A665" s="114"/>
      <c r="B665" s="114"/>
      <c r="C665" s="114"/>
      <c r="D665" s="115"/>
      <c r="E665" s="114"/>
      <c r="F665" s="114"/>
      <c r="G665" s="114"/>
    </row>
    <row r="666" spans="1:18" x14ac:dyDescent="0.35">
      <c r="A666" s="116"/>
      <c r="B666" s="116"/>
      <c r="C666" s="116"/>
      <c r="D666" s="117"/>
      <c r="E666" s="116"/>
      <c r="F666" s="116"/>
      <c r="G666" s="116"/>
    </row>
    <row r="667" spans="1:18" x14ac:dyDescent="0.35">
      <c r="A667" s="116"/>
      <c r="B667" s="116"/>
      <c r="C667" s="116"/>
      <c r="D667" s="118"/>
      <c r="E667" s="26"/>
      <c r="F667" s="26"/>
      <c r="G667" s="26"/>
      <c r="H667" s="343"/>
    </row>
    <row r="668" spans="1:18" x14ac:dyDescent="0.35">
      <c r="A668" s="116"/>
      <c r="B668" s="116"/>
      <c r="C668" s="116"/>
      <c r="D668" s="119"/>
      <c r="E668" s="26"/>
      <c r="F668" s="26"/>
      <c r="G668" s="26"/>
      <c r="H668" s="343"/>
    </row>
    <row r="669" spans="1:18" ht="16" x14ac:dyDescent="0.35">
      <c r="A669" s="116"/>
      <c r="B669" s="116"/>
      <c r="C669" s="116"/>
      <c r="D669" s="120"/>
      <c r="E669" s="27"/>
      <c r="F669" s="27"/>
      <c r="G669" s="27"/>
      <c r="H669" s="344"/>
    </row>
    <row r="670" spans="1:18" ht="16" x14ac:dyDescent="0.35">
      <c r="A670" s="116"/>
      <c r="B670" s="116"/>
      <c r="C670" s="116"/>
      <c r="D670" s="120"/>
      <c r="E670" s="27"/>
      <c r="F670" s="27"/>
      <c r="G670" s="27"/>
      <c r="H670" s="344"/>
      <c r="L670" s="23"/>
      <c r="M670" s="23"/>
      <c r="N670" s="23"/>
      <c r="O670" s="23"/>
      <c r="P670" s="23"/>
      <c r="Q670" s="23"/>
      <c r="R670" s="23"/>
    </row>
    <row r="671" spans="1:18" ht="16" x14ac:dyDescent="0.35">
      <c r="A671" s="116"/>
      <c r="B671" s="116"/>
      <c r="C671" s="116"/>
      <c r="D671" s="120"/>
      <c r="E671" s="27"/>
      <c r="F671" s="27"/>
      <c r="G671" s="27"/>
      <c r="H671" s="344"/>
      <c r="L671" s="23"/>
      <c r="M671" s="23"/>
      <c r="N671" s="23"/>
      <c r="O671" s="23"/>
      <c r="P671" s="23"/>
      <c r="Q671" s="23"/>
      <c r="R671" s="23"/>
    </row>
    <row r="672" spans="1:18" ht="16" x14ac:dyDescent="0.35">
      <c r="A672" s="121"/>
      <c r="B672" s="121"/>
      <c r="C672" s="121"/>
      <c r="D672" s="120"/>
      <c r="E672" s="27"/>
      <c r="F672" s="27"/>
      <c r="G672" s="27"/>
      <c r="H672" s="344"/>
      <c r="L672" s="23"/>
      <c r="M672" s="23"/>
      <c r="N672" s="23"/>
      <c r="O672" s="23"/>
      <c r="P672" s="23"/>
      <c r="Q672" s="23"/>
      <c r="R672" s="23"/>
    </row>
    <row r="673" spans="1:18" ht="16" x14ac:dyDescent="0.35">
      <c r="A673" s="116"/>
      <c r="B673" s="116"/>
      <c r="C673" s="116"/>
      <c r="D673" s="120"/>
      <c r="E673" s="27"/>
      <c r="F673" s="27"/>
      <c r="G673" s="27"/>
      <c r="H673" s="344"/>
      <c r="I673" s="122"/>
      <c r="J673" s="122"/>
      <c r="L673" s="23"/>
      <c r="M673" s="23"/>
      <c r="N673" s="23"/>
      <c r="O673" s="23"/>
      <c r="P673" s="23"/>
      <c r="Q673" s="23"/>
      <c r="R673" s="23"/>
    </row>
    <row r="674" spans="1:18" ht="16" x14ac:dyDescent="0.35">
      <c r="A674" s="116"/>
      <c r="B674" s="116"/>
      <c r="C674" s="116"/>
      <c r="D674" s="120"/>
      <c r="E674" s="27"/>
      <c r="F674" s="27"/>
      <c r="G674" s="27"/>
      <c r="H674" s="344"/>
      <c r="L674" s="23"/>
      <c r="M674" s="23"/>
      <c r="N674" s="23"/>
      <c r="O674" s="23"/>
      <c r="P674" s="23"/>
      <c r="Q674" s="23"/>
      <c r="R674" s="23"/>
    </row>
    <row r="675" spans="1:18" ht="16" x14ac:dyDescent="0.35">
      <c r="A675" s="116"/>
      <c r="B675" s="116"/>
      <c r="C675" s="116"/>
      <c r="D675" s="120"/>
      <c r="E675" s="27"/>
      <c r="F675" s="27"/>
      <c r="G675" s="27"/>
      <c r="H675" s="344"/>
      <c r="L675" s="23"/>
      <c r="M675" s="23"/>
      <c r="N675" s="23"/>
      <c r="O675" s="23"/>
      <c r="P675" s="23"/>
      <c r="Q675" s="23"/>
      <c r="R675" s="23"/>
    </row>
    <row r="676" spans="1:18" ht="16" x14ac:dyDescent="0.35">
      <c r="A676" s="116"/>
      <c r="B676" s="116"/>
      <c r="C676" s="116"/>
      <c r="D676" s="120"/>
      <c r="E676" s="27"/>
      <c r="F676" s="27"/>
      <c r="G676" s="27"/>
      <c r="H676" s="344"/>
      <c r="L676" s="23"/>
      <c r="M676" s="23"/>
      <c r="N676" s="23"/>
      <c r="O676" s="23"/>
      <c r="P676" s="23"/>
      <c r="Q676" s="23"/>
      <c r="R676" s="23"/>
    </row>
    <row r="677" spans="1:18" ht="16" x14ac:dyDescent="0.35">
      <c r="A677" s="116"/>
      <c r="B677" s="116"/>
      <c r="C677" s="116"/>
      <c r="D677" s="120"/>
      <c r="E677" s="27"/>
      <c r="F677" s="27"/>
      <c r="G677" s="27"/>
      <c r="H677" s="344"/>
      <c r="L677" s="23"/>
      <c r="M677" s="23"/>
      <c r="N677" s="23"/>
      <c r="O677" s="23"/>
      <c r="P677" s="23"/>
      <c r="Q677" s="23"/>
      <c r="R677" s="23"/>
    </row>
    <row r="678" spans="1:18" ht="16" x14ac:dyDescent="0.35">
      <c r="A678" s="116"/>
      <c r="B678" s="116"/>
      <c r="C678" s="116"/>
      <c r="D678" s="123"/>
      <c r="E678" s="27"/>
      <c r="F678" s="124"/>
      <c r="G678" s="28"/>
      <c r="H678" s="345"/>
      <c r="I678" s="122"/>
      <c r="J678" s="122"/>
      <c r="L678" s="23"/>
      <c r="M678" s="23"/>
      <c r="N678" s="23"/>
      <c r="O678" s="23"/>
      <c r="P678" s="23"/>
      <c r="Q678" s="23"/>
      <c r="R678" s="23"/>
    </row>
    <row r="679" spans="1:18" ht="16" x14ac:dyDescent="0.35">
      <c r="A679" s="116"/>
      <c r="B679" s="116"/>
      <c r="C679" s="116"/>
      <c r="D679" s="120"/>
      <c r="E679" s="27"/>
      <c r="F679" s="27"/>
      <c r="G679" s="27"/>
      <c r="H679" s="344"/>
      <c r="I679" s="122"/>
      <c r="J679" s="122"/>
      <c r="L679" s="23"/>
      <c r="M679" s="23"/>
      <c r="N679" s="23"/>
      <c r="O679" s="23"/>
      <c r="P679" s="23"/>
      <c r="Q679" s="23"/>
      <c r="R679" s="23"/>
    </row>
    <row r="680" spans="1:18" ht="16" x14ac:dyDescent="0.35">
      <c r="A680" s="116"/>
      <c r="B680" s="116"/>
      <c r="C680" s="116"/>
      <c r="D680" s="120"/>
      <c r="E680" s="124"/>
      <c r="F680" s="29"/>
      <c r="G680" s="29"/>
      <c r="H680" s="346"/>
      <c r="L680" s="23"/>
      <c r="M680" s="23"/>
      <c r="N680" s="23"/>
      <c r="O680" s="23"/>
      <c r="P680" s="23"/>
      <c r="Q680" s="23"/>
      <c r="R680" s="23"/>
    </row>
    <row r="681" spans="1:18" ht="16" x14ac:dyDescent="0.35">
      <c r="D681" s="120"/>
      <c r="E681" s="29"/>
      <c r="F681" s="29"/>
      <c r="G681" s="29"/>
      <c r="H681" s="346"/>
      <c r="L681" s="23"/>
      <c r="M681" s="23"/>
      <c r="N681" s="23"/>
      <c r="O681" s="23"/>
      <c r="P681" s="23"/>
      <c r="Q681" s="23"/>
      <c r="R681" s="23"/>
    </row>
    <row r="682" spans="1:18" x14ac:dyDescent="0.35">
      <c r="D682" s="22"/>
      <c r="L682" s="23"/>
      <c r="M682" s="23"/>
      <c r="N682" s="23"/>
      <c r="O682" s="23"/>
      <c r="P682" s="23"/>
      <c r="Q682" s="23"/>
      <c r="R682" s="23"/>
    </row>
    <row r="683" spans="1:18" x14ac:dyDescent="0.35">
      <c r="D683" s="22"/>
      <c r="L683" s="23"/>
      <c r="M683" s="23"/>
      <c r="N683" s="23"/>
      <c r="O683" s="23"/>
      <c r="P683" s="23"/>
      <c r="Q683" s="23"/>
      <c r="R683" s="23"/>
    </row>
    <row r="684" spans="1:18" x14ac:dyDescent="0.35">
      <c r="D684" s="22"/>
      <c r="H684" s="334"/>
      <c r="I684" s="98"/>
      <c r="J684" s="98"/>
      <c r="K684" s="98"/>
      <c r="L684" s="23"/>
      <c r="M684" s="23"/>
      <c r="N684" s="23"/>
      <c r="O684" s="23"/>
      <c r="P684" s="23"/>
      <c r="Q684" s="23"/>
      <c r="R684" s="23"/>
    </row>
    <row r="685" spans="1:18" x14ac:dyDescent="0.35">
      <c r="A685" s="2"/>
      <c r="B685" s="2"/>
      <c r="C685" s="2"/>
      <c r="D685" s="125"/>
      <c r="E685" s="2"/>
      <c r="F685" s="2"/>
      <c r="G685" s="2"/>
      <c r="H685" s="347"/>
      <c r="I685" s="125"/>
      <c r="J685" s="125"/>
      <c r="K685" s="125"/>
      <c r="L685" s="23"/>
      <c r="M685" s="23"/>
      <c r="N685" s="23"/>
      <c r="O685" s="23"/>
      <c r="P685" s="23"/>
      <c r="Q685" s="23"/>
      <c r="R685" s="23"/>
    </row>
    <row r="686" spans="1:18" x14ac:dyDescent="0.35">
      <c r="D686" s="22"/>
      <c r="H686" s="348"/>
      <c r="I686" s="126"/>
      <c r="J686" s="126"/>
      <c r="K686" s="126"/>
      <c r="L686" s="23"/>
      <c r="M686" s="23"/>
      <c r="N686" s="23"/>
      <c r="O686" s="23"/>
      <c r="P686" s="23"/>
      <c r="Q686" s="23"/>
      <c r="R686" s="23"/>
    </row>
    <row r="687" spans="1:18" x14ac:dyDescent="0.35">
      <c r="D687" s="22"/>
      <c r="H687" s="332"/>
      <c r="I687" s="22"/>
      <c r="J687" s="22"/>
      <c r="K687" s="22"/>
      <c r="L687" s="23"/>
      <c r="M687" s="23"/>
      <c r="N687" s="23"/>
      <c r="O687" s="23"/>
      <c r="P687" s="23"/>
      <c r="Q687" s="23"/>
      <c r="R687" s="23"/>
    </row>
    <row r="688" spans="1:18" x14ac:dyDescent="0.35">
      <c r="A688" s="114"/>
      <c r="B688" s="114"/>
      <c r="C688" s="114"/>
      <c r="D688" s="115"/>
      <c r="E688" s="114"/>
      <c r="F688" s="114"/>
      <c r="G688" s="114"/>
      <c r="L688" s="23"/>
      <c r="M688" s="23"/>
      <c r="N688" s="23"/>
      <c r="O688" s="23"/>
      <c r="P688" s="23"/>
      <c r="Q688" s="23"/>
      <c r="R688" s="23"/>
    </row>
    <row r="689" spans="1:18" x14ac:dyDescent="0.35">
      <c r="A689" s="116"/>
      <c r="B689" s="116"/>
      <c r="C689" s="116"/>
      <c r="D689" s="117"/>
      <c r="E689" s="116"/>
      <c r="F689" s="116"/>
      <c r="G689" s="116"/>
      <c r="L689" s="23"/>
      <c r="M689" s="23"/>
      <c r="N689" s="23"/>
      <c r="O689" s="23"/>
      <c r="P689" s="23"/>
      <c r="Q689" s="23"/>
      <c r="R689" s="23"/>
    </row>
    <row r="690" spans="1:18" x14ac:dyDescent="0.35">
      <c r="A690" s="116"/>
      <c r="B690" s="116"/>
      <c r="C690" s="116"/>
      <c r="D690" s="116"/>
      <c r="E690" s="116"/>
      <c r="F690" s="116"/>
      <c r="G690" s="116"/>
      <c r="L690" s="23"/>
      <c r="M690" s="23"/>
      <c r="N690" s="23"/>
      <c r="O690" s="23"/>
      <c r="P690" s="23"/>
      <c r="Q690" s="23"/>
      <c r="R690" s="23"/>
    </row>
    <row r="691" spans="1:18" x14ac:dyDescent="0.35">
      <c r="A691" s="116"/>
      <c r="B691" s="116"/>
      <c r="C691" s="116"/>
      <c r="D691" s="116"/>
      <c r="E691" s="116"/>
      <c r="F691" s="116"/>
      <c r="G691" s="116"/>
      <c r="L691" s="23"/>
      <c r="M691" s="23"/>
      <c r="N691" s="23"/>
      <c r="O691" s="23"/>
      <c r="P691" s="23"/>
      <c r="Q691" s="23"/>
      <c r="R691" s="23"/>
    </row>
    <row r="692" spans="1:18" x14ac:dyDescent="0.35">
      <c r="A692" s="116"/>
      <c r="B692" s="116"/>
      <c r="C692" s="116"/>
      <c r="D692" s="116"/>
      <c r="E692" s="116"/>
      <c r="F692" s="116"/>
      <c r="G692" s="116"/>
      <c r="L692" s="23"/>
      <c r="M692" s="23"/>
      <c r="N692" s="23"/>
      <c r="O692" s="23"/>
      <c r="P692" s="23"/>
      <c r="Q692" s="23"/>
      <c r="R692" s="23"/>
    </row>
    <row r="693" spans="1:18" x14ac:dyDescent="0.35">
      <c r="A693" s="116"/>
      <c r="B693" s="116"/>
      <c r="C693" s="116"/>
      <c r="D693" s="116"/>
      <c r="E693" s="116"/>
      <c r="F693" s="116"/>
      <c r="G693" s="116"/>
      <c r="L693" s="23"/>
      <c r="M693" s="23"/>
      <c r="N693" s="23"/>
      <c r="O693" s="23"/>
      <c r="P693" s="23"/>
      <c r="Q693" s="23"/>
      <c r="R693" s="23"/>
    </row>
    <row r="694" spans="1:18" x14ac:dyDescent="0.35">
      <c r="A694" s="116"/>
      <c r="B694" s="116"/>
      <c r="C694" s="116"/>
      <c r="D694" s="116"/>
      <c r="E694" s="116"/>
      <c r="F694" s="116"/>
      <c r="G694" s="116"/>
      <c r="L694" s="23"/>
      <c r="M694" s="23"/>
      <c r="N694" s="23"/>
      <c r="O694" s="23"/>
      <c r="P694" s="23"/>
      <c r="Q694" s="23"/>
      <c r="R694" s="23"/>
    </row>
    <row r="695" spans="1:18" x14ac:dyDescent="0.35">
      <c r="A695" s="121"/>
      <c r="B695" s="121"/>
      <c r="C695" s="121"/>
      <c r="D695" s="121"/>
      <c r="E695" s="121"/>
      <c r="F695" s="121"/>
      <c r="G695" s="121"/>
      <c r="L695" s="23"/>
      <c r="M695" s="23"/>
      <c r="N695" s="23"/>
      <c r="O695" s="23"/>
      <c r="P695" s="23"/>
      <c r="Q695" s="23"/>
      <c r="R695" s="23"/>
    </row>
    <row r="696" spans="1:18" x14ac:dyDescent="0.35">
      <c r="A696" s="116"/>
      <c r="B696" s="116"/>
      <c r="C696" s="116"/>
      <c r="D696" s="116"/>
      <c r="E696" s="116"/>
      <c r="F696" s="116"/>
      <c r="G696" s="116"/>
      <c r="L696" s="23"/>
      <c r="M696" s="23"/>
      <c r="N696" s="23"/>
      <c r="O696" s="23"/>
      <c r="P696" s="23"/>
      <c r="Q696" s="23"/>
      <c r="R696" s="23"/>
    </row>
    <row r="697" spans="1:18" x14ac:dyDescent="0.35">
      <c r="A697" s="116"/>
      <c r="B697" s="116"/>
      <c r="C697" s="116"/>
      <c r="D697" s="116"/>
      <c r="E697" s="116"/>
      <c r="F697" s="116"/>
      <c r="G697" s="116"/>
      <c r="L697" s="23"/>
      <c r="M697" s="23"/>
      <c r="N697" s="23"/>
      <c r="O697" s="23"/>
      <c r="P697" s="23"/>
      <c r="Q697" s="23"/>
      <c r="R697" s="23"/>
    </row>
    <row r="698" spans="1:18" x14ac:dyDescent="0.35">
      <c r="A698" s="116"/>
      <c r="B698" s="116"/>
      <c r="C698" s="116"/>
      <c r="D698" s="116"/>
      <c r="E698" s="116"/>
      <c r="F698" s="116"/>
      <c r="G698" s="116"/>
      <c r="L698" s="23"/>
      <c r="M698" s="23"/>
      <c r="N698" s="23"/>
      <c r="O698" s="23"/>
      <c r="P698" s="23"/>
      <c r="Q698" s="23"/>
      <c r="R698" s="23"/>
    </row>
    <row r="699" spans="1:18" x14ac:dyDescent="0.35">
      <c r="A699" s="116"/>
      <c r="B699" s="116"/>
      <c r="C699" s="116"/>
      <c r="D699" s="116"/>
      <c r="E699" s="116"/>
      <c r="F699" s="116"/>
      <c r="G699" s="116"/>
      <c r="L699" s="23"/>
      <c r="M699" s="23"/>
      <c r="N699" s="23"/>
      <c r="O699" s="23"/>
      <c r="P699" s="23"/>
      <c r="Q699" s="23"/>
      <c r="R699" s="23"/>
    </row>
    <row r="700" spans="1:18" x14ac:dyDescent="0.35">
      <c r="A700" s="116"/>
      <c r="B700" s="116"/>
      <c r="C700" s="116"/>
      <c r="D700" s="116"/>
      <c r="E700" s="116"/>
      <c r="F700" s="116"/>
      <c r="G700" s="116"/>
      <c r="L700" s="23"/>
      <c r="M700" s="23"/>
      <c r="N700" s="23"/>
      <c r="O700" s="23"/>
      <c r="P700" s="23"/>
      <c r="Q700" s="23"/>
      <c r="R700" s="23"/>
    </row>
    <row r="701" spans="1:18" x14ac:dyDescent="0.35">
      <c r="A701" s="116"/>
      <c r="B701" s="116"/>
      <c r="C701" s="116"/>
      <c r="D701" s="116"/>
      <c r="E701" s="116"/>
      <c r="F701" s="116"/>
      <c r="G701" s="116"/>
      <c r="L701" s="23"/>
      <c r="M701" s="23"/>
      <c r="N701" s="23"/>
      <c r="O701" s="23"/>
      <c r="P701" s="23"/>
      <c r="Q701" s="23"/>
      <c r="R701" s="23"/>
    </row>
    <row r="702" spans="1:18" x14ac:dyDescent="0.35">
      <c r="A702" s="116"/>
      <c r="B702" s="116"/>
      <c r="C702" s="116"/>
      <c r="D702" s="116"/>
      <c r="E702" s="116"/>
      <c r="F702" s="116"/>
      <c r="G702" s="116"/>
    </row>
    <row r="703" spans="1:18" x14ac:dyDescent="0.35">
      <c r="A703" s="116"/>
      <c r="B703" s="116"/>
      <c r="C703" s="116"/>
      <c r="D703" s="116"/>
      <c r="E703" s="116"/>
      <c r="F703" s="116"/>
      <c r="G703" s="116"/>
    </row>
    <row r="707" spans="1:18" x14ac:dyDescent="0.35">
      <c r="H707" s="334"/>
      <c r="I707" s="98"/>
      <c r="J707" s="98"/>
      <c r="K707" s="98"/>
      <c r="L707" s="98"/>
      <c r="M707" s="98"/>
      <c r="N707" s="98"/>
      <c r="O707" s="98"/>
      <c r="P707" s="98"/>
      <c r="Q707" s="98"/>
      <c r="R707" s="98"/>
    </row>
    <row r="708" spans="1:18" x14ac:dyDescent="0.35">
      <c r="H708" s="347"/>
      <c r="I708" s="125"/>
      <c r="J708" s="125"/>
      <c r="K708" s="125"/>
    </row>
    <row r="709" spans="1:18" x14ac:dyDescent="0.35">
      <c r="H709" s="348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</row>
    <row r="710" spans="1:18" x14ac:dyDescent="0.35">
      <c r="H710" s="332"/>
      <c r="I710" s="22"/>
      <c r="J710" s="22"/>
      <c r="K710" s="22"/>
      <c r="L710" s="19"/>
      <c r="M710" s="19"/>
      <c r="N710" s="19"/>
      <c r="O710" s="19"/>
      <c r="P710" s="19"/>
      <c r="Q710" s="19"/>
      <c r="R710" s="19"/>
    </row>
    <row r="711" spans="1:18" x14ac:dyDescent="0.35">
      <c r="A711" s="127"/>
      <c r="B711" s="127"/>
      <c r="C711" s="127"/>
      <c r="D711" s="127"/>
      <c r="E711" s="127"/>
      <c r="F711" s="127"/>
      <c r="G711" s="127"/>
    </row>
    <row r="712" spans="1:18" x14ac:dyDescent="0.35">
      <c r="A712" s="116"/>
      <c r="B712" s="116"/>
      <c r="C712" s="116"/>
      <c r="D712" s="116"/>
      <c r="E712" s="116"/>
      <c r="F712" s="116"/>
      <c r="G712" s="116"/>
    </row>
    <row r="713" spans="1:18" x14ac:dyDescent="0.35">
      <c r="A713" s="116"/>
      <c r="B713" s="116"/>
      <c r="C713" s="116"/>
      <c r="D713" s="116"/>
      <c r="E713" s="116"/>
      <c r="F713" s="116"/>
      <c r="G713" s="116"/>
    </row>
    <row r="714" spans="1:18" x14ac:dyDescent="0.35">
      <c r="A714" s="116"/>
      <c r="B714" s="116"/>
      <c r="C714" s="116"/>
      <c r="D714" s="116"/>
      <c r="E714" s="116"/>
      <c r="F714" s="116"/>
      <c r="G714" s="116"/>
    </row>
    <row r="715" spans="1:18" x14ac:dyDescent="0.35">
      <c r="A715" s="116"/>
      <c r="B715" s="116"/>
      <c r="C715" s="116"/>
      <c r="D715" s="116"/>
      <c r="E715" s="116"/>
      <c r="F715" s="116"/>
      <c r="G715" s="116"/>
    </row>
    <row r="716" spans="1:18" x14ac:dyDescent="0.35">
      <c r="A716" s="116"/>
      <c r="B716" s="116"/>
      <c r="C716" s="116"/>
      <c r="D716" s="116"/>
      <c r="E716" s="116"/>
      <c r="F716" s="116"/>
      <c r="G716" s="116"/>
    </row>
    <row r="717" spans="1:18" x14ac:dyDescent="0.35">
      <c r="A717" s="116"/>
      <c r="B717" s="116"/>
      <c r="C717" s="116"/>
      <c r="D717" s="116"/>
      <c r="E717" s="116"/>
      <c r="F717" s="116"/>
      <c r="G717" s="116"/>
    </row>
    <row r="718" spans="1:18" x14ac:dyDescent="0.35">
      <c r="A718" s="116"/>
      <c r="B718" s="116"/>
      <c r="C718" s="116"/>
      <c r="D718" s="116"/>
      <c r="E718" s="116"/>
      <c r="F718" s="116"/>
      <c r="G718" s="116"/>
    </row>
    <row r="719" spans="1:18" x14ac:dyDescent="0.35">
      <c r="A719" s="116"/>
      <c r="B719" s="116"/>
      <c r="C719" s="116"/>
      <c r="D719" s="116"/>
      <c r="E719" s="116"/>
      <c r="F719" s="116"/>
      <c r="G719" s="116"/>
    </row>
    <row r="720" spans="1:18" x14ac:dyDescent="0.35">
      <c r="A720" s="116"/>
      <c r="B720" s="116"/>
      <c r="C720" s="116"/>
      <c r="D720" s="116"/>
      <c r="E720" s="116"/>
      <c r="F720" s="116"/>
      <c r="G720" s="116"/>
    </row>
    <row r="721" spans="1:18" x14ac:dyDescent="0.35">
      <c r="A721" s="116"/>
      <c r="B721" s="116"/>
      <c r="C721" s="116"/>
      <c r="D721" s="116"/>
      <c r="E721" s="116"/>
      <c r="F721" s="116"/>
      <c r="G721" s="116"/>
    </row>
    <row r="722" spans="1:18" x14ac:dyDescent="0.35">
      <c r="A722" s="116"/>
      <c r="B722" s="116"/>
      <c r="C722" s="116"/>
      <c r="D722" s="116"/>
      <c r="E722" s="116"/>
      <c r="F722" s="116"/>
      <c r="G722" s="116"/>
    </row>
    <row r="723" spans="1:18" x14ac:dyDescent="0.35">
      <c r="A723" s="116"/>
      <c r="B723" s="116"/>
      <c r="C723" s="116"/>
      <c r="D723" s="116"/>
      <c r="E723" s="116"/>
      <c r="F723" s="116"/>
      <c r="G723" s="116"/>
    </row>
    <row r="724" spans="1:18" x14ac:dyDescent="0.35">
      <c r="A724" s="116"/>
      <c r="B724" s="116"/>
      <c r="C724" s="116"/>
      <c r="D724" s="116"/>
      <c r="E724" s="116"/>
      <c r="F724" s="116"/>
      <c r="G724" s="116"/>
    </row>
    <row r="725" spans="1:18" x14ac:dyDescent="0.35">
      <c r="A725" s="116"/>
      <c r="B725" s="116"/>
      <c r="C725" s="116"/>
      <c r="D725" s="116"/>
      <c r="E725" s="116"/>
      <c r="F725" s="116"/>
      <c r="G725" s="116"/>
    </row>
    <row r="726" spans="1:18" x14ac:dyDescent="0.35">
      <c r="A726" s="116"/>
      <c r="B726" s="116"/>
      <c r="C726" s="116"/>
      <c r="D726" s="116"/>
      <c r="E726" s="116"/>
      <c r="F726" s="116"/>
      <c r="G726" s="116"/>
    </row>
    <row r="727" spans="1:18" x14ac:dyDescent="0.35">
      <c r="A727" s="116"/>
      <c r="B727" s="116"/>
      <c r="C727" s="116"/>
      <c r="D727" s="116"/>
      <c r="E727" s="116"/>
      <c r="F727" s="116"/>
      <c r="G727" s="116"/>
    </row>
    <row r="731" spans="1:18" x14ac:dyDescent="0.35">
      <c r="H731" s="334"/>
      <c r="I731" s="98"/>
      <c r="J731" s="98"/>
      <c r="K731" s="98"/>
      <c r="L731" s="98"/>
      <c r="M731" s="98"/>
      <c r="N731" s="98"/>
      <c r="O731" s="98"/>
      <c r="P731" s="98"/>
      <c r="Q731" s="98"/>
      <c r="R731" s="98"/>
    </row>
    <row r="733" spans="1:18" x14ac:dyDescent="0.35">
      <c r="A733" s="116"/>
      <c r="B733" s="116"/>
      <c r="C733" s="116"/>
      <c r="D733" s="116"/>
      <c r="E733" s="116"/>
      <c r="F733" s="116"/>
      <c r="G733" s="116"/>
    </row>
    <row r="734" spans="1:18" x14ac:dyDescent="0.35">
      <c r="A734" s="116"/>
      <c r="B734" s="116"/>
      <c r="C734" s="116"/>
      <c r="D734" s="116"/>
      <c r="E734" s="116"/>
      <c r="F734" s="116"/>
      <c r="G734" s="116"/>
    </row>
    <row r="735" spans="1:18" x14ac:dyDescent="0.35">
      <c r="A735" s="116"/>
      <c r="B735" s="116"/>
      <c r="C735" s="116"/>
      <c r="D735" s="116"/>
      <c r="E735" s="116"/>
      <c r="F735" s="116"/>
      <c r="G735" s="116"/>
    </row>
    <row r="736" spans="1:18" x14ac:dyDescent="0.35">
      <c r="A736" s="116"/>
      <c r="B736" s="116"/>
      <c r="C736" s="116"/>
      <c r="D736" s="116"/>
      <c r="E736" s="116"/>
      <c r="F736" s="116"/>
      <c r="G736" s="116"/>
    </row>
    <row r="737" spans="1:18" x14ac:dyDescent="0.35">
      <c r="A737" s="116"/>
      <c r="B737" s="116"/>
      <c r="C737" s="116"/>
      <c r="D737" s="116"/>
      <c r="E737" s="116"/>
      <c r="F737" s="116"/>
      <c r="G737" s="116"/>
    </row>
    <row r="738" spans="1:18" x14ac:dyDescent="0.35">
      <c r="A738" s="116"/>
      <c r="B738" s="116"/>
      <c r="C738" s="116"/>
      <c r="D738" s="116"/>
      <c r="E738" s="116"/>
      <c r="F738" s="116"/>
      <c r="G738" s="116"/>
    </row>
    <row r="739" spans="1:18" x14ac:dyDescent="0.35">
      <c r="A739" s="116"/>
      <c r="B739" s="116"/>
      <c r="C739" s="116"/>
      <c r="D739" s="116"/>
      <c r="E739" s="116"/>
      <c r="F739" s="116"/>
      <c r="G739" s="116"/>
    </row>
    <row r="740" spans="1:18" x14ac:dyDescent="0.35">
      <c r="A740" s="116"/>
      <c r="B740" s="116"/>
      <c r="C740" s="116"/>
      <c r="D740" s="116"/>
      <c r="E740" s="116"/>
      <c r="F740" s="116"/>
      <c r="G740" s="116"/>
    </row>
    <row r="741" spans="1:18" x14ac:dyDescent="0.35">
      <c r="A741" s="116"/>
      <c r="B741" s="116"/>
      <c r="C741" s="116"/>
      <c r="D741" s="116"/>
      <c r="E741" s="116"/>
      <c r="F741" s="116"/>
      <c r="G741" s="116"/>
    </row>
    <row r="742" spans="1:18" x14ac:dyDescent="0.35">
      <c r="A742" s="116"/>
      <c r="B742" s="116"/>
      <c r="C742" s="116"/>
      <c r="D742" s="116"/>
      <c r="E742" s="116"/>
      <c r="F742" s="116"/>
      <c r="G742" s="116"/>
    </row>
    <row r="744" spans="1:18" x14ac:dyDescent="0.35">
      <c r="H744" s="334"/>
      <c r="I744" s="98"/>
      <c r="J744" s="98"/>
      <c r="K744" s="98"/>
      <c r="L744" s="98"/>
      <c r="M744" s="98"/>
      <c r="N744" s="98"/>
      <c r="O744" s="98"/>
      <c r="P744" s="98"/>
      <c r="Q744" s="98"/>
      <c r="R744" s="98"/>
    </row>
    <row r="745" spans="1:18" x14ac:dyDescent="0.35">
      <c r="H745" s="347"/>
      <c r="I745" s="125"/>
      <c r="J745" s="125"/>
      <c r="K745" s="125"/>
    </row>
    <row r="746" spans="1:18" x14ac:dyDescent="0.35">
      <c r="H746" s="348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</row>
    <row r="747" spans="1:18" x14ac:dyDescent="0.35">
      <c r="A747" s="116"/>
      <c r="B747" s="116"/>
      <c r="C747" s="116"/>
      <c r="D747" s="116"/>
      <c r="E747" s="116"/>
      <c r="F747" s="116"/>
      <c r="G747" s="116"/>
      <c r="H747" s="332"/>
      <c r="I747" s="22"/>
      <c r="J747" s="22"/>
      <c r="K747" s="22"/>
      <c r="L747" s="19"/>
      <c r="M747" s="19"/>
      <c r="N747" s="19"/>
      <c r="O747" s="19"/>
      <c r="P747" s="19"/>
      <c r="Q747" s="19"/>
      <c r="R747" s="19"/>
    </row>
    <row r="748" spans="1:18" x14ac:dyDescent="0.35">
      <c r="A748" s="116"/>
      <c r="B748" s="116"/>
      <c r="C748" s="116"/>
      <c r="D748" s="116"/>
      <c r="E748" s="116"/>
      <c r="F748" s="116"/>
      <c r="G748" s="116"/>
    </row>
    <row r="749" spans="1:18" x14ac:dyDescent="0.35">
      <c r="A749" s="128"/>
      <c r="B749" s="128"/>
      <c r="C749" s="128"/>
      <c r="D749" s="128"/>
      <c r="E749" s="128"/>
      <c r="F749" s="128"/>
      <c r="G749" s="128"/>
    </row>
    <row r="750" spans="1:18" x14ac:dyDescent="0.35">
      <c r="A750" s="128"/>
      <c r="B750" s="128"/>
      <c r="C750" s="128"/>
      <c r="D750" s="128"/>
      <c r="E750" s="128"/>
      <c r="F750" s="128"/>
      <c r="G750" s="128"/>
      <c r="H750" s="140"/>
      <c r="I750" s="23"/>
      <c r="J750" s="23"/>
      <c r="K750" s="23"/>
      <c r="L750" s="23"/>
      <c r="M750" s="23"/>
      <c r="N750" s="23"/>
      <c r="O750" s="23"/>
      <c r="P750" s="23"/>
      <c r="Q750" s="23"/>
      <c r="R750" s="23"/>
    </row>
    <row r="751" spans="1:18" x14ac:dyDescent="0.35">
      <c r="A751" s="128"/>
      <c r="B751" s="128"/>
      <c r="C751" s="128"/>
      <c r="D751" s="128"/>
      <c r="E751" s="128"/>
      <c r="F751" s="128"/>
      <c r="G751" s="128"/>
      <c r="H751" s="140"/>
      <c r="I751" s="23"/>
      <c r="J751" s="23"/>
      <c r="K751" s="23"/>
      <c r="L751" s="23"/>
      <c r="M751" s="23"/>
      <c r="N751" s="23"/>
      <c r="O751" s="23"/>
      <c r="P751" s="23"/>
      <c r="Q751" s="23"/>
      <c r="R751" s="23"/>
    </row>
    <row r="752" spans="1:18" x14ac:dyDescent="0.35">
      <c r="A752" s="128"/>
      <c r="B752" s="128"/>
      <c r="C752" s="128"/>
      <c r="D752" s="128"/>
      <c r="E752" s="128"/>
      <c r="F752" s="128"/>
      <c r="G752" s="128"/>
      <c r="H752" s="140"/>
      <c r="I752" s="23"/>
      <c r="J752" s="23"/>
      <c r="K752" s="23"/>
      <c r="L752" s="23"/>
      <c r="M752" s="23"/>
      <c r="N752" s="23"/>
      <c r="O752" s="23"/>
      <c r="P752" s="23"/>
      <c r="Q752" s="23"/>
      <c r="R752" s="23"/>
    </row>
    <row r="753" spans="1:18" x14ac:dyDescent="0.35">
      <c r="A753" s="129"/>
      <c r="B753" s="129"/>
      <c r="C753" s="129"/>
      <c r="D753" s="129"/>
      <c r="E753" s="129"/>
      <c r="F753" s="129"/>
      <c r="G753" s="129"/>
      <c r="H753" s="140"/>
      <c r="I753" s="23"/>
      <c r="J753" s="23"/>
      <c r="K753" s="23"/>
      <c r="L753" s="23"/>
      <c r="M753" s="23"/>
      <c r="N753" s="23"/>
      <c r="O753" s="23"/>
      <c r="P753" s="23"/>
      <c r="Q753" s="23"/>
      <c r="R753" s="23"/>
    </row>
    <row r="766" spans="1:18" x14ac:dyDescent="0.35">
      <c r="H766" s="334"/>
      <c r="I766" s="98"/>
      <c r="J766" s="98"/>
      <c r="K766" s="98"/>
      <c r="L766" s="23"/>
      <c r="M766" s="23"/>
      <c r="N766" s="23"/>
      <c r="O766" s="23"/>
      <c r="P766" s="23"/>
      <c r="Q766" s="23"/>
      <c r="R766" s="23"/>
    </row>
    <row r="767" spans="1:18" x14ac:dyDescent="0.35">
      <c r="H767" s="347"/>
      <c r="I767" s="125"/>
      <c r="J767" s="125"/>
      <c r="K767" s="125"/>
      <c r="L767" s="23"/>
      <c r="M767" s="23"/>
      <c r="N767" s="23"/>
      <c r="O767" s="23"/>
      <c r="P767" s="23"/>
      <c r="Q767" s="23"/>
      <c r="R767" s="23"/>
    </row>
    <row r="768" spans="1:18" x14ac:dyDescent="0.35">
      <c r="H768" s="348"/>
      <c r="I768" s="126"/>
      <c r="J768" s="126"/>
      <c r="K768" s="126"/>
      <c r="L768" s="23"/>
      <c r="M768" s="23"/>
      <c r="N768" s="23"/>
      <c r="O768" s="23"/>
      <c r="P768" s="23"/>
      <c r="Q768" s="23"/>
      <c r="R768" s="23"/>
    </row>
    <row r="769" spans="1:18" x14ac:dyDescent="0.35">
      <c r="H769" s="332"/>
      <c r="I769" s="22"/>
      <c r="J769" s="22"/>
      <c r="K769" s="22"/>
      <c r="L769" s="23"/>
      <c r="M769" s="23"/>
      <c r="N769" s="23"/>
      <c r="O769" s="23"/>
      <c r="P769" s="23"/>
      <c r="Q769" s="23"/>
      <c r="R769" s="23"/>
    </row>
    <row r="770" spans="1:18" x14ac:dyDescent="0.35">
      <c r="A770" s="130"/>
      <c r="B770" s="130"/>
      <c r="C770" s="130"/>
      <c r="D770" s="130"/>
      <c r="E770" s="130"/>
      <c r="F770" s="130"/>
      <c r="G770" s="130"/>
      <c r="L770" s="23"/>
      <c r="M770" s="23"/>
      <c r="N770" s="23"/>
      <c r="O770" s="23"/>
      <c r="P770" s="23"/>
      <c r="Q770" s="23"/>
      <c r="R770" s="23"/>
    </row>
    <row r="771" spans="1:18" x14ac:dyDescent="0.35">
      <c r="A771" s="130"/>
      <c r="B771" s="130"/>
      <c r="C771" s="130"/>
      <c r="D771" s="130"/>
      <c r="E771" s="130"/>
      <c r="F771" s="130"/>
      <c r="G771" s="130"/>
      <c r="L771" s="23"/>
      <c r="M771" s="23"/>
      <c r="N771" s="23"/>
      <c r="O771" s="23"/>
      <c r="P771" s="23"/>
      <c r="Q771" s="23"/>
      <c r="R771" s="23"/>
    </row>
    <row r="772" spans="1:18" x14ac:dyDescent="0.35">
      <c r="A772" s="130"/>
      <c r="B772" s="130"/>
      <c r="C772" s="130"/>
      <c r="D772" s="130"/>
      <c r="E772" s="130"/>
      <c r="F772" s="130"/>
      <c r="G772" s="130"/>
      <c r="L772" s="23"/>
      <c r="M772" s="23"/>
      <c r="N772" s="23"/>
      <c r="O772" s="23"/>
      <c r="P772" s="23"/>
      <c r="Q772" s="23"/>
      <c r="R772" s="23"/>
    </row>
    <row r="773" spans="1:18" x14ac:dyDescent="0.35">
      <c r="A773" s="130"/>
      <c r="B773" s="130"/>
      <c r="C773" s="130"/>
      <c r="D773" s="130"/>
      <c r="E773" s="130"/>
      <c r="F773" s="130"/>
      <c r="G773" s="130"/>
      <c r="L773" s="23"/>
      <c r="M773" s="23"/>
      <c r="N773" s="23"/>
      <c r="O773" s="23"/>
      <c r="P773" s="23"/>
      <c r="Q773" s="23"/>
      <c r="R773" s="23"/>
    </row>
    <row r="774" spans="1:18" x14ac:dyDescent="0.35">
      <c r="A774" s="130"/>
      <c r="B774" s="130"/>
      <c r="C774" s="130"/>
      <c r="D774" s="130"/>
      <c r="E774" s="130"/>
      <c r="F774" s="130"/>
      <c r="G774" s="130"/>
      <c r="L774" s="23"/>
      <c r="M774" s="23"/>
      <c r="N774" s="23"/>
      <c r="O774" s="23"/>
      <c r="P774" s="23"/>
      <c r="Q774" s="23"/>
      <c r="R774" s="23"/>
    </row>
    <row r="775" spans="1:18" x14ac:dyDescent="0.35">
      <c r="L775" s="23"/>
      <c r="M775" s="23"/>
      <c r="N775" s="23"/>
      <c r="O775" s="23"/>
      <c r="P775" s="23"/>
      <c r="Q775" s="23"/>
      <c r="R775" s="23"/>
    </row>
    <row r="781" spans="1:18" x14ac:dyDescent="0.35">
      <c r="H781" s="334"/>
      <c r="I781" s="98"/>
      <c r="J781" s="98"/>
      <c r="K781" s="98"/>
      <c r="L781" s="23"/>
      <c r="M781" s="23"/>
      <c r="N781" s="23"/>
      <c r="O781" s="23"/>
      <c r="P781" s="23"/>
      <c r="Q781" s="23"/>
      <c r="R781" s="23"/>
    </row>
    <row r="782" spans="1:18" x14ac:dyDescent="0.35">
      <c r="H782" s="347"/>
      <c r="I782" s="125"/>
      <c r="J782" s="125"/>
      <c r="K782" s="125"/>
      <c r="L782" s="23"/>
      <c r="M782" s="23"/>
      <c r="N782" s="23"/>
      <c r="O782" s="23"/>
      <c r="P782" s="23"/>
      <c r="Q782" s="23"/>
      <c r="R782" s="23"/>
    </row>
    <row r="783" spans="1:18" x14ac:dyDescent="0.35">
      <c r="H783" s="348"/>
      <c r="I783" s="126"/>
      <c r="J783" s="126"/>
      <c r="K783" s="126"/>
      <c r="L783" s="23"/>
      <c r="M783" s="23"/>
      <c r="N783" s="23"/>
      <c r="O783" s="23"/>
      <c r="P783" s="23"/>
      <c r="Q783" s="23"/>
      <c r="R783" s="23"/>
    </row>
    <row r="784" spans="1:18" x14ac:dyDescent="0.35">
      <c r="H784" s="332"/>
      <c r="I784" s="22"/>
      <c r="J784" s="22"/>
      <c r="K784" s="22"/>
      <c r="L784" s="23"/>
      <c r="M784" s="23"/>
      <c r="N784" s="23"/>
      <c r="O784" s="23"/>
      <c r="P784" s="23"/>
      <c r="Q784" s="23"/>
      <c r="R784" s="23"/>
    </row>
    <row r="786" spans="1:18" x14ac:dyDescent="0.35">
      <c r="A786" s="116"/>
      <c r="B786" s="116"/>
      <c r="C786" s="116"/>
      <c r="D786" s="116"/>
      <c r="E786" s="116"/>
      <c r="F786" s="116"/>
      <c r="G786" s="116"/>
      <c r="L786" s="23"/>
      <c r="M786" s="23"/>
      <c r="N786" s="23"/>
      <c r="O786" s="23"/>
      <c r="P786" s="23"/>
      <c r="Q786" s="23"/>
      <c r="R786" s="23"/>
    </row>
    <row r="787" spans="1:18" x14ac:dyDescent="0.35">
      <c r="A787" s="116"/>
      <c r="B787" s="116"/>
      <c r="C787" s="116"/>
      <c r="D787" s="116"/>
      <c r="E787" s="116"/>
      <c r="F787" s="116"/>
      <c r="G787" s="116"/>
      <c r="L787" s="23"/>
      <c r="M787" s="23"/>
      <c r="N787" s="23"/>
      <c r="O787" s="23"/>
      <c r="P787" s="23"/>
      <c r="Q787" s="23"/>
      <c r="R787" s="23"/>
    </row>
    <row r="788" spans="1:18" x14ac:dyDescent="0.35">
      <c r="A788" s="116"/>
      <c r="B788" s="116"/>
      <c r="C788" s="116"/>
      <c r="D788" s="116"/>
      <c r="E788" s="116"/>
      <c r="F788" s="116"/>
      <c r="G788" s="116"/>
      <c r="L788" s="23"/>
      <c r="M788" s="23"/>
      <c r="N788" s="23"/>
      <c r="O788" s="23"/>
      <c r="P788" s="23"/>
      <c r="Q788" s="23"/>
      <c r="R788" s="23"/>
    </row>
    <row r="789" spans="1:18" x14ac:dyDescent="0.35">
      <c r="A789" s="116"/>
      <c r="B789" s="116"/>
      <c r="C789" s="116"/>
      <c r="D789" s="116"/>
      <c r="E789" s="116"/>
      <c r="F789" s="116"/>
      <c r="G789" s="116"/>
      <c r="L789" s="23"/>
      <c r="M789" s="23"/>
      <c r="N789" s="23"/>
      <c r="O789" s="23"/>
      <c r="P789" s="23"/>
      <c r="Q789" s="23"/>
      <c r="R789" s="23"/>
    </row>
    <row r="790" spans="1:18" x14ac:dyDescent="0.35">
      <c r="A790" s="116"/>
      <c r="B790" s="116"/>
      <c r="C790" s="116"/>
      <c r="D790" s="116"/>
      <c r="E790" s="116"/>
      <c r="F790" s="116"/>
      <c r="G790" s="116"/>
      <c r="L790" s="23"/>
      <c r="M790" s="23"/>
      <c r="N790" s="23"/>
      <c r="O790" s="23"/>
      <c r="P790" s="23"/>
      <c r="Q790" s="23"/>
      <c r="R790" s="23"/>
    </row>
    <row r="791" spans="1:18" x14ac:dyDescent="0.35">
      <c r="A791" s="116"/>
      <c r="B791" s="116"/>
      <c r="C791" s="116"/>
      <c r="D791" s="116"/>
      <c r="E791" s="116"/>
      <c r="F791" s="116"/>
      <c r="G791" s="116"/>
      <c r="L791" s="23"/>
      <c r="M791" s="23"/>
      <c r="N791" s="23"/>
      <c r="O791" s="23"/>
      <c r="P791" s="23"/>
      <c r="Q791" s="23"/>
      <c r="R791" s="23"/>
    </row>
    <row r="792" spans="1:18" x14ac:dyDescent="0.35">
      <c r="A792" s="116"/>
      <c r="B792" s="116"/>
      <c r="C792" s="116"/>
      <c r="D792" s="116"/>
      <c r="E792" s="116"/>
      <c r="F792" s="116"/>
      <c r="G792" s="116"/>
      <c r="L792" s="23"/>
      <c r="M792" s="23"/>
      <c r="N792" s="23"/>
      <c r="O792" s="23"/>
      <c r="P792" s="23"/>
      <c r="Q792" s="23"/>
      <c r="R792" s="23"/>
    </row>
    <row r="793" spans="1:18" x14ac:dyDescent="0.35">
      <c r="A793" s="116"/>
      <c r="B793" s="116"/>
      <c r="C793" s="116"/>
      <c r="D793" s="116"/>
      <c r="E793" s="116"/>
      <c r="F793" s="116"/>
      <c r="G793" s="116"/>
      <c r="L793" s="23"/>
      <c r="M793" s="23"/>
      <c r="N793" s="23"/>
      <c r="O793" s="23"/>
      <c r="P793" s="23"/>
      <c r="Q793" s="23"/>
      <c r="R793" s="23"/>
    </row>
    <row r="794" spans="1:18" x14ac:dyDescent="0.35">
      <c r="A794" s="116"/>
      <c r="B794" s="116"/>
      <c r="C794" s="116"/>
      <c r="D794" s="116"/>
      <c r="E794" s="116"/>
      <c r="F794" s="116"/>
      <c r="G794" s="116"/>
      <c r="L794" s="23"/>
      <c r="M794" s="23"/>
      <c r="N794" s="23"/>
      <c r="O794" s="23"/>
      <c r="P794" s="23"/>
      <c r="Q794" s="23"/>
      <c r="R794" s="23"/>
    </row>
    <row r="795" spans="1:18" x14ac:dyDescent="0.35">
      <c r="A795" s="116"/>
      <c r="B795" s="116"/>
      <c r="C795" s="116"/>
      <c r="D795" s="116"/>
      <c r="E795" s="116"/>
      <c r="F795" s="116"/>
      <c r="G795" s="116"/>
      <c r="L795" s="23"/>
      <c r="M795" s="23"/>
      <c r="N795" s="23"/>
      <c r="O795" s="23"/>
      <c r="P795" s="23"/>
      <c r="Q795" s="23"/>
      <c r="R795" s="23"/>
    </row>
    <row r="796" spans="1:18" x14ac:dyDescent="0.35">
      <c r="A796" s="116"/>
      <c r="B796" s="116"/>
      <c r="C796" s="116"/>
      <c r="D796" s="116"/>
      <c r="E796" s="116"/>
      <c r="F796" s="116"/>
      <c r="G796" s="116"/>
      <c r="L796" s="23"/>
      <c r="M796" s="23"/>
      <c r="N796" s="23"/>
      <c r="O796" s="23"/>
      <c r="P796" s="23"/>
      <c r="Q796" s="23"/>
      <c r="R796" s="23"/>
    </row>
    <row r="797" spans="1:18" x14ac:dyDescent="0.35">
      <c r="A797" s="116"/>
      <c r="B797" s="116"/>
      <c r="C797" s="116"/>
      <c r="D797" s="116"/>
      <c r="E797" s="116"/>
      <c r="F797" s="116"/>
      <c r="G797" s="116"/>
      <c r="L797" s="23"/>
      <c r="M797" s="23"/>
      <c r="N797" s="23"/>
      <c r="O797" s="23"/>
      <c r="P797" s="23"/>
      <c r="Q797" s="23"/>
      <c r="R797" s="23"/>
    </row>
    <row r="798" spans="1:18" x14ac:dyDescent="0.35">
      <c r="A798" s="116"/>
      <c r="B798" s="116"/>
      <c r="C798" s="116"/>
      <c r="D798" s="116"/>
      <c r="E798" s="116"/>
      <c r="F798" s="116"/>
      <c r="G798" s="116"/>
    </row>
    <row r="799" spans="1:18" x14ac:dyDescent="0.35">
      <c r="A799" s="116"/>
      <c r="B799" s="116"/>
      <c r="C799" s="116"/>
      <c r="D799" s="116"/>
      <c r="E799" s="116"/>
      <c r="F799" s="116"/>
      <c r="G799" s="116"/>
    </row>
    <row r="800" spans="1:18" x14ac:dyDescent="0.35">
      <c r="A800" s="114"/>
      <c r="B800" s="114"/>
      <c r="C800" s="114"/>
      <c r="D800" s="114"/>
      <c r="E800" s="114"/>
      <c r="F800" s="114"/>
      <c r="G800" s="114"/>
    </row>
    <row r="801" spans="1:18" x14ac:dyDescent="0.35">
      <c r="A801" s="116"/>
      <c r="B801" s="116"/>
      <c r="C801" s="116"/>
      <c r="D801" s="116"/>
      <c r="E801" s="116"/>
      <c r="F801" s="116"/>
      <c r="G801" s="116"/>
    </row>
    <row r="802" spans="1:18" x14ac:dyDescent="0.35">
      <c r="A802" s="116"/>
      <c r="B802" s="116"/>
      <c r="C802" s="116"/>
      <c r="D802" s="116"/>
      <c r="E802" s="116"/>
      <c r="F802" s="116"/>
      <c r="G802" s="116"/>
    </row>
    <row r="803" spans="1:18" x14ac:dyDescent="0.35">
      <c r="A803" s="116"/>
      <c r="B803" s="116"/>
      <c r="C803" s="116"/>
      <c r="D803" s="116"/>
      <c r="E803" s="116"/>
      <c r="F803" s="116"/>
      <c r="G803" s="116"/>
    </row>
    <row r="804" spans="1:18" x14ac:dyDescent="0.35">
      <c r="A804" s="116"/>
      <c r="B804" s="116"/>
      <c r="C804" s="116"/>
      <c r="D804" s="116"/>
      <c r="E804" s="116"/>
      <c r="F804" s="116"/>
      <c r="G804" s="116"/>
    </row>
    <row r="808" spans="1:18" x14ac:dyDescent="0.35">
      <c r="H808" s="317"/>
      <c r="I808" s="3"/>
      <c r="J808" s="3"/>
    </row>
    <row r="809" spans="1:18" x14ac:dyDescent="0.35">
      <c r="H809" s="334"/>
      <c r="I809" s="98"/>
      <c r="J809" s="98"/>
      <c r="K809" s="98"/>
      <c r="L809" s="98"/>
      <c r="M809" s="98"/>
      <c r="N809" s="98"/>
      <c r="O809" s="98"/>
      <c r="P809" s="98"/>
      <c r="Q809" s="98"/>
      <c r="R809" s="98"/>
    </row>
    <row r="810" spans="1:18" x14ac:dyDescent="0.35">
      <c r="H810" s="347"/>
      <c r="I810" s="125"/>
      <c r="J810" s="125"/>
      <c r="K810" s="125"/>
    </row>
    <row r="811" spans="1:18" x14ac:dyDescent="0.35">
      <c r="H811" s="348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</row>
    <row r="812" spans="1:18" x14ac:dyDescent="0.35">
      <c r="A812" s="128"/>
      <c r="B812" s="128"/>
      <c r="C812" s="128"/>
      <c r="D812" s="128"/>
      <c r="E812" s="128"/>
      <c r="F812" s="128"/>
      <c r="G812" s="128"/>
      <c r="H812" s="332"/>
      <c r="I812" s="22"/>
      <c r="J812" s="22"/>
      <c r="K812" s="22"/>
      <c r="L812" s="19"/>
      <c r="M812" s="19"/>
      <c r="N812" s="19"/>
      <c r="O812" s="19"/>
      <c r="P812" s="19"/>
      <c r="Q812" s="19"/>
      <c r="R812" s="19"/>
    </row>
    <row r="813" spans="1:18" x14ac:dyDescent="0.35">
      <c r="A813" s="116"/>
      <c r="B813" s="116"/>
      <c r="C813" s="116"/>
      <c r="D813" s="116"/>
      <c r="E813" s="116"/>
      <c r="F813" s="116"/>
      <c r="G813" s="116"/>
    </row>
    <row r="814" spans="1:18" x14ac:dyDescent="0.35">
      <c r="A814" s="116"/>
      <c r="B814" s="116"/>
      <c r="C814" s="116"/>
      <c r="D814" s="116"/>
      <c r="E814" s="116"/>
      <c r="F814" s="116"/>
      <c r="G814" s="116"/>
      <c r="H814" s="140"/>
      <c r="I814" s="23"/>
      <c r="J814" s="23"/>
      <c r="K814" s="23"/>
      <c r="L814" s="23"/>
      <c r="M814" s="23"/>
      <c r="N814" s="23"/>
      <c r="O814" s="23"/>
      <c r="P814" s="23"/>
      <c r="Q814" s="23"/>
      <c r="R814" s="23"/>
    </row>
    <row r="815" spans="1:18" x14ac:dyDescent="0.35">
      <c r="A815" s="116"/>
      <c r="B815" s="116"/>
      <c r="C815" s="116"/>
      <c r="D815" s="116"/>
      <c r="E815" s="116"/>
      <c r="F815" s="116"/>
      <c r="G815" s="116"/>
      <c r="H815" s="140"/>
      <c r="I815" s="23"/>
      <c r="J815" s="23"/>
      <c r="K815" s="23"/>
      <c r="L815" s="23"/>
      <c r="M815" s="23"/>
      <c r="N815" s="23"/>
      <c r="O815" s="23"/>
      <c r="P815" s="23"/>
      <c r="Q815" s="23"/>
      <c r="R815" s="23"/>
    </row>
    <row r="816" spans="1:18" x14ac:dyDescent="0.35">
      <c r="A816" s="116"/>
      <c r="B816" s="116"/>
      <c r="C816" s="116"/>
      <c r="D816" s="116"/>
      <c r="E816" s="116"/>
      <c r="F816" s="116"/>
      <c r="G816" s="116"/>
      <c r="H816" s="140"/>
      <c r="I816" s="23"/>
      <c r="J816" s="23"/>
      <c r="K816" s="23"/>
      <c r="L816" s="23"/>
      <c r="M816" s="23"/>
      <c r="N816" s="23"/>
      <c r="O816" s="23"/>
      <c r="P816" s="23"/>
      <c r="Q816" s="23"/>
      <c r="R816" s="23"/>
    </row>
    <row r="817" spans="1:18" x14ac:dyDescent="0.35">
      <c r="A817" s="116"/>
      <c r="B817" s="116"/>
      <c r="C817" s="116"/>
      <c r="D817" s="116"/>
      <c r="E817" s="116"/>
      <c r="F817" s="116"/>
      <c r="G817" s="116"/>
      <c r="H817" s="140"/>
      <c r="I817" s="23"/>
      <c r="J817" s="23"/>
      <c r="K817" s="23"/>
      <c r="L817" s="23"/>
      <c r="M817" s="23"/>
      <c r="N817" s="23"/>
      <c r="O817" s="23"/>
      <c r="P817" s="23"/>
      <c r="Q817" s="23"/>
      <c r="R817" s="23"/>
    </row>
    <row r="818" spans="1:18" x14ac:dyDescent="0.35">
      <c r="A818" s="116"/>
      <c r="B818" s="116"/>
      <c r="C818" s="116"/>
      <c r="D818" s="116"/>
      <c r="E818" s="116"/>
      <c r="F818" s="116"/>
      <c r="G818" s="116"/>
      <c r="H818" s="140"/>
      <c r="I818" s="23"/>
      <c r="J818" s="23"/>
      <c r="K818" s="23"/>
      <c r="L818" s="23"/>
      <c r="M818" s="23"/>
      <c r="N818" s="23"/>
      <c r="O818" s="23"/>
      <c r="P818" s="23"/>
      <c r="Q818" s="23"/>
      <c r="R818" s="23"/>
    </row>
    <row r="819" spans="1:18" x14ac:dyDescent="0.35">
      <c r="A819" s="116"/>
      <c r="B819" s="116"/>
      <c r="C819" s="116"/>
      <c r="D819" s="116"/>
      <c r="E819" s="116"/>
      <c r="F819" s="116"/>
      <c r="G819" s="116"/>
      <c r="H819" s="140"/>
      <c r="I819" s="23"/>
      <c r="J819" s="23"/>
      <c r="K819" s="23"/>
      <c r="L819" s="23"/>
      <c r="M819" s="23"/>
      <c r="N819" s="23"/>
      <c r="O819" s="23"/>
      <c r="P819" s="23"/>
      <c r="Q819" s="23"/>
      <c r="R819" s="23"/>
    </row>
    <row r="820" spans="1:18" x14ac:dyDescent="0.35">
      <c r="A820" s="116"/>
      <c r="B820" s="116"/>
      <c r="C820" s="116"/>
      <c r="D820" s="116"/>
      <c r="E820" s="116"/>
      <c r="F820" s="116"/>
      <c r="G820" s="116"/>
      <c r="H820" s="140"/>
      <c r="I820" s="23"/>
      <c r="J820" s="23"/>
      <c r="K820" s="23"/>
      <c r="L820" s="23"/>
      <c r="M820" s="23"/>
      <c r="N820" s="23"/>
      <c r="O820" s="23"/>
      <c r="P820" s="23"/>
      <c r="Q820" s="23"/>
      <c r="R820" s="23"/>
    </row>
    <row r="821" spans="1:18" x14ac:dyDescent="0.35">
      <c r="A821" s="116"/>
      <c r="B821" s="116"/>
      <c r="C821" s="116"/>
      <c r="D821" s="116"/>
      <c r="E821" s="116"/>
      <c r="F821" s="116"/>
      <c r="G821" s="116"/>
      <c r="H821" s="140"/>
      <c r="I821" s="23"/>
      <c r="J821" s="23"/>
      <c r="K821" s="23"/>
      <c r="L821" s="23"/>
      <c r="M821" s="23"/>
      <c r="N821" s="23"/>
      <c r="O821" s="23"/>
      <c r="P821" s="23"/>
      <c r="Q821" s="23"/>
      <c r="R821" s="23"/>
    </row>
    <row r="822" spans="1:18" x14ac:dyDescent="0.35">
      <c r="A822" s="116"/>
      <c r="B822" s="116"/>
      <c r="C822" s="116"/>
      <c r="D822" s="116"/>
      <c r="E822" s="116"/>
      <c r="F822" s="116"/>
      <c r="G822" s="116"/>
      <c r="H822" s="140"/>
      <c r="I822" s="23"/>
      <c r="J822" s="23"/>
      <c r="K822" s="23"/>
      <c r="L822" s="23"/>
      <c r="M822" s="23"/>
      <c r="N822" s="23"/>
      <c r="O822" s="23"/>
      <c r="P822" s="23"/>
      <c r="Q822" s="23"/>
      <c r="R822" s="23"/>
    </row>
    <row r="823" spans="1:18" x14ac:dyDescent="0.35">
      <c r="A823" s="116"/>
      <c r="B823" s="116"/>
      <c r="C823" s="116"/>
      <c r="D823" s="116"/>
      <c r="E823" s="116"/>
      <c r="F823" s="116"/>
      <c r="G823" s="116"/>
      <c r="H823" s="140"/>
      <c r="I823" s="23"/>
      <c r="J823" s="23"/>
      <c r="K823" s="23"/>
      <c r="L823" s="23"/>
      <c r="M823" s="23"/>
      <c r="N823" s="23"/>
      <c r="O823" s="23"/>
      <c r="P823" s="23"/>
      <c r="Q823" s="23"/>
      <c r="R823" s="23"/>
    </row>
    <row r="824" spans="1:18" x14ac:dyDescent="0.35">
      <c r="A824" s="116"/>
      <c r="B824" s="116"/>
      <c r="C824" s="116"/>
      <c r="D824" s="116"/>
      <c r="E824" s="116"/>
      <c r="F824" s="116"/>
      <c r="G824" s="116"/>
      <c r="H824" s="140"/>
      <c r="I824" s="23"/>
      <c r="J824" s="23"/>
      <c r="K824" s="23"/>
      <c r="L824" s="23"/>
      <c r="M824" s="23"/>
      <c r="N824" s="23"/>
      <c r="O824" s="23"/>
      <c r="P824" s="23"/>
      <c r="Q824" s="23"/>
      <c r="R824" s="23"/>
    </row>
    <row r="825" spans="1:18" x14ac:dyDescent="0.35">
      <c r="A825" s="116"/>
      <c r="B825" s="116"/>
      <c r="C825" s="116"/>
      <c r="D825" s="116"/>
      <c r="E825" s="116"/>
      <c r="F825" s="116"/>
      <c r="G825" s="116"/>
      <c r="H825" s="140"/>
      <c r="I825" s="23"/>
      <c r="J825" s="23"/>
      <c r="K825" s="23"/>
      <c r="L825" s="23"/>
      <c r="M825" s="23"/>
      <c r="N825" s="23"/>
      <c r="O825" s="23"/>
      <c r="P825" s="23"/>
      <c r="Q825" s="23"/>
      <c r="R825" s="23"/>
    </row>
    <row r="826" spans="1:18" x14ac:dyDescent="0.35">
      <c r="A826" s="116"/>
      <c r="B826" s="116"/>
      <c r="C826" s="116"/>
      <c r="D826" s="116"/>
      <c r="E826" s="116"/>
      <c r="F826" s="116"/>
      <c r="G826" s="116"/>
      <c r="H826" s="140"/>
      <c r="I826" s="23"/>
      <c r="J826" s="23"/>
      <c r="K826" s="23"/>
      <c r="L826" s="23"/>
      <c r="M826" s="23"/>
      <c r="N826" s="23"/>
      <c r="O826" s="23"/>
      <c r="P826" s="23"/>
      <c r="Q826" s="23"/>
      <c r="R826" s="23"/>
    </row>
    <row r="827" spans="1:18" x14ac:dyDescent="0.35">
      <c r="A827" s="116"/>
      <c r="B827" s="116"/>
      <c r="C827" s="116"/>
      <c r="D827" s="116"/>
      <c r="E827" s="116"/>
      <c r="F827" s="116"/>
      <c r="G827" s="116"/>
      <c r="H827" s="140"/>
      <c r="I827" s="23"/>
      <c r="J827" s="23"/>
      <c r="K827" s="23"/>
      <c r="L827" s="23"/>
      <c r="M827" s="23"/>
      <c r="N827" s="23"/>
      <c r="O827" s="23"/>
      <c r="P827" s="23"/>
      <c r="Q827" s="23"/>
      <c r="R827" s="23"/>
    </row>
    <row r="828" spans="1:18" x14ac:dyDescent="0.35">
      <c r="H828" s="140"/>
      <c r="I828" s="23"/>
      <c r="J828" s="23"/>
      <c r="K828" s="23"/>
      <c r="L828" s="23"/>
      <c r="M828" s="23"/>
      <c r="N828" s="23"/>
      <c r="O828" s="23"/>
      <c r="P828" s="23"/>
      <c r="Q828" s="23"/>
      <c r="R828" s="23"/>
    </row>
    <row r="831" spans="1:18" x14ac:dyDescent="0.35">
      <c r="H831" s="349"/>
    </row>
    <row r="832" spans="1:18" x14ac:dyDescent="0.35">
      <c r="H832" s="349"/>
    </row>
    <row r="833" spans="1:18" x14ac:dyDescent="0.35">
      <c r="H833" s="317"/>
      <c r="I833" s="3"/>
      <c r="J833" s="3"/>
    </row>
    <row r="834" spans="1:18" x14ac:dyDescent="0.35">
      <c r="H834" s="334"/>
      <c r="I834" s="98"/>
      <c r="J834" s="98"/>
      <c r="K834" s="98"/>
      <c r="L834" s="98"/>
      <c r="M834" s="98"/>
      <c r="N834" s="98"/>
      <c r="O834" s="98"/>
      <c r="P834" s="98"/>
      <c r="Q834" s="98"/>
      <c r="R834" s="98"/>
    </row>
    <row r="835" spans="1:18" x14ac:dyDescent="0.35">
      <c r="H835" s="347"/>
      <c r="I835" s="125"/>
      <c r="J835" s="125"/>
      <c r="K835" s="125"/>
    </row>
    <row r="836" spans="1:18" x14ac:dyDescent="0.35">
      <c r="H836" s="348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</row>
    <row r="837" spans="1:18" x14ac:dyDescent="0.35">
      <c r="H837" s="332"/>
      <c r="I837" s="22"/>
      <c r="J837" s="22"/>
      <c r="K837" s="22"/>
      <c r="L837" s="19"/>
      <c r="M837" s="19"/>
      <c r="N837" s="19"/>
      <c r="O837" s="19"/>
      <c r="P837" s="19"/>
      <c r="Q837" s="19"/>
      <c r="R837" s="19"/>
    </row>
    <row r="838" spans="1:18" x14ac:dyDescent="0.35">
      <c r="A838" s="132"/>
      <c r="B838" s="132"/>
      <c r="C838" s="132"/>
      <c r="D838" s="132"/>
      <c r="E838" s="132"/>
      <c r="F838" s="132"/>
      <c r="G838" s="132"/>
      <c r="H838" s="349"/>
    </row>
    <row r="839" spans="1:18" x14ac:dyDescent="0.35">
      <c r="A839" s="132"/>
      <c r="B839" s="132"/>
      <c r="C839" s="132"/>
      <c r="D839" s="132"/>
      <c r="E839" s="132"/>
      <c r="F839" s="132"/>
      <c r="G839" s="132"/>
      <c r="H839" s="349"/>
    </row>
    <row r="840" spans="1:18" x14ac:dyDescent="0.35">
      <c r="A840" s="132"/>
      <c r="B840" s="132"/>
      <c r="C840" s="132"/>
      <c r="D840" s="132"/>
      <c r="E840" s="132"/>
      <c r="F840" s="132"/>
      <c r="G840" s="132"/>
      <c r="H840" s="349"/>
      <c r="I840" s="131"/>
      <c r="J840" s="131"/>
      <c r="K840" s="131"/>
      <c r="L840" s="131"/>
      <c r="M840" s="131"/>
      <c r="N840" s="131"/>
      <c r="O840" s="131"/>
      <c r="P840" s="131"/>
      <c r="Q840" s="131"/>
      <c r="R840" s="131"/>
    </row>
    <row r="841" spans="1:18" x14ac:dyDescent="0.35">
      <c r="A841" s="116"/>
      <c r="B841" s="116"/>
      <c r="C841" s="116"/>
      <c r="D841" s="116"/>
      <c r="E841" s="116"/>
      <c r="F841" s="116"/>
      <c r="G841" s="116"/>
      <c r="H841" s="349"/>
      <c r="I841" s="131"/>
      <c r="J841" s="131"/>
      <c r="K841" s="131"/>
      <c r="L841" s="131"/>
      <c r="M841" s="131"/>
      <c r="N841" s="131"/>
      <c r="O841" s="131"/>
      <c r="P841" s="131"/>
      <c r="Q841" s="131"/>
      <c r="R841" s="131"/>
    </row>
    <row r="842" spans="1:18" x14ac:dyDescent="0.35">
      <c r="A842" s="132"/>
      <c r="B842" s="132"/>
      <c r="C842" s="132"/>
      <c r="D842" s="132"/>
      <c r="E842" s="132"/>
      <c r="F842" s="132"/>
      <c r="G842" s="132"/>
      <c r="H842" s="349"/>
      <c r="I842" s="131"/>
      <c r="J842" s="131"/>
      <c r="K842" s="131"/>
      <c r="L842" s="131"/>
      <c r="M842" s="131"/>
      <c r="N842" s="131"/>
      <c r="O842" s="131"/>
      <c r="P842" s="131"/>
      <c r="Q842" s="131"/>
      <c r="R842" s="131"/>
    </row>
    <row r="843" spans="1:18" x14ac:dyDescent="0.35">
      <c r="A843" s="132"/>
      <c r="B843" s="132"/>
      <c r="C843" s="132"/>
      <c r="D843" s="132"/>
      <c r="E843" s="132"/>
      <c r="F843" s="132"/>
      <c r="G843" s="132"/>
      <c r="H843" s="349"/>
      <c r="I843" s="131"/>
      <c r="J843" s="131"/>
      <c r="K843" s="131"/>
      <c r="L843" s="131"/>
      <c r="M843" s="131"/>
      <c r="N843" s="131"/>
      <c r="O843" s="131"/>
      <c r="P843" s="131"/>
      <c r="Q843" s="131"/>
      <c r="R843" s="131"/>
    </row>
    <row r="844" spans="1:18" x14ac:dyDescent="0.35">
      <c r="A844" s="132"/>
      <c r="B844" s="132"/>
      <c r="C844" s="132"/>
      <c r="D844" s="132"/>
      <c r="E844" s="132"/>
      <c r="F844" s="132"/>
      <c r="G844" s="132"/>
      <c r="H844" s="349"/>
      <c r="I844" s="131"/>
      <c r="J844" s="131"/>
      <c r="K844" s="131"/>
      <c r="L844" s="131"/>
      <c r="M844" s="131"/>
      <c r="N844" s="131"/>
      <c r="O844" s="131"/>
      <c r="P844" s="131"/>
      <c r="Q844" s="131"/>
      <c r="R844" s="131"/>
    </row>
    <row r="845" spans="1:18" x14ac:dyDescent="0.35">
      <c r="A845" s="132"/>
      <c r="B845" s="132"/>
      <c r="C845" s="132"/>
      <c r="D845" s="132"/>
      <c r="E845" s="132"/>
      <c r="F845" s="132"/>
      <c r="G845" s="132"/>
    </row>
    <row r="846" spans="1:18" x14ac:dyDescent="0.35">
      <c r="A846" s="132"/>
      <c r="B846" s="132"/>
      <c r="C846" s="132"/>
      <c r="D846" s="132"/>
      <c r="E846" s="132"/>
      <c r="F846" s="132"/>
      <c r="G846" s="132"/>
    </row>
    <row r="847" spans="1:18" x14ac:dyDescent="0.35">
      <c r="A847" s="132"/>
      <c r="B847" s="132"/>
      <c r="C847" s="132"/>
      <c r="D847" s="132"/>
      <c r="E847" s="132"/>
      <c r="F847" s="132"/>
      <c r="G847" s="132"/>
    </row>
    <row r="848" spans="1:18" x14ac:dyDescent="0.35">
      <c r="A848" s="132"/>
      <c r="B848" s="132"/>
      <c r="C848" s="132"/>
      <c r="D848" s="132"/>
      <c r="E848" s="132"/>
      <c r="F848" s="132"/>
      <c r="G848" s="132"/>
    </row>
    <row r="850" spans="1:18" x14ac:dyDescent="0.35">
      <c r="H850" s="317"/>
      <c r="I850" s="3"/>
      <c r="J850" s="3"/>
    </row>
    <row r="851" spans="1:18" x14ac:dyDescent="0.35">
      <c r="H851" s="334"/>
      <c r="I851" s="98"/>
      <c r="J851" s="98"/>
      <c r="K851" s="98"/>
      <c r="L851" s="98"/>
      <c r="M851" s="98"/>
      <c r="N851" s="98"/>
      <c r="O851" s="98"/>
      <c r="P851" s="98"/>
      <c r="Q851" s="98"/>
      <c r="R851" s="98"/>
    </row>
    <row r="852" spans="1:18" x14ac:dyDescent="0.35">
      <c r="H852" s="347"/>
      <c r="I852" s="125"/>
      <c r="J852" s="125"/>
      <c r="K852" s="125"/>
    </row>
    <row r="853" spans="1:18" x14ac:dyDescent="0.35">
      <c r="H853" s="348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</row>
    <row r="854" spans="1:18" x14ac:dyDescent="0.35">
      <c r="H854" s="332"/>
      <c r="I854" s="22"/>
      <c r="J854" s="22"/>
      <c r="K854" s="22"/>
      <c r="L854" s="19"/>
      <c r="M854" s="19"/>
      <c r="N854" s="19"/>
      <c r="O854" s="19"/>
      <c r="P854" s="19"/>
      <c r="Q854" s="19"/>
      <c r="R854" s="19"/>
    </row>
    <row r="856" spans="1:18" x14ac:dyDescent="0.35">
      <c r="A856" s="128"/>
      <c r="B856" s="128"/>
      <c r="C856" s="128"/>
      <c r="D856" s="128"/>
      <c r="E856" s="128"/>
      <c r="F856" s="128"/>
      <c r="G856" s="128"/>
    </row>
    <row r="857" spans="1:18" x14ac:dyDescent="0.35">
      <c r="A857" s="116"/>
      <c r="B857" s="116"/>
      <c r="C857" s="116"/>
      <c r="D857" s="116"/>
      <c r="E857" s="116"/>
      <c r="F857" s="116"/>
      <c r="G857" s="116"/>
    </row>
    <row r="858" spans="1:18" x14ac:dyDescent="0.35">
      <c r="A858" s="116"/>
      <c r="B858" s="116"/>
      <c r="C858" s="116"/>
      <c r="D858" s="116"/>
      <c r="E858" s="116"/>
      <c r="F858" s="116"/>
      <c r="G858" s="116"/>
    </row>
    <row r="859" spans="1:18" x14ac:dyDescent="0.35">
      <c r="A859" s="116"/>
      <c r="B859" s="116"/>
      <c r="C859" s="116"/>
      <c r="D859" s="116"/>
      <c r="E859" s="116"/>
      <c r="F859" s="116"/>
      <c r="G859" s="116"/>
    </row>
    <row r="860" spans="1:18" x14ac:dyDescent="0.35">
      <c r="A860" s="116"/>
      <c r="B860" s="116"/>
      <c r="C860" s="116"/>
      <c r="D860" s="116"/>
      <c r="E860" s="116"/>
      <c r="F860" s="116"/>
      <c r="G860" s="116"/>
    </row>
    <row r="861" spans="1:18" x14ac:dyDescent="0.35">
      <c r="A861" s="116"/>
      <c r="B861" s="116"/>
      <c r="C861" s="116"/>
      <c r="D861" s="116"/>
      <c r="E861" s="116"/>
      <c r="F861" s="116"/>
      <c r="G861" s="116"/>
    </row>
    <row r="862" spans="1:18" x14ac:dyDescent="0.35">
      <c r="A862" s="116"/>
      <c r="B862" s="116"/>
      <c r="C862" s="116"/>
      <c r="D862" s="116"/>
      <c r="E862" s="116"/>
      <c r="F862" s="116"/>
      <c r="G862" s="116"/>
    </row>
    <row r="863" spans="1:18" x14ac:dyDescent="0.35">
      <c r="A863" s="116"/>
      <c r="B863" s="116"/>
      <c r="C863" s="116"/>
      <c r="D863" s="116"/>
      <c r="E863" s="116"/>
      <c r="F863" s="116"/>
      <c r="G863" s="116"/>
    </row>
    <row r="864" spans="1:18" x14ac:dyDescent="0.35">
      <c r="A864" s="116"/>
      <c r="B864" s="116"/>
      <c r="C864" s="116"/>
      <c r="D864" s="116"/>
      <c r="E864" s="116"/>
      <c r="F864" s="116"/>
      <c r="G864" s="116"/>
    </row>
    <row r="865" spans="1:18" x14ac:dyDescent="0.35">
      <c r="A865" s="116"/>
      <c r="B865" s="116"/>
      <c r="C865" s="116"/>
      <c r="D865" s="116"/>
      <c r="E865" s="116"/>
      <c r="F865" s="116"/>
      <c r="G865" s="116"/>
    </row>
    <row r="866" spans="1:18" x14ac:dyDescent="0.35">
      <c r="A866" s="116"/>
      <c r="B866" s="116"/>
      <c r="C866" s="116"/>
      <c r="D866" s="116"/>
      <c r="E866" s="116"/>
      <c r="F866" s="116"/>
      <c r="G866" s="116"/>
    </row>
    <row r="867" spans="1:18" x14ac:dyDescent="0.35">
      <c r="A867" s="116"/>
      <c r="B867" s="116"/>
      <c r="C867" s="116"/>
      <c r="D867" s="116"/>
      <c r="E867" s="116"/>
      <c r="F867" s="116"/>
      <c r="G867" s="116"/>
    </row>
    <row r="868" spans="1:18" x14ac:dyDescent="0.35">
      <c r="A868" s="116"/>
      <c r="B868" s="116"/>
      <c r="C868" s="116"/>
      <c r="D868" s="116"/>
      <c r="E868" s="116"/>
      <c r="F868" s="116"/>
      <c r="G868" s="116"/>
    </row>
    <row r="869" spans="1:18" x14ac:dyDescent="0.35">
      <c r="A869" s="116"/>
      <c r="B869" s="116"/>
      <c r="C869" s="116"/>
      <c r="D869" s="116"/>
      <c r="E869" s="116"/>
      <c r="F869" s="116"/>
      <c r="G869" s="116"/>
    </row>
    <row r="870" spans="1:18" x14ac:dyDescent="0.35">
      <c r="A870" s="116"/>
      <c r="B870" s="116"/>
      <c r="C870" s="116"/>
      <c r="D870" s="116"/>
      <c r="E870" s="116"/>
      <c r="F870" s="116"/>
      <c r="G870" s="116"/>
    </row>
    <row r="876" spans="1:18" x14ac:dyDescent="0.35">
      <c r="H876" s="317"/>
      <c r="I876" s="3"/>
      <c r="J876" s="3"/>
    </row>
    <row r="877" spans="1:18" x14ac:dyDescent="0.35">
      <c r="H877" s="334"/>
      <c r="I877" s="98"/>
      <c r="J877" s="98"/>
      <c r="K877" s="98"/>
      <c r="L877" s="98"/>
      <c r="M877" s="98"/>
      <c r="N877" s="98"/>
      <c r="O877" s="98"/>
      <c r="P877" s="98"/>
      <c r="Q877" s="98"/>
      <c r="R877" s="98"/>
    </row>
    <row r="878" spans="1:18" x14ac:dyDescent="0.35">
      <c r="H878" s="347"/>
      <c r="I878" s="125"/>
      <c r="J878" s="125"/>
      <c r="K878" s="125"/>
    </row>
    <row r="879" spans="1:18" x14ac:dyDescent="0.35">
      <c r="H879" s="348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</row>
    <row r="880" spans="1:18" x14ac:dyDescent="0.35">
      <c r="H880" s="332"/>
      <c r="I880" s="22"/>
      <c r="J880" s="22"/>
      <c r="K880" s="22"/>
      <c r="L880" s="19"/>
      <c r="M880" s="19"/>
      <c r="N880" s="19"/>
      <c r="O880" s="19"/>
      <c r="P880" s="19"/>
      <c r="Q880" s="19"/>
      <c r="R880" s="19"/>
    </row>
    <row r="881" spans="1:18" x14ac:dyDescent="0.35">
      <c r="A881" s="116"/>
      <c r="B881" s="116"/>
      <c r="C881" s="116"/>
      <c r="D881" s="116"/>
      <c r="E881" s="116"/>
      <c r="F881" s="116"/>
      <c r="G881" s="116"/>
    </row>
    <row r="882" spans="1:18" x14ac:dyDescent="0.35">
      <c r="A882" s="116"/>
      <c r="B882" s="116"/>
      <c r="C882" s="116"/>
      <c r="D882" s="116"/>
      <c r="E882" s="116"/>
      <c r="F882" s="116"/>
      <c r="G882" s="116"/>
    </row>
    <row r="883" spans="1:18" x14ac:dyDescent="0.35">
      <c r="A883" s="116"/>
      <c r="B883" s="116"/>
      <c r="C883" s="116"/>
      <c r="D883" s="116"/>
      <c r="E883" s="116"/>
      <c r="F883" s="116"/>
      <c r="G883" s="116"/>
    </row>
    <row r="884" spans="1:18" x14ac:dyDescent="0.35">
      <c r="A884" s="116"/>
      <c r="B884" s="116"/>
      <c r="C884" s="116"/>
      <c r="D884" s="116"/>
      <c r="E884" s="116"/>
      <c r="F884" s="116"/>
      <c r="G884" s="116"/>
    </row>
    <row r="885" spans="1:18" x14ac:dyDescent="0.35">
      <c r="A885" s="116"/>
      <c r="B885" s="116"/>
      <c r="C885" s="116"/>
      <c r="D885" s="116"/>
      <c r="E885" s="116"/>
      <c r="F885" s="116"/>
      <c r="G885" s="116"/>
    </row>
    <row r="886" spans="1:18" x14ac:dyDescent="0.35">
      <c r="A886" s="116"/>
      <c r="B886" s="116"/>
      <c r="C886" s="116"/>
      <c r="D886" s="116"/>
      <c r="E886" s="116"/>
      <c r="F886" s="116"/>
      <c r="G886" s="116"/>
    </row>
    <row r="887" spans="1:18" x14ac:dyDescent="0.35">
      <c r="A887" s="116"/>
      <c r="B887" s="116"/>
      <c r="C887" s="116"/>
      <c r="D887" s="116"/>
      <c r="E887" s="116"/>
      <c r="F887" s="116"/>
      <c r="G887" s="116"/>
    </row>
    <row r="888" spans="1:18" x14ac:dyDescent="0.35">
      <c r="A888" s="116"/>
      <c r="B888" s="116"/>
      <c r="C888" s="116"/>
      <c r="D888" s="116"/>
      <c r="E888" s="116"/>
      <c r="F888" s="116"/>
      <c r="G888" s="116"/>
    </row>
    <row r="889" spans="1:18" x14ac:dyDescent="0.35">
      <c r="A889" s="116"/>
      <c r="B889" s="116"/>
      <c r="C889" s="116"/>
      <c r="D889" s="116"/>
      <c r="E889" s="116"/>
      <c r="F889" s="116"/>
      <c r="G889" s="116"/>
    </row>
    <row r="895" spans="1:18" ht="16" x14ac:dyDescent="0.4">
      <c r="A895" s="133"/>
      <c r="B895" s="133"/>
      <c r="C895" s="133"/>
      <c r="D895" s="133"/>
      <c r="E895" s="133"/>
      <c r="F895" s="133"/>
      <c r="G895" s="133"/>
      <c r="H895" s="350"/>
      <c r="I895" s="133"/>
      <c r="J895" s="133"/>
      <c r="K895" s="133"/>
      <c r="L895" s="23"/>
      <c r="M895" s="23"/>
      <c r="N895" s="23"/>
      <c r="O895" s="23"/>
      <c r="P895" s="23"/>
      <c r="Q895" s="23"/>
      <c r="R895" s="23"/>
    </row>
    <row r="896" spans="1:18" ht="16" x14ac:dyDescent="0.4">
      <c r="A896" s="133"/>
      <c r="B896" s="133"/>
      <c r="C896" s="133"/>
      <c r="D896" s="133"/>
      <c r="E896" s="133"/>
      <c r="F896" s="133"/>
      <c r="G896" s="133"/>
      <c r="H896" s="350"/>
      <c r="I896" s="133"/>
      <c r="J896" s="133"/>
      <c r="K896" s="133"/>
      <c r="L896" s="23"/>
      <c r="M896" s="23"/>
      <c r="N896" s="23"/>
      <c r="O896" s="23"/>
      <c r="P896" s="23"/>
      <c r="Q896" s="23"/>
      <c r="R896" s="23"/>
    </row>
    <row r="897" spans="1:18" ht="16" x14ac:dyDescent="0.4">
      <c r="A897" s="133"/>
      <c r="B897" s="133"/>
      <c r="C897" s="133"/>
      <c r="D897" s="133"/>
      <c r="E897" s="133"/>
      <c r="F897" s="133"/>
      <c r="G897" s="133"/>
      <c r="H897" s="349"/>
      <c r="I897" s="133"/>
      <c r="J897" s="133"/>
      <c r="K897" s="134"/>
      <c r="L897" s="23"/>
      <c r="M897" s="23"/>
      <c r="N897" s="23"/>
      <c r="O897" s="23"/>
      <c r="P897" s="23"/>
      <c r="Q897" s="23"/>
      <c r="R897" s="23"/>
    </row>
    <row r="898" spans="1:18" ht="16" x14ac:dyDescent="0.4">
      <c r="A898" s="133"/>
      <c r="B898" s="133"/>
      <c r="C898" s="133"/>
      <c r="D898" s="133"/>
      <c r="E898" s="133"/>
      <c r="F898" s="133"/>
      <c r="G898" s="133"/>
      <c r="H898" s="349"/>
      <c r="I898" s="133"/>
      <c r="J898" s="133"/>
      <c r="K898" s="131"/>
      <c r="L898" s="23"/>
      <c r="M898" s="23"/>
      <c r="N898" s="23"/>
      <c r="O898" s="23"/>
      <c r="P898" s="23"/>
      <c r="Q898" s="23"/>
      <c r="R898" s="23"/>
    </row>
    <row r="899" spans="1:18" ht="16" x14ac:dyDescent="0.4">
      <c r="A899" s="133"/>
      <c r="B899" s="133"/>
      <c r="C899" s="133"/>
      <c r="D899" s="133"/>
      <c r="E899" s="133"/>
      <c r="F899" s="133"/>
      <c r="G899" s="133"/>
      <c r="H899" s="349"/>
      <c r="I899" s="133"/>
      <c r="J899" s="133"/>
      <c r="K899" s="131"/>
      <c r="L899" s="23"/>
      <c r="M899" s="23"/>
      <c r="N899" s="23"/>
      <c r="O899" s="23"/>
      <c r="P899" s="23"/>
      <c r="Q899" s="23"/>
      <c r="R899" s="23"/>
    </row>
    <row r="900" spans="1:18" ht="16" x14ac:dyDescent="0.4">
      <c r="A900" s="133"/>
      <c r="B900" s="133"/>
      <c r="C900" s="133"/>
      <c r="D900" s="133"/>
      <c r="E900" s="133"/>
      <c r="F900" s="133"/>
      <c r="G900" s="133"/>
      <c r="H900" s="349"/>
      <c r="I900" s="134"/>
      <c r="J900" s="134"/>
      <c r="K900" s="131"/>
      <c r="L900" s="23"/>
      <c r="M900" s="23"/>
      <c r="N900" s="23"/>
      <c r="O900" s="23"/>
      <c r="P900" s="23"/>
      <c r="Q900" s="23"/>
      <c r="R900" s="23"/>
    </row>
    <row r="901" spans="1:18" ht="16" x14ac:dyDescent="0.35">
      <c r="A901" s="135"/>
      <c r="B901" s="135"/>
      <c r="C901" s="135"/>
      <c r="D901" s="135"/>
      <c r="E901" s="135"/>
      <c r="F901" s="135"/>
      <c r="G901" s="135"/>
      <c r="H901" s="351"/>
      <c r="I901" s="136"/>
      <c r="J901" s="136"/>
      <c r="K901" s="136"/>
      <c r="L901" s="23"/>
      <c r="M901" s="23"/>
      <c r="N901" s="23"/>
      <c r="O901" s="23"/>
      <c r="P901" s="23"/>
      <c r="Q901" s="23"/>
      <c r="R901" s="23"/>
    </row>
    <row r="902" spans="1:18" ht="16" x14ac:dyDescent="0.35">
      <c r="A902" s="135"/>
      <c r="B902" s="135"/>
      <c r="C902" s="135"/>
      <c r="D902" s="135"/>
      <c r="E902" s="135"/>
      <c r="F902" s="135"/>
      <c r="G902" s="135"/>
      <c r="H902" s="351"/>
      <c r="I902" s="136"/>
      <c r="J902" s="136"/>
      <c r="K902" s="136"/>
      <c r="L902" s="23"/>
      <c r="M902" s="23"/>
      <c r="N902" s="23"/>
      <c r="O902" s="23"/>
      <c r="P902" s="23"/>
      <c r="Q902" s="23"/>
      <c r="R902" s="23"/>
    </row>
    <row r="903" spans="1:18" ht="16" x14ac:dyDescent="0.35">
      <c r="A903" s="135"/>
      <c r="B903" s="135"/>
      <c r="C903" s="135"/>
      <c r="D903" s="135"/>
      <c r="E903" s="135"/>
      <c r="F903" s="135"/>
      <c r="G903" s="135"/>
      <c r="H903" s="351"/>
      <c r="I903" s="136"/>
      <c r="J903" s="136"/>
      <c r="K903" s="136"/>
      <c r="L903" s="23"/>
      <c r="M903" s="23"/>
      <c r="N903" s="23"/>
      <c r="O903" s="23"/>
      <c r="P903" s="23"/>
      <c r="Q903" s="23"/>
      <c r="R903" s="23"/>
    </row>
    <row r="904" spans="1:18" ht="16" x14ac:dyDescent="0.35">
      <c r="A904" s="135"/>
      <c r="B904" s="135"/>
      <c r="C904" s="135"/>
      <c r="D904" s="135"/>
      <c r="E904" s="135"/>
      <c r="F904" s="135"/>
      <c r="G904" s="135"/>
      <c r="H904" s="351"/>
      <c r="I904" s="136"/>
      <c r="J904" s="136"/>
      <c r="K904" s="136"/>
      <c r="L904" s="23"/>
      <c r="M904" s="23"/>
      <c r="N904" s="23"/>
      <c r="O904" s="23"/>
      <c r="P904" s="23"/>
      <c r="Q904" s="23"/>
      <c r="R904" s="23"/>
    </row>
    <row r="905" spans="1:18" ht="16" x14ac:dyDescent="0.35">
      <c r="A905" s="135"/>
      <c r="B905" s="135"/>
      <c r="C905" s="135"/>
      <c r="D905" s="135"/>
      <c r="E905" s="135"/>
      <c r="F905" s="135"/>
      <c r="G905" s="135"/>
      <c r="H905" s="351"/>
      <c r="I905" s="136"/>
      <c r="J905" s="136"/>
      <c r="K905" s="136"/>
      <c r="L905" s="23"/>
      <c r="M905" s="23"/>
      <c r="N905" s="23"/>
      <c r="O905" s="23"/>
      <c r="P905" s="23"/>
      <c r="Q905" s="23"/>
      <c r="R905" s="23"/>
    </row>
    <row r="906" spans="1:18" ht="16" x14ac:dyDescent="0.35">
      <c r="A906" s="135"/>
      <c r="B906" s="135"/>
      <c r="C906" s="135"/>
      <c r="D906" s="135"/>
      <c r="E906" s="135"/>
      <c r="F906" s="135"/>
      <c r="G906" s="135"/>
      <c r="H906" s="351"/>
      <c r="I906" s="136"/>
      <c r="J906" s="136"/>
      <c r="K906" s="136"/>
      <c r="L906" s="23"/>
      <c r="M906" s="23"/>
      <c r="N906" s="23"/>
      <c r="O906" s="23"/>
      <c r="P906" s="23"/>
      <c r="Q906" s="23"/>
      <c r="R906" s="23"/>
    </row>
    <row r="907" spans="1:18" ht="16" x14ac:dyDescent="0.35">
      <c r="A907" s="135"/>
      <c r="B907" s="135"/>
      <c r="C907" s="135"/>
      <c r="D907" s="135"/>
      <c r="E907" s="135"/>
      <c r="F907" s="135"/>
      <c r="G907" s="135"/>
      <c r="H907" s="351"/>
      <c r="I907" s="136"/>
      <c r="J907" s="136"/>
      <c r="K907" s="136"/>
      <c r="L907" s="23"/>
      <c r="M907" s="23"/>
      <c r="N907" s="23"/>
      <c r="O907" s="23"/>
      <c r="P907" s="23"/>
      <c r="Q907" s="23"/>
      <c r="R907" s="23"/>
    </row>
    <row r="908" spans="1:18" ht="16" x14ac:dyDescent="0.35">
      <c r="A908" s="135"/>
      <c r="B908" s="135"/>
      <c r="C908" s="135"/>
      <c r="D908" s="135"/>
      <c r="E908" s="135"/>
      <c r="F908" s="135"/>
      <c r="G908" s="135"/>
      <c r="H908" s="351"/>
      <c r="I908" s="136"/>
      <c r="J908" s="136"/>
      <c r="K908" s="136"/>
      <c r="L908" s="23"/>
      <c r="M908" s="23"/>
      <c r="N908" s="23"/>
      <c r="O908" s="23"/>
      <c r="P908" s="23"/>
      <c r="Q908" s="23"/>
      <c r="R908" s="23"/>
    </row>
    <row r="909" spans="1:18" ht="16" x14ac:dyDescent="0.35">
      <c r="A909" s="135"/>
      <c r="B909" s="135"/>
      <c r="C909" s="135"/>
      <c r="D909" s="135"/>
      <c r="E909" s="135"/>
      <c r="F909" s="135"/>
      <c r="G909" s="135"/>
      <c r="H909" s="351"/>
      <c r="I909" s="136"/>
      <c r="J909" s="136"/>
      <c r="K909" s="136"/>
      <c r="L909" s="23"/>
      <c r="M909" s="23"/>
      <c r="N909" s="23"/>
      <c r="O909" s="23"/>
      <c r="P909" s="23"/>
      <c r="Q909" s="23"/>
      <c r="R909" s="23"/>
    </row>
    <row r="910" spans="1:18" ht="16" x14ac:dyDescent="0.35">
      <c r="A910" s="135"/>
      <c r="B910" s="135"/>
      <c r="C910" s="135"/>
      <c r="D910" s="135"/>
      <c r="E910" s="135"/>
      <c r="F910" s="135"/>
      <c r="G910" s="135"/>
      <c r="H910" s="351"/>
      <c r="I910" s="136"/>
      <c r="J910" s="136"/>
      <c r="K910" s="136"/>
    </row>
    <row r="911" spans="1:18" ht="16" x14ac:dyDescent="0.35">
      <c r="A911" s="135"/>
      <c r="B911" s="135"/>
      <c r="C911" s="135"/>
      <c r="D911" s="135"/>
      <c r="E911" s="135"/>
      <c r="F911" s="135"/>
      <c r="G911" s="135"/>
      <c r="H911" s="351"/>
      <c r="I911" s="136"/>
      <c r="J911" s="136"/>
      <c r="K911" s="136"/>
    </row>
    <row r="912" spans="1:18" ht="16" x14ac:dyDescent="0.35">
      <c r="A912" s="135"/>
      <c r="B912" s="135"/>
      <c r="C912" s="135"/>
      <c r="D912" s="135"/>
      <c r="E912" s="135"/>
      <c r="F912" s="135"/>
      <c r="G912" s="135"/>
      <c r="H912" s="351"/>
      <c r="I912" s="136"/>
      <c r="J912" s="136"/>
      <c r="K912" s="136"/>
    </row>
    <row r="913" spans="1:18" ht="16" x14ac:dyDescent="0.35">
      <c r="A913" s="135"/>
      <c r="B913" s="135"/>
      <c r="C913" s="135"/>
      <c r="D913" s="135"/>
      <c r="E913" s="135"/>
      <c r="F913" s="135"/>
      <c r="G913" s="135"/>
      <c r="H913" s="351"/>
      <c r="I913" s="136"/>
      <c r="J913" s="136"/>
      <c r="K913" s="136"/>
    </row>
    <row r="914" spans="1:18" ht="16" x14ac:dyDescent="0.35">
      <c r="A914" s="135"/>
      <c r="B914" s="135"/>
      <c r="C914" s="135"/>
      <c r="D914" s="135"/>
      <c r="E914" s="135"/>
      <c r="F914" s="135"/>
      <c r="G914" s="135"/>
      <c r="H914" s="351"/>
      <c r="I914" s="136"/>
      <c r="J914" s="136"/>
      <c r="K914" s="136"/>
    </row>
    <row r="915" spans="1:18" ht="16" x14ac:dyDescent="0.35">
      <c r="A915" s="135"/>
      <c r="B915" s="135"/>
      <c r="C915" s="135"/>
      <c r="D915" s="135"/>
      <c r="E915" s="135"/>
      <c r="F915" s="135"/>
      <c r="G915" s="135"/>
      <c r="H915" s="351"/>
      <c r="I915" s="136"/>
      <c r="J915" s="136"/>
      <c r="K915" s="136"/>
    </row>
    <row r="917" spans="1:18" x14ac:dyDescent="0.35">
      <c r="H917" s="317"/>
      <c r="I917" s="3"/>
      <c r="J917" s="3"/>
    </row>
    <row r="918" spans="1:18" x14ac:dyDescent="0.35">
      <c r="H918" s="334"/>
      <c r="I918" s="98"/>
      <c r="J918" s="98"/>
      <c r="K918" s="98"/>
      <c r="L918" s="98"/>
      <c r="M918" s="98"/>
      <c r="N918" s="98"/>
      <c r="O918" s="98"/>
      <c r="P918" s="98"/>
      <c r="Q918" s="98"/>
      <c r="R918" s="98"/>
    </row>
    <row r="919" spans="1:18" x14ac:dyDescent="0.35">
      <c r="H919" s="347"/>
      <c r="I919" s="125"/>
      <c r="J919" s="125"/>
      <c r="K919" s="125"/>
    </row>
    <row r="920" spans="1:18" x14ac:dyDescent="0.35">
      <c r="H920" s="348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</row>
    <row r="921" spans="1:18" x14ac:dyDescent="0.35">
      <c r="H921" s="332"/>
      <c r="I921" s="22"/>
      <c r="J921" s="22"/>
      <c r="K921" s="22"/>
      <c r="L921" s="19"/>
      <c r="M921" s="19"/>
      <c r="N921" s="19"/>
      <c r="O921" s="19"/>
      <c r="P921" s="19"/>
      <c r="Q921" s="19"/>
      <c r="R921" s="19"/>
    </row>
    <row r="923" spans="1:18" x14ac:dyDescent="0.35">
      <c r="A923" s="21"/>
      <c r="B923" s="21"/>
      <c r="C923" s="21"/>
      <c r="D923" s="21"/>
      <c r="E923" s="21"/>
      <c r="F923" s="21"/>
      <c r="G923" s="21"/>
    </row>
    <row r="931" spans="1:18" x14ac:dyDescent="0.35">
      <c r="H931" s="334"/>
      <c r="I931" s="98"/>
      <c r="J931" s="98"/>
      <c r="K931" s="98"/>
      <c r="L931" s="23"/>
      <c r="M931" s="23"/>
      <c r="N931" s="23"/>
      <c r="O931" s="23"/>
      <c r="P931" s="23"/>
      <c r="Q931" s="23"/>
      <c r="R931" s="23"/>
    </row>
    <row r="932" spans="1:18" x14ac:dyDescent="0.35">
      <c r="H932" s="347"/>
      <c r="I932" s="125"/>
      <c r="J932" s="125"/>
      <c r="K932" s="125"/>
      <c r="L932" s="23"/>
      <c r="M932" s="23"/>
      <c r="N932" s="23"/>
      <c r="O932" s="23"/>
      <c r="P932" s="23"/>
      <c r="Q932" s="23"/>
      <c r="R932" s="23"/>
    </row>
    <row r="933" spans="1:18" x14ac:dyDescent="0.35">
      <c r="H933" s="348"/>
      <c r="I933" s="126"/>
      <c r="J933" s="126"/>
      <c r="K933" s="126"/>
      <c r="L933" s="23"/>
      <c r="M933" s="23"/>
      <c r="N933" s="23"/>
      <c r="O933" s="23"/>
      <c r="P933" s="23"/>
      <c r="Q933" s="23"/>
      <c r="R933" s="23"/>
    </row>
    <row r="934" spans="1:18" x14ac:dyDescent="0.35">
      <c r="H934" s="332"/>
      <c r="I934" s="22"/>
      <c r="J934" s="22"/>
      <c r="K934" s="22"/>
      <c r="L934" s="23"/>
      <c r="M934" s="23"/>
      <c r="N934" s="23"/>
      <c r="O934" s="23"/>
      <c r="P934" s="23"/>
      <c r="Q934" s="23"/>
      <c r="R934" s="23"/>
    </row>
    <row r="935" spans="1:18" x14ac:dyDescent="0.35">
      <c r="A935" s="137"/>
      <c r="B935" s="137"/>
      <c r="C935" s="137"/>
      <c r="D935" s="137"/>
      <c r="E935" s="137"/>
      <c r="F935" s="137"/>
      <c r="G935" s="137"/>
      <c r="L935" s="23"/>
      <c r="M935" s="23"/>
      <c r="N935" s="23"/>
      <c r="O935" s="23"/>
      <c r="P935" s="23"/>
      <c r="Q935" s="23"/>
      <c r="R935" s="23"/>
    </row>
    <row r="936" spans="1:18" x14ac:dyDescent="0.35">
      <c r="A936" s="137"/>
      <c r="B936" s="137"/>
      <c r="C936" s="137"/>
      <c r="D936" s="137"/>
      <c r="E936" s="137"/>
      <c r="F936" s="137"/>
      <c r="G936" s="137"/>
      <c r="L936" s="23"/>
      <c r="M936" s="23"/>
      <c r="N936" s="23"/>
      <c r="O936" s="23"/>
      <c r="P936" s="23"/>
      <c r="Q936" s="23"/>
      <c r="R936" s="23"/>
    </row>
    <row r="937" spans="1:18" x14ac:dyDescent="0.35">
      <c r="A937" s="137"/>
      <c r="B937" s="137"/>
      <c r="C937" s="137"/>
      <c r="D937" s="137"/>
      <c r="E937" s="137"/>
      <c r="F937" s="137"/>
      <c r="G937" s="137"/>
      <c r="L937" s="23"/>
      <c r="M937" s="23"/>
      <c r="N937" s="23"/>
      <c r="O937" s="23"/>
      <c r="P937" s="23"/>
      <c r="Q937" s="23"/>
      <c r="R937" s="23"/>
    </row>
    <row r="938" spans="1:18" x14ac:dyDescent="0.35">
      <c r="A938" s="137"/>
      <c r="B938" s="137"/>
      <c r="C938" s="137"/>
      <c r="D938" s="137"/>
      <c r="E938" s="137"/>
      <c r="F938" s="137"/>
      <c r="G938" s="137"/>
      <c r="L938" s="23"/>
      <c r="M938" s="23"/>
      <c r="N938" s="23"/>
      <c r="O938" s="23"/>
      <c r="P938" s="23"/>
      <c r="Q938" s="23"/>
      <c r="R938" s="23"/>
    </row>
    <row r="939" spans="1:18" x14ac:dyDescent="0.35">
      <c r="A939" s="137"/>
      <c r="B939" s="137"/>
      <c r="C939" s="137"/>
      <c r="D939" s="137"/>
      <c r="E939" s="137"/>
      <c r="F939" s="137"/>
      <c r="G939" s="137"/>
      <c r="L939" s="23"/>
      <c r="M939" s="23"/>
      <c r="N939" s="23"/>
      <c r="O939" s="23"/>
      <c r="P939" s="23"/>
      <c r="Q939" s="23"/>
      <c r="R939" s="23"/>
    </row>
    <row r="940" spans="1:18" x14ac:dyDescent="0.35">
      <c r="A940" s="137"/>
      <c r="B940" s="137"/>
      <c r="C940" s="137"/>
      <c r="D940" s="137"/>
      <c r="E940" s="137"/>
      <c r="F940" s="137"/>
      <c r="G940" s="137"/>
      <c r="L940" s="23"/>
      <c r="M940" s="23"/>
      <c r="N940" s="23"/>
      <c r="O940" s="23"/>
      <c r="P940" s="23"/>
      <c r="Q940" s="23"/>
      <c r="R940" s="23"/>
    </row>
    <row r="941" spans="1:18" x14ac:dyDescent="0.35">
      <c r="A941" s="137"/>
      <c r="B941" s="137"/>
      <c r="C941" s="137"/>
      <c r="D941" s="137"/>
      <c r="E941" s="137"/>
      <c r="F941" s="137"/>
      <c r="G941" s="137"/>
      <c r="L941" s="23"/>
      <c r="M941" s="23"/>
      <c r="N941" s="23"/>
      <c r="O941" s="23"/>
      <c r="P941" s="23"/>
      <c r="Q941" s="23"/>
      <c r="R941" s="23"/>
    </row>
    <row r="942" spans="1:18" x14ac:dyDescent="0.35">
      <c r="L942" s="23"/>
      <c r="M942" s="23"/>
      <c r="N942" s="23"/>
      <c r="O942" s="23"/>
      <c r="P942" s="23"/>
      <c r="Q942" s="23"/>
      <c r="R942" s="23"/>
    </row>
  </sheetData>
  <pageMargins left="0.70866141732283472" right="0.70866141732283472" top="0.74803149606299213" bottom="0.74803149606299213" header="0.31496062992125984" footer="0.31496062992125984"/>
  <pageSetup scale="32" fitToHeight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45"/>
  <sheetViews>
    <sheetView topLeftCell="K1" zoomScale="106" zoomScaleNormal="106" workbookViewId="0">
      <selection activeCell="Z5" sqref="Z5"/>
    </sheetView>
  </sheetViews>
  <sheetFormatPr defaultColWidth="9.1796875" defaultRowHeight="14.5" x14ac:dyDescent="0.35"/>
  <cols>
    <col min="1" max="1" width="8.453125" style="142" customWidth="1"/>
    <col min="2" max="2" width="33" style="142" bestFit="1" customWidth="1"/>
    <col min="3" max="3" width="9.1796875" style="142"/>
    <col min="4" max="13" width="10" style="142" customWidth="1"/>
    <col min="14" max="14" width="10.1796875" style="142" customWidth="1"/>
    <col min="15" max="16" width="9.1796875" style="142"/>
    <col min="17" max="17" width="10" style="142" bestFit="1" customWidth="1"/>
    <col min="18" max="18" width="11.81640625" style="142" bestFit="1" customWidth="1"/>
    <col min="19" max="16384" width="9.1796875" style="142"/>
  </cols>
  <sheetData>
    <row r="1" spans="1:18" ht="18.75" x14ac:dyDescent="0.3">
      <c r="A1" s="640" t="s">
        <v>441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177"/>
    </row>
    <row r="3" spans="1:18" ht="15" x14ac:dyDescent="0.25">
      <c r="B3" s="143" t="s">
        <v>442</v>
      </c>
      <c r="G3" s="142" t="s">
        <v>653</v>
      </c>
      <c r="H3" s="142" t="s">
        <v>654</v>
      </c>
      <c r="I3" s="142" t="s">
        <v>383</v>
      </c>
      <c r="J3" s="142" t="s">
        <v>384</v>
      </c>
      <c r="K3" s="142" t="s">
        <v>385</v>
      </c>
      <c r="L3" s="142" t="s">
        <v>386</v>
      </c>
      <c r="M3" s="142" t="s">
        <v>387</v>
      </c>
      <c r="N3" s="142" t="s">
        <v>388</v>
      </c>
    </row>
    <row r="4" spans="1:18" ht="15.75" x14ac:dyDescent="0.25">
      <c r="B4" s="151" t="s">
        <v>415</v>
      </c>
      <c r="C4" s="178" t="s">
        <v>443</v>
      </c>
      <c r="D4" s="178" t="s">
        <v>416</v>
      </c>
      <c r="E4" s="178" t="s">
        <v>417</v>
      </c>
      <c r="F4" s="178" t="s">
        <v>418</v>
      </c>
      <c r="G4" s="178" t="s">
        <v>419</v>
      </c>
      <c r="H4" s="178" t="s">
        <v>420</v>
      </c>
      <c r="I4" s="178" t="s">
        <v>421</v>
      </c>
      <c r="J4" s="178" t="s">
        <v>422</v>
      </c>
      <c r="K4" s="178" t="s">
        <v>423</v>
      </c>
      <c r="L4" s="178" t="s">
        <v>424</v>
      </c>
      <c r="M4" s="178" t="s">
        <v>425</v>
      </c>
      <c r="N4" s="178" t="s">
        <v>426</v>
      </c>
      <c r="O4" s="178" t="s">
        <v>427</v>
      </c>
      <c r="P4" s="178" t="s">
        <v>427</v>
      </c>
    </row>
    <row r="5" spans="1:18" ht="15" x14ac:dyDescent="0.25">
      <c r="B5" s="310" t="s">
        <v>444</v>
      </c>
      <c r="C5" s="310"/>
      <c r="D5" s="311">
        <v>0</v>
      </c>
      <c r="E5" s="311">
        <v>0</v>
      </c>
      <c r="F5" s="311">
        <v>0</v>
      </c>
      <c r="G5" s="311">
        <f>'Financial Statements'!G133</f>
        <v>153.5</v>
      </c>
      <c r="H5" s="311">
        <f>'Financial Statements'!H133</f>
        <v>254.19375189999991</v>
      </c>
      <c r="I5" s="311">
        <f>'Financial Statements'!I133</f>
        <v>242.70539620000011</v>
      </c>
      <c r="J5" s="311">
        <f>'Financial Statements'!J133</f>
        <v>456.84200246599971</v>
      </c>
      <c r="K5" s="311">
        <f>'Financial Statements'!K133</f>
        <v>668.85606785201526</v>
      </c>
      <c r="L5" s="311">
        <f>'Financial Statements'!L133</f>
        <v>886.52193586635917</v>
      </c>
      <c r="M5" s="311">
        <f>'Financial Statements'!M133</f>
        <v>1118.4184688854191</v>
      </c>
      <c r="N5" s="311">
        <f>'Financial Statements'!N133</f>
        <v>1442.835279020946</v>
      </c>
      <c r="O5" s="311">
        <f>'Financial Statements'!O133</f>
        <v>1668.1092595642031</v>
      </c>
      <c r="P5" s="311"/>
      <c r="Q5" s="142" t="s">
        <v>555</v>
      </c>
    </row>
    <row r="6" spans="1:18" ht="15" x14ac:dyDescent="0.25">
      <c r="B6" s="152" t="s">
        <v>445</v>
      </c>
      <c r="C6" s="152"/>
      <c r="D6" s="170">
        <v>0</v>
      </c>
      <c r="E6" s="170">
        <v>0</v>
      </c>
      <c r="F6" s="170">
        <v>0</v>
      </c>
      <c r="G6" s="170">
        <f>'Financial Statements'!G53</f>
        <v>644.71</v>
      </c>
      <c r="H6" s="170">
        <f>'Financial Statements'!H53</f>
        <v>1163.21</v>
      </c>
      <c r="I6" s="170">
        <f>'Financial Statements'!I53</f>
        <v>969.66</v>
      </c>
      <c r="J6" s="170">
        <f>'Financial Statements'!J53</f>
        <v>741.27418599999999</v>
      </c>
      <c r="K6" s="170">
        <f>'Financial Statements'!K53</f>
        <v>1364.8717971967999</v>
      </c>
      <c r="L6" s="170">
        <f>'Financial Statements'!L53</f>
        <v>1248.7253340913628</v>
      </c>
      <c r="M6" s="170">
        <f>'Financial Statements'!M53</f>
        <v>1043.1127846433142</v>
      </c>
      <c r="N6" s="170">
        <f>'Financial Statements'!N53</f>
        <v>873.31854804358272</v>
      </c>
      <c r="O6" s="170">
        <f>'Financial Statements'!O53</f>
        <v>732.76239069000871</v>
      </c>
      <c r="P6" s="170"/>
    </row>
    <row r="7" spans="1:18" ht="15" x14ac:dyDescent="0.25">
      <c r="B7" s="152" t="s">
        <v>446</v>
      </c>
      <c r="C7" s="152"/>
      <c r="D7" s="170">
        <v>0</v>
      </c>
      <c r="E7" s="170">
        <v>0</v>
      </c>
      <c r="F7" s="170">
        <v>0</v>
      </c>
      <c r="G7" s="170">
        <f>'Financial Statements'!G90</f>
        <v>184.17000000000002</v>
      </c>
      <c r="H7" s="170">
        <f>'Financial Statements'!H90</f>
        <v>315.84624809999997</v>
      </c>
      <c r="I7" s="170">
        <f>'Financial Statements'!I90</f>
        <v>326.53710999999998</v>
      </c>
      <c r="J7" s="170">
        <f>'Financial Statements'!J90</f>
        <v>402.63982249999998</v>
      </c>
      <c r="K7" s="170">
        <f>'Financial Statements'!K90</f>
        <v>737.08816999999999</v>
      </c>
      <c r="L7" s="170">
        <f>'Financial Statements'!L90</f>
        <v>615.01808000000005</v>
      </c>
      <c r="M7" s="170">
        <f>'Financial Statements'!M90</f>
        <v>479.7321925</v>
      </c>
      <c r="N7" s="170">
        <f>'Financial Statements'!N90</f>
        <v>354.07685500000002</v>
      </c>
      <c r="O7" s="170">
        <f>'Financial Statements'!O90</f>
        <v>237.46495500000003</v>
      </c>
      <c r="P7" s="170"/>
      <c r="Q7" s="142" t="s">
        <v>557</v>
      </c>
    </row>
    <row r="8" spans="1:18" ht="15" x14ac:dyDescent="0.25">
      <c r="B8" s="151" t="s">
        <v>447</v>
      </c>
      <c r="C8" s="151"/>
      <c r="D8" s="179">
        <f t="shared" ref="D8:O8" si="0">SUM(D5:D7)</f>
        <v>0</v>
      </c>
      <c r="E8" s="179">
        <f t="shared" si="0"/>
        <v>0</v>
      </c>
      <c r="F8" s="179">
        <f t="shared" si="0"/>
        <v>0</v>
      </c>
      <c r="G8" s="179">
        <f t="shared" si="0"/>
        <v>982.38000000000011</v>
      </c>
      <c r="H8" s="179">
        <f t="shared" si="0"/>
        <v>1733.2499999999998</v>
      </c>
      <c r="I8" s="179">
        <f t="shared" si="0"/>
        <v>1538.9025062000001</v>
      </c>
      <c r="J8" s="179">
        <f t="shared" si="0"/>
        <v>1600.7560109659996</v>
      </c>
      <c r="K8" s="179">
        <f t="shared" si="0"/>
        <v>2770.8160350488151</v>
      </c>
      <c r="L8" s="179">
        <f t="shared" si="0"/>
        <v>2750.2653499577218</v>
      </c>
      <c r="M8" s="179">
        <f t="shared" si="0"/>
        <v>2641.2634460287331</v>
      </c>
      <c r="N8" s="179">
        <f t="shared" si="0"/>
        <v>2670.230682064529</v>
      </c>
      <c r="O8" s="179">
        <f t="shared" si="0"/>
        <v>2638.3366052542119</v>
      </c>
      <c r="P8" s="179"/>
    </row>
    <row r="9" spans="1:18" ht="15" x14ac:dyDescent="0.25">
      <c r="B9" s="152" t="s">
        <v>446</v>
      </c>
      <c r="C9" s="152"/>
      <c r="D9" s="170">
        <f>D7</f>
        <v>0</v>
      </c>
      <c r="E9" s="170">
        <f t="shared" ref="E9:G9" si="1">E7</f>
        <v>0</v>
      </c>
      <c r="F9" s="170">
        <f t="shared" si="1"/>
        <v>0</v>
      </c>
      <c r="G9" s="170">
        <f t="shared" si="1"/>
        <v>184.17000000000002</v>
      </c>
      <c r="H9" s="170">
        <f>'Financial Statements'!H90</f>
        <v>315.84624809999997</v>
      </c>
      <c r="I9" s="170">
        <f>'Financial Statements'!I90</f>
        <v>326.53710999999998</v>
      </c>
      <c r="J9" s="170">
        <f t="shared" ref="J9:O9" si="2">J7</f>
        <v>402.63982249999998</v>
      </c>
      <c r="K9" s="170">
        <f t="shared" si="2"/>
        <v>737.08816999999999</v>
      </c>
      <c r="L9" s="170">
        <f t="shared" si="2"/>
        <v>615.01808000000005</v>
      </c>
      <c r="M9" s="170">
        <f t="shared" si="2"/>
        <v>479.7321925</v>
      </c>
      <c r="N9" s="170">
        <f t="shared" si="2"/>
        <v>354.07685500000002</v>
      </c>
      <c r="O9" s="170">
        <f t="shared" si="2"/>
        <v>237.46495500000003</v>
      </c>
      <c r="P9" s="170"/>
    </row>
    <row r="10" spans="1:18" ht="15" x14ac:dyDescent="0.25">
      <c r="B10" s="152" t="s">
        <v>448</v>
      </c>
      <c r="C10" s="152"/>
      <c r="D10" s="170">
        <v>0</v>
      </c>
      <c r="E10" s="170">
        <v>0</v>
      </c>
      <c r="F10" s="170">
        <v>0</v>
      </c>
      <c r="G10" s="170">
        <f>'Financial Statements'!G182</f>
        <v>376.94</v>
      </c>
      <c r="H10" s="170">
        <f>'Financial Statements'!H182</f>
        <v>163.75</v>
      </c>
      <c r="I10" s="170">
        <f>'Financial Statements'!I182</f>
        <v>335.04</v>
      </c>
      <c r="J10" s="170">
        <f>'Financial Statements'!J182</f>
        <v>1110.2311111111112</v>
      </c>
      <c r="K10" s="170">
        <f>'Financial Statements'!K182</f>
        <v>1406.2199999999998</v>
      </c>
      <c r="L10" s="170">
        <f>'Financial Statements'!L182</f>
        <v>1456.06</v>
      </c>
      <c r="M10" s="170">
        <f>'Financial Statements'!N182</f>
        <v>1278.52</v>
      </c>
      <c r="N10" s="170">
        <f>N7</f>
        <v>354.07685500000002</v>
      </c>
      <c r="O10" s="170">
        <f>'Financial Statements'!O182</f>
        <v>1077.2100000000005</v>
      </c>
      <c r="P10" s="170"/>
      <c r="Q10" s="148" t="s">
        <v>556</v>
      </c>
    </row>
    <row r="11" spans="1:18" ht="15" x14ac:dyDescent="0.25">
      <c r="B11" s="151" t="s">
        <v>449</v>
      </c>
      <c r="C11" s="151"/>
      <c r="D11" s="180">
        <f>D10+D9</f>
        <v>0</v>
      </c>
      <c r="E11" s="180">
        <f t="shared" ref="E11:O11" si="3">E10+E9</f>
        <v>0</v>
      </c>
      <c r="F11" s="180">
        <f t="shared" si="3"/>
        <v>0</v>
      </c>
      <c r="G11" s="180">
        <f t="shared" si="3"/>
        <v>561.11</v>
      </c>
      <c r="H11" s="180">
        <f t="shared" si="3"/>
        <v>479.59624809999997</v>
      </c>
      <c r="I11" s="180">
        <f t="shared" si="3"/>
        <v>661.57710999999995</v>
      </c>
      <c r="J11" s="180">
        <f t="shared" si="3"/>
        <v>1512.8709336111112</v>
      </c>
      <c r="K11" s="180">
        <f t="shared" si="3"/>
        <v>2143.3081699999998</v>
      </c>
      <c r="L11" s="180">
        <f t="shared" si="3"/>
        <v>2071.0780800000002</v>
      </c>
      <c r="M11" s="180">
        <f t="shared" si="3"/>
        <v>1758.2521925000001</v>
      </c>
      <c r="N11" s="180">
        <f t="shared" si="3"/>
        <v>708.15371000000005</v>
      </c>
      <c r="O11" s="180">
        <f t="shared" si="3"/>
        <v>1314.6749550000004</v>
      </c>
      <c r="P11" s="180"/>
    </row>
    <row r="12" spans="1:18" ht="15" x14ac:dyDescent="0.25">
      <c r="B12" s="151" t="s">
        <v>450</v>
      </c>
      <c r="C12" s="151"/>
      <c r="D12" s="181">
        <f>IFERROR(D8/D11,0)</f>
        <v>0</v>
      </c>
      <c r="E12" s="181">
        <f t="shared" ref="E12:P12" si="4">IFERROR(E8/E11,0)</f>
        <v>0</v>
      </c>
      <c r="F12" s="181">
        <f t="shared" si="4"/>
        <v>0</v>
      </c>
      <c r="G12" s="385">
        <f t="shared" si="4"/>
        <v>1.7507797045142666</v>
      </c>
      <c r="H12" s="385">
        <f t="shared" si="4"/>
        <v>3.6139773963340143</v>
      </c>
      <c r="I12" s="385">
        <f t="shared" si="4"/>
        <v>2.32611207815216</v>
      </c>
      <c r="J12" s="385">
        <f t="shared" si="4"/>
        <v>1.0580915895747387</v>
      </c>
      <c r="K12" s="385">
        <f t="shared" si="4"/>
        <v>1.2927753805225384</v>
      </c>
      <c r="L12" s="385">
        <f t="shared" si="4"/>
        <v>1.3279389978178522</v>
      </c>
      <c r="M12" s="385">
        <f t="shared" si="4"/>
        <v>1.5022096700890268</v>
      </c>
      <c r="N12" s="385">
        <f t="shared" si="4"/>
        <v>3.7706936281736474</v>
      </c>
      <c r="O12" s="385">
        <f t="shared" si="4"/>
        <v>2.0068356784466248</v>
      </c>
      <c r="P12" s="385">
        <f t="shared" si="4"/>
        <v>0</v>
      </c>
    </row>
    <row r="13" spans="1:18" ht="15" x14ac:dyDescent="0.25">
      <c r="B13" s="151" t="s">
        <v>413</v>
      </c>
      <c r="C13" s="151"/>
      <c r="D13" s="182">
        <f>MIN(G12:P12)</f>
        <v>0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</row>
    <row r="14" spans="1:18" ht="15" x14ac:dyDescent="0.25">
      <c r="B14" s="151" t="s">
        <v>451</v>
      </c>
      <c r="C14" s="151"/>
      <c r="D14" s="181">
        <f>SUM(G8:P8)/SUM(G11:P11)</f>
        <v>1.7239187683994028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</row>
    <row r="15" spans="1:18" ht="15" x14ac:dyDescent="0.25">
      <c r="R15" s="142">
        <f>G10/2</f>
        <v>188.47</v>
      </c>
    </row>
    <row r="17" spans="2:28" ht="15" x14ac:dyDescent="0.25">
      <c r="S17" s="142">
        <f>H10/4</f>
        <v>40.9375</v>
      </c>
    </row>
    <row r="18" spans="2:28" ht="15.75" x14ac:dyDescent="0.25">
      <c r="B18" s="151" t="s">
        <v>415</v>
      </c>
      <c r="C18" s="178" t="s">
        <v>443</v>
      </c>
      <c r="D18" s="178" t="s">
        <v>416</v>
      </c>
      <c r="E18" s="178" t="s">
        <v>417</v>
      </c>
      <c r="F18" s="178" t="s">
        <v>418</v>
      </c>
      <c r="G18" s="178" t="s">
        <v>419</v>
      </c>
      <c r="H18" s="178" t="s">
        <v>420</v>
      </c>
      <c r="I18" s="178" t="s">
        <v>421</v>
      </c>
      <c r="J18" s="178" t="s">
        <v>422</v>
      </c>
      <c r="K18" s="178" t="s">
        <v>423</v>
      </c>
      <c r="L18" s="178" t="s">
        <v>424</v>
      </c>
      <c r="M18" s="178" t="s">
        <v>425</v>
      </c>
      <c r="N18" s="178" t="s">
        <v>426</v>
      </c>
      <c r="O18" s="178" t="s">
        <v>427</v>
      </c>
      <c r="P18" s="178" t="s">
        <v>428</v>
      </c>
    </row>
    <row r="19" spans="2:28" ht="15" x14ac:dyDescent="0.25">
      <c r="B19" s="151" t="s">
        <v>452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</row>
    <row r="20" spans="2:28" ht="15" x14ac:dyDescent="0.25">
      <c r="B20" s="152" t="s">
        <v>453</v>
      </c>
      <c r="C20" s="152"/>
      <c r="D20" s="170">
        <v>-356.03879220000005</v>
      </c>
      <c r="E20" s="170">
        <v>0</v>
      </c>
      <c r="F20" s="170">
        <v>-3006.9343814176482</v>
      </c>
      <c r="G20" s="170">
        <v>-1524.3979582260483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</row>
    <row r="21" spans="2:28" ht="15" x14ac:dyDescent="0.25">
      <c r="B21" s="152" t="s">
        <v>454</v>
      </c>
      <c r="C21" s="152"/>
      <c r="D21" s="170">
        <v>0</v>
      </c>
      <c r="E21" s="170">
        <v>-41.393062620536455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</row>
    <row r="22" spans="2:28" ht="15" x14ac:dyDescent="0.25">
      <c r="B22" s="151" t="s">
        <v>455</v>
      </c>
      <c r="C22" s="151"/>
      <c r="D22" s="180">
        <f>SUM(D20:D21)</f>
        <v>-356.03879220000005</v>
      </c>
      <c r="E22" s="180">
        <f t="shared" ref="E22:P22" si="5">SUM(E20:E21)</f>
        <v>-41.393062620536455</v>
      </c>
      <c r="F22" s="180">
        <f t="shared" si="5"/>
        <v>-3006.9343814176482</v>
      </c>
      <c r="G22" s="180">
        <f t="shared" si="5"/>
        <v>-1524.3979582260483</v>
      </c>
      <c r="H22" s="180">
        <f t="shared" si="5"/>
        <v>0</v>
      </c>
      <c r="I22" s="180">
        <f t="shared" si="5"/>
        <v>0</v>
      </c>
      <c r="J22" s="180">
        <f t="shared" si="5"/>
        <v>0</v>
      </c>
      <c r="K22" s="180">
        <f t="shared" si="5"/>
        <v>0</v>
      </c>
      <c r="L22" s="180">
        <f t="shared" si="5"/>
        <v>0</v>
      </c>
      <c r="M22" s="180">
        <f t="shared" si="5"/>
        <v>0</v>
      </c>
      <c r="N22" s="180">
        <f t="shared" si="5"/>
        <v>0</v>
      </c>
      <c r="O22" s="180">
        <f t="shared" si="5"/>
        <v>0</v>
      </c>
      <c r="P22" s="180">
        <f t="shared" si="5"/>
        <v>0</v>
      </c>
    </row>
    <row r="23" spans="2:28" x14ac:dyDescent="0.35"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</row>
    <row r="24" spans="2:28" x14ac:dyDescent="0.35">
      <c r="B24" s="151" t="s">
        <v>456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</row>
    <row r="25" spans="2:28" x14ac:dyDescent="0.35">
      <c r="B25" s="152" t="s">
        <v>444</v>
      </c>
      <c r="C25" s="152"/>
      <c r="D25" s="183">
        <v>0</v>
      </c>
      <c r="E25" s="183">
        <v>0</v>
      </c>
      <c r="F25" s="183">
        <v>0</v>
      </c>
      <c r="G25" s="183">
        <f>G5</f>
        <v>153.5</v>
      </c>
      <c r="H25" s="183">
        <f t="shared" ref="H25:O25" si="6">H5</f>
        <v>254.19375189999991</v>
      </c>
      <c r="I25" s="183">
        <f t="shared" si="6"/>
        <v>242.70539620000011</v>
      </c>
      <c r="J25" s="183">
        <f t="shared" si="6"/>
        <v>456.84200246599971</v>
      </c>
      <c r="K25" s="183">
        <f t="shared" si="6"/>
        <v>668.85606785201526</v>
      </c>
      <c r="L25" s="183">
        <f t="shared" si="6"/>
        <v>886.52193586635917</v>
      </c>
      <c r="M25" s="183">
        <f t="shared" si="6"/>
        <v>1118.4184688854191</v>
      </c>
      <c r="N25" s="183">
        <f t="shared" si="6"/>
        <v>1442.835279020946</v>
      </c>
      <c r="O25" s="183">
        <f t="shared" si="6"/>
        <v>1668.1092595642031</v>
      </c>
      <c r="P25" s="183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</row>
    <row r="26" spans="2:28" x14ac:dyDescent="0.35">
      <c r="B26" s="152" t="s">
        <v>445</v>
      </c>
      <c r="C26" s="152"/>
      <c r="D26" s="183">
        <v>0</v>
      </c>
      <c r="E26" s="183">
        <v>0</v>
      </c>
      <c r="F26" s="183">
        <v>0</v>
      </c>
      <c r="G26" s="183">
        <f>G6</f>
        <v>644.71</v>
      </c>
      <c r="H26" s="183">
        <f t="shared" ref="H26:O26" si="7">H6</f>
        <v>1163.21</v>
      </c>
      <c r="I26" s="183">
        <f t="shared" si="7"/>
        <v>969.66</v>
      </c>
      <c r="J26" s="183">
        <f t="shared" si="7"/>
        <v>741.27418599999999</v>
      </c>
      <c r="K26" s="183">
        <f t="shared" si="7"/>
        <v>1364.8717971967999</v>
      </c>
      <c r="L26" s="183">
        <f t="shared" si="7"/>
        <v>1248.7253340913628</v>
      </c>
      <c r="M26" s="183">
        <f t="shared" si="7"/>
        <v>1043.1127846433142</v>
      </c>
      <c r="N26" s="183">
        <f t="shared" si="7"/>
        <v>873.31854804358272</v>
      </c>
      <c r="O26" s="183">
        <f t="shared" si="7"/>
        <v>732.76239069000871</v>
      </c>
      <c r="P26" s="183"/>
    </row>
    <row r="27" spans="2:28" x14ac:dyDescent="0.35">
      <c r="B27" s="152" t="s">
        <v>457</v>
      </c>
      <c r="C27" s="152"/>
      <c r="D27" s="158">
        <v>0</v>
      </c>
      <c r="E27" s="158">
        <v>0</v>
      </c>
      <c r="F27" s="158">
        <v>0</v>
      </c>
      <c r="G27" s="158">
        <f>G11</f>
        <v>561.11</v>
      </c>
      <c r="H27" s="158">
        <f t="shared" ref="H27:O27" si="8">H11</f>
        <v>479.59624809999997</v>
      </c>
      <c r="I27" s="158">
        <f t="shared" si="8"/>
        <v>661.57710999999995</v>
      </c>
      <c r="J27" s="158">
        <f t="shared" si="8"/>
        <v>1512.8709336111112</v>
      </c>
      <c r="K27" s="158">
        <f t="shared" si="8"/>
        <v>2143.3081699999998</v>
      </c>
      <c r="L27" s="158">
        <f t="shared" si="8"/>
        <v>2071.0780800000002</v>
      </c>
      <c r="M27" s="158">
        <f t="shared" si="8"/>
        <v>1758.2521925000001</v>
      </c>
      <c r="N27" s="158">
        <f t="shared" si="8"/>
        <v>708.15371000000005</v>
      </c>
      <c r="O27" s="158">
        <f t="shared" si="8"/>
        <v>1314.6749550000004</v>
      </c>
      <c r="P27" s="158"/>
    </row>
    <row r="28" spans="2:28" x14ac:dyDescent="0.35">
      <c r="B28" s="151" t="s">
        <v>458</v>
      </c>
      <c r="C28" s="152"/>
      <c r="D28" s="180">
        <f>SUM(D25:D27)</f>
        <v>0</v>
      </c>
      <c r="E28" s="180">
        <f t="shared" ref="E28:O28" si="9">SUM(E25:E27)</f>
        <v>0</v>
      </c>
      <c r="F28" s="180">
        <f t="shared" si="9"/>
        <v>0</v>
      </c>
      <c r="G28" s="180">
        <f t="shared" si="9"/>
        <v>1359.3200000000002</v>
      </c>
      <c r="H28" s="180">
        <f t="shared" si="9"/>
        <v>1896.9999999999998</v>
      </c>
      <c r="I28" s="180">
        <f t="shared" si="9"/>
        <v>1873.9425062</v>
      </c>
      <c r="J28" s="180">
        <f t="shared" si="9"/>
        <v>2710.9871220771111</v>
      </c>
      <c r="K28" s="180">
        <f t="shared" si="9"/>
        <v>4177.0360350488154</v>
      </c>
      <c r="L28" s="180">
        <f t="shared" si="9"/>
        <v>4206.3253499577222</v>
      </c>
      <c r="M28" s="180">
        <f t="shared" si="9"/>
        <v>3919.7834460287331</v>
      </c>
      <c r="N28" s="180">
        <f t="shared" si="9"/>
        <v>3024.3075370645288</v>
      </c>
      <c r="O28" s="180">
        <f t="shared" si="9"/>
        <v>3715.5466052542124</v>
      </c>
      <c r="P28" s="180"/>
    </row>
    <row r="29" spans="2:28" x14ac:dyDescent="0.35"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</row>
    <row r="30" spans="2:28" x14ac:dyDescent="0.35">
      <c r="B30" s="151" t="s">
        <v>459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</row>
    <row r="31" spans="2:28" x14ac:dyDescent="0.35">
      <c r="B31" s="152" t="s">
        <v>460</v>
      </c>
      <c r="C31" s="152"/>
      <c r="D31" s="158">
        <v>0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70"/>
      <c r="O31" s="170">
        <f>'Financial Statements'!O315</f>
        <v>4490.3149593349335</v>
      </c>
      <c r="P31" s="170"/>
    </row>
    <row r="32" spans="2:28" x14ac:dyDescent="0.35">
      <c r="B32" s="152" t="s">
        <v>60</v>
      </c>
      <c r="C32" s="152"/>
      <c r="D32" s="158">
        <v>0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70">
        <v>0</v>
      </c>
      <c r="O32" s="170">
        <f>'Financial Statements'!O300-'Financial Statements'!O196</f>
        <v>5220.021392021401</v>
      </c>
      <c r="P32" s="170"/>
    </row>
    <row r="33" spans="2:27" x14ac:dyDescent="0.35">
      <c r="B33" s="151" t="s">
        <v>461</v>
      </c>
      <c r="C33" s="152"/>
      <c r="D33" s="181">
        <f>SUM(D31:D32)</f>
        <v>0</v>
      </c>
      <c r="E33" s="181">
        <f t="shared" ref="E33:O33" si="10">SUM(E31:E32)</f>
        <v>0</v>
      </c>
      <c r="F33" s="181">
        <f t="shared" si="10"/>
        <v>0</v>
      </c>
      <c r="G33" s="181">
        <f t="shared" si="10"/>
        <v>0</v>
      </c>
      <c r="H33" s="181">
        <f t="shared" si="10"/>
        <v>0</v>
      </c>
      <c r="I33" s="181">
        <f t="shared" si="10"/>
        <v>0</v>
      </c>
      <c r="J33" s="181">
        <f t="shared" si="10"/>
        <v>0</v>
      </c>
      <c r="K33" s="181">
        <f t="shared" si="10"/>
        <v>0</v>
      </c>
      <c r="L33" s="181">
        <f t="shared" si="10"/>
        <v>0</v>
      </c>
      <c r="M33" s="181">
        <f t="shared" si="10"/>
        <v>0</v>
      </c>
      <c r="N33" s="179">
        <f t="shared" si="10"/>
        <v>0</v>
      </c>
      <c r="O33" s="179">
        <f t="shared" si="10"/>
        <v>9710.3363513563345</v>
      </c>
      <c r="P33" s="179"/>
    </row>
    <row r="34" spans="2:27" x14ac:dyDescent="0.35">
      <c r="B34" s="151" t="s">
        <v>462</v>
      </c>
      <c r="C34" s="152"/>
      <c r="D34" s="180">
        <f>D33+D28+D22</f>
        <v>-356.03879220000005</v>
      </c>
      <c r="E34" s="180">
        <f t="shared" ref="E34:M34" si="11">E33+E28+E22</f>
        <v>-41.393062620536455</v>
      </c>
      <c r="F34" s="180">
        <f t="shared" si="11"/>
        <v>-3006.9343814176482</v>
      </c>
      <c r="G34" s="180">
        <f t="shared" si="11"/>
        <v>-165.07795822604817</v>
      </c>
      <c r="H34" s="180">
        <f t="shared" si="11"/>
        <v>1896.9999999999998</v>
      </c>
      <c r="I34" s="180">
        <f t="shared" si="11"/>
        <v>1873.9425062</v>
      </c>
      <c r="J34" s="180">
        <f t="shared" si="11"/>
        <v>2710.9871220771111</v>
      </c>
      <c r="K34" s="180">
        <f t="shared" si="11"/>
        <v>4177.0360350488154</v>
      </c>
      <c r="L34" s="180">
        <f t="shared" si="11"/>
        <v>4206.3253499577222</v>
      </c>
      <c r="M34" s="180">
        <f t="shared" si="11"/>
        <v>3919.7834460287331</v>
      </c>
      <c r="N34" s="180">
        <f>N33+N28+N22</f>
        <v>3024.3075370645288</v>
      </c>
      <c r="O34" s="180">
        <f>O33+O28+O22</f>
        <v>13425.882956610547</v>
      </c>
      <c r="P34" s="180"/>
      <c r="R34" s="185">
        <f>E34+D34</f>
        <v>-397.4318548205365</v>
      </c>
      <c r="S34" s="185">
        <f>F34</f>
        <v>-3006.9343814176482</v>
      </c>
      <c r="T34" s="185">
        <f t="shared" ref="T34:AA34" si="12">G34</f>
        <v>-165.07795822604817</v>
      </c>
      <c r="U34" s="185">
        <f t="shared" si="12"/>
        <v>1896.9999999999998</v>
      </c>
      <c r="V34" s="185">
        <f t="shared" si="12"/>
        <v>1873.9425062</v>
      </c>
      <c r="W34" s="185">
        <f t="shared" si="12"/>
        <v>2710.9871220771111</v>
      </c>
      <c r="X34" s="185">
        <f t="shared" si="12"/>
        <v>4177.0360350488154</v>
      </c>
      <c r="Y34" s="185">
        <f t="shared" si="12"/>
        <v>4206.3253499577222</v>
      </c>
      <c r="Z34" s="185">
        <f t="shared" si="12"/>
        <v>3919.7834460287331</v>
      </c>
      <c r="AA34" s="185">
        <f t="shared" si="12"/>
        <v>3024.3075370645288</v>
      </c>
    </row>
    <row r="35" spans="2:27" x14ac:dyDescent="0.35">
      <c r="B35" s="151" t="s">
        <v>463</v>
      </c>
      <c r="C35" s="152"/>
      <c r="D35" s="186">
        <f>NPV(D37,D34:P34)</f>
        <v>11195.427955531273</v>
      </c>
      <c r="E35" s="187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R35" s="188">
        <f>NPV(D37,R34:AA34)</f>
        <v>7788.9342355543877</v>
      </c>
    </row>
    <row r="36" spans="2:27" x14ac:dyDescent="0.35">
      <c r="B36" s="151" t="s">
        <v>464</v>
      </c>
      <c r="C36" s="152"/>
      <c r="D36" s="154">
        <f>IRR(D34:P34)</f>
        <v>0.46599926908041445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R36" s="189"/>
    </row>
    <row r="37" spans="2:27" x14ac:dyDescent="0.35">
      <c r="B37" s="151" t="s">
        <v>465</v>
      </c>
      <c r="C37" s="152"/>
      <c r="D37" s="154">
        <v>0.10254383051333082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  <row r="38" spans="2:27" x14ac:dyDescent="0.35">
      <c r="B38" s="190"/>
      <c r="C38" s="191"/>
      <c r="D38" s="192">
        <f>D34</f>
        <v>-356.03879220000005</v>
      </c>
      <c r="E38" s="192">
        <f>E34</f>
        <v>-41.393062620536455</v>
      </c>
      <c r="F38" s="193">
        <v>0</v>
      </c>
      <c r="G38" s="193">
        <v>0</v>
      </c>
      <c r="H38" s="193">
        <v>0</v>
      </c>
      <c r="I38" s="193">
        <v>0</v>
      </c>
      <c r="J38" s="193">
        <v>0</v>
      </c>
      <c r="K38" s="193">
        <v>0</v>
      </c>
      <c r="L38" s="193">
        <v>0</v>
      </c>
      <c r="M38" s="193">
        <v>0</v>
      </c>
      <c r="N38" s="192">
        <f>N33</f>
        <v>0</v>
      </c>
      <c r="O38" s="194"/>
      <c r="P38" s="195"/>
    </row>
    <row r="39" spans="2:27" x14ac:dyDescent="0.35">
      <c r="B39" s="196"/>
      <c r="C39" s="195"/>
      <c r="D39" s="197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8"/>
      <c r="P39" s="195"/>
    </row>
    <row r="40" spans="2:27" x14ac:dyDescent="0.35">
      <c r="B40" s="196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8"/>
      <c r="P40" s="195"/>
    </row>
    <row r="41" spans="2:27" x14ac:dyDescent="0.35">
      <c r="B41" s="196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8"/>
      <c r="P41" s="195"/>
    </row>
    <row r="42" spans="2:27" ht="15.5" x14ac:dyDescent="0.35">
      <c r="B42" s="196"/>
      <c r="C42" s="195"/>
      <c r="D42" s="199" t="s">
        <v>416</v>
      </c>
      <c r="E42" s="199" t="s">
        <v>417</v>
      </c>
      <c r="F42" s="199" t="s">
        <v>418</v>
      </c>
      <c r="G42" s="199" t="s">
        <v>419</v>
      </c>
      <c r="H42" s="199" t="s">
        <v>420</v>
      </c>
      <c r="I42" s="199" t="s">
        <v>421</v>
      </c>
      <c r="J42" s="199" t="s">
        <v>422</v>
      </c>
      <c r="K42" s="199" t="s">
        <v>423</v>
      </c>
      <c r="L42" s="199" t="s">
        <v>424</v>
      </c>
      <c r="M42" s="199" t="s">
        <v>425</v>
      </c>
      <c r="N42" s="199" t="s">
        <v>426</v>
      </c>
      <c r="O42" s="200"/>
      <c r="P42" s="199"/>
    </row>
    <row r="43" spans="2:27" x14ac:dyDescent="0.35">
      <c r="B43" s="196"/>
      <c r="C43" s="195" t="s">
        <v>466</v>
      </c>
      <c r="D43" s="201">
        <v>-757.38123625790149</v>
      </c>
      <c r="E43" s="201">
        <v>-2745.6082763198933</v>
      </c>
      <c r="F43" s="201">
        <v>340.40111403701479</v>
      </c>
      <c r="G43" s="201">
        <v>380.93280426416402</v>
      </c>
      <c r="H43" s="201">
        <v>420.59100553802978</v>
      </c>
      <c r="I43" s="201">
        <v>463.23680628324826</v>
      </c>
      <c r="J43" s="201">
        <v>492.7625562863185</v>
      </c>
      <c r="K43" s="201">
        <v>495.65699645944864</v>
      </c>
      <c r="L43" s="201">
        <v>498.6013387794319</v>
      </c>
      <c r="M43" s="201">
        <v>501.54568109941516</v>
      </c>
      <c r="N43" s="201">
        <v>2791.9901849191797</v>
      </c>
      <c r="O43" s="202">
        <f>SUM(D43:N43)</f>
        <v>2882.7289750884561</v>
      </c>
      <c r="P43" s="203"/>
    </row>
    <row r="44" spans="2:27" x14ac:dyDescent="0.35">
      <c r="B44" s="196"/>
      <c r="C44" s="195" t="s">
        <v>467</v>
      </c>
      <c r="D44" s="201">
        <v>-757.38123625790149</v>
      </c>
      <c r="E44" s="201">
        <v>-2745.1523161343957</v>
      </c>
      <c r="F44" s="201">
        <v>318.44683954218561</v>
      </c>
      <c r="G44" s="201">
        <v>356.7282846401427</v>
      </c>
      <c r="H44" s="201">
        <v>394.36539846467878</v>
      </c>
      <c r="I44" s="201">
        <v>434.98982952160992</v>
      </c>
      <c r="J44" s="201">
        <v>462.90416049870328</v>
      </c>
      <c r="K44" s="201">
        <v>465.80110127187282</v>
      </c>
      <c r="L44" s="201">
        <v>468.74506232488721</v>
      </c>
      <c r="M44" s="201">
        <v>471.68902337790149</v>
      </c>
      <c r="N44" s="201">
        <v>2761.5099544451232</v>
      </c>
      <c r="O44" s="202">
        <f>SUM(D44:N44)</f>
        <v>2632.6461016948074</v>
      </c>
      <c r="P44" s="203"/>
    </row>
    <row r="45" spans="2:27" x14ac:dyDescent="0.35">
      <c r="B45" s="204"/>
      <c r="C45" s="205" t="s">
        <v>468</v>
      </c>
      <c r="D45" s="206">
        <v>-757.38123625790149</v>
      </c>
      <c r="E45" s="206">
        <v>-2744.7391242592707</v>
      </c>
      <c r="F45" s="206">
        <v>299.04985650839967</v>
      </c>
      <c r="G45" s="206">
        <v>335.07757437484531</v>
      </c>
      <c r="H45" s="206">
        <v>370.84606772087017</v>
      </c>
      <c r="I45" s="206">
        <v>409.50992937626438</v>
      </c>
      <c r="J45" s="206">
        <v>435.87376842516835</v>
      </c>
      <c r="K45" s="206">
        <v>438.77316193687608</v>
      </c>
      <c r="L45" s="206">
        <v>441.71677748513179</v>
      </c>
      <c r="M45" s="206">
        <v>444.66039303338761</v>
      </c>
      <c r="N45" s="206">
        <v>2733.9049906448959</v>
      </c>
      <c r="O45" s="207">
        <f>SUM(D45:N45)</f>
        <v>2407.2921589886673</v>
      </c>
      <c r="P45" s="203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75"/>
  <sheetViews>
    <sheetView topLeftCell="B55" zoomScale="110" workbookViewId="0">
      <selection activeCell="F55" sqref="F55"/>
    </sheetView>
  </sheetViews>
  <sheetFormatPr defaultColWidth="8.81640625" defaultRowHeight="14.5" x14ac:dyDescent="0.35"/>
  <cols>
    <col min="2" max="2" width="36.1796875" customWidth="1"/>
    <col min="3" max="3" width="23.1796875" customWidth="1"/>
    <col min="4" max="4" width="17" customWidth="1"/>
    <col min="5" max="5" width="21.453125" customWidth="1"/>
    <col min="6" max="6" width="19.453125" customWidth="1"/>
    <col min="7" max="7" width="15" customWidth="1"/>
    <col min="8" max="8" width="16.1796875" bestFit="1" customWidth="1"/>
    <col min="9" max="9" width="18.81640625" customWidth="1"/>
    <col min="10" max="10" width="23" customWidth="1"/>
    <col min="11" max="11" width="11.81640625" bestFit="1" customWidth="1"/>
    <col min="12" max="12" width="13.81640625" bestFit="1" customWidth="1"/>
    <col min="13" max="16" width="10.81640625" bestFit="1" customWidth="1"/>
  </cols>
  <sheetData>
    <row r="1" spans="2:13" ht="15" x14ac:dyDescent="0.25">
      <c r="C1" s="230" t="s">
        <v>510</v>
      </c>
      <c r="E1" s="397">
        <v>45382</v>
      </c>
    </row>
    <row r="2" spans="2:13" ht="30" x14ac:dyDescent="0.25">
      <c r="B2" s="231" t="s">
        <v>511</v>
      </c>
      <c r="C2" s="232"/>
      <c r="D2" s="232" t="s">
        <v>512</v>
      </c>
      <c r="E2" s="233" t="s">
        <v>513</v>
      </c>
      <c r="F2" s="233" t="s">
        <v>514</v>
      </c>
      <c r="G2" s="233" t="s">
        <v>515</v>
      </c>
      <c r="H2" s="233" t="s">
        <v>516</v>
      </c>
      <c r="I2" s="233" t="s">
        <v>517</v>
      </c>
      <c r="J2" s="233" t="s">
        <v>518</v>
      </c>
      <c r="L2" s="397"/>
    </row>
    <row r="3" spans="2:13" ht="15.5" x14ac:dyDescent="0.35">
      <c r="B3" s="234" t="s">
        <v>519</v>
      </c>
      <c r="C3" s="235">
        <v>8460600</v>
      </c>
      <c r="D3" s="236" t="s">
        <v>520</v>
      </c>
      <c r="E3" s="237">
        <v>45291</v>
      </c>
      <c r="F3" s="226" t="s">
        <v>354</v>
      </c>
      <c r="G3" s="238">
        <v>0.25890000000000002</v>
      </c>
      <c r="H3" s="236">
        <f>C3</f>
        <v>8460600</v>
      </c>
      <c r="I3" s="393">
        <f>G3*H3*(E1-E3)/365</f>
        <v>546112.02723287675</v>
      </c>
      <c r="J3" s="393">
        <f>H3-I3</f>
        <v>7914487.972767123</v>
      </c>
      <c r="L3" s="239"/>
    </row>
    <row r="4" spans="2:13" ht="16.5" x14ac:dyDescent="0.3">
      <c r="B4" s="234" t="s">
        <v>460</v>
      </c>
      <c r="C4" s="241">
        <f>0.05*C3</f>
        <v>423030</v>
      </c>
      <c r="D4" s="240"/>
      <c r="E4" s="237"/>
      <c r="F4" s="226" t="s">
        <v>355</v>
      </c>
      <c r="G4" s="238">
        <v>0.25890000000000002</v>
      </c>
      <c r="H4" s="393">
        <f>J3</f>
        <v>7914487.972767123</v>
      </c>
      <c r="I4" s="393">
        <f>H4*G4</f>
        <v>2049060.9361494083</v>
      </c>
      <c r="J4" s="393">
        <f>H4-I4</f>
        <v>5865427.0366177149</v>
      </c>
      <c r="L4" s="394"/>
      <c r="M4" s="394"/>
    </row>
    <row r="5" spans="2:13" ht="16.5" x14ac:dyDescent="0.3">
      <c r="B5" s="234"/>
      <c r="C5" s="241"/>
      <c r="D5" s="240"/>
      <c r="E5" s="237"/>
      <c r="F5" s="226" t="s">
        <v>356</v>
      </c>
      <c r="G5" s="238">
        <v>0.25890000000000002</v>
      </c>
      <c r="H5" s="393">
        <f t="shared" ref="H5:H13" si="0">J4</f>
        <v>5865427.0366177149</v>
      </c>
      <c r="I5" s="393">
        <f t="shared" ref="I5:I12" si="1">H5*G5</f>
        <v>1518559.0597803264</v>
      </c>
      <c r="J5" s="393">
        <f t="shared" ref="J5:J13" si="2">H5-I5</f>
        <v>4346867.9768373882</v>
      </c>
      <c r="L5" s="395"/>
      <c r="M5" s="394"/>
    </row>
    <row r="6" spans="2:13" ht="16.5" x14ac:dyDescent="0.3">
      <c r="B6" s="234"/>
      <c r="C6" s="236"/>
      <c r="D6" s="240"/>
      <c r="E6" s="237"/>
      <c r="F6" s="226" t="s">
        <v>357</v>
      </c>
      <c r="G6" s="238">
        <v>0.25890000000000002</v>
      </c>
      <c r="H6" s="393">
        <f t="shared" si="0"/>
        <v>4346867.9768373882</v>
      </c>
      <c r="I6" s="393">
        <f t="shared" si="1"/>
        <v>1125404.1192031999</v>
      </c>
      <c r="J6" s="393">
        <f t="shared" si="2"/>
        <v>3221463.8576341886</v>
      </c>
      <c r="L6" s="394"/>
      <c r="M6" s="394"/>
    </row>
    <row r="7" spans="2:13" ht="16.5" x14ac:dyDescent="0.3">
      <c r="B7" s="234"/>
      <c r="C7" s="236"/>
      <c r="D7" s="240"/>
      <c r="E7" s="237"/>
      <c r="F7" s="226" t="s">
        <v>358</v>
      </c>
      <c r="G7" s="238">
        <v>0.25890000000000002</v>
      </c>
      <c r="H7" s="393">
        <f t="shared" si="0"/>
        <v>3221463.8576341886</v>
      </c>
      <c r="I7" s="393">
        <f t="shared" si="1"/>
        <v>834036.99274149153</v>
      </c>
      <c r="J7" s="393">
        <f t="shared" si="2"/>
        <v>2387426.864892697</v>
      </c>
      <c r="L7" s="394"/>
      <c r="M7" s="394"/>
    </row>
    <row r="8" spans="2:13" ht="16.5" x14ac:dyDescent="0.3">
      <c r="B8" s="234"/>
      <c r="C8" s="236"/>
      <c r="D8" s="240"/>
      <c r="E8" s="237"/>
      <c r="F8" s="226" t="s">
        <v>10</v>
      </c>
      <c r="G8" s="238">
        <v>0.25890000000000002</v>
      </c>
      <c r="H8" s="393">
        <f t="shared" si="0"/>
        <v>2387426.864892697</v>
      </c>
      <c r="I8" s="393">
        <f t="shared" si="1"/>
        <v>618104.81532071927</v>
      </c>
      <c r="J8" s="393">
        <f t="shared" si="2"/>
        <v>1769322.0495719777</v>
      </c>
      <c r="L8" s="394"/>
      <c r="M8" s="394"/>
    </row>
    <row r="9" spans="2:13" ht="16.5" x14ac:dyDescent="0.3">
      <c r="B9" s="234"/>
      <c r="C9" s="236"/>
      <c r="D9" s="240"/>
      <c r="E9" s="237"/>
      <c r="F9" s="226" t="s">
        <v>11</v>
      </c>
      <c r="G9" s="238">
        <v>0.25890000000000002</v>
      </c>
      <c r="H9" s="393">
        <f t="shared" si="0"/>
        <v>1769322.0495719777</v>
      </c>
      <c r="I9" s="393">
        <f t="shared" si="1"/>
        <v>458077.47863418504</v>
      </c>
      <c r="J9" s="393">
        <f t="shared" si="2"/>
        <v>1311244.5709377928</v>
      </c>
      <c r="L9" s="394"/>
      <c r="M9" s="394"/>
    </row>
    <row r="10" spans="2:13" ht="16.5" x14ac:dyDescent="0.3">
      <c r="B10" s="234"/>
      <c r="C10" s="236"/>
      <c r="D10" s="240"/>
      <c r="E10" s="237"/>
      <c r="F10" s="226" t="s">
        <v>12</v>
      </c>
      <c r="G10" s="238">
        <v>0.25890000000000002</v>
      </c>
      <c r="H10" s="393">
        <f t="shared" si="0"/>
        <v>1311244.5709377928</v>
      </c>
      <c r="I10" s="393">
        <f t="shared" si="1"/>
        <v>339481.21941579459</v>
      </c>
      <c r="J10" s="393">
        <f t="shared" si="2"/>
        <v>971763.35152199818</v>
      </c>
      <c r="L10" s="394"/>
      <c r="M10" s="394"/>
    </row>
    <row r="11" spans="2:13" ht="16.5" x14ac:dyDescent="0.3">
      <c r="B11" s="234"/>
      <c r="C11" s="236"/>
      <c r="D11" s="240"/>
      <c r="E11" s="237"/>
      <c r="F11" s="226" t="s">
        <v>13</v>
      </c>
      <c r="G11" s="238">
        <v>0.25890000000000002</v>
      </c>
      <c r="H11" s="393">
        <f t="shared" si="0"/>
        <v>971763.35152199818</v>
      </c>
      <c r="I11" s="393">
        <f t="shared" si="1"/>
        <v>251589.53170904535</v>
      </c>
      <c r="J11" s="393">
        <f t="shared" si="2"/>
        <v>720173.81981295277</v>
      </c>
      <c r="L11" s="394"/>
      <c r="M11" s="394"/>
    </row>
    <row r="12" spans="2:13" ht="16.5" x14ac:dyDescent="0.3">
      <c r="B12" s="234"/>
      <c r="C12" s="236"/>
      <c r="D12" s="240"/>
      <c r="E12" s="237"/>
      <c r="F12" s="226" t="s">
        <v>569</v>
      </c>
      <c r="G12" s="238">
        <v>0.25890000000000002</v>
      </c>
      <c r="H12" s="393">
        <f t="shared" si="0"/>
        <v>720173.81981295277</v>
      </c>
      <c r="I12" s="393">
        <f t="shared" si="1"/>
        <v>186453.00194957349</v>
      </c>
      <c r="J12" s="393">
        <f t="shared" si="2"/>
        <v>533720.81786337926</v>
      </c>
      <c r="L12" s="394"/>
      <c r="M12" s="394"/>
    </row>
    <row r="13" spans="2:13" ht="16.5" x14ac:dyDescent="0.3">
      <c r="B13" s="234"/>
      <c r="C13" s="236"/>
      <c r="D13" s="240"/>
      <c r="E13" s="237"/>
      <c r="F13" s="226" t="s">
        <v>590</v>
      </c>
      <c r="G13" s="238">
        <v>0.25890000000000002</v>
      </c>
      <c r="H13" s="393">
        <f t="shared" si="0"/>
        <v>533720.81786337926</v>
      </c>
      <c r="I13" s="393">
        <f>MIN(H13-C4,G13*H13)</f>
        <v>110690.81786337926</v>
      </c>
      <c r="J13" s="393">
        <f t="shared" si="2"/>
        <v>423030</v>
      </c>
      <c r="L13" s="394"/>
      <c r="M13" s="394"/>
    </row>
    <row r="14" spans="2:13" ht="16.5" x14ac:dyDescent="0.3">
      <c r="B14" s="234"/>
      <c r="C14" s="236"/>
      <c r="D14" s="240"/>
      <c r="E14" s="237"/>
      <c r="F14" s="226"/>
      <c r="G14" s="238"/>
      <c r="H14" s="393"/>
      <c r="I14" s="393"/>
      <c r="J14" s="393"/>
    </row>
    <row r="15" spans="2:13" ht="15" x14ac:dyDescent="0.25">
      <c r="B15" s="231" t="s">
        <v>521</v>
      </c>
      <c r="C15" s="242"/>
    </row>
    <row r="16" spans="2:13" x14ac:dyDescent="0.35">
      <c r="B16" s="234" t="s">
        <v>522</v>
      </c>
      <c r="C16" s="243">
        <v>767000</v>
      </c>
      <c r="D16" t="s">
        <v>523</v>
      </c>
    </row>
    <row r="17" spans="2:12" ht="29" x14ac:dyDescent="0.35">
      <c r="B17" s="234" t="s">
        <v>524</v>
      </c>
      <c r="C17" s="243">
        <v>141600</v>
      </c>
      <c r="D17" t="s">
        <v>523</v>
      </c>
    </row>
    <row r="18" spans="2:12" x14ac:dyDescent="0.35">
      <c r="B18" s="234" t="s">
        <v>525</v>
      </c>
      <c r="C18" s="243">
        <v>10524738.6</v>
      </c>
      <c r="D18" t="s">
        <v>523</v>
      </c>
    </row>
    <row r="19" spans="2:12" ht="29" x14ac:dyDescent="0.35">
      <c r="B19" s="234" t="s">
        <v>526</v>
      </c>
      <c r="C19" s="243">
        <v>3000008</v>
      </c>
      <c r="D19" t="s">
        <v>523</v>
      </c>
    </row>
    <row r="20" spans="2:12" x14ac:dyDescent="0.35">
      <c r="B20" s="234" t="s">
        <v>527</v>
      </c>
      <c r="C20" s="243">
        <v>207075.84</v>
      </c>
      <c r="D20" t="s">
        <v>523</v>
      </c>
    </row>
    <row r="21" spans="2:12" x14ac:dyDescent="0.35">
      <c r="B21" s="234" t="s">
        <v>528</v>
      </c>
      <c r="C21" s="243">
        <v>214152.3</v>
      </c>
      <c r="D21" t="s">
        <v>523</v>
      </c>
    </row>
    <row r="22" spans="2:12" x14ac:dyDescent="0.35">
      <c r="B22" s="234" t="s">
        <v>529</v>
      </c>
      <c r="C22" s="243">
        <v>18042318</v>
      </c>
      <c r="D22" t="s">
        <v>523</v>
      </c>
    </row>
    <row r="23" spans="2:12" ht="29" x14ac:dyDescent="0.35">
      <c r="B23" s="234" t="s">
        <v>530</v>
      </c>
      <c r="C23" s="243">
        <v>1770000</v>
      </c>
      <c r="D23" t="s">
        <v>523</v>
      </c>
    </row>
    <row r="24" spans="2:12" x14ac:dyDescent="0.35">
      <c r="B24" s="234" t="s">
        <v>531</v>
      </c>
      <c r="C24" s="243">
        <v>4720000</v>
      </c>
      <c r="D24" t="s">
        <v>523</v>
      </c>
    </row>
    <row r="25" spans="2:12" x14ac:dyDescent="0.35">
      <c r="B25" s="234" t="s">
        <v>532</v>
      </c>
      <c r="C25" s="243">
        <v>600001</v>
      </c>
      <c r="D25" t="s">
        <v>523</v>
      </c>
    </row>
    <row r="26" spans="2:12" x14ac:dyDescent="0.35">
      <c r="B26" s="234" t="s">
        <v>533</v>
      </c>
      <c r="C26" s="243">
        <v>14337000</v>
      </c>
      <c r="D26" t="s">
        <v>523</v>
      </c>
    </row>
    <row r="27" spans="2:12" x14ac:dyDescent="0.35">
      <c r="B27" s="234" t="s">
        <v>534</v>
      </c>
      <c r="C27" s="243">
        <v>3245000</v>
      </c>
      <c r="D27" t="s">
        <v>523</v>
      </c>
    </row>
    <row r="28" spans="2:12" x14ac:dyDescent="0.35">
      <c r="B28" s="234" t="s">
        <v>535</v>
      </c>
      <c r="C28" s="243">
        <v>5310000</v>
      </c>
      <c r="D28" t="s">
        <v>523</v>
      </c>
    </row>
    <row r="29" spans="2:12" x14ac:dyDescent="0.35">
      <c r="B29" s="234" t="s">
        <v>536</v>
      </c>
      <c r="C29" s="243">
        <v>3699300</v>
      </c>
      <c r="D29" t="s">
        <v>523</v>
      </c>
    </row>
    <row r="30" spans="2:12" x14ac:dyDescent="0.35">
      <c r="B30" s="234" t="s">
        <v>601</v>
      </c>
      <c r="C30" s="243">
        <v>4501000</v>
      </c>
    </row>
    <row r="31" spans="2:12" x14ac:dyDescent="0.35">
      <c r="B31" s="234" t="s">
        <v>523</v>
      </c>
      <c r="C31" s="244">
        <f>SUM(C16:C30)+C48</f>
        <v>81935193.74000001</v>
      </c>
      <c r="D31" s="245" t="s">
        <v>523</v>
      </c>
    </row>
    <row r="32" spans="2:12" ht="15.5" x14ac:dyDescent="0.35">
      <c r="B32" s="234" t="s">
        <v>460</v>
      </c>
      <c r="C32" s="244">
        <f>0.05*C31</f>
        <v>4096759.6870000008</v>
      </c>
      <c r="D32" s="245"/>
      <c r="F32" s="226" t="s">
        <v>354</v>
      </c>
      <c r="G32" s="238">
        <v>9.5000000000000001E-2</v>
      </c>
      <c r="H32" s="393">
        <f>C31</f>
        <v>81935193.74000001</v>
      </c>
      <c r="I32" s="393">
        <f>G32*H32*(E1-E3)/365</f>
        <v>1940629.4517323289</v>
      </c>
      <c r="J32" s="393">
        <f>H32-I32</f>
        <v>79994564.288267687</v>
      </c>
      <c r="L32" s="396"/>
    </row>
    <row r="33" spans="2:10" ht="16.5" x14ac:dyDescent="0.3">
      <c r="B33" s="234"/>
      <c r="C33" s="244"/>
      <c r="D33" s="245"/>
      <c r="F33" s="226" t="s">
        <v>355</v>
      </c>
      <c r="G33" s="238">
        <v>9.5000000000000001E-2</v>
      </c>
      <c r="H33" s="393">
        <f>J32</f>
        <v>79994564.288267687</v>
      </c>
      <c r="I33" s="393">
        <f>H33*G33</f>
        <v>7599483.6073854305</v>
      </c>
      <c r="J33" s="393">
        <f>H33-I33</f>
        <v>72395080.68088226</v>
      </c>
    </row>
    <row r="34" spans="2:10" ht="16.5" x14ac:dyDescent="0.3">
      <c r="B34" s="234"/>
      <c r="C34" s="244"/>
      <c r="D34" s="245"/>
      <c r="F34" s="226" t="s">
        <v>356</v>
      </c>
      <c r="G34" s="238">
        <v>9.5000000000000001E-2</v>
      </c>
      <c r="H34" s="393">
        <f>J33</f>
        <v>72395080.68088226</v>
      </c>
      <c r="I34" s="393">
        <f t="shared" ref="I34:I42" si="3">H34*G34</f>
        <v>6877532.6646838151</v>
      </c>
      <c r="J34" s="393">
        <f t="shared" ref="J34:J42" si="4">H34-I34</f>
        <v>65517548.016198441</v>
      </c>
    </row>
    <row r="35" spans="2:10" ht="16.5" x14ac:dyDescent="0.3">
      <c r="B35" s="234"/>
      <c r="C35" s="244"/>
      <c r="D35" s="245"/>
      <c r="F35" s="226" t="s">
        <v>357</v>
      </c>
      <c r="G35" s="238">
        <v>9.5000000000000001E-2</v>
      </c>
      <c r="H35" s="393">
        <f t="shared" ref="H35:H42" si="5">J34</f>
        <v>65517548.016198441</v>
      </c>
      <c r="I35" s="393">
        <f t="shared" si="3"/>
        <v>6224167.0615388518</v>
      </c>
      <c r="J35" s="393">
        <f t="shared" si="4"/>
        <v>59293380.954659589</v>
      </c>
    </row>
    <row r="36" spans="2:10" ht="16.5" x14ac:dyDescent="0.3">
      <c r="B36" s="234"/>
      <c r="C36" s="244"/>
      <c r="D36" s="245"/>
      <c r="F36" s="226" t="s">
        <v>358</v>
      </c>
      <c r="G36" s="238">
        <v>9.5000000000000001E-2</v>
      </c>
      <c r="H36" s="393">
        <f t="shared" si="5"/>
        <v>59293380.954659589</v>
      </c>
      <c r="I36" s="393">
        <f t="shared" si="3"/>
        <v>5632871.1906926613</v>
      </c>
      <c r="J36" s="393">
        <f t="shared" si="4"/>
        <v>53660509.763966925</v>
      </c>
    </row>
    <row r="37" spans="2:10" ht="16.5" x14ac:dyDescent="0.3">
      <c r="B37" s="234"/>
      <c r="C37" s="244"/>
      <c r="D37" s="245"/>
      <c r="F37" s="226" t="s">
        <v>10</v>
      </c>
      <c r="G37" s="238">
        <v>9.5000000000000001E-2</v>
      </c>
      <c r="H37" s="393">
        <f t="shared" si="5"/>
        <v>53660509.763966925</v>
      </c>
      <c r="I37" s="393">
        <f t="shared" si="3"/>
        <v>5097748.4275768576</v>
      </c>
      <c r="J37" s="393">
        <f t="shared" si="4"/>
        <v>48562761.336390071</v>
      </c>
    </row>
    <row r="38" spans="2:10" ht="16.5" x14ac:dyDescent="0.3">
      <c r="B38" s="234"/>
      <c r="C38" s="244"/>
      <c r="D38" s="245"/>
      <c r="F38" s="226" t="s">
        <v>11</v>
      </c>
      <c r="G38" s="238">
        <v>9.5000000000000001E-2</v>
      </c>
      <c r="H38" s="393">
        <f t="shared" si="5"/>
        <v>48562761.336390071</v>
      </c>
      <c r="I38" s="393">
        <f t="shared" si="3"/>
        <v>4613462.3269570563</v>
      </c>
      <c r="J38" s="393">
        <f t="shared" si="4"/>
        <v>43949299.009433016</v>
      </c>
    </row>
    <row r="39" spans="2:10" ht="16.5" x14ac:dyDescent="0.3">
      <c r="B39" s="234"/>
      <c r="C39" s="244"/>
      <c r="D39" s="245"/>
      <c r="F39" s="226" t="s">
        <v>12</v>
      </c>
      <c r="G39" s="238">
        <v>9.5000000000000001E-2</v>
      </c>
      <c r="H39" s="393">
        <f t="shared" si="5"/>
        <v>43949299.009433016</v>
      </c>
      <c r="I39" s="393">
        <f t="shared" si="3"/>
        <v>4175183.4058961365</v>
      </c>
      <c r="J39" s="393">
        <f t="shared" si="4"/>
        <v>39774115.603536882</v>
      </c>
    </row>
    <row r="40" spans="2:10" ht="16.5" x14ac:dyDescent="0.3">
      <c r="B40" s="234"/>
      <c r="C40" s="244"/>
      <c r="D40" s="245"/>
      <c r="F40" s="226" t="s">
        <v>13</v>
      </c>
      <c r="G40" s="238">
        <v>9.5000000000000001E-2</v>
      </c>
      <c r="H40" s="393">
        <f t="shared" si="5"/>
        <v>39774115.603536882</v>
      </c>
      <c r="I40" s="393">
        <f t="shared" si="3"/>
        <v>3778540.9823360038</v>
      </c>
      <c r="J40" s="393">
        <f t="shared" si="4"/>
        <v>35995574.621200874</v>
      </c>
    </row>
    <row r="41" spans="2:10" ht="16.5" x14ac:dyDescent="0.3">
      <c r="B41" s="234"/>
      <c r="C41" s="244"/>
      <c r="D41" s="245"/>
      <c r="F41" s="226" t="s">
        <v>569</v>
      </c>
      <c r="G41" s="238">
        <v>9.5000000000000001E-2</v>
      </c>
      <c r="H41" s="393">
        <f t="shared" si="5"/>
        <v>35995574.621200874</v>
      </c>
      <c r="I41" s="393">
        <f t="shared" si="3"/>
        <v>3419579.5890140831</v>
      </c>
      <c r="J41" s="393">
        <f t="shared" si="4"/>
        <v>32575995.032186791</v>
      </c>
    </row>
    <row r="42" spans="2:10" ht="16.5" x14ac:dyDescent="0.3">
      <c r="B42" s="247"/>
      <c r="C42" s="248"/>
      <c r="D42" s="245"/>
      <c r="F42" s="226" t="s">
        <v>590</v>
      </c>
      <c r="G42" s="238">
        <v>9.5000000000000001E-2</v>
      </c>
      <c r="H42" s="393">
        <f t="shared" si="5"/>
        <v>32575995.032186791</v>
      </c>
      <c r="I42" s="393">
        <f t="shared" si="3"/>
        <v>3094719.5280577452</v>
      </c>
      <c r="J42" s="393">
        <f t="shared" si="4"/>
        <v>29481275.504129045</v>
      </c>
    </row>
    <row r="43" spans="2:10" ht="15.5" x14ac:dyDescent="0.35">
      <c r="B43" s="252" t="s">
        <v>190</v>
      </c>
      <c r="C43" s="253">
        <f>C31+C3</f>
        <v>90395793.74000001</v>
      </c>
      <c r="D43" s="245"/>
      <c r="F43" s="226"/>
      <c r="G43" s="246"/>
      <c r="H43" s="239"/>
      <c r="I43" s="239"/>
      <c r="J43" s="239"/>
    </row>
    <row r="44" spans="2:10" ht="15.5" x14ac:dyDescent="0.35">
      <c r="B44" s="252"/>
      <c r="C44" s="253">
        <f>C43/100000</f>
        <v>903.95793740000011</v>
      </c>
      <c r="D44" s="245"/>
      <c r="F44" s="254"/>
      <c r="G44" s="246"/>
      <c r="H44" s="239"/>
      <c r="I44" s="239"/>
      <c r="J44" s="239"/>
    </row>
    <row r="45" spans="2:10" ht="16.5" x14ac:dyDescent="0.3">
      <c r="B45" s="252"/>
      <c r="C45" s="253"/>
      <c r="D45" s="245"/>
      <c r="F45" s="254"/>
      <c r="G45" s="246"/>
      <c r="H45" s="239"/>
      <c r="I45" s="239"/>
      <c r="J45" s="239"/>
    </row>
    <row r="46" spans="2:10" ht="16.5" x14ac:dyDescent="0.3">
      <c r="B46" s="252"/>
      <c r="C46" s="253"/>
      <c r="D46" s="245"/>
      <c r="F46" s="254"/>
      <c r="G46" s="246"/>
      <c r="H46" s="239"/>
      <c r="I46" s="239"/>
      <c r="J46" s="239"/>
    </row>
    <row r="47" spans="2:10" x14ac:dyDescent="0.35">
      <c r="B47" s="249" t="s">
        <v>537</v>
      </c>
      <c r="C47" s="250">
        <v>109601350</v>
      </c>
      <c r="D47" s="245" t="s">
        <v>520</v>
      </c>
      <c r="E47" s="245"/>
      <c r="F47" s="251"/>
    </row>
    <row r="48" spans="2:10" x14ac:dyDescent="0.35">
      <c r="B48" s="236"/>
      <c r="C48" s="243">
        <v>10856000</v>
      </c>
    </row>
    <row r="49" spans="2:12" ht="16.5" x14ac:dyDescent="0.3">
      <c r="B49" s="236" t="s">
        <v>460</v>
      </c>
      <c r="C49" s="241">
        <f>0.05*C47</f>
        <v>5480067.5</v>
      </c>
      <c r="F49" s="226" t="s">
        <v>354</v>
      </c>
      <c r="G49" s="238">
        <v>0.31230000000000002</v>
      </c>
      <c r="H49" s="393">
        <f>C47</f>
        <v>109601350</v>
      </c>
      <c r="I49" s="393">
        <f>G49*H49*(E1-E3)/365</f>
        <v>8533681.2220684942</v>
      </c>
      <c r="J49" s="393">
        <f>H49-I49</f>
        <v>101067668.77793151</v>
      </c>
      <c r="L49" s="281"/>
    </row>
    <row r="50" spans="2:12" ht="16.5" x14ac:dyDescent="0.3">
      <c r="B50" s="236"/>
      <c r="C50" s="241"/>
      <c r="F50" s="226" t="s">
        <v>355</v>
      </c>
      <c r="G50" s="238">
        <v>0.31230000000000002</v>
      </c>
      <c r="H50" s="393">
        <f>J49</f>
        <v>101067668.77793151</v>
      </c>
      <c r="I50" s="393">
        <f>H50*G50</f>
        <v>31563432.959348012</v>
      </c>
      <c r="J50" s="393">
        <f>H50-I50</f>
        <v>69504235.818583503</v>
      </c>
    </row>
    <row r="51" spans="2:12" ht="16.5" x14ac:dyDescent="0.3">
      <c r="B51" s="236"/>
      <c r="C51" s="236"/>
      <c r="F51" s="226" t="s">
        <v>356</v>
      </c>
      <c r="G51" s="238">
        <v>0.31230000000000002</v>
      </c>
      <c r="H51" s="393">
        <f t="shared" ref="H51:H56" si="6">J50</f>
        <v>69504235.818583503</v>
      </c>
      <c r="I51" s="393">
        <f t="shared" ref="I51:I56" si="7">H51*G51</f>
        <v>21706172.846143629</v>
      </c>
      <c r="J51" s="393">
        <f t="shared" ref="J51:J57" si="8">H51-I51</f>
        <v>47798062.97243987</v>
      </c>
    </row>
    <row r="52" spans="2:12" ht="16.5" x14ac:dyDescent="0.3">
      <c r="B52" s="236"/>
      <c r="C52" s="236"/>
      <c r="F52" s="226" t="s">
        <v>357</v>
      </c>
      <c r="G52" s="238">
        <v>0.31230000000000002</v>
      </c>
      <c r="H52" s="393">
        <f t="shared" si="6"/>
        <v>47798062.97243987</v>
      </c>
      <c r="I52" s="393">
        <f t="shared" si="7"/>
        <v>14927335.066292973</v>
      </c>
      <c r="J52" s="393">
        <f t="shared" si="8"/>
        <v>32870727.906146899</v>
      </c>
    </row>
    <row r="53" spans="2:12" ht="16.5" x14ac:dyDescent="0.3">
      <c r="B53" s="236"/>
      <c r="C53" s="236"/>
      <c r="F53" s="226" t="s">
        <v>358</v>
      </c>
      <c r="G53" s="238">
        <v>0.31230000000000002</v>
      </c>
      <c r="H53" s="393">
        <f t="shared" si="6"/>
        <v>32870727.906146899</v>
      </c>
      <c r="I53" s="393">
        <f t="shared" si="7"/>
        <v>10265528.325089678</v>
      </c>
      <c r="J53" s="393">
        <f t="shared" si="8"/>
        <v>22605199.581057221</v>
      </c>
    </row>
    <row r="54" spans="2:12" ht="16.5" x14ac:dyDescent="0.3">
      <c r="B54" s="236"/>
      <c r="C54" s="236"/>
      <c r="F54" s="226" t="s">
        <v>10</v>
      </c>
      <c r="G54" s="238">
        <v>0.31230000000000002</v>
      </c>
      <c r="H54" s="393">
        <f t="shared" si="6"/>
        <v>22605199.581057221</v>
      </c>
      <c r="I54" s="393">
        <f t="shared" si="7"/>
        <v>7059603.8291641707</v>
      </c>
      <c r="J54" s="393">
        <f t="shared" si="8"/>
        <v>15545595.751893051</v>
      </c>
    </row>
    <row r="55" spans="2:12" ht="16.5" x14ac:dyDescent="0.3">
      <c r="B55" s="236"/>
      <c r="C55" s="236"/>
      <c r="F55" s="226" t="s">
        <v>11</v>
      </c>
      <c r="G55" s="238">
        <v>0.31230000000000002</v>
      </c>
      <c r="H55" s="393">
        <f t="shared" si="6"/>
        <v>15545595.751893051</v>
      </c>
      <c r="I55" s="393">
        <f t="shared" si="7"/>
        <v>4854889.5533162002</v>
      </c>
      <c r="J55" s="393">
        <f t="shared" si="8"/>
        <v>10690706.198576851</v>
      </c>
    </row>
    <row r="56" spans="2:12" ht="16.5" x14ac:dyDescent="0.3">
      <c r="B56" s="236"/>
      <c r="C56" s="236"/>
      <c r="F56" s="226" t="s">
        <v>12</v>
      </c>
      <c r="G56" s="238">
        <v>0.31230000000000002</v>
      </c>
      <c r="H56" s="393">
        <f t="shared" si="6"/>
        <v>10690706.198576851</v>
      </c>
      <c r="I56" s="393">
        <f t="shared" si="7"/>
        <v>3338707.5458155507</v>
      </c>
      <c r="J56" s="393">
        <f t="shared" si="8"/>
        <v>7351998.6527613001</v>
      </c>
    </row>
    <row r="57" spans="2:12" ht="16.5" x14ac:dyDescent="0.3">
      <c r="B57" s="236"/>
      <c r="C57" s="236"/>
      <c r="F57" s="226" t="s">
        <v>13</v>
      </c>
      <c r="G57" s="238">
        <v>0.31230000000000002</v>
      </c>
      <c r="H57" s="393">
        <f>J56</f>
        <v>7351998.6527613001</v>
      </c>
      <c r="I57" s="393">
        <f>MIN(G57*H57,H57-C49)</f>
        <v>1871931.1527613001</v>
      </c>
      <c r="J57" s="393">
        <f t="shared" si="8"/>
        <v>5480067.5</v>
      </c>
      <c r="L57" s="281"/>
    </row>
    <row r="58" spans="2:12" ht="16.5" x14ac:dyDescent="0.3">
      <c r="B58" s="236"/>
      <c r="C58" s="236"/>
      <c r="F58" s="226" t="s">
        <v>569</v>
      </c>
      <c r="G58" s="238">
        <v>0.31230000000000002</v>
      </c>
      <c r="H58" s="236"/>
      <c r="I58" s="281"/>
      <c r="J58" s="236"/>
    </row>
    <row r="59" spans="2:12" ht="16.5" x14ac:dyDescent="0.3">
      <c r="B59" s="236"/>
      <c r="C59" s="236"/>
      <c r="F59" s="226" t="s">
        <v>590</v>
      </c>
      <c r="G59" s="238">
        <v>0.31230000000000002</v>
      </c>
      <c r="H59" s="236"/>
      <c r="I59" s="281"/>
      <c r="J59" s="236"/>
    </row>
    <row r="61" spans="2:12" ht="16.5" x14ac:dyDescent="0.3">
      <c r="C61" s="239">
        <f>C47/100000</f>
        <v>1096.0135</v>
      </c>
      <c r="D61" t="s">
        <v>391</v>
      </c>
      <c r="F61" s="226" t="s">
        <v>354</v>
      </c>
      <c r="H61" s="394">
        <f>H3+H32+H49</f>
        <v>199997143.74000001</v>
      </c>
      <c r="I61" s="394">
        <f>I3+I32+I49</f>
        <v>11020422.7010337</v>
      </c>
      <c r="J61" s="394">
        <f>J3+J32+J49</f>
        <v>188976721.03896633</v>
      </c>
    </row>
    <row r="62" spans="2:12" ht="16.5" x14ac:dyDescent="0.3">
      <c r="F62" s="226" t="s">
        <v>355</v>
      </c>
      <c r="H62" s="394">
        <f t="shared" ref="H62:J62" si="9">H4+H33+H50</f>
        <v>188976721.03896633</v>
      </c>
      <c r="I62" s="394">
        <f t="shared" si="9"/>
        <v>41211977.502882853</v>
      </c>
      <c r="J62" s="394">
        <f t="shared" si="9"/>
        <v>147764743.53608346</v>
      </c>
    </row>
    <row r="63" spans="2:12" ht="16.5" x14ac:dyDescent="0.3">
      <c r="C63" s="239"/>
      <c r="F63" s="226" t="s">
        <v>356</v>
      </c>
      <c r="H63" s="394">
        <f t="shared" ref="H63:J63" si="10">H5+H34+H51</f>
        <v>147764743.53608346</v>
      </c>
      <c r="I63" s="394">
        <f t="shared" si="10"/>
        <v>30102264.57060777</v>
      </c>
      <c r="J63" s="394">
        <f t="shared" si="10"/>
        <v>117662478.96547569</v>
      </c>
    </row>
    <row r="64" spans="2:12" ht="16.5" x14ac:dyDescent="0.3">
      <c r="F64" s="226" t="s">
        <v>357</v>
      </c>
      <c r="H64" s="394">
        <f t="shared" ref="H64:J64" si="11">H6+H35+H52</f>
        <v>117662478.96547569</v>
      </c>
      <c r="I64" s="394">
        <f t="shared" si="11"/>
        <v>22276906.247035027</v>
      </c>
      <c r="J64" s="394">
        <f t="shared" si="11"/>
        <v>95385572.718440682</v>
      </c>
    </row>
    <row r="65" spans="6:16" ht="16.5" x14ac:dyDescent="0.3">
      <c r="F65" s="226" t="s">
        <v>358</v>
      </c>
      <c r="H65" s="394">
        <f t="shared" ref="H65:J65" si="12">H7+H36+H53</f>
        <v>95385572.718440682</v>
      </c>
      <c r="I65" s="394">
        <f t="shared" si="12"/>
        <v>16732436.508523831</v>
      </c>
      <c r="J65" s="394">
        <f t="shared" si="12"/>
        <v>78653136.209916845</v>
      </c>
    </row>
    <row r="66" spans="6:16" ht="16.5" x14ac:dyDescent="0.3">
      <c r="F66" s="226" t="s">
        <v>10</v>
      </c>
      <c r="H66" s="394">
        <f t="shared" ref="H66:J66" si="13">H8+H37+H54</f>
        <v>78653136.209916845</v>
      </c>
      <c r="I66" s="394">
        <f t="shared" si="13"/>
        <v>12775457.072061747</v>
      </c>
      <c r="J66" s="394">
        <f t="shared" si="13"/>
        <v>65877679.137855098</v>
      </c>
    </row>
    <row r="67" spans="6:16" ht="16.5" x14ac:dyDescent="0.3">
      <c r="F67" s="226" t="s">
        <v>11</v>
      </c>
      <c r="H67" s="394">
        <f t="shared" ref="H67:J67" si="14">H9+H38+H55</f>
        <v>65877679.137855098</v>
      </c>
      <c r="I67" s="394">
        <f t="shared" si="14"/>
        <v>9926429.3589074425</v>
      </c>
      <c r="J67" s="394">
        <f t="shared" si="14"/>
        <v>55951249.778947659</v>
      </c>
    </row>
    <row r="68" spans="6:16" ht="16.5" x14ac:dyDescent="0.3">
      <c r="F68" s="226" t="s">
        <v>12</v>
      </c>
      <c r="H68" s="394">
        <f t="shared" ref="H68:J68" si="15">H10+H39+H56</f>
        <v>55951249.778947659</v>
      </c>
      <c r="I68" s="394">
        <f t="shared" si="15"/>
        <v>7853372.1711274823</v>
      </c>
      <c r="J68" s="394">
        <f t="shared" si="15"/>
        <v>48097877.607820183</v>
      </c>
    </row>
    <row r="69" spans="6:16" ht="16.5" x14ac:dyDescent="0.3">
      <c r="F69" s="226" t="s">
        <v>13</v>
      </c>
      <c r="H69" s="394">
        <f t="shared" ref="H69:J69" si="16">H11+H40+H57</f>
        <v>48097877.607820183</v>
      </c>
      <c r="I69" s="394">
        <f t="shared" si="16"/>
        <v>5902061.6668063495</v>
      </c>
      <c r="J69" s="394">
        <f t="shared" si="16"/>
        <v>42195815.941013828</v>
      </c>
    </row>
    <row r="70" spans="6:16" ht="16.5" x14ac:dyDescent="0.3">
      <c r="F70" s="226" t="s">
        <v>569</v>
      </c>
      <c r="H70" s="394">
        <f t="shared" ref="H70:J70" si="17">H12+H41+H58</f>
        <v>36715748.441013828</v>
      </c>
      <c r="I70" s="394">
        <f t="shared" si="17"/>
        <v>3606032.5909636565</v>
      </c>
      <c r="J70" s="394">
        <f t="shared" si="17"/>
        <v>33109715.85005017</v>
      </c>
    </row>
    <row r="71" spans="6:16" ht="16.5" x14ac:dyDescent="0.3">
      <c r="F71" s="226" t="s">
        <v>590</v>
      </c>
      <c r="H71" s="394">
        <f t="shared" ref="H71:J71" si="18">H13+H42+H59</f>
        <v>33109715.85005017</v>
      </c>
      <c r="I71" s="394">
        <f t="shared" si="18"/>
        <v>3205410.3459211243</v>
      </c>
      <c r="J71" s="394">
        <f t="shared" si="18"/>
        <v>29904305.504129045</v>
      </c>
    </row>
    <row r="73" spans="6:16" ht="15" x14ac:dyDescent="0.25">
      <c r="F73">
        <v>100000</v>
      </c>
    </row>
    <row r="74" spans="6:16" ht="16.5" x14ac:dyDescent="0.3">
      <c r="F74" s="404" t="s">
        <v>354</v>
      </c>
      <c r="G74" s="404" t="s">
        <v>355</v>
      </c>
      <c r="H74" s="404" t="s">
        <v>356</v>
      </c>
      <c r="I74" s="404" t="s">
        <v>357</v>
      </c>
      <c r="J74" s="404" t="s">
        <v>358</v>
      </c>
      <c r="K74" s="404" t="s">
        <v>10</v>
      </c>
      <c r="L74" s="404" t="s">
        <v>11</v>
      </c>
      <c r="M74" s="404" t="s">
        <v>12</v>
      </c>
      <c r="N74" s="404" t="s">
        <v>13</v>
      </c>
      <c r="O74" s="404" t="s">
        <v>569</v>
      </c>
      <c r="P74" s="404" t="s">
        <v>590</v>
      </c>
    </row>
    <row r="75" spans="6:16" x14ac:dyDescent="0.35">
      <c r="F75" s="405">
        <v>112.76954201464383</v>
      </c>
      <c r="G75" s="405">
        <v>421.24365152537143</v>
      </c>
      <c r="H75" s="405">
        <f>305.87004767623</f>
        <v>305.87004767623</v>
      </c>
      <c r="I75" s="405">
        <f>224.811106258873</f>
        <v>224.811106258873</v>
      </c>
      <c r="J75" s="405">
        <f>167.559857934158</f>
        <v>167.559857934158</v>
      </c>
      <c r="K75" s="405">
        <f>126.858736451495</f>
        <v>126.85873645149501</v>
      </c>
      <c r="L75" s="405">
        <f>97.6909350174995</f>
        <v>97.690935017499498</v>
      </c>
      <c r="M75" s="405">
        <f>76.58537254465</f>
        <v>76.585372544649999</v>
      </c>
      <c r="N75" s="405">
        <v>56.685856438842798</v>
      </c>
      <c r="O75" s="405">
        <v>33.105175228805919</v>
      </c>
      <c r="P75" s="405">
        <v>29.379692093059504</v>
      </c>
    </row>
  </sheetData>
  <phoneticPr fontId="4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6"/>
  <sheetViews>
    <sheetView workbookViewId="0">
      <selection activeCell="F20" sqref="F20"/>
    </sheetView>
  </sheetViews>
  <sheetFormatPr defaultColWidth="11.453125" defaultRowHeight="14.5" x14ac:dyDescent="0.35"/>
  <cols>
    <col min="2" max="2" width="42.81640625" customWidth="1"/>
  </cols>
  <sheetData>
    <row r="1" spans="1:16" ht="15" x14ac:dyDescent="0.2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15" hidden="1" x14ac:dyDescent="0.25">
      <c r="A2" s="282"/>
      <c r="B2" s="282" t="s">
        <v>538</v>
      </c>
      <c r="C2" s="283">
        <v>0.11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</row>
    <row r="3" spans="1:16" ht="15" hidden="1" x14ac:dyDescent="0.25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16" ht="16.5" hidden="1" x14ac:dyDescent="0.3">
      <c r="A4" s="282"/>
      <c r="B4" s="284" t="s">
        <v>478</v>
      </c>
      <c r="C4" s="285" t="s">
        <v>539</v>
      </c>
      <c r="D4" s="285" t="s">
        <v>540</v>
      </c>
      <c r="E4" s="285" t="s">
        <v>541</v>
      </c>
      <c r="F4" s="285" t="s">
        <v>542</v>
      </c>
      <c r="G4" s="286" t="s">
        <v>357</v>
      </c>
      <c r="H4" s="287" t="s">
        <v>358</v>
      </c>
      <c r="I4" s="287" t="s">
        <v>10</v>
      </c>
      <c r="J4" s="287" t="s">
        <v>11</v>
      </c>
      <c r="K4" s="287" t="s">
        <v>12</v>
      </c>
      <c r="L4" s="287" t="s">
        <v>13</v>
      </c>
      <c r="M4" s="287" t="s">
        <v>359</v>
      </c>
      <c r="N4" s="288"/>
      <c r="O4" s="288"/>
      <c r="P4" s="288"/>
    </row>
    <row r="5" spans="1:16" ht="15" hidden="1" x14ac:dyDescent="0.25">
      <c r="A5" s="282"/>
      <c r="B5" s="289" t="s">
        <v>190</v>
      </c>
      <c r="C5" s="290">
        <v>597</v>
      </c>
      <c r="D5" s="290">
        <v>397</v>
      </c>
      <c r="E5" s="290">
        <v>197</v>
      </c>
      <c r="F5" s="290">
        <v>0</v>
      </c>
      <c r="G5" s="290">
        <v>0</v>
      </c>
      <c r="H5" s="290">
        <v>0</v>
      </c>
      <c r="I5" s="290">
        <v>0</v>
      </c>
      <c r="J5" s="290">
        <v>0</v>
      </c>
      <c r="K5" s="290">
        <v>0</v>
      </c>
      <c r="L5" s="290">
        <v>0</v>
      </c>
      <c r="M5" s="290">
        <v>0</v>
      </c>
      <c r="N5" s="282"/>
      <c r="O5" s="282"/>
      <c r="P5" s="282"/>
    </row>
    <row r="6" spans="1:16" ht="15" hidden="1" x14ac:dyDescent="0.25">
      <c r="A6" s="282"/>
      <c r="B6" s="289" t="s">
        <v>543</v>
      </c>
      <c r="C6" s="291">
        <v>10669.85</v>
      </c>
      <c r="D6" s="291">
        <v>10869.85</v>
      </c>
      <c r="E6" s="291">
        <v>11069.85</v>
      </c>
      <c r="F6" s="291">
        <v>11267.26</v>
      </c>
      <c r="G6" s="291">
        <v>11267.26</v>
      </c>
      <c r="H6" s="291">
        <v>11267.26</v>
      </c>
      <c r="I6" s="291">
        <v>11267.26</v>
      </c>
      <c r="J6" s="291">
        <v>11267.26</v>
      </c>
      <c r="K6" s="291">
        <v>11267.26</v>
      </c>
      <c r="L6" s="291">
        <v>11267.26</v>
      </c>
      <c r="M6" s="291">
        <v>11267.26</v>
      </c>
      <c r="N6" s="282"/>
      <c r="O6" s="282"/>
      <c r="P6" s="282"/>
    </row>
    <row r="7" spans="1:16" ht="15" hidden="1" x14ac:dyDescent="0.25">
      <c r="A7" s="282"/>
      <c r="B7" s="289" t="s">
        <v>544</v>
      </c>
      <c r="C7" s="290">
        <v>4418</v>
      </c>
      <c r="D7" s="290">
        <v>5876</v>
      </c>
      <c r="E7" s="290">
        <v>7116</v>
      </c>
      <c r="F7" s="290">
        <v>8142</v>
      </c>
      <c r="G7" s="290">
        <v>8957</v>
      </c>
      <c r="H7" s="290">
        <v>9604</v>
      </c>
      <c r="I7" s="290">
        <v>10117</v>
      </c>
      <c r="J7" s="290">
        <v>10526</v>
      </c>
      <c r="K7" s="290">
        <v>10850</v>
      </c>
      <c r="L7" s="290">
        <v>11107</v>
      </c>
      <c r="M7" s="290">
        <v>11312</v>
      </c>
      <c r="N7" s="282"/>
      <c r="O7" s="282"/>
      <c r="P7" s="282"/>
    </row>
    <row r="8" spans="1:16" ht="15" hidden="1" x14ac:dyDescent="0.25">
      <c r="A8" s="282"/>
      <c r="B8" s="292" t="s">
        <v>545</v>
      </c>
      <c r="C8" s="293">
        <v>6252</v>
      </c>
      <c r="D8" s="293">
        <v>4994</v>
      </c>
      <c r="E8" s="293">
        <v>3953</v>
      </c>
      <c r="F8" s="293">
        <v>3125</v>
      </c>
      <c r="G8" s="293">
        <v>2311</v>
      </c>
      <c r="H8" s="293">
        <v>1664</v>
      </c>
      <c r="I8" s="293">
        <v>1150</v>
      </c>
      <c r="J8" s="293">
        <v>742</v>
      </c>
      <c r="K8" s="293">
        <v>417</v>
      </c>
      <c r="L8" s="293">
        <v>160</v>
      </c>
      <c r="M8" s="293">
        <v>-45</v>
      </c>
      <c r="N8" s="282"/>
      <c r="O8" s="282"/>
      <c r="P8" s="282"/>
    </row>
    <row r="9" spans="1:16" ht="15" hidden="1" x14ac:dyDescent="0.25">
      <c r="A9" s="282"/>
      <c r="B9" s="282" t="s">
        <v>546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</row>
    <row r="10" spans="1:16" ht="15" x14ac:dyDescent="0.25">
      <c r="A10" s="282"/>
      <c r="B10" s="282"/>
      <c r="C10" s="398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</row>
    <row r="11" spans="1:16" ht="15" x14ac:dyDescent="0.25">
      <c r="A11" s="282"/>
      <c r="B11" s="292" t="s">
        <v>547</v>
      </c>
      <c r="C11" s="283">
        <f>C18/C13</f>
        <v>0.17723401333134023</v>
      </c>
      <c r="D11" s="282" t="s">
        <v>571</v>
      </c>
      <c r="E11" s="282"/>
      <c r="F11" s="282"/>
      <c r="G11" s="283">
        <v>0.15</v>
      </c>
      <c r="H11" s="282" t="s">
        <v>643</v>
      </c>
      <c r="I11" s="282"/>
      <c r="J11" s="282"/>
      <c r="K11" s="282"/>
      <c r="L11" s="282"/>
      <c r="M11" s="282"/>
      <c r="N11" s="282"/>
      <c r="O11" s="282"/>
      <c r="P11" s="282"/>
    </row>
    <row r="12" spans="1:16" ht="15" x14ac:dyDescent="0.25">
      <c r="A12" s="282"/>
      <c r="B12" s="284" t="s">
        <v>445</v>
      </c>
      <c r="C12" s="400" t="s">
        <v>539</v>
      </c>
      <c r="D12" s="400" t="s">
        <v>540</v>
      </c>
      <c r="E12" s="400" t="s">
        <v>541</v>
      </c>
      <c r="F12" s="400" t="s">
        <v>542</v>
      </c>
      <c r="G12" s="400" t="s">
        <v>357</v>
      </c>
      <c r="H12" s="401" t="s">
        <v>358</v>
      </c>
      <c r="I12" s="401" t="s">
        <v>10</v>
      </c>
      <c r="J12" s="401" t="s">
        <v>11</v>
      </c>
      <c r="K12" s="401" t="s">
        <v>12</v>
      </c>
      <c r="L12" s="401" t="s">
        <v>13</v>
      </c>
      <c r="M12" s="401" t="s">
        <v>569</v>
      </c>
      <c r="N12" s="282"/>
      <c r="O12" s="282"/>
      <c r="P12" s="282"/>
    </row>
    <row r="13" spans="1:16" ht="15" x14ac:dyDescent="0.25">
      <c r="A13" s="282"/>
      <c r="B13" s="294" t="s">
        <v>548</v>
      </c>
      <c r="C13" s="402">
        <v>6563.6300737895353</v>
      </c>
      <c r="D13" s="402">
        <f>C22</f>
        <v>5654.44</v>
      </c>
      <c r="E13" s="402">
        <f>D22</f>
        <v>4891.79</v>
      </c>
      <c r="F13" s="402">
        <f t="shared" ref="F13:M13" si="0">E22</f>
        <v>4189.3516232596148</v>
      </c>
      <c r="G13" s="402">
        <f t="shared" si="0"/>
        <v>3609.2782552414083</v>
      </c>
      <c r="H13" s="402">
        <f t="shared" si="0"/>
        <v>3134.1445821691682</v>
      </c>
      <c r="I13" s="402">
        <f t="shared" si="0"/>
        <v>2846.1570094364979</v>
      </c>
      <c r="J13" s="402">
        <f t="shared" si="0"/>
        <v>2341.7211800829423</v>
      </c>
      <c r="K13" s="402">
        <f t="shared" si="0"/>
        <v>1926.6885372338402</v>
      </c>
      <c r="L13" s="402">
        <f t="shared" si="0"/>
        <v>1585.2137953403974</v>
      </c>
      <c r="M13" s="402">
        <f t="shared" si="0"/>
        <v>1304.259992404013</v>
      </c>
      <c r="N13" s="282"/>
      <c r="O13" s="282"/>
      <c r="P13" s="282"/>
    </row>
    <row r="14" spans="1:16" ht="15" x14ac:dyDescent="0.25">
      <c r="A14" s="282"/>
      <c r="B14" s="294" t="s">
        <v>597</v>
      </c>
      <c r="C14" s="403"/>
      <c r="D14" s="402">
        <f>200+89.35-82</f>
        <v>207.35000000000002</v>
      </c>
      <c r="E14" s="402">
        <v>200</v>
      </c>
      <c r="F14" s="402">
        <v>197.41</v>
      </c>
      <c r="G14" s="478">
        <v>200</v>
      </c>
      <c r="H14" s="478">
        <v>325.11</v>
      </c>
      <c r="I14" s="478">
        <v>0</v>
      </c>
      <c r="J14" s="478">
        <v>0</v>
      </c>
      <c r="K14" s="478">
        <v>0</v>
      </c>
      <c r="L14" s="478">
        <v>0</v>
      </c>
      <c r="M14" s="478">
        <v>0</v>
      </c>
      <c r="N14" s="282"/>
      <c r="O14" s="282"/>
      <c r="P14" s="282"/>
    </row>
    <row r="15" spans="1:16" ht="15" x14ac:dyDescent="0.25">
      <c r="A15" s="282"/>
      <c r="B15" s="529" t="s">
        <v>644</v>
      </c>
      <c r="C15" s="403"/>
      <c r="D15" s="478">
        <v>0</v>
      </c>
      <c r="E15" s="402">
        <v>2400</v>
      </c>
      <c r="F15" s="402">
        <f>2400+E23</f>
        <v>4770</v>
      </c>
      <c r="G15" s="479">
        <f t="shared" ref="G15:L15" si="1">F23</f>
        <v>4054.5</v>
      </c>
      <c r="H15" s="479">
        <f t="shared" si="1"/>
        <v>3446.3249999999998</v>
      </c>
      <c r="I15" s="479">
        <f t="shared" si="1"/>
        <v>2929.3762499999998</v>
      </c>
      <c r="J15" s="478">
        <f t="shared" si="1"/>
        <v>2489.9698124999995</v>
      </c>
      <c r="K15" s="478">
        <f t="shared" si="1"/>
        <v>2116.4743406249995</v>
      </c>
      <c r="L15" s="478">
        <f t="shared" si="1"/>
        <v>1799.0031895312495</v>
      </c>
      <c r="M15" s="478">
        <v>0</v>
      </c>
      <c r="N15" s="282"/>
      <c r="O15" s="282"/>
      <c r="P15" s="282"/>
    </row>
    <row r="16" spans="1:16" s="245" customFormat="1" ht="15" x14ac:dyDescent="0.25">
      <c r="A16" s="460"/>
      <c r="B16" s="297" t="s">
        <v>391</v>
      </c>
      <c r="C16" s="461">
        <f t="shared" ref="C16:M16" si="2">SUM(C13:C15)</f>
        <v>6563.6300737895353</v>
      </c>
      <c r="D16" s="461">
        <f t="shared" si="2"/>
        <v>5861.79</v>
      </c>
      <c r="E16" s="461">
        <f t="shared" si="2"/>
        <v>7491.79</v>
      </c>
      <c r="F16" s="461">
        <f t="shared" si="2"/>
        <v>9156.7616232596156</v>
      </c>
      <c r="G16" s="461">
        <f t="shared" si="2"/>
        <v>7863.7782552414083</v>
      </c>
      <c r="H16" s="461">
        <f t="shared" si="2"/>
        <v>6905.5795821691681</v>
      </c>
      <c r="I16" s="461">
        <f t="shared" si="2"/>
        <v>5775.5332594364972</v>
      </c>
      <c r="J16" s="461">
        <f t="shared" si="2"/>
        <v>4831.6909925829423</v>
      </c>
      <c r="K16" s="461">
        <f t="shared" si="2"/>
        <v>4043.1628778588397</v>
      </c>
      <c r="L16" s="461">
        <f t="shared" si="2"/>
        <v>3384.2169848716467</v>
      </c>
      <c r="M16" s="461">
        <f t="shared" si="2"/>
        <v>1304.259992404013</v>
      </c>
      <c r="N16" s="460"/>
      <c r="O16" s="460"/>
      <c r="P16" s="460"/>
    </row>
    <row r="17" spans="1:16" ht="15" x14ac:dyDescent="0.25">
      <c r="A17" s="282"/>
      <c r="B17" s="294"/>
      <c r="C17" s="403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282"/>
      <c r="O17" s="282"/>
      <c r="P17" s="282"/>
    </row>
    <row r="18" spans="1:16" ht="15" x14ac:dyDescent="0.25">
      <c r="A18" s="282"/>
      <c r="B18" s="297" t="s">
        <v>445</v>
      </c>
      <c r="C18" s="402">
        <v>1163.2985000000001</v>
      </c>
      <c r="D18" s="402">
        <v>970</v>
      </c>
      <c r="E18" s="402">
        <f>((E13+E14)*$C$11)</f>
        <v>902.43837674038491</v>
      </c>
      <c r="F18" s="402">
        <f t="shared" ref="F18:M18" si="3">(F13+F14)*$C$11</f>
        <v>777.48336801820631</v>
      </c>
      <c r="G18" s="402">
        <f t="shared" si="3"/>
        <v>675.13367307224019</v>
      </c>
      <c r="H18" s="402">
        <f t="shared" si="3"/>
        <v>613.09757273267019</v>
      </c>
      <c r="I18" s="402">
        <f t="shared" si="3"/>
        <v>504.43582935355573</v>
      </c>
      <c r="J18" s="402">
        <f t="shared" si="3"/>
        <v>415.03264284910199</v>
      </c>
      <c r="K18" s="402">
        <f t="shared" si="3"/>
        <v>341.47474189344285</v>
      </c>
      <c r="L18" s="402">
        <f t="shared" si="3"/>
        <v>280.95380293638442</v>
      </c>
      <c r="M18" s="402">
        <f t="shared" si="3"/>
        <v>231.15923288126655</v>
      </c>
      <c r="N18" s="282"/>
      <c r="O18" s="282"/>
      <c r="P18" s="282"/>
    </row>
    <row r="19" spans="1:16" ht="15" x14ac:dyDescent="0.25">
      <c r="A19" s="282"/>
      <c r="B19" s="528" t="s">
        <v>645</v>
      </c>
      <c r="C19" s="402">
        <v>0</v>
      </c>
      <c r="D19" s="402">
        <v>0</v>
      </c>
      <c r="E19" s="478">
        <v>30</v>
      </c>
      <c r="F19" s="478">
        <v>715.5</v>
      </c>
      <c r="G19" s="479">
        <v>608.17499999999995</v>
      </c>
      <c r="H19" s="402">
        <v>516.9487499999999</v>
      </c>
      <c r="I19" s="402">
        <v>439.40643750000004</v>
      </c>
      <c r="J19" s="402">
        <v>373.49547187500002</v>
      </c>
      <c r="K19" s="402">
        <v>317.47115109375</v>
      </c>
      <c r="L19" s="402">
        <v>269.85047842968748</v>
      </c>
      <c r="M19" s="402">
        <f>'[2]Conso P&amp;L'!$O$22/10^5</f>
        <v>0</v>
      </c>
      <c r="N19" s="282"/>
      <c r="O19" s="282"/>
      <c r="P19" s="282"/>
    </row>
    <row r="20" spans="1:16" s="245" customFormat="1" ht="15" x14ac:dyDescent="0.25">
      <c r="A20" s="460"/>
      <c r="B20" s="462" t="s">
        <v>647</v>
      </c>
      <c r="C20" s="463">
        <f>SUM(C18:C19)</f>
        <v>1163.2985000000001</v>
      </c>
      <c r="D20" s="463">
        <f t="shared" ref="D20:M20" si="4">SUM(D18:D19)</f>
        <v>970</v>
      </c>
      <c r="E20" s="463">
        <f t="shared" si="4"/>
        <v>932.43837674038491</v>
      </c>
      <c r="F20" s="463">
        <f t="shared" si="4"/>
        <v>1492.9833680182064</v>
      </c>
      <c r="G20" s="463">
        <f t="shared" si="4"/>
        <v>1283.3086730722403</v>
      </c>
      <c r="H20" s="463">
        <f t="shared" si="4"/>
        <v>1130.04632273267</v>
      </c>
      <c r="I20" s="463">
        <f t="shared" si="4"/>
        <v>943.84226685355577</v>
      </c>
      <c r="J20" s="463">
        <f t="shared" si="4"/>
        <v>788.52811472410201</v>
      </c>
      <c r="K20" s="463">
        <f t="shared" si="4"/>
        <v>658.94589298719279</v>
      </c>
      <c r="L20" s="463">
        <f t="shared" si="4"/>
        <v>550.8042813660719</v>
      </c>
      <c r="M20" s="463">
        <f t="shared" si="4"/>
        <v>231.15923288126655</v>
      </c>
      <c r="N20" s="460"/>
      <c r="O20" s="460"/>
      <c r="P20" s="460"/>
    </row>
    <row r="21" spans="1:16" ht="15" x14ac:dyDescent="0.25">
      <c r="A21" s="282"/>
      <c r="B21" s="236"/>
      <c r="C21" s="464"/>
      <c r="D21" s="464"/>
      <c r="E21" s="464"/>
      <c r="F21" s="464"/>
      <c r="G21" s="464"/>
      <c r="H21" s="464"/>
      <c r="I21" s="464"/>
      <c r="J21" s="464"/>
      <c r="K21" s="464"/>
      <c r="L21" s="464"/>
      <c r="M21" s="464"/>
      <c r="N21" s="282"/>
      <c r="O21" s="282"/>
      <c r="P21" s="282"/>
    </row>
    <row r="22" spans="1:16" ht="15" x14ac:dyDescent="0.25">
      <c r="A22" s="282"/>
      <c r="B22" s="298" t="s">
        <v>411</v>
      </c>
      <c r="C22" s="464">
        <v>5654.44</v>
      </c>
      <c r="D22" s="464">
        <f>D13+D14-D18</f>
        <v>4891.79</v>
      </c>
      <c r="E22" s="464">
        <f t="shared" ref="E22:M22" si="5">E13+E14-E18</f>
        <v>4189.3516232596148</v>
      </c>
      <c r="F22" s="464">
        <f t="shared" si="5"/>
        <v>3609.2782552414083</v>
      </c>
      <c r="G22" s="464">
        <f t="shared" si="5"/>
        <v>3134.1445821691682</v>
      </c>
      <c r="H22" s="464">
        <f t="shared" si="5"/>
        <v>2846.1570094364979</v>
      </c>
      <c r="I22" s="464">
        <f t="shared" si="5"/>
        <v>2341.7211800829423</v>
      </c>
      <c r="J22" s="464">
        <f t="shared" si="5"/>
        <v>1926.6885372338402</v>
      </c>
      <c r="K22" s="464">
        <f t="shared" si="5"/>
        <v>1585.2137953403974</v>
      </c>
      <c r="L22" s="464">
        <f t="shared" si="5"/>
        <v>1304.259992404013</v>
      </c>
      <c r="M22" s="464">
        <f t="shared" si="5"/>
        <v>1073.1007595227466</v>
      </c>
      <c r="N22" s="282"/>
      <c r="O22" s="282"/>
      <c r="P22" s="282"/>
    </row>
    <row r="23" spans="1:16" ht="15" x14ac:dyDescent="0.25">
      <c r="A23" s="282"/>
      <c r="B23" s="527" t="s">
        <v>646</v>
      </c>
      <c r="C23" s="464">
        <v>0</v>
      </c>
      <c r="D23" s="464">
        <v>0</v>
      </c>
      <c r="E23" s="464">
        <f>E15-E19</f>
        <v>2370</v>
      </c>
      <c r="F23" s="464">
        <f>F15-F19</f>
        <v>4054.5</v>
      </c>
      <c r="G23" s="464">
        <f t="shared" ref="G23:M23" si="6">G15-G19</f>
        <v>3446.3249999999998</v>
      </c>
      <c r="H23" s="464">
        <f t="shared" si="6"/>
        <v>2929.3762499999998</v>
      </c>
      <c r="I23" s="464">
        <f t="shared" si="6"/>
        <v>2489.9698124999995</v>
      </c>
      <c r="J23" s="464">
        <f t="shared" si="6"/>
        <v>2116.4743406249995</v>
      </c>
      <c r="K23" s="464">
        <f t="shared" si="6"/>
        <v>1799.0031895312495</v>
      </c>
      <c r="L23" s="464">
        <f t="shared" si="6"/>
        <v>1529.1527111015621</v>
      </c>
      <c r="M23" s="464">
        <f t="shared" si="6"/>
        <v>0</v>
      </c>
      <c r="N23" s="282"/>
      <c r="O23" s="282"/>
      <c r="P23" s="282"/>
    </row>
    <row r="24" spans="1:16" s="245" customFormat="1" ht="15" x14ac:dyDescent="0.25">
      <c r="A24" s="460"/>
      <c r="B24" s="462" t="s">
        <v>648</v>
      </c>
      <c r="C24" s="463">
        <f>SUM(C22:C23)</f>
        <v>5654.44</v>
      </c>
      <c r="D24" s="463">
        <f t="shared" ref="D24:M24" si="7">SUM(D22:D23)</f>
        <v>4891.79</v>
      </c>
      <c r="E24" s="463">
        <f t="shared" si="7"/>
        <v>6559.3516232596148</v>
      </c>
      <c r="F24" s="463">
        <f t="shared" si="7"/>
        <v>7663.7782552414083</v>
      </c>
      <c r="G24" s="463">
        <f t="shared" si="7"/>
        <v>6580.4695821691676</v>
      </c>
      <c r="H24" s="463">
        <f t="shared" si="7"/>
        <v>5775.5332594364972</v>
      </c>
      <c r="I24" s="463">
        <f t="shared" si="7"/>
        <v>4831.6909925829423</v>
      </c>
      <c r="J24" s="463">
        <f t="shared" si="7"/>
        <v>4043.1628778588397</v>
      </c>
      <c r="K24" s="463">
        <f t="shared" si="7"/>
        <v>3384.2169848716467</v>
      </c>
      <c r="L24" s="463">
        <f t="shared" si="7"/>
        <v>2833.4127035055753</v>
      </c>
      <c r="M24" s="463">
        <f t="shared" si="7"/>
        <v>1073.1007595227466</v>
      </c>
      <c r="N24" s="460"/>
      <c r="O24" s="460"/>
      <c r="P24" s="460"/>
    </row>
    <row r="25" spans="1:16" ht="15" x14ac:dyDescent="0.25">
      <c r="A25" s="282"/>
      <c r="C25" s="399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</row>
    <row r="26" spans="1:16" ht="15" hidden="1" x14ac:dyDescent="0.25">
      <c r="A26" s="282"/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</row>
    <row r="27" spans="1:16" ht="15" hidden="1" x14ac:dyDescent="0.25">
      <c r="A27" s="282"/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</row>
    <row r="28" spans="1:16" ht="16.5" hidden="1" x14ac:dyDescent="0.3">
      <c r="A28" s="282"/>
      <c r="B28" s="298" t="s">
        <v>549</v>
      </c>
      <c r="C28" s="285" t="s">
        <v>540</v>
      </c>
      <c r="D28" s="285"/>
      <c r="E28" s="285"/>
      <c r="F28" s="286"/>
      <c r="G28" s="287"/>
      <c r="H28" s="287" t="s">
        <v>10</v>
      </c>
      <c r="I28" s="287" t="s">
        <v>11</v>
      </c>
      <c r="J28" s="287" t="s">
        <v>12</v>
      </c>
      <c r="K28" s="287" t="s">
        <v>13</v>
      </c>
      <c r="L28" s="287" t="s">
        <v>359</v>
      </c>
      <c r="M28" s="282"/>
      <c r="N28" s="282"/>
      <c r="O28" s="282"/>
      <c r="P28" s="282"/>
    </row>
    <row r="29" spans="1:16" ht="15" hidden="1" x14ac:dyDescent="0.25">
      <c r="A29" s="282"/>
      <c r="B29" s="294" t="s">
        <v>550</v>
      </c>
      <c r="C29" s="296">
        <v>2000</v>
      </c>
      <c r="D29" s="296"/>
      <c r="E29" s="296"/>
      <c r="F29" s="296"/>
      <c r="G29" s="296"/>
      <c r="H29" s="296">
        <v>632</v>
      </c>
      <c r="I29" s="296">
        <v>502</v>
      </c>
      <c r="J29" s="296">
        <v>399</v>
      </c>
      <c r="K29" s="296">
        <v>317</v>
      </c>
      <c r="L29" s="296">
        <v>252</v>
      </c>
      <c r="M29" s="282"/>
      <c r="N29" s="282"/>
      <c r="O29" s="282"/>
      <c r="P29" s="282"/>
    </row>
    <row r="30" spans="1:16" ht="15" hidden="1" x14ac:dyDescent="0.25">
      <c r="A30" s="282"/>
      <c r="B30" s="294" t="s">
        <v>445</v>
      </c>
      <c r="C30" s="295">
        <v>411.46292</v>
      </c>
      <c r="D30" s="295"/>
      <c r="E30" s="295"/>
      <c r="F30" s="295"/>
      <c r="G30" s="295"/>
      <c r="H30" s="295">
        <v>130.06710000000001</v>
      </c>
      <c r="I30" s="295">
        <v>103.3082</v>
      </c>
      <c r="J30" s="295">
        <v>82.054469999999995</v>
      </c>
      <c r="K30" s="295">
        <v>65.173280000000005</v>
      </c>
      <c r="L30" s="295">
        <v>51.765090000000001</v>
      </c>
      <c r="M30" s="282"/>
      <c r="N30" s="282"/>
      <c r="O30" s="282"/>
      <c r="P30" s="282"/>
    </row>
    <row r="31" spans="1:16" ht="15" hidden="1" x14ac:dyDescent="0.25">
      <c r="A31" s="282"/>
      <c r="B31" s="294" t="s">
        <v>411</v>
      </c>
      <c r="C31" s="296">
        <v>1589</v>
      </c>
      <c r="D31" s="296"/>
      <c r="E31" s="296"/>
      <c r="F31" s="296"/>
      <c r="G31" s="296"/>
      <c r="H31" s="296">
        <v>502</v>
      </c>
      <c r="I31" s="296">
        <v>399</v>
      </c>
      <c r="J31" s="296">
        <v>317</v>
      </c>
      <c r="K31" s="296">
        <v>252</v>
      </c>
      <c r="L31" s="296">
        <v>200</v>
      </c>
      <c r="M31" s="282"/>
      <c r="N31" s="282"/>
      <c r="O31" s="282"/>
      <c r="P31" s="282"/>
    </row>
    <row r="32" spans="1:16" ht="15" hidden="1" x14ac:dyDescent="0.25">
      <c r="C32">
        <f>C30+C18</f>
        <v>1574.76142</v>
      </c>
    </row>
    <row r="33" spans="2:15" ht="15" x14ac:dyDescent="0.25">
      <c r="B33" s="282" t="s">
        <v>649</v>
      </c>
    </row>
    <row r="34" spans="2:15" ht="15" x14ac:dyDescent="0.25">
      <c r="C34">
        <f>C13*18%</f>
        <v>1181.4534132821163</v>
      </c>
      <c r="F34" s="383"/>
    </row>
    <row r="35" spans="2:15" ht="15.75" x14ac:dyDescent="0.25">
      <c r="D35" s="465"/>
      <c r="F35" s="383"/>
      <c r="G35" s="383"/>
      <c r="H35" s="383"/>
      <c r="I35" s="383"/>
      <c r="J35" s="383"/>
      <c r="K35" s="383"/>
      <c r="L35" s="383"/>
      <c r="M35" s="383"/>
      <c r="N35" s="383"/>
      <c r="O35" s="383"/>
    </row>
    <row r="36" spans="2:15" ht="15.75" x14ac:dyDescent="0.25">
      <c r="B36" t="s">
        <v>650</v>
      </c>
      <c r="D36" s="466">
        <v>30</v>
      </c>
      <c r="E36" s="466"/>
      <c r="F36" s="383"/>
      <c r="G36" s="383"/>
      <c r="H36" s="383"/>
      <c r="I36" s="383"/>
      <c r="J36" s="383"/>
      <c r="K36" s="383"/>
      <c r="L36" s="383"/>
      <c r="M36" s="383"/>
      <c r="N36" s="383"/>
      <c r="O36" s="383"/>
    </row>
    <row r="37" spans="2:15" ht="15.75" x14ac:dyDescent="0.25">
      <c r="B37" t="s">
        <v>651</v>
      </c>
      <c r="D37" s="465">
        <v>30</v>
      </c>
      <c r="E37" s="466"/>
      <c r="F37" s="383"/>
      <c r="G37" s="383"/>
      <c r="H37" s="383"/>
      <c r="I37" s="383"/>
      <c r="J37" s="383"/>
      <c r="K37" s="383"/>
      <c r="L37" s="383"/>
      <c r="M37" s="383"/>
      <c r="N37" s="383"/>
      <c r="O37" s="383"/>
    </row>
    <row r="38" spans="2:15" ht="15.75" x14ac:dyDescent="0.25">
      <c r="B38" t="s">
        <v>652</v>
      </c>
      <c r="D38" s="465">
        <v>29.35</v>
      </c>
      <c r="E38" s="466"/>
      <c r="F38" s="383"/>
      <c r="G38" s="383"/>
      <c r="H38" s="383"/>
      <c r="I38" s="383"/>
      <c r="J38" s="383"/>
      <c r="K38" s="383"/>
      <c r="L38" s="383"/>
      <c r="M38" s="383"/>
      <c r="N38" s="383"/>
      <c r="O38" s="383"/>
    </row>
    <row r="39" spans="2:15" ht="15.75" x14ac:dyDescent="0.25">
      <c r="D39" s="465">
        <f>D36+D37+D38</f>
        <v>89.35</v>
      </c>
      <c r="E39" s="466"/>
      <c r="F39" s="383"/>
      <c r="G39" s="383"/>
      <c r="H39" s="383"/>
      <c r="I39" s="383"/>
      <c r="J39" s="383"/>
      <c r="K39" s="383"/>
      <c r="L39" s="383"/>
      <c r="M39" s="383"/>
      <c r="N39" s="383"/>
      <c r="O39" s="383"/>
    </row>
    <row r="40" spans="2:15" x14ac:dyDescent="0.35">
      <c r="F40" s="383"/>
      <c r="G40" s="383"/>
      <c r="H40" s="383"/>
      <c r="I40" s="383"/>
      <c r="J40" s="383"/>
      <c r="K40" s="383"/>
      <c r="L40" s="383"/>
      <c r="M40" s="383"/>
      <c r="N40" s="383"/>
      <c r="O40" s="383"/>
    </row>
    <row r="44" spans="2:15" x14ac:dyDescent="0.35">
      <c r="D44" s="280"/>
    </row>
    <row r="46" spans="2:15" x14ac:dyDescent="0.35">
      <c r="E46" s="28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4"/>
  <sheetViews>
    <sheetView tabSelected="1" workbookViewId="0">
      <selection activeCell="F3" sqref="F3"/>
    </sheetView>
  </sheetViews>
  <sheetFormatPr defaultRowHeight="14.5" x14ac:dyDescent="0.35"/>
  <cols>
    <col min="1" max="1" width="5.1796875" customWidth="1"/>
    <col min="2" max="2" width="29.81640625" customWidth="1"/>
    <col min="3" max="3" width="5.453125" customWidth="1"/>
    <col min="4" max="4" width="23.26953125" customWidth="1"/>
    <col min="5" max="5" width="11.81640625" customWidth="1"/>
    <col min="6" max="6" width="10.81640625" customWidth="1"/>
    <col min="7" max="7" width="15.453125" customWidth="1"/>
    <col min="8" max="8" width="9.81640625" customWidth="1"/>
    <col min="9" max="9" width="9.1796875" bestFit="1" customWidth="1"/>
    <col min="10" max="11" width="9.1796875" customWidth="1"/>
    <col min="12" max="12" width="9.1796875" bestFit="1" customWidth="1"/>
    <col min="13" max="13" width="13.1796875" customWidth="1"/>
    <col min="14" max="14" width="11.453125" customWidth="1"/>
    <col min="15" max="16" width="9.1796875" bestFit="1" customWidth="1"/>
    <col min="17" max="17" width="10.81640625" customWidth="1"/>
    <col min="18" max="18" width="9.1796875" bestFit="1" customWidth="1"/>
    <col min="19" max="20" width="9.1796875" customWidth="1"/>
    <col min="21" max="21" width="9.1796875" bestFit="1" customWidth="1"/>
    <col min="22" max="22" width="10.1796875" customWidth="1"/>
  </cols>
  <sheetData>
    <row r="1" spans="1:22" ht="15" x14ac:dyDescent="0.25">
      <c r="C1" t="s">
        <v>404</v>
      </c>
      <c r="D1" t="s">
        <v>751</v>
      </c>
      <c r="E1" t="s">
        <v>404</v>
      </c>
      <c r="F1" t="s">
        <v>405</v>
      </c>
      <c r="G1" t="s">
        <v>391</v>
      </c>
      <c r="H1" t="s">
        <v>404</v>
      </c>
      <c r="I1" t="s">
        <v>405</v>
      </c>
      <c r="J1" t="s">
        <v>391</v>
      </c>
      <c r="K1" t="s">
        <v>404</v>
      </c>
      <c r="L1" t="s">
        <v>405</v>
      </c>
      <c r="M1" t="s">
        <v>391</v>
      </c>
      <c r="N1" t="s">
        <v>404</v>
      </c>
      <c r="O1" t="s">
        <v>405</v>
      </c>
      <c r="P1" t="s">
        <v>391</v>
      </c>
      <c r="Q1" t="s">
        <v>404</v>
      </c>
      <c r="R1" t="s">
        <v>405</v>
      </c>
      <c r="S1" t="s">
        <v>391</v>
      </c>
      <c r="T1" t="s">
        <v>404</v>
      </c>
      <c r="U1" t="s">
        <v>405</v>
      </c>
      <c r="V1" t="s">
        <v>391</v>
      </c>
    </row>
    <row r="2" spans="1:22" ht="15" x14ac:dyDescent="0.25">
      <c r="A2" s="240" t="s">
        <v>749</v>
      </c>
      <c r="B2" s="240" t="s">
        <v>478</v>
      </c>
      <c r="C2" s="236"/>
      <c r="D2" s="236"/>
      <c r="E2" s="390" t="s">
        <v>355</v>
      </c>
      <c r="F2" s="390" t="s">
        <v>355</v>
      </c>
      <c r="G2" s="390" t="s">
        <v>355</v>
      </c>
      <c r="H2" s="390" t="s">
        <v>356</v>
      </c>
      <c r="I2" s="390" t="s">
        <v>356</v>
      </c>
      <c r="J2" s="390" t="s">
        <v>356</v>
      </c>
      <c r="K2" s="390" t="s">
        <v>357</v>
      </c>
      <c r="L2" s="390" t="s">
        <v>357</v>
      </c>
      <c r="M2" s="390" t="s">
        <v>357</v>
      </c>
      <c r="N2" s="390" t="s">
        <v>358</v>
      </c>
      <c r="O2" s="390" t="s">
        <v>358</v>
      </c>
      <c r="P2" s="390" t="s">
        <v>358</v>
      </c>
      <c r="Q2" s="390" t="s">
        <v>10</v>
      </c>
      <c r="R2" s="390" t="s">
        <v>10</v>
      </c>
      <c r="S2" s="390" t="s">
        <v>10</v>
      </c>
      <c r="T2" s="390" t="s">
        <v>11</v>
      </c>
      <c r="U2" s="390" t="s">
        <v>11</v>
      </c>
      <c r="V2" s="390" t="s">
        <v>11</v>
      </c>
    </row>
    <row r="3" spans="1:22" ht="15" x14ac:dyDescent="0.25">
      <c r="A3" s="546">
        <v>1</v>
      </c>
      <c r="B3" s="236" t="s">
        <v>725</v>
      </c>
      <c r="C3" s="392">
        <v>1</v>
      </c>
      <c r="D3" s="236" t="s">
        <v>729</v>
      </c>
      <c r="E3" s="545">
        <f>+Assumption!B7</f>
        <v>2025.17563</v>
      </c>
      <c r="F3" s="545">
        <v>210.25</v>
      </c>
      <c r="G3" s="543">
        <f>SUM(E3:F3)</f>
        <v>2235.4256299999997</v>
      </c>
      <c r="H3" s="545">
        <f>Assumption!C7</f>
        <v>2300</v>
      </c>
      <c r="I3" s="545">
        <f>+'new project'!D13</f>
        <v>3435.1880000000001</v>
      </c>
      <c r="J3" s="543">
        <f>SUM(H3:I3)</f>
        <v>5735.1880000000001</v>
      </c>
      <c r="K3" s="545">
        <f>Assumption!D7</f>
        <v>2400</v>
      </c>
      <c r="L3" s="545">
        <f>+'new project'!E13</f>
        <v>3558.5190000000002</v>
      </c>
      <c r="M3" s="543">
        <f>SUM(K3:L3)</f>
        <v>5958.5190000000002</v>
      </c>
      <c r="N3" s="545">
        <f>Assumption!E7</f>
        <v>2400</v>
      </c>
      <c r="O3" s="545">
        <f>+'new project'!F13</f>
        <v>3689.0065500000001</v>
      </c>
      <c r="P3" s="543">
        <f>SUM(N3:O3)</f>
        <v>6089.0065500000001</v>
      </c>
      <c r="Q3" s="545">
        <f>Assumption!F7</f>
        <v>2500</v>
      </c>
      <c r="R3" s="545">
        <f>+'new project'!G13</f>
        <v>3827.0827275000001</v>
      </c>
      <c r="S3" s="543">
        <f>SUM(Q3:R3)</f>
        <v>6327.0827275000001</v>
      </c>
      <c r="T3" s="545">
        <f>Assumption!G7</f>
        <v>2600</v>
      </c>
      <c r="U3" s="543">
        <f>+'new project'!H13</f>
        <v>3973.206782625</v>
      </c>
      <c r="V3" s="543">
        <f>SUM(T3:U3)</f>
        <v>6573.2067826250004</v>
      </c>
    </row>
    <row r="4" spans="1:22" ht="15" x14ac:dyDescent="0.25">
      <c r="A4" s="546">
        <v>2</v>
      </c>
      <c r="B4" s="236" t="s">
        <v>663</v>
      </c>
      <c r="C4" s="392" t="s">
        <v>934</v>
      </c>
      <c r="D4" s="236" t="s">
        <v>658</v>
      </c>
      <c r="E4" s="545">
        <v>162</v>
      </c>
      <c r="F4" s="545">
        <v>40</v>
      </c>
      <c r="G4" s="543">
        <f t="shared" ref="G4:G7" si="0">SUM(E4:F4)</f>
        <v>202</v>
      </c>
      <c r="H4" s="545">
        <v>165</v>
      </c>
      <c r="I4" s="545">
        <f>+'new project'!D22</f>
        <v>488</v>
      </c>
      <c r="J4" s="543">
        <f t="shared" ref="J4:J7" si="1">SUM(H4:I4)</f>
        <v>653</v>
      </c>
      <c r="K4" s="545">
        <v>165</v>
      </c>
      <c r="L4" s="545">
        <f>+'new project'!E22</f>
        <v>512.4</v>
      </c>
      <c r="M4" s="543">
        <f t="shared" ref="M4:M7" si="2">SUM(K4:L4)</f>
        <v>677.4</v>
      </c>
      <c r="N4" s="545">
        <v>165</v>
      </c>
      <c r="O4" s="545">
        <f>+'new project'!F22</f>
        <v>538.02</v>
      </c>
      <c r="P4" s="543">
        <f t="shared" ref="P4:P7" si="3">SUM(N4:O4)</f>
        <v>703.02</v>
      </c>
      <c r="Q4" s="545">
        <v>168</v>
      </c>
      <c r="R4" s="545">
        <f>+'new project'!G22</f>
        <v>564.92100000000005</v>
      </c>
      <c r="S4" s="543">
        <f t="shared" ref="S4:S7" si="4">SUM(Q4:R4)</f>
        <v>732.92100000000005</v>
      </c>
      <c r="T4" s="545">
        <v>168</v>
      </c>
      <c r="U4" s="545">
        <f>+'new project'!H22</f>
        <v>593.16705000000002</v>
      </c>
      <c r="V4" s="543">
        <f t="shared" ref="V4:V7" si="5">SUM(T4:U4)</f>
        <v>761.16705000000002</v>
      </c>
    </row>
    <row r="5" spans="1:22" ht="15" x14ac:dyDescent="0.25">
      <c r="A5" s="546">
        <v>3</v>
      </c>
      <c r="B5" s="236" t="s">
        <v>664</v>
      </c>
      <c r="C5" s="392">
        <v>0.08</v>
      </c>
      <c r="D5" s="236" t="s">
        <v>728</v>
      </c>
      <c r="E5" s="545">
        <f>E$3*$C5</f>
        <v>162.0140504</v>
      </c>
      <c r="F5" s="545">
        <v>48</v>
      </c>
      <c r="G5" s="543">
        <f t="shared" si="0"/>
        <v>210.0140504</v>
      </c>
      <c r="H5" s="545">
        <f>H$3*$C5</f>
        <v>184</v>
      </c>
      <c r="I5" s="545">
        <f>+'new project'!D17</f>
        <v>778.8</v>
      </c>
      <c r="J5" s="543">
        <f t="shared" si="1"/>
        <v>962.8</v>
      </c>
      <c r="K5" s="545">
        <f>K$3*$C5</f>
        <v>192</v>
      </c>
      <c r="L5" s="545">
        <f>+'new project'!E17</f>
        <v>837.21</v>
      </c>
      <c r="M5" s="543">
        <f t="shared" si="2"/>
        <v>1029.21</v>
      </c>
      <c r="N5" s="545">
        <f>N$3*$C5</f>
        <v>192</v>
      </c>
      <c r="O5" s="545">
        <f>+'new project'!F17</f>
        <v>894.58174999999994</v>
      </c>
      <c r="P5" s="543">
        <f t="shared" si="3"/>
        <v>1086.5817499999998</v>
      </c>
      <c r="Q5" s="545">
        <f>Q$3*$C5</f>
        <v>200</v>
      </c>
      <c r="R5" s="545">
        <f>+'new project'!G17</f>
        <v>959.82318124999983</v>
      </c>
      <c r="S5" s="543">
        <f t="shared" si="4"/>
        <v>1159.8231812499998</v>
      </c>
      <c r="T5" s="545">
        <f>T$3*$C5</f>
        <v>208</v>
      </c>
      <c r="U5" s="545">
        <f>+'new project'!H17</f>
        <v>1040.0633667187501</v>
      </c>
      <c r="V5" s="543">
        <f t="shared" si="5"/>
        <v>1248.0633667187501</v>
      </c>
    </row>
    <row r="6" spans="1:22" ht="15" x14ac:dyDescent="0.25">
      <c r="A6" s="546">
        <v>4</v>
      </c>
      <c r="B6" s="236" t="s">
        <v>650</v>
      </c>
      <c r="C6" s="392">
        <v>0.04</v>
      </c>
      <c r="D6" s="236" t="s">
        <v>727</v>
      </c>
      <c r="E6" s="545">
        <f>E$3*$C6</f>
        <v>81.007025200000001</v>
      </c>
      <c r="F6" s="545">
        <v>45.5</v>
      </c>
      <c r="G6" s="543">
        <f t="shared" si="0"/>
        <v>126.5070252</v>
      </c>
      <c r="H6" s="545">
        <f>H$3*$C6</f>
        <v>92</v>
      </c>
      <c r="I6" s="545">
        <f>+'new project'!D16+'new project'!D20</f>
        <v>701</v>
      </c>
      <c r="J6" s="543">
        <f t="shared" si="1"/>
        <v>793</v>
      </c>
      <c r="K6" s="545">
        <f>K$3*$C6</f>
        <v>96</v>
      </c>
      <c r="L6" s="545">
        <f>+'new project'!E16+'new project'!E20</f>
        <v>731.25</v>
      </c>
      <c r="M6" s="543">
        <f t="shared" si="2"/>
        <v>827.25</v>
      </c>
      <c r="N6" s="545">
        <f>N$3*($C6-1%)</f>
        <v>72</v>
      </c>
      <c r="O6" s="545">
        <f>+'new project'!F16+'new project'!F20</f>
        <v>763.01250000000005</v>
      </c>
      <c r="P6" s="543">
        <f t="shared" si="3"/>
        <v>835.01250000000005</v>
      </c>
      <c r="Q6" s="545">
        <f>Q$3*$C6</f>
        <v>100</v>
      </c>
      <c r="R6" s="545">
        <f>+'new project'!G16+'new project'!G20</f>
        <v>796.36312500000008</v>
      </c>
      <c r="S6" s="543">
        <f t="shared" si="4"/>
        <v>896.36312500000008</v>
      </c>
      <c r="T6" s="545">
        <f>T$3*$C6</f>
        <v>104</v>
      </c>
      <c r="U6" s="545">
        <f>+'new project'!H16+'new project'!H20</f>
        <v>831.38128125000003</v>
      </c>
      <c r="V6" s="543">
        <f t="shared" si="5"/>
        <v>935.38128125000003</v>
      </c>
    </row>
    <row r="7" spans="1:22" ht="15" x14ac:dyDescent="0.25">
      <c r="A7" s="546">
        <v>5</v>
      </c>
      <c r="B7" s="236" t="s">
        <v>726</v>
      </c>
      <c r="C7" s="392">
        <v>0.08</v>
      </c>
      <c r="D7" s="236" t="s">
        <v>730</v>
      </c>
      <c r="E7" s="545">
        <f>E$3*$C7</f>
        <v>162.0140504</v>
      </c>
      <c r="F7" s="545">
        <v>6.31</v>
      </c>
      <c r="G7" s="543">
        <f t="shared" si="0"/>
        <v>168.3240504</v>
      </c>
      <c r="H7" s="545">
        <f>H$3*$C7</f>
        <v>184</v>
      </c>
      <c r="I7" s="545">
        <f>+'new project'!D21</f>
        <v>103.20414</v>
      </c>
      <c r="J7" s="543">
        <f t="shared" si="1"/>
        <v>287.20414</v>
      </c>
      <c r="K7" s="545">
        <f>K$3*$C7</f>
        <v>192</v>
      </c>
      <c r="L7" s="545">
        <f>+'new project'!E21</f>
        <v>107.31863249999999</v>
      </c>
      <c r="M7" s="543">
        <f t="shared" si="2"/>
        <v>299.31863249999998</v>
      </c>
      <c r="N7" s="545">
        <f>N$3*$C7</f>
        <v>192</v>
      </c>
      <c r="O7" s="545">
        <f>+'new project'!F21</f>
        <v>111.47555118749999</v>
      </c>
      <c r="P7" s="543">
        <f t="shared" si="3"/>
        <v>303.4755511875</v>
      </c>
      <c r="Q7" s="545">
        <f>Q$3*$C7</f>
        <v>200</v>
      </c>
      <c r="R7" s="545">
        <f>+'new project'!G21</f>
        <v>116.04661092656249</v>
      </c>
      <c r="S7" s="543">
        <f t="shared" si="4"/>
        <v>316.04661092656249</v>
      </c>
      <c r="T7" s="545">
        <f>T$3*$C7</f>
        <v>208</v>
      </c>
      <c r="U7" s="545">
        <f>+'new project'!H21</f>
        <v>121.33036181214842</v>
      </c>
      <c r="V7" s="543">
        <f t="shared" si="5"/>
        <v>329.33036181214845</v>
      </c>
    </row>
    <row r="8" spans="1:22" ht="15" x14ac:dyDescent="0.25">
      <c r="A8" s="546"/>
      <c r="B8" s="240" t="s">
        <v>594</v>
      </c>
      <c r="C8" s="392">
        <f>C3-SUM(C4:C7)</f>
        <v>0.8</v>
      </c>
      <c r="D8" s="236"/>
      <c r="E8" s="545">
        <f>E3-SUM(E4:E7)</f>
        <v>1458.140504</v>
      </c>
      <c r="F8" s="545">
        <f>F3-SUM(F4:F7)</f>
        <v>70.44</v>
      </c>
      <c r="G8" s="543">
        <f>G3-SUM(G4:G7)</f>
        <v>1528.5805039999996</v>
      </c>
      <c r="H8" s="545">
        <f>H3-SUM(H4:H7)</f>
        <v>1675</v>
      </c>
      <c r="I8" s="545">
        <f t="shared" ref="I8:V8" si="6">I3-SUM(I4:I7)</f>
        <v>1364.1838600000001</v>
      </c>
      <c r="J8" s="543">
        <f t="shared" si="6"/>
        <v>3039.1838600000001</v>
      </c>
      <c r="K8" s="545">
        <f t="shared" si="6"/>
        <v>1755</v>
      </c>
      <c r="L8" s="545">
        <f t="shared" ref="L8" si="7">L3-SUM(L4:L7)</f>
        <v>1370.3403675</v>
      </c>
      <c r="M8" s="543">
        <f t="shared" si="6"/>
        <v>3125.3403675</v>
      </c>
      <c r="N8" s="545">
        <f t="shared" si="6"/>
        <v>1779</v>
      </c>
      <c r="O8" s="545">
        <f t="shared" si="6"/>
        <v>1381.9167488125004</v>
      </c>
      <c r="P8" s="543">
        <f>P3-SUM(P4:P7)</f>
        <v>3160.9167488125004</v>
      </c>
      <c r="Q8" s="545">
        <f t="shared" si="6"/>
        <v>1832</v>
      </c>
      <c r="R8" s="545">
        <f t="shared" ref="R8" si="8">R3-SUM(R4:R7)</f>
        <v>1389.9288103234376</v>
      </c>
      <c r="S8" s="543">
        <f t="shared" si="6"/>
        <v>3221.9288103234376</v>
      </c>
      <c r="T8" s="545">
        <f t="shared" si="6"/>
        <v>1912</v>
      </c>
      <c r="U8" s="545">
        <f t="shared" ref="U8" si="9">U3-SUM(U4:U7)</f>
        <v>1387.264722844101</v>
      </c>
      <c r="V8" s="543">
        <f t="shared" si="6"/>
        <v>3299.2647228441015</v>
      </c>
    </row>
    <row r="9" spans="1:22" ht="15" x14ac:dyDescent="0.25">
      <c r="A9" s="546">
        <v>6</v>
      </c>
      <c r="B9" s="236" t="s">
        <v>445</v>
      </c>
      <c r="C9" s="604" t="s">
        <v>746</v>
      </c>
      <c r="D9" s="604"/>
      <c r="E9" s="545">
        <f>'DEP-Co''sAct'!C129</f>
        <v>697.52418599999999</v>
      </c>
      <c r="F9" s="545">
        <v>43.75</v>
      </c>
      <c r="G9" s="543">
        <f>SUM(E9:F9)</f>
        <v>741.27418599999999</v>
      </c>
      <c r="H9" s="545">
        <f>'DEP-Co''sAct'!D129</f>
        <v>651.43429719679989</v>
      </c>
      <c r="I9" s="545">
        <f>+'new project'!D19</f>
        <v>713.4375</v>
      </c>
      <c r="J9" s="543">
        <f>SUM(H9:I9)</f>
        <v>1364.8717971967999</v>
      </c>
      <c r="K9" s="545">
        <f>'DEP-Co''sAct'!E129</f>
        <v>642.30345909136281</v>
      </c>
      <c r="L9" s="545">
        <f>+'new project'!E19</f>
        <v>606.421875</v>
      </c>
      <c r="M9" s="543">
        <f>SUM(K9:L9)</f>
        <v>1248.7253340913628</v>
      </c>
      <c r="N9" s="545">
        <f>'DEP-Co''sAct'!F129</f>
        <v>527.65419089331408</v>
      </c>
      <c r="O9" s="545">
        <f>+'new project'!F19</f>
        <v>515.45859374999998</v>
      </c>
      <c r="P9" s="543">
        <f>SUM(N9:O9)</f>
        <v>1043.1127846433142</v>
      </c>
      <c r="Q9" s="545">
        <f>'DEP-Co''sAct'!G129</f>
        <v>435.17874335608263</v>
      </c>
      <c r="R9" s="545">
        <f>+'new project'!G19</f>
        <v>438.13980468750003</v>
      </c>
      <c r="S9" s="543">
        <f>SUM(Q9:R9)</f>
        <v>873.31854804358272</v>
      </c>
      <c r="T9" s="545">
        <f>'DEP-Co''sAct'!H129</f>
        <v>360.34355670563372</v>
      </c>
      <c r="U9" s="545">
        <f>+'new project'!H19</f>
        <v>372.41883398437494</v>
      </c>
      <c r="V9" s="543">
        <f>SUM(T9:U9)</f>
        <v>732.76239069000871</v>
      </c>
    </row>
    <row r="10" spans="1:22" ht="15" x14ac:dyDescent="0.25">
      <c r="A10" s="546"/>
      <c r="B10" s="240" t="s">
        <v>731</v>
      </c>
      <c r="C10" s="236"/>
      <c r="D10" s="236"/>
      <c r="E10" s="545">
        <f>E8-E9</f>
        <v>760.61631799999998</v>
      </c>
      <c r="F10" s="545">
        <f>F8-F9</f>
        <v>26.689999999999998</v>
      </c>
      <c r="G10" s="543">
        <f t="shared" ref="G10:V10" si="10">G8-G9</f>
        <v>787.30631799999958</v>
      </c>
      <c r="H10" s="545">
        <f t="shared" si="10"/>
        <v>1023.5657028032001</v>
      </c>
      <c r="I10" s="545">
        <f t="shared" si="10"/>
        <v>650.7463600000001</v>
      </c>
      <c r="J10" s="543">
        <f t="shared" si="10"/>
        <v>1674.3120628032002</v>
      </c>
      <c r="K10" s="545">
        <f t="shared" si="10"/>
        <v>1112.6965409086372</v>
      </c>
      <c r="L10" s="545">
        <f t="shared" ref="L10" si="11">L8-L9</f>
        <v>763.91849249999996</v>
      </c>
      <c r="M10" s="543">
        <f t="shared" si="10"/>
        <v>1876.6150334086371</v>
      </c>
      <c r="N10" s="545">
        <f t="shared" si="10"/>
        <v>1251.3458091066859</v>
      </c>
      <c r="O10" s="545">
        <f t="shared" si="10"/>
        <v>866.4581550625004</v>
      </c>
      <c r="P10" s="543">
        <f t="shared" si="10"/>
        <v>2117.8039641691862</v>
      </c>
      <c r="Q10" s="545">
        <f t="shared" si="10"/>
        <v>1396.8212566439174</v>
      </c>
      <c r="R10" s="545">
        <f t="shared" ref="R10" si="12">R8-R9</f>
        <v>951.78900563593754</v>
      </c>
      <c r="S10" s="543">
        <f t="shared" si="10"/>
        <v>2348.6102622798549</v>
      </c>
      <c r="T10" s="545">
        <f t="shared" si="10"/>
        <v>1551.6564432943662</v>
      </c>
      <c r="U10" s="545">
        <f t="shared" ref="U10" si="13">U8-U9</f>
        <v>1014.8458888597261</v>
      </c>
      <c r="V10" s="545">
        <f t="shared" si="10"/>
        <v>2566.502332154093</v>
      </c>
    </row>
    <row r="11" spans="1:22" ht="15" x14ac:dyDescent="0.25">
      <c r="A11" s="546">
        <v>7</v>
      </c>
      <c r="B11" s="236" t="s">
        <v>392</v>
      </c>
      <c r="C11" s="604" t="s">
        <v>747</v>
      </c>
      <c r="D11" s="604"/>
      <c r="E11" s="545">
        <f>'Loan Repayment'!C90+'Loan Repayment'!C96</f>
        <v>382.99982249999999</v>
      </c>
      <c r="F11" s="545">
        <v>19.640000000000004</v>
      </c>
      <c r="G11" s="543">
        <f>SUM(E11:F11)</f>
        <v>402.63982249999998</v>
      </c>
      <c r="H11" s="545">
        <f>'Loan Repayment'!D90+'Loan Repayment'!D96</f>
        <v>428.97816999999998</v>
      </c>
      <c r="I11" s="545">
        <f>+'new project'!D18</f>
        <v>308.11</v>
      </c>
      <c r="J11" s="543">
        <f>SUM(H11:I11)</f>
        <v>737.08816999999999</v>
      </c>
      <c r="K11" s="545">
        <f>'Loan Repayment'!E90+'Loan Repayment'!E96</f>
        <v>359.42808000000002</v>
      </c>
      <c r="L11" s="545">
        <f>+'new project'!E18</f>
        <v>255.59</v>
      </c>
      <c r="M11" s="543">
        <f>SUM(K11:L11)</f>
        <v>615.01808000000005</v>
      </c>
      <c r="N11" s="545">
        <f>'Loan Repayment'!F90+'Loan Repayment'!F96</f>
        <v>278.17219249999999</v>
      </c>
      <c r="O11" s="545">
        <f>+'new project'!F18</f>
        <v>201.56</v>
      </c>
      <c r="P11" s="543">
        <f>SUM(N11:O11)</f>
        <v>479.7321925</v>
      </c>
      <c r="Q11" s="545">
        <f>'Loan Repayment'!G90+'Loan Repayment'!G96</f>
        <v>206.52685500000001</v>
      </c>
      <c r="R11" s="545">
        <f>+'new project'!G18</f>
        <v>147.55000000000001</v>
      </c>
      <c r="S11" s="543">
        <f>SUM(Q11:R11)</f>
        <v>354.07685500000002</v>
      </c>
      <c r="T11" s="545">
        <f>'Loan Repayment'!H90+'Loan Repayment'!H96</f>
        <v>143.89495500000004</v>
      </c>
      <c r="U11" s="545">
        <f>+'new project'!H18</f>
        <v>93.57</v>
      </c>
      <c r="V11" s="545">
        <f>SUM(T11:U11)</f>
        <v>237.46495500000003</v>
      </c>
    </row>
    <row r="12" spans="1:22" ht="15" x14ac:dyDescent="0.25">
      <c r="A12" s="546">
        <v>8</v>
      </c>
      <c r="B12" s="236" t="s">
        <v>732</v>
      </c>
      <c r="C12" s="236"/>
      <c r="D12" s="236"/>
      <c r="E12" s="545">
        <f>230-45.94</f>
        <v>184.06</v>
      </c>
      <c r="F12" s="545">
        <v>0</v>
      </c>
      <c r="G12" s="543">
        <f>SUM(E12:F12)</f>
        <v>184.06</v>
      </c>
      <c r="H12" s="545">
        <v>0</v>
      </c>
      <c r="I12" s="545">
        <v>0</v>
      </c>
      <c r="J12" s="543">
        <f>SUM(H12:I12)</f>
        <v>0</v>
      </c>
      <c r="K12" s="545">
        <v>0</v>
      </c>
      <c r="L12" s="545">
        <v>0</v>
      </c>
      <c r="M12" s="543">
        <f>SUM(K12:L12)</f>
        <v>0</v>
      </c>
      <c r="N12" s="545"/>
      <c r="O12" s="545">
        <v>0</v>
      </c>
      <c r="P12" s="543">
        <f>SUM(N12:O12)</f>
        <v>0</v>
      </c>
      <c r="Q12" s="545"/>
      <c r="R12" s="545">
        <v>0</v>
      </c>
      <c r="S12" s="543">
        <f>SUM(Q12:R12)</f>
        <v>0</v>
      </c>
      <c r="T12" s="545">
        <v>0</v>
      </c>
      <c r="U12" s="545">
        <v>0</v>
      </c>
      <c r="V12" s="545">
        <f>SUM(T12:U12)</f>
        <v>0</v>
      </c>
    </row>
    <row r="13" spans="1:22" ht="15" x14ac:dyDescent="0.25">
      <c r="A13" s="546"/>
      <c r="B13" s="236" t="s">
        <v>774</v>
      </c>
      <c r="C13" s="236"/>
      <c r="D13" s="236"/>
      <c r="E13" s="545">
        <v>45.94</v>
      </c>
      <c r="F13" s="545"/>
      <c r="G13" s="543">
        <f>SUM(E13:F13)</f>
        <v>45.94</v>
      </c>
      <c r="H13" s="545">
        <v>45.94</v>
      </c>
      <c r="I13" s="545"/>
      <c r="J13" s="543">
        <f>SUM(H13:I13)</f>
        <v>45.94</v>
      </c>
      <c r="K13" s="545">
        <v>45.94</v>
      </c>
      <c r="L13" s="545"/>
      <c r="M13" s="543">
        <f>SUM(K13:L13)</f>
        <v>45.94</v>
      </c>
      <c r="N13" s="545">
        <v>45.94</v>
      </c>
      <c r="O13" s="545"/>
      <c r="P13" s="543">
        <f t="shared" ref="P13" si="14">SUM(N13:O13)</f>
        <v>45.94</v>
      </c>
      <c r="Q13" s="545">
        <v>45.94</v>
      </c>
      <c r="R13" s="545"/>
      <c r="S13" s="543">
        <f>SUM(Q13:R13)</f>
        <v>45.94</v>
      </c>
      <c r="T13" s="545">
        <v>11.43</v>
      </c>
      <c r="U13" s="545"/>
      <c r="V13" s="543">
        <f t="shared" ref="V13" si="15">SUM(T13:U13)</f>
        <v>11.43</v>
      </c>
    </row>
    <row r="14" spans="1:22" ht="15" x14ac:dyDescent="0.25">
      <c r="A14" s="546"/>
      <c r="B14" s="236" t="s">
        <v>733</v>
      </c>
      <c r="C14" s="236"/>
      <c r="D14" s="236"/>
      <c r="E14" s="545">
        <f>E10-E11+E12+E13</f>
        <v>607.61649549999993</v>
      </c>
      <c r="F14" s="545">
        <f>F10-F11+F12+F13</f>
        <v>7.0499999999999936</v>
      </c>
      <c r="G14" s="543">
        <f>G10-G11+G12+G13</f>
        <v>614.66649549999966</v>
      </c>
      <c r="H14" s="545">
        <f>H10-H11+H12+H13</f>
        <v>640.52753280320007</v>
      </c>
      <c r="I14" s="545">
        <f t="shared" ref="I14" si="16">I10-I11+I12</f>
        <v>342.63636000000008</v>
      </c>
      <c r="J14" s="543">
        <f t="shared" ref="J14:V14" si="17">J10-J11+J12+J13</f>
        <v>983.16389280320027</v>
      </c>
      <c r="K14" s="545">
        <f t="shared" si="17"/>
        <v>799.20846090863711</v>
      </c>
      <c r="L14" s="545">
        <f t="shared" ref="L14" si="18">L10-L11+L12</f>
        <v>508.32849249999992</v>
      </c>
      <c r="M14" s="545">
        <f t="shared" si="17"/>
        <v>1307.5369534086371</v>
      </c>
      <c r="N14" s="545">
        <f t="shared" si="17"/>
        <v>1019.113616606686</v>
      </c>
      <c r="O14" s="545">
        <f t="shared" ref="O14" si="19">O10-O11+O12</f>
        <v>664.89815506250034</v>
      </c>
      <c r="P14" s="545">
        <f t="shared" si="17"/>
        <v>1684.0117716691861</v>
      </c>
      <c r="Q14" s="545">
        <f t="shared" si="17"/>
        <v>1236.2344016439174</v>
      </c>
      <c r="R14" s="545">
        <f t="shared" ref="R14" si="20">R10-R11+R12</f>
        <v>804.23900563593747</v>
      </c>
      <c r="S14" s="543">
        <f t="shared" si="17"/>
        <v>2040.4734072798549</v>
      </c>
      <c r="T14" s="545">
        <f t="shared" si="17"/>
        <v>1419.1914882943663</v>
      </c>
      <c r="U14" s="545">
        <f t="shared" ref="U14" si="21">U10-U11+U12</f>
        <v>921.27588885972614</v>
      </c>
      <c r="V14" s="543">
        <f t="shared" si="17"/>
        <v>2340.4673771540929</v>
      </c>
    </row>
    <row r="15" spans="1:22" ht="15" x14ac:dyDescent="0.25">
      <c r="A15" s="546">
        <v>9</v>
      </c>
      <c r="B15" s="236" t="s">
        <v>734</v>
      </c>
      <c r="C15" s="604" t="s">
        <v>748</v>
      </c>
      <c r="D15" s="604"/>
      <c r="E15" s="545"/>
      <c r="F15" s="545"/>
      <c r="G15" s="545">
        <f>ITComputation!I26</f>
        <v>157.82449303399991</v>
      </c>
      <c r="H15" s="545"/>
      <c r="I15" s="545"/>
      <c r="J15" s="545">
        <f>ITComputation!J26</f>
        <v>314.30782495118501</v>
      </c>
      <c r="K15" s="545"/>
      <c r="L15" s="545"/>
      <c r="M15" s="545">
        <f>ITComputation!K26</f>
        <v>421.0150175422782</v>
      </c>
      <c r="N15" s="545"/>
      <c r="O15" s="545"/>
      <c r="P15" s="545">
        <f>ITComputation!L26</f>
        <v>510.16885397126697</v>
      </c>
      <c r="Q15" s="545"/>
      <c r="R15" s="545"/>
      <c r="S15" s="545">
        <f>ITComputation!M26</f>
        <v>597.63812825890898</v>
      </c>
      <c r="T15" s="545"/>
      <c r="U15" s="545"/>
      <c r="V15" s="545">
        <f>ITComputation!N26</f>
        <v>672.35811758988939</v>
      </c>
    </row>
    <row r="16" spans="1:22" s="245" customFormat="1" ht="15" x14ac:dyDescent="0.25">
      <c r="A16" s="240"/>
      <c r="B16" s="240" t="s">
        <v>735</v>
      </c>
      <c r="C16" s="240"/>
      <c r="D16" s="240"/>
      <c r="E16" s="543"/>
      <c r="F16" s="543"/>
      <c r="G16" s="543">
        <f>G14-G15</f>
        <v>456.84200246599971</v>
      </c>
      <c r="H16" s="543"/>
      <c r="I16" s="543"/>
      <c r="J16" s="543">
        <f>J14-J15</f>
        <v>668.85606785201526</v>
      </c>
      <c r="K16" s="543"/>
      <c r="L16" s="543"/>
      <c r="M16" s="543">
        <f>M14-M15</f>
        <v>886.52193586635894</v>
      </c>
      <c r="N16" s="543"/>
      <c r="O16" s="543"/>
      <c r="P16" s="543">
        <f>P14-P15</f>
        <v>1173.8429176979191</v>
      </c>
      <c r="Q16" s="543"/>
      <c r="R16" s="543"/>
      <c r="S16" s="543">
        <f>S14-S15</f>
        <v>1442.835279020946</v>
      </c>
      <c r="T16" s="543"/>
      <c r="U16" s="543"/>
      <c r="V16" s="543">
        <f>V14-V15</f>
        <v>1668.1092595642035</v>
      </c>
    </row>
    <row r="18" spans="2:22" ht="15" x14ac:dyDescent="0.25">
      <c r="B18" t="s">
        <v>750</v>
      </c>
    </row>
    <row r="20" spans="2:22" ht="15" x14ac:dyDescent="0.25">
      <c r="B20" s="564" t="s">
        <v>862</v>
      </c>
    </row>
    <row r="21" spans="2:22" ht="15" x14ac:dyDescent="0.25">
      <c r="B21" s="245" t="s">
        <v>764</v>
      </c>
    </row>
    <row r="22" spans="2:22" ht="15" x14ac:dyDescent="0.25">
      <c r="B22" s="245"/>
    </row>
    <row r="23" spans="2:22" ht="15" x14ac:dyDescent="0.25">
      <c r="B23" s="565" t="s">
        <v>478</v>
      </c>
      <c r="C23" s="566"/>
      <c r="D23" s="574"/>
      <c r="E23" s="236" t="s">
        <v>404</v>
      </c>
      <c r="F23" s="236" t="s">
        <v>405</v>
      </c>
      <c r="G23" s="236" t="s">
        <v>391</v>
      </c>
      <c r="H23" s="236" t="s">
        <v>404</v>
      </c>
      <c r="I23" s="236" t="s">
        <v>405</v>
      </c>
      <c r="J23" s="236" t="s">
        <v>391</v>
      </c>
      <c r="K23" s="236" t="s">
        <v>404</v>
      </c>
      <c r="L23" s="236" t="s">
        <v>405</v>
      </c>
      <c r="M23" s="236" t="s">
        <v>391</v>
      </c>
      <c r="N23" s="236" t="s">
        <v>404</v>
      </c>
      <c r="O23" s="236" t="s">
        <v>405</v>
      </c>
      <c r="P23" s="236" t="s">
        <v>391</v>
      </c>
      <c r="Q23" s="236" t="s">
        <v>404</v>
      </c>
      <c r="R23" s="236" t="s">
        <v>405</v>
      </c>
      <c r="S23" s="236" t="s">
        <v>391</v>
      </c>
      <c r="T23" s="236" t="s">
        <v>404</v>
      </c>
      <c r="U23" s="236" t="s">
        <v>405</v>
      </c>
      <c r="V23" s="236" t="s">
        <v>391</v>
      </c>
    </row>
    <row r="24" spans="2:22" ht="15" x14ac:dyDescent="0.25">
      <c r="B24" s="568"/>
      <c r="D24" s="575"/>
      <c r="E24" s="390" t="s">
        <v>355</v>
      </c>
      <c r="F24" s="390" t="s">
        <v>355</v>
      </c>
      <c r="G24" s="390" t="s">
        <v>355</v>
      </c>
      <c r="H24" s="390" t="s">
        <v>356</v>
      </c>
      <c r="I24" s="390" t="s">
        <v>356</v>
      </c>
      <c r="J24" s="390" t="s">
        <v>356</v>
      </c>
      <c r="K24" s="390" t="s">
        <v>357</v>
      </c>
      <c r="L24" s="390" t="s">
        <v>357</v>
      </c>
      <c r="M24" s="390" t="s">
        <v>357</v>
      </c>
      <c r="N24" s="390" t="s">
        <v>358</v>
      </c>
      <c r="O24" s="390" t="s">
        <v>358</v>
      </c>
      <c r="P24" s="390" t="s">
        <v>358</v>
      </c>
      <c r="Q24" s="390" t="s">
        <v>10</v>
      </c>
      <c r="R24" s="390" t="s">
        <v>10</v>
      </c>
      <c r="S24" s="390" t="s">
        <v>10</v>
      </c>
      <c r="T24" s="390" t="s">
        <v>11</v>
      </c>
      <c r="U24" s="390" t="s">
        <v>11</v>
      </c>
      <c r="V24" s="390" t="s">
        <v>11</v>
      </c>
    </row>
    <row r="25" spans="2:22" ht="15" x14ac:dyDescent="0.25">
      <c r="B25" s="570" t="s">
        <v>430</v>
      </c>
      <c r="D25" s="575"/>
      <c r="E25" s="236">
        <v>87.94</v>
      </c>
      <c r="F25" s="545">
        <v>0</v>
      </c>
      <c r="G25" s="236">
        <f>SUM(E25:F25)</f>
        <v>87.94</v>
      </c>
      <c r="H25" s="549">
        <f>E27</f>
        <v>47.252927166666666</v>
      </c>
      <c r="I25" s="548">
        <f>F27</f>
        <v>0</v>
      </c>
      <c r="J25" s="549">
        <f>SUM(H25:I25)</f>
        <v>47.252927166666666</v>
      </c>
      <c r="K25" s="549">
        <f>H27</f>
        <v>52.083333333333336</v>
      </c>
      <c r="L25" s="548">
        <f>I27</f>
        <v>0</v>
      </c>
      <c r="M25" s="549">
        <f>SUM(K25:L25)</f>
        <v>52.083333333333336</v>
      </c>
      <c r="N25" s="549">
        <f>K27</f>
        <v>53.75</v>
      </c>
      <c r="O25" s="548">
        <f>L27</f>
        <v>0</v>
      </c>
      <c r="P25" s="549">
        <f>SUM(N25:O25)</f>
        <v>53.75</v>
      </c>
      <c r="Q25" s="549">
        <f>N27</f>
        <v>51.75</v>
      </c>
      <c r="R25" s="548">
        <f>O27</f>
        <v>0</v>
      </c>
      <c r="S25" s="549">
        <f>SUM(Q25:R25)</f>
        <v>51.75</v>
      </c>
      <c r="T25" s="549">
        <f>Q27</f>
        <v>55.666666666666664</v>
      </c>
      <c r="U25" s="548">
        <f>R27</f>
        <v>0</v>
      </c>
      <c r="V25" s="549">
        <f>SUM(T25:U25)</f>
        <v>55.666666666666664</v>
      </c>
    </row>
    <row r="26" spans="2:22" ht="15" x14ac:dyDescent="0.25">
      <c r="B26" s="570" t="s">
        <v>801</v>
      </c>
      <c r="D26" s="575"/>
      <c r="E26" s="548">
        <f>SUM(E4:E7)</f>
        <v>567.03512599999999</v>
      </c>
      <c r="F26" s="545">
        <f>SUM(F4:F7)</f>
        <v>139.81</v>
      </c>
      <c r="G26" s="236">
        <f>SUM(E26:F26)</f>
        <v>706.84512599999994</v>
      </c>
      <c r="H26" s="548">
        <f>SUM(H4:H7)</f>
        <v>625</v>
      </c>
      <c r="I26" s="548">
        <f>SUM(I4:I7)</f>
        <v>2071.00414</v>
      </c>
      <c r="J26" s="549">
        <f>SUM(H26:I26)</f>
        <v>2696.00414</v>
      </c>
      <c r="K26" s="548">
        <f>SUM(K4:K7)</f>
        <v>645</v>
      </c>
      <c r="L26" s="548">
        <f>SUM(L4:L7)</f>
        <v>2188.1786325000003</v>
      </c>
      <c r="M26" s="549">
        <f>SUM(K26:L26)</f>
        <v>2833.1786325000003</v>
      </c>
      <c r="N26" s="548">
        <f>SUM(N4:N7)</f>
        <v>621</v>
      </c>
      <c r="O26" s="548">
        <f>SUM(O4:O7)</f>
        <v>2307.0898011874997</v>
      </c>
      <c r="P26" s="548">
        <f>N26+O26</f>
        <v>2928.0898011874997</v>
      </c>
      <c r="Q26" s="548">
        <f>SUM(Q4:Q7)</f>
        <v>668</v>
      </c>
      <c r="R26" s="548">
        <f>SUM(R4:R7)</f>
        <v>2437.1539171765626</v>
      </c>
      <c r="S26" s="549">
        <f>SUM(Q26:R26)</f>
        <v>3105.1539171765626</v>
      </c>
      <c r="T26" s="548">
        <f>SUM(T4:T7)</f>
        <v>688</v>
      </c>
      <c r="U26" s="548">
        <f>SUM(U4:U7)</f>
        <v>2585.9420597808989</v>
      </c>
      <c r="V26" s="549">
        <f>SUM(T26:U26)</f>
        <v>3273.9420597808989</v>
      </c>
    </row>
    <row r="27" spans="2:22" ht="15" x14ac:dyDescent="0.25">
      <c r="B27" s="570" t="s">
        <v>433</v>
      </c>
      <c r="D27" s="575" t="s">
        <v>802</v>
      </c>
      <c r="E27" s="549">
        <f>E26/12</f>
        <v>47.252927166666666</v>
      </c>
      <c r="F27" s="545">
        <v>0</v>
      </c>
      <c r="G27" s="545">
        <f>SUM(E27:F27)</f>
        <v>47.252927166666666</v>
      </c>
      <c r="H27" s="549">
        <f>H26/12</f>
        <v>52.083333333333336</v>
      </c>
      <c r="I27" s="545">
        <v>0</v>
      </c>
      <c r="J27" s="549">
        <f>SUM(H27:I27)</f>
        <v>52.083333333333336</v>
      </c>
      <c r="K27" s="549">
        <f>K26/12</f>
        <v>53.75</v>
      </c>
      <c r="L27" s="545">
        <v>0</v>
      </c>
      <c r="M27" s="549">
        <f>SUM(K27:L27)</f>
        <v>53.75</v>
      </c>
      <c r="N27" s="549">
        <f>N26/12</f>
        <v>51.75</v>
      </c>
      <c r="O27" s="545">
        <v>0</v>
      </c>
      <c r="P27" s="549">
        <f>SUM(N27:O27)</f>
        <v>51.75</v>
      </c>
      <c r="Q27" s="549">
        <f>Q26/12</f>
        <v>55.666666666666664</v>
      </c>
      <c r="R27" s="545">
        <v>0</v>
      </c>
      <c r="S27" s="549">
        <f>SUM(Q27:R27)</f>
        <v>55.666666666666664</v>
      </c>
      <c r="T27" s="549">
        <f>T26/12</f>
        <v>57.333333333333336</v>
      </c>
      <c r="U27" s="545">
        <v>0</v>
      </c>
      <c r="V27" s="549">
        <f>SUM(T27:U27)</f>
        <v>57.333333333333336</v>
      </c>
    </row>
    <row r="28" spans="2:22" ht="15" hidden="1" x14ac:dyDescent="0.25">
      <c r="B28" s="570" t="s">
        <v>848</v>
      </c>
      <c r="D28" s="575"/>
      <c r="E28" s="549"/>
      <c r="F28" s="545"/>
      <c r="G28" s="545">
        <f>-'Detailed BS'!D47</f>
        <v>0</v>
      </c>
      <c r="H28" s="236"/>
      <c r="I28" s="236"/>
      <c r="J28" s="236"/>
      <c r="K28" s="549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</row>
    <row r="29" spans="2:22" ht="15" hidden="1" x14ac:dyDescent="0.25">
      <c r="B29" s="570" t="s">
        <v>796</v>
      </c>
      <c r="D29" s="575"/>
      <c r="E29" s="549"/>
      <c r="F29" s="545"/>
      <c r="G29" s="545">
        <f>-'Detailed BS'!D52</f>
        <v>0</v>
      </c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</row>
    <row r="30" spans="2:22" ht="15" hidden="1" x14ac:dyDescent="0.25">
      <c r="B30" s="570" t="s">
        <v>777</v>
      </c>
      <c r="D30" s="575"/>
      <c r="E30" s="549"/>
      <c r="F30" s="545"/>
      <c r="G30" s="545">
        <f>-'Detailed BS'!D57</f>
        <v>0</v>
      </c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</row>
    <row r="31" spans="2:22" ht="15" hidden="1" x14ac:dyDescent="0.25">
      <c r="B31" s="570"/>
      <c r="D31" s="575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</row>
    <row r="32" spans="2:22" ht="15" x14ac:dyDescent="0.25">
      <c r="B32" s="571" t="s">
        <v>766</v>
      </c>
      <c r="C32" s="572"/>
      <c r="D32" s="576"/>
      <c r="E32" s="549">
        <f>E25+E26-E27</f>
        <v>607.72219883333332</v>
      </c>
      <c r="F32" s="549">
        <f>F25+F26-F27</f>
        <v>139.81</v>
      </c>
      <c r="G32" s="549">
        <f>G25+G26-G27-G28-G29-G30</f>
        <v>747.53219883333327</v>
      </c>
      <c r="H32" s="549">
        <f>H25+H26-H27</f>
        <v>620.16959383333335</v>
      </c>
      <c r="I32" s="549">
        <f>I25+I26-I27</f>
        <v>2071.00414</v>
      </c>
      <c r="J32" s="549">
        <f>J25+J26-J27-J28-J29-J30</f>
        <v>2691.1737338333332</v>
      </c>
      <c r="K32" s="549">
        <f>K25+K26-K27</f>
        <v>643.33333333333337</v>
      </c>
      <c r="L32" s="549">
        <f>L25+L26-L27</f>
        <v>2188.1786325000003</v>
      </c>
      <c r="M32" s="549">
        <f>M25+M26-M27-M28-M29-M30</f>
        <v>2831.5119658333338</v>
      </c>
      <c r="N32" s="549">
        <f t="shared" ref="N32:V32" si="22">N25+N26-N27</f>
        <v>623</v>
      </c>
      <c r="O32" s="549">
        <f t="shared" si="22"/>
        <v>2307.0898011874997</v>
      </c>
      <c r="P32" s="549">
        <f t="shared" si="22"/>
        <v>2930.0898011874997</v>
      </c>
      <c r="Q32" s="549">
        <f t="shared" si="22"/>
        <v>664.08333333333337</v>
      </c>
      <c r="R32" s="549">
        <f t="shared" si="22"/>
        <v>2437.1539171765626</v>
      </c>
      <c r="S32" s="549">
        <f t="shared" si="22"/>
        <v>3101.2372505098961</v>
      </c>
      <c r="T32" s="549">
        <f t="shared" si="22"/>
        <v>686.33333333333326</v>
      </c>
      <c r="U32" s="549">
        <f t="shared" si="22"/>
        <v>2585.9420597808989</v>
      </c>
      <c r="V32" s="549">
        <f t="shared" si="22"/>
        <v>3272.275393114232</v>
      </c>
    </row>
    <row r="35" spans="2:22" ht="15" x14ac:dyDescent="0.25">
      <c r="B35" s="564" t="s">
        <v>863</v>
      </c>
    </row>
    <row r="36" spans="2:22" ht="15" x14ac:dyDescent="0.25">
      <c r="B36" s="245" t="s">
        <v>804</v>
      </c>
    </row>
    <row r="37" spans="2:22" ht="15" x14ac:dyDescent="0.25">
      <c r="B37" s="565" t="s">
        <v>478</v>
      </c>
      <c r="C37" s="567"/>
      <c r="D37" s="567"/>
      <c r="E37" s="236" t="s">
        <v>404</v>
      </c>
      <c r="F37" s="236" t="s">
        <v>405</v>
      </c>
      <c r="G37" s="236" t="s">
        <v>391</v>
      </c>
      <c r="H37" s="236" t="s">
        <v>404</v>
      </c>
      <c r="I37" s="236" t="s">
        <v>405</v>
      </c>
      <c r="J37" s="236" t="s">
        <v>391</v>
      </c>
      <c r="K37" s="236" t="s">
        <v>404</v>
      </c>
      <c r="L37" s="236" t="s">
        <v>405</v>
      </c>
      <c r="M37" s="236" t="s">
        <v>391</v>
      </c>
      <c r="N37" s="236" t="s">
        <v>404</v>
      </c>
      <c r="O37" s="236" t="s">
        <v>405</v>
      </c>
      <c r="P37" s="236" t="s">
        <v>391</v>
      </c>
      <c r="Q37" s="236" t="s">
        <v>404</v>
      </c>
      <c r="R37" s="236" t="s">
        <v>405</v>
      </c>
      <c r="S37" s="236" t="s">
        <v>391</v>
      </c>
      <c r="T37" s="236" t="s">
        <v>404</v>
      </c>
      <c r="U37" s="236" t="s">
        <v>405</v>
      </c>
      <c r="V37" s="236" t="s">
        <v>391</v>
      </c>
    </row>
    <row r="38" spans="2:22" x14ac:dyDescent="0.35">
      <c r="B38" s="577"/>
      <c r="C38" s="573"/>
      <c r="D38" s="573"/>
      <c r="E38" s="390" t="s">
        <v>355</v>
      </c>
      <c r="F38" s="390" t="s">
        <v>355</v>
      </c>
      <c r="G38" s="390" t="s">
        <v>355</v>
      </c>
      <c r="H38" s="390" t="s">
        <v>356</v>
      </c>
      <c r="I38" s="390" t="s">
        <v>356</v>
      </c>
      <c r="J38" s="390" t="s">
        <v>356</v>
      </c>
      <c r="K38" s="390" t="s">
        <v>357</v>
      </c>
      <c r="L38" s="390" t="s">
        <v>357</v>
      </c>
      <c r="M38" s="390" t="s">
        <v>357</v>
      </c>
      <c r="N38" s="390" t="s">
        <v>358</v>
      </c>
      <c r="O38" s="390" t="s">
        <v>358</v>
      </c>
      <c r="P38" s="390" t="s">
        <v>358</v>
      </c>
      <c r="Q38" s="390" t="s">
        <v>10</v>
      </c>
      <c r="R38" s="390" t="s">
        <v>10</v>
      </c>
      <c r="S38" s="390" t="s">
        <v>10</v>
      </c>
      <c r="T38" s="390" t="s">
        <v>11</v>
      </c>
      <c r="U38" s="390" t="s">
        <v>11</v>
      </c>
      <c r="V38" s="390" t="s">
        <v>11</v>
      </c>
    </row>
    <row r="39" spans="2:22" x14ac:dyDescent="0.35">
      <c r="B39" s="570" t="s">
        <v>430</v>
      </c>
      <c r="C39" s="569"/>
      <c r="D39" s="574"/>
      <c r="E39" s="548">
        <v>557.88</v>
      </c>
      <c r="F39" s="548">
        <v>0</v>
      </c>
      <c r="G39" s="548">
        <f>SUM(E39:F39)</f>
        <v>557.88</v>
      </c>
      <c r="H39" s="549">
        <f>E41</f>
        <v>883.69425200000001</v>
      </c>
      <c r="I39" s="548">
        <f>F41</f>
        <v>21.2</v>
      </c>
      <c r="J39" s="549">
        <f>SUM(H39:I39)</f>
        <v>904.89425200000005</v>
      </c>
      <c r="K39" s="549">
        <f>H41</f>
        <v>920</v>
      </c>
      <c r="L39" s="236">
        <f>I41</f>
        <v>246.81</v>
      </c>
      <c r="M39" s="549">
        <f>K39+L39</f>
        <v>1166.81</v>
      </c>
      <c r="N39" s="549">
        <f>K41</f>
        <v>960</v>
      </c>
      <c r="O39" s="236">
        <f>L41</f>
        <v>254.97</v>
      </c>
      <c r="P39" s="549">
        <f>N39+O39</f>
        <v>1214.97</v>
      </c>
      <c r="Q39" s="549">
        <f>N41</f>
        <v>960</v>
      </c>
      <c r="R39" s="236">
        <f>O41</f>
        <v>263.62</v>
      </c>
      <c r="S39" s="549">
        <f>SUM(Q39:R39)</f>
        <v>1223.6199999999999</v>
      </c>
      <c r="T39" s="549">
        <f>Q41</f>
        <v>1000</v>
      </c>
      <c r="U39" s="236">
        <f>R41</f>
        <v>272.8</v>
      </c>
      <c r="V39" s="549">
        <f>T39+U39</f>
        <v>1272.8</v>
      </c>
    </row>
    <row r="40" spans="2:22" x14ac:dyDescent="0.35">
      <c r="B40" s="570" t="s">
        <v>805</v>
      </c>
      <c r="C40" s="569"/>
      <c r="D40" s="575"/>
      <c r="E40" s="548">
        <f>E3+E12</f>
        <v>2209.2356300000001</v>
      </c>
      <c r="F40" s="548">
        <f>F3</f>
        <v>210.25</v>
      </c>
      <c r="G40" s="548">
        <f>SUM(E40:F40)</f>
        <v>2419.4856300000001</v>
      </c>
      <c r="H40" s="548">
        <f>H3+H12</f>
        <v>2300</v>
      </c>
      <c r="I40" s="548">
        <f>I3+I12</f>
        <v>3435.1880000000001</v>
      </c>
      <c r="J40" s="549">
        <f>SUM(H40:I40)</f>
        <v>5735.1880000000001</v>
      </c>
      <c r="K40" s="548">
        <f>K3+K12</f>
        <v>2400</v>
      </c>
      <c r="L40" s="548">
        <f>L3+L12</f>
        <v>3558.5190000000002</v>
      </c>
      <c r="M40" s="549">
        <f>K40+L40</f>
        <v>5958.5190000000002</v>
      </c>
      <c r="N40" s="548">
        <f>N3+N12</f>
        <v>2400</v>
      </c>
      <c r="O40" s="548">
        <f>O3+O12</f>
        <v>3689.0065500000001</v>
      </c>
      <c r="P40" s="549">
        <f>N40+O40</f>
        <v>6089.0065500000001</v>
      </c>
      <c r="Q40" s="548">
        <f>Q3+Q12</f>
        <v>2500</v>
      </c>
      <c r="R40" s="548">
        <f>R3+R12</f>
        <v>3827.0827275000001</v>
      </c>
      <c r="S40" s="549">
        <f>SUM(Q40:R40)</f>
        <v>6327.0827275000001</v>
      </c>
      <c r="T40" s="548">
        <f>T3+T12</f>
        <v>2600</v>
      </c>
      <c r="U40" s="548">
        <f>U3+U12</f>
        <v>3973.206782625</v>
      </c>
      <c r="V40" s="549">
        <f>SUM(T40:U40)</f>
        <v>6573.2067826250004</v>
      </c>
    </row>
    <row r="41" spans="2:22" x14ac:dyDescent="0.35">
      <c r="B41" s="570" t="s">
        <v>433</v>
      </c>
      <c r="C41" s="569"/>
      <c r="D41" s="575"/>
      <c r="E41" s="549">
        <f>E40/2.5</f>
        <v>883.69425200000001</v>
      </c>
      <c r="F41" s="545">
        <v>21.2</v>
      </c>
      <c r="G41" s="548">
        <f>SUM(E41:F41)</f>
        <v>904.89425200000005</v>
      </c>
      <c r="H41" s="549">
        <f>H40/2.5</f>
        <v>920</v>
      </c>
      <c r="I41" s="236">
        <v>246.81</v>
      </c>
      <c r="J41" s="549">
        <f>H41+I41</f>
        <v>1166.81</v>
      </c>
      <c r="K41" s="549">
        <f>K40/2.5</f>
        <v>960</v>
      </c>
      <c r="L41" s="236">
        <v>254.97</v>
      </c>
      <c r="M41" s="549">
        <f>K41+L41</f>
        <v>1214.97</v>
      </c>
      <c r="N41" s="549">
        <f>N40/2.5</f>
        <v>960</v>
      </c>
      <c r="O41" s="236">
        <v>263.62</v>
      </c>
      <c r="P41" s="549">
        <f>N41+O41</f>
        <v>1223.6199999999999</v>
      </c>
      <c r="Q41" s="549">
        <f>Q40/2.5</f>
        <v>1000</v>
      </c>
      <c r="R41" s="236">
        <v>272.8</v>
      </c>
      <c r="S41" s="549">
        <f>Q41+R41</f>
        <v>1272.8</v>
      </c>
      <c r="T41" s="549">
        <f>T40/2.5</f>
        <v>1040</v>
      </c>
      <c r="U41" s="236">
        <v>282.52999999999997</v>
      </c>
      <c r="V41" s="549">
        <f>T41+U41</f>
        <v>1322.53</v>
      </c>
    </row>
    <row r="42" spans="2:22" x14ac:dyDescent="0.35">
      <c r="B42" s="570" t="s">
        <v>806</v>
      </c>
      <c r="C42" s="569"/>
      <c r="D42" s="575"/>
      <c r="E42" s="549">
        <f>E39+E40-E41</f>
        <v>1883.4213780000002</v>
      </c>
      <c r="F42" s="549">
        <f>F39+F40-F41</f>
        <v>189.05</v>
      </c>
      <c r="G42" s="548">
        <f>SUM(E42:F42)</f>
        <v>2072.4713780000002</v>
      </c>
      <c r="H42" s="549">
        <f>H39+H40-H41</f>
        <v>2263.6942520000002</v>
      </c>
      <c r="I42" s="549">
        <f>I39+I40-I41</f>
        <v>3209.578</v>
      </c>
      <c r="J42" s="549">
        <f>H42+I42</f>
        <v>5473.2722520000007</v>
      </c>
      <c r="K42" s="549">
        <f>K39+K40-K41</f>
        <v>2360</v>
      </c>
      <c r="L42" s="549">
        <f>L39+L40-L41</f>
        <v>3550.3590000000004</v>
      </c>
      <c r="M42" s="549">
        <f>K42+L42</f>
        <v>5910.3590000000004</v>
      </c>
      <c r="N42" s="549">
        <f>N39+N40-N41</f>
        <v>2400</v>
      </c>
      <c r="O42" s="549">
        <f>O39+O40-O41</f>
        <v>3680.35655</v>
      </c>
      <c r="P42" s="549">
        <f>N42+O42</f>
        <v>6080.3565500000004</v>
      </c>
      <c r="Q42" s="549">
        <f>Q39+Q40-Q41</f>
        <v>2460</v>
      </c>
      <c r="R42" s="549">
        <f>R39+R40-R41</f>
        <v>3817.9027274999999</v>
      </c>
      <c r="S42" s="549">
        <f>SUM(Q42:R42)</f>
        <v>6277.9027274999999</v>
      </c>
      <c r="T42" s="549">
        <f>T39+T40-T41</f>
        <v>2560</v>
      </c>
      <c r="U42" s="549">
        <f>U39+U40-U41</f>
        <v>3963.4767826249999</v>
      </c>
      <c r="V42" s="549">
        <f>SUM(T42:U42)</f>
        <v>6523.4767826249999</v>
      </c>
    </row>
    <row r="43" spans="2:22" x14ac:dyDescent="0.35">
      <c r="B43" s="570" t="s">
        <v>807</v>
      </c>
      <c r="C43" s="569"/>
      <c r="D43" s="575"/>
      <c r="E43" s="545">
        <v>0</v>
      </c>
      <c r="F43" s="545">
        <v>0</v>
      </c>
      <c r="G43" s="548">
        <f>SUM(E43:F43)</f>
        <v>0</v>
      </c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</row>
    <row r="44" spans="2:22" x14ac:dyDescent="0.35">
      <c r="B44" s="571" t="s">
        <v>808</v>
      </c>
      <c r="C44" s="573"/>
      <c r="D44" s="576"/>
      <c r="E44" s="549">
        <f>E42+E43</f>
        <v>1883.4213780000002</v>
      </c>
      <c r="F44" s="549">
        <f t="shared" ref="F44:V44" si="23">F42+F43</f>
        <v>189.05</v>
      </c>
      <c r="G44" s="549">
        <f t="shared" si="23"/>
        <v>2072.4713780000002</v>
      </c>
      <c r="H44" s="549">
        <f t="shared" si="23"/>
        <v>2263.6942520000002</v>
      </c>
      <c r="I44" s="549">
        <f t="shared" si="23"/>
        <v>3209.578</v>
      </c>
      <c r="J44" s="549">
        <f t="shared" si="23"/>
        <v>5473.2722520000007</v>
      </c>
      <c r="K44" s="549">
        <f t="shared" si="23"/>
        <v>2360</v>
      </c>
      <c r="L44" s="549">
        <f t="shared" si="23"/>
        <v>3550.3590000000004</v>
      </c>
      <c r="M44" s="549">
        <f t="shared" si="23"/>
        <v>5910.3590000000004</v>
      </c>
      <c r="N44" s="549">
        <f t="shared" si="23"/>
        <v>2400</v>
      </c>
      <c r="O44" s="549">
        <f t="shared" si="23"/>
        <v>3680.35655</v>
      </c>
      <c r="P44" s="549">
        <f t="shared" si="23"/>
        <v>6080.3565500000004</v>
      </c>
      <c r="Q44" s="549">
        <f t="shared" si="23"/>
        <v>2460</v>
      </c>
      <c r="R44" s="549">
        <f t="shared" si="23"/>
        <v>3817.9027274999999</v>
      </c>
      <c r="S44" s="549">
        <f t="shared" si="23"/>
        <v>6277.9027274999999</v>
      </c>
      <c r="T44" s="549">
        <f t="shared" si="23"/>
        <v>2560</v>
      </c>
      <c r="U44" s="549">
        <f t="shared" si="23"/>
        <v>3963.4767826249999</v>
      </c>
      <c r="V44" s="549">
        <f t="shared" si="23"/>
        <v>6523.4767826249999</v>
      </c>
    </row>
  </sheetData>
  <mergeCells count="3">
    <mergeCell ref="C9:D9"/>
    <mergeCell ref="C11:D11"/>
    <mergeCell ref="C15:D15"/>
  </mergeCells>
  <pageMargins left="0.7" right="0.7" top="0.75" bottom="0.75" header="0.3" footer="0.3"/>
  <pageSetup orientation="portrait" r:id="rId1"/>
  <ignoredErrors>
    <ignoredError sqref="G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81"/>
  <sheetViews>
    <sheetView showGridLines="0" workbookViewId="0">
      <pane xSplit="3" ySplit="4" topLeftCell="E5" activePane="bottomRight" state="frozen"/>
      <selection activeCell="L90" sqref="L90"/>
      <selection pane="topRight" activeCell="L90" sqref="L90"/>
      <selection pane="bottomLeft" activeCell="L90" sqref="L90"/>
      <selection pane="bottomRight" activeCell="F8" sqref="F8"/>
    </sheetView>
  </sheetViews>
  <sheetFormatPr defaultRowHeight="14.5" x14ac:dyDescent="0.35"/>
  <cols>
    <col min="1" max="1" width="5.7265625" customWidth="1"/>
    <col min="2" max="2" width="43.1796875" customWidth="1"/>
    <col min="3" max="3" width="10.1796875" customWidth="1"/>
    <col min="4" max="4" width="10.54296875" customWidth="1"/>
    <col min="5" max="5" width="11.81640625" bestFit="1" customWidth="1"/>
    <col min="6" max="6" width="11.26953125" customWidth="1"/>
    <col min="7" max="7" width="10.54296875" bestFit="1" customWidth="1"/>
    <col min="8" max="8" width="10.54296875" customWidth="1"/>
    <col min="9" max="9" width="10.54296875" bestFit="1" customWidth="1"/>
    <col min="10" max="10" width="11.453125" customWidth="1"/>
    <col min="11" max="11" width="10.81640625" customWidth="1"/>
    <col min="12" max="12" width="10.26953125" bestFit="1" customWidth="1"/>
    <col min="13" max="13" width="10.7265625" bestFit="1" customWidth="1"/>
    <col min="14" max="14" width="10.453125" customWidth="1"/>
    <col min="15" max="15" width="11.81640625" customWidth="1"/>
  </cols>
  <sheetData>
    <row r="1" spans="1:15" ht="15" x14ac:dyDescent="0.25">
      <c r="A1" s="245" t="s">
        <v>889</v>
      </c>
    </row>
    <row r="2" spans="1:15" ht="15" x14ac:dyDescent="0.25">
      <c r="A2" s="245" t="s">
        <v>890</v>
      </c>
    </row>
    <row r="3" spans="1:15" ht="15" x14ac:dyDescent="0.25">
      <c r="C3" t="s">
        <v>794</v>
      </c>
      <c r="D3" s="605" t="s">
        <v>752</v>
      </c>
      <c r="E3" s="605"/>
      <c r="F3" t="s">
        <v>753</v>
      </c>
      <c r="H3" s="605" t="s">
        <v>754</v>
      </c>
      <c r="I3" s="605"/>
      <c r="J3" s="605" t="s">
        <v>755</v>
      </c>
      <c r="K3" s="605"/>
      <c r="L3" s="605" t="s">
        <v>756</v>
      </c>
      <c r="M3" s="605"/>
      <c r="N3" s="605" t="s">
        <v>757</v>
      </c>
      <c r="O3" s="605"/>
    </row>
    <row r="4" spans="1:15" ht="15" x14ac:dyDescent="0.25">
      <c r="A4" s="553" t="s">
        <v>749</v>
      </c>
      <c r="B4" s="553" t="s">
        <v>478</v>
      </c>
      <c r="C4" s="553"/>
      <c r="D4" s="552" t="s">
        <v>793</v>
      </c>
      <c r="E4" s="552" t="s">
        <v>659</v>
      </c>
      <c r="F4" s="552" t="s">
        <v>793</v>
      </c>
      <c r="G4" s="552" t="s">
        <v>391</v>
      </c>
      <c r="H4" s="552" t="s">
        <v>793</v>
      </c>
      <c r="I4" s="552" t="s">
        <v>391</v>
      </c>
      <c r="J4" s="552" t="s">
        <v>793</v>
      </c>
      <c r="K4" s="552" t="s">
        <v>391</v>
      </c>
      <c r="L4" s="552" t="s">
        <v>793</v>
      </c>
      <c r="M4" s="552" t="s">
        <v>391</v>
      </c>
      <c r="N4" s="552" t="s">
        <v>793</v>
      </c>
      <c r="O4" s="552" t="s">
        <v>391</v>
      </c>
    </row>
    <row r="5" spans="1:15" ht="15" x14ac:dyDescent="0.25">
      <c r="A5" s="236"/>
      <c r="B5" s="240" t="s">
        <v>758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5" ht="15" x14ac:dyDescent="0.25">
      <c r="A6" s="236"/>
      <c r="B6" s="240" t="s">
        <v>759</v>
      </c>
      <c r="C6" s="240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</row>
    <row r="7" spans="1:15" ht="15" x14ac:dyDescent="0.25">
      <c r="A7" s="236"/>
      <c r="B7" s="236" t="s">
        <v>430</v>
      </c>
      <c r="C7" s="547">
        <v>74.33</v>
      </c>
      <c r="D7" s="236">
        <v>74.33</v>
      </c>
      <c r="E7" s="236"/>
      <c r="F7" s="548">
        <f>E9</f>
        <v>150</v>
      </c>
      <c r="G7" s="236"/>
      <c r="H7" s="548">
        <f>G9</f>
        <v>415</v>
      </c>
      <c r="I7" s="236"/>
      <c r="J7" s="548">
        <f>I9</f>
        <v>415</v>
      </c>
      <c r="K7" s="236"/>
      <c r="L7" s="548">
        <f>K9</f>
        <v>415</v>
      </c>
      <c r="M7" s="236"/>
      <c r="N7" s="548">
        <f>M9</f>
        <v>415</v>
      </c>
      <c r="O7" s="236"/>
    </row>
    <row r="8" spans="1:15" ht="15" x14ac:dyDescent="0.25">
      <c r="A8" s="236" t="s">
        <v>760</v>
      </c>
      <c r="B8" s="236" t="s">
        <v>763</v>
      </c>
      <c r="C8" s="547"/>
      <c r="D8" s="236">
        <f>150-74.33</f>
        <v>75.67</v>
      </c>
      <c r="E8" s="236"/>
      <c r="F8" s="545">
        <v>265</v>
      </c>
      <c r="G8" s="236"/>
      <c r="H8" s="545">
        <v>0</v>
      </c>
      <c r="I8" s="236"/>
      <c r="J8" s="236"/>
      <c r="K8" s="236"/>
      <c r="L8" s="236"/>
      <c r="M8" s="236"/>
      <c r="N8" s="236"/>
      <c r="O8" s="236"/>
    </row>
    <row r="9" spans="1:15" ht="15" x14ac:dyDescent="0.25">
      <c r="A9" s="236" t="s">
        <v>761</v>
      </c>
      <c r="B9" s="236" t="s">
        <v>762</v>
      </c>
      <c r="C9" s="547"/>
      <c r="D9" s="545">
        <v>0</v>
      </c>
      <c r="E9" s="545">
        <f>SUM(D7:D9)</f>
        <v>150</v>
      </c>
      <c r="F9" s="545">
        <v>0</v>
      </c>
      <c r="G9" s="545">
        <f>SUM(F7:F9)</f>
        <v>415</v>
      </c>
      <c r="H9" s="545">
        <v>0</v>
      </c>
      <c r="I9" s="545">
        <f>SUM(H7:H9)</f>
        <v>415</v>
      </c>
      <c r="J9" s="236"/>
      <c r="K9" s="545">
        <f>SUM(J7:J9)</f>
        <v>415</v>
      </c>
      <c r="L9" s="236"/>
      <c r="M9" s="545">
        <f>SUM(L7:L9)</f>
        <v>415</v>
      </c>
      <c r="N9" s="236"/>
      <c r="O9" s="545">
        <f>SUM(N7:N9)</f>
        <v>415</v>
      </c>
    </row>
    <row r="10" spans="1:15" ht="15" x14ac:dyDescent="0.25">
      <c r="A10" s="236"/>
      <c r="B10" s="236"/>
      <c r="C10" s="547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</row>
    <row r="11" spans="1:15" ht="15" x14ac:dyDescent="0.25">
      <c r="A11" s="236"/>
      <c r="B11" s="240" t="s">
        <v>764</v>
      </c>
      <c r="C11" s="547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</row>
    <row r="12" spans="1:15" ht="15" x14ac:dyDescent="0.25">
      <c r="A12" s="236"/>
      <c r="B12" s="236" t="s">
        <v>430</v>
      </c>
      <c r="C12" s="547">
        <v>87.94</v>
      </c>
      <c r="D12" s="545">
        <f>C12</f>
        <v>87.94</v>
      </c>
      <c r="E12" s="236"/>
      <c r="F12" s="548">
        <f>E14</f>
        <v>47.252927166666723</v>
      </c>
      <c r="G12" s="236"/>
      <c r="H12" s="548">
        <f>G14</f>
        <v>52.083333333333485</v>
      </c>
      <c r="I12" s="236"/>
      <c r="J12" s="548">
        <f>I14</f>
        <v>53.75</v>
      </c>
      <c r="K12" s="236"/>
      <c r="L12" s="548">
        <f>K14</f>
        <v>51.75</v>
      </c>
      <c r="M12" s="236"/>
      <c r="N12" s="548">
        <f>M14</f>
        <v>55.666666666666515</v>
      </c>
      <c r="O12" s="236"/>
    </row>
    <row r="13" spans="1:15" ht="15" x14ac:dyDescent="0.25">
      <c r="A13" s="236" t="s">
        <v>760</v>
      </c>
      <c r="B13" s="236" t="s">
        <v>765</v>
      </c>
      <c r="C13" s="547"/>
      <c r="D13" s="545">
        <f>'Detailed PL, TP &amp; TR'!G26</f>
        <v>706.84512599999994</v>
      </c>
      <c r="E13" s="236"/>
      <c r="F13" s="549">
        <f>'Detailed PL, TP &amp; TR'!J26</f>
        <v>2696.00414</v>
      </c>
      <c r="G13" s="236"/>
      <c r="H13" s="549">
        <f>'Detailed PL, TP &amp; TR'!M26</f>
        <v>2833.1786325000003</v>
      </c>
      <c r="I13" s="236"/>
      <c r="J13" s="545">
        <f>'Detailed PL, TP &amp; TR'!P26</f>
        <v>2928.0898011874997</v>
      </c>
      <c r="K13" s="236"/>
      <c r="L13" s="549">
        <f>'Detailed PL, TP &amp; TR'!S26</f>
        <v>3105.1539171765626</v>
      </c>
      <c r="M13" s="236"/>
      <c r="N13" s="549">
        <f>'Detailed PL, TP &amp; TR'!V26</f>
        <v>3273.9420597808989</v>
      </c>
      <c r="O13" s="236"/>
    </row>
    <row r="14" spans="1:15" ht="15" x14ac:dyDescent="0.25">
      <c r="A14" s="236" t="s">
        <v>761</v>
      </c>
      <c r="B14" s="236" t="s">
        <v>766</v>
      </c>
      <c r="C14" s="547"/>
      <c r="D14" s="545">
        <f>('Detailed PL, TP &amp; TR'!G25+'Detailed PL, TP &amp; TR'!G26-'Detailed PL, TP &amp; TR'!G27)*-1</f>
        <v>-747.53219883333327</v>
      </c>
      <c r="E14" s="548">
        <f>SUM(D12:D14)</f>
        <v>47.252927166666723</v>
      </c>
      <c r="F14" s="549">
        <f>-'Detailed PL, TP &amp; TR'!J32</f>
        <v>-2691.1737338333332</v>
      </c>
      <c r="G14" s="548">
        <f>SUM(F12:F14)</f>
        <v>52.083333333333485</v>
      </c>
      <c r="H14" s="549">
        <f>-'Detailed PL, TP &amp; TR'!M32</f>
        <v>-2831.5119658333338</v>
      </c>
      <c r="I14" s="548">
        <f>SUM(H12:H14)</f>
        <v>53.75</v>
      </c>
      <c r="J14" s="549">
        <f>-'Detailed PL, TP &amp; TR'!P32</f>
        <v>-2930.0898011874997</v>
      </c>
      <c r="K14" s="548">
        <f>SUM(J12:J14)</f>
        <v>51.75</v>
      </c>
      <c r="L14" s="549">
        <f>-'Detailed PL, TP &amp; TR'!S32</f>
        <v>-3101.2372505098961</v>
      </c>
      <c r="M14" s="548">
        <f>SUM(L12:L14)</f>
        <v>55.666666666666515</v>
      </c>
      <c r="N14" s="549">
        <f>-'Detailed PL, TP &amp; TR'!V32</f>
        <v>-3272.275393114232</v>
      </c>
      <c r="O14" s="548">
        <f>SUM(N12:N14)</f>
        <v>57.333333333333485</v>
      </c>
    </row>
    <row r="15" spans="1:15" ht="15" x14ac:dyDescent="0.25">
      <c r="A15" s="236"/>
      <c r="B15" s="236"/>
      <c r="C15" s="547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</row>
    <row r="16" spans="1:15" ht="15" x14ac:dyDescent="0.25">
      <c r="A16" s="236"/>
      <c r="B16" s="240" t="s">
        <v>767</v>
      </c>
      <c r="C16" s="547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</row>
    <row r="17" spans="1:15" ht="15" x14ac:dyDescent="0.25">
      <c r="A17" s="236"/>
      <c r="B17" s="236" t="s">
        <v>795</v>
      </c>
      <c r="C17" s="547">
        <v>9.18</v>
      </c>
      <c r="D17" s="236">
        <v>9.18</v>
      </c>
      <c r="E17" s="236"/>
      <c r="F17" s="548">
        <f>E18</f>
        <v>9.18</v>
      </c>
      <c r="G17" s="236"/>
      <c r="H17" s="548">
        <f>G18</f>
        <v>9.18</v>
      </c>
      <c r="I17" s="236"/>
      <c r="J17" s="548">
        <f>I18</f>
        <v>9.18</v>
      </c>
      <c r="K17" s="236"/>
      <c r="L17" s="548">
        <f>K18</f>
        <v>9.18</v>
      </c>
      <c r="M17" s="236"/>
      <c r="N17" s="548">
        <f>M18</f>
        <v>9.18</v>
      </c>
      <c r="O17" s="236"/>
    </row>
    <row r="18" spans="1:15" ht="15" x14ac:dyDescent="0.25">
      <c r="A18" s="236" t="s">
        <v>761</v>
      </c>
      <c r="B18" s="236" t="s">
        <v>803</v>
      </c>
      <c r="C18" s="547"/>
      <c r="D18" s="545">
        <v>0</v>
      </c>
      <c r="E18" s="545">
        <f>SUM(D17:D18)</f>
        <v>9.18</v>
      </c>
      <c r="F18" s="545">
        <v>0</v>
      </c>
      <c r="G18" s="545">
        <f>SUM(F17:F18)</f>
        <v>9.18</v>
      </c>
      <c r="H18" s="545">
        <v>0</v>
      </c>
      <c r="I18" s="545">
        <f>SUM(H17:H18)</f>
        <v>9.18</v>
      </c>
      <c r="J18" s="236"/>
      <c r="K18" s="545">
        <f>SUM(J17:J18)</f>
        <v>9.18</v>
      </c>
      <c r="L18" s="236"/>
      <c r="M18" s="545">
        <f>SUM(L17:L18)</f>
        <v>9.18</v>
      </c>
      <c r="N18" s="236"/>
      <c r="O18" s="545">
        <f>SUM(N17:N18)</f>
        <v>9.18</v>
      </c>
    </row>
    <row r="19" spans="1:15" ht="15" x14ac:dyDescent="0.25">
      <c r="A19" s="236"/>
      <c r="B19" s="240"/>
      <c r="C19" s="547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</row>
    <row r="20" spans="1:15" ht="15" x14ac:dyDescent="0.25">
      <c r="A20" s="236"/>
      <c r="B20" s="240" t="s">
        <v>768</v>
      </c>
      <c r="C20" s="547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</row>
    <row r="21" spans="1:15" ht="15" x14ac:dyDescent="0.25">
      <c r="A21" s="236"/>
      <c r="B21" s="236" t="s">
        <v>795</v>
      </c>
      <c r="C21" s="547">
        <v>7.04</v>
      </c>
      <c r="D21" s="236">
        <v>7.04</v>
      </c>
      <c r="E21" s="236"/>
      <c r="F21" s="548">
        <f>E23</f>
        <v>0</v>
      </c>
      <c r="G21" s="236"/>
      <c r="H21" s="548">
        <f>G23</f>
        <v>0</v>
      </c>
      <c r="I21" s="236"/>
      <c r="J21" s="548">
        <f>I23</f>
        <v>0</v>
      </c>
      <c r="K21" s="236"/>
      <c r="L21" s="548">
        <f>K23</f>
        <v>0</v>
      </c>
      <c r="M21" s="236"/>
      <c r="N21" s="548">
        <f>M23</f>
        <v>0</v>
      </c>
      <c r="O21" s="236"/>
    </row>
    <row r="22" spans="1:15" ht="15" x14ac:dyDescent="0.25">
      <c r="A22" s="236" t="s">
        <v>760</v>
      </c>
      <c r="B22" s="236" t="s">
        <v>707</v>
      </c>
      <c r="C22" s="547"/>
      <c r="D22" s="545">
        <v>0</v>
      </c>
      <c r="E22" s="236"/>
      <c r="F22" s="545">
        <v>0</v>
      </c>
      <c r="G22" s="236"/>
      <c r="H22" s="545">
        <v>0</v>
      </c>
      <c r="I22" s="236"/>
      <c r="J22" s="236"/>
      <c r="K22" s="236"/>
      <c r="L22" s="236"/>
      <c r="M22" s="236"/>
      <c r="N22" s="236"/>
      <c r="O22" s="236"/>
    </row>
    <row r="23" spans="1:15" ht="15" x14ac:dyDescent="0.25">
      <c r="A23" s="236" t="s">
        <v>761</v>
      </c>
      <c r="B23" s="236" t="s">
        <v>766</v>
      </c>
      <c r="C23" s="547"/>
      <c r="D23" s="545">
        <v>-7.04</v>
      </c>
      <c r="E23" s="548">
        <f>SUM(D21:D23)</f>
        <v>0</v>
      </c>
      <c r="F23" s="545">
        <v>0</v>
      </c>
      <c r="G23" s="548">
        <f>SUM(F21:F23)</f>
        <v>0</v>
      </c>
      <c r="H23" s="545">
        <v>0</v>
      </c>
      <c r="I23" s="548">
        <f>SUM(H21:H23)</f>
        <v>0</v>
      </c>
      <c r="J23" s="236"/>
      <c r="K23" s="548">
        <f>SUM(J21:J23)</f>
        <v>0</v>
      </c>
      <c r="L23" s="236"/>
      <c r="M23" s="548">
        <f>SUM(L21:L23)</f>
        <v>0</v>
      </c>
      <c r="N23" s="236"/>
      <c r="O23" s="548">
        <f>SUM(N21:N23)</f>
        <v>0</v>
      </c>
    </row>
    <row r="24" spans="1:15" ht="15" x14ac:dyDescent="0.25">
      <c r="A24" s="236"/>
      <c r="B24" s="236"/>
      <c r="C24" s="547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</row>
    <row r="25" spans="1:15" ht="15" x14ac:dyDescent="0.25">
      <c r="A25" s="236"/>
      <c r="B25" s="240" t="s">
        <v>769</v>
      </c>
      <c r="C25" s="547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</row>
    <row r="26" spans="1:15" ht="15" x14ac:dyDescent="0.25">
      <c r="A26" s="236"/>
      <c r="B26" s="236" t="s">
        <v>795</v>
      </c>
      <c r="C26" s="547">
        <v>335.04</v>
      </c>
      <c r="D26" s="236">
        <f>C26</f>
        <v>335.04</v>
      </c>
      <c r="E26" s="236"/>
      <c r="F26" s="545">
        <f>E28</f>
        <v>1110.2311111111112</v>
      </c>
      <c r="G26" s="236"/>
      <c r="H26" s="236">
        <f>G28</f>
        <v>1406.2199999999998</v>
      </c>
      <c r="I26" s="236"/>
      <c r="J26" s="236">
        <f>I28</f>
        <v>1456.06</v>
      </c>
      <c r="K26" s="236"/>
      <c r="L26" s="236">
        <f>K28</f>
        <v>1218.52</v>
      </c>
      <c r="M26" s="236"/>
      <c r="N26" s="236">
        <f>M28</f>
        <v>1278.52</v>
      </c>
      <c r="O26" s="236"/>
    </row>
    <row r="27" spans="1:15" ht="15" x14ac:dyDescent="0.25">
      <c r="A27" s="236" t="s">
        <v>760</v>
      </c>
      <c r="B27" s="236" t="s">
        <v>677</v>
      </c>
      <c r="C27" s="547"/>
      <c r="D27" s="545">
        <f>'Loan Repayment'!D70</f>
        <v>1110.2311111111112</v>
      </c>
      <c r="E27" s="236"/>
      <c r="F27" s="545">
        <f>'Loan Repayment'!D87</f>
        <v>1406.2199999999998</v>
      </c>
      <c r="G27" s="236"/>
      <c r="H27" s="236">
        <f>'Loan Repayment'!E87</f>
        <v>1456.06</v>
      </c>
      <c r="I27" s="236"/>
      <c r="J27" s="236">
        <f>'Loan Repayment'!F87</f>
        <v>1218.52</v>
      </c>
      <c r="K27" s="236"/>
      <c r="L27" s="236">
        <f>'Loan Repayment'!G87</f>
        <v>1278.52</v>
      </c>
      <c r="M27" s="236"/>
      <c r="N27" s="236">
        <f>'Loan Repayment'!H87</f>
        <v>1077.2100000000003</v>
      </c>
      <c r="O27" s="236"/>
    </row>
    <row r="28" spans="1:15" ht="15" x14ac:dyDescent="0.25">
      <c r="A28" s="236" t="s">
        <v>761</v>
      </c>
      <c r="B28" s="236" t="s">
        <v>766</v>
      </c>
      <c r="C28" s="547"/>
      <c r="D28" s="549">
        <f>-'Loan Repayment'!C70-D74-0.01</f>
        <v>-335.03999999999996</v>
      </c>
      <c r="E28" s="236">
        <f>SUM(D26:D28)</f>
        <v>1110.2311111111112</v>
      </c>
      <c r="F28" s="545">
        <f>-'Loan Repayment'!D70</f>
        <v>-1110.2311111111112</v>
      </c>
      <c r="G28" s="236">
        <f>SUM(F26:F28)</f>
        <v>1406.2199999999998</v>
      </c>
      <c r="H28" s="236">
        <f>-'Loan Repayment'!D87</f>
        <v>-1406.2199999999998</v>
      </c>
      <c r="I28" s="236">
        <f>SUM(H26:H28)</f>
        <v>1456.06</v>
      </c>
      <c r="J28" s="236">
        <f>J26*-1</f>
        <v>-1456.06</v>
      </c>
      <c r="K28" s="236">
        <f>SUM(J26:J28)</f>
        <v>1218.52</v>
      </c>
      <c r="L28" s="236">
        <f>L26*-1</f>
        <v>-1218.52</v>
      </c>
      <c r="M28" s="236">
        <f>SUM(L26:L28)</f>
        <v>1278.52</v>
      </c>
      <c r="N28" s="236">
        <f>N26*-1</f>
        <v>-1278.52</v>
      </c>
      <c r="O28" s="236">
        <f>SUM(N26:N28)</f>
        <v>1077.2100000000005</v>
      </c>
    </row>
    <row r="29" spans="1:15" ht="15" x14ac:dyDescent="0.25">
      <c r="A29" s="236"/>
      <c r="B29" s="236"/>
      <c r="C29" s="547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</row>
    <row r="30" spans="1:15" ht="15" x14ac:dyDescent="0.25">
      <c r="A30" s="236"/>
      <c r="B30" s="236"/>
      <c r="C30" s="547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</row>
    <row r="31" spans="1:15" ht="15" x14ac:dyDescent="0.25">
      <c r="A31" s="236"/>
      <c r="B31" s="240" t="s">
        <v>770</v>
      </c>
      <c r="C31" s="547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</row>
    <row r="32" spans="1:15" ht="15" x14ac:dyDescent="0.25">
      <c r="A32" s="236"/>
      <c r="B32" s="240" t="s">
        <v>771</v>
      </c>
      <c r="C32" s="550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</row>
    <row r="33" spans="1:15" ht="15" x14ac:dyDescent="0.25">
      <c r="A33" s="236"/>
      <c r="B33" s="236" t="s">
        <v>430</v>
      </c>
      <c r="C33" s="547">
        <v>136.44</v>
      </c>
      <c r="D33" s="236">
        <f>C33</f>
        <v>136.44</v>
      </c>
      <c r="E33" s="236"/>
      <c r="F33" s="236">
        <f>E36</f>
        <v>136.4399999999996</v>
      </c>
      <c r="G33" s="236"/>
      <c r="H33" s="548">
        <f>G36</f>
        <v>136.4399999999996</v>
      </c>
      <c r="I33" s="236"/>
      <c r="J33" s="548">
        <f>I36</f>
        <v>136.4399999999996</v>
      </c>
      <c r="K33" s="236"/>
      <c r="L33" s="548">
        <f>K36</f>
        <v>136.4399999999996</v>
      </c>
      <c r="M33" s="236"/>
      <c r="N33" s="548">
        <f>M36</f>
        <v>136.4399999999996</v>
      </c>
      <c r="O33" s="236"/>
    </row>
    <row r="34" spans="1:15" ht="15" x14ac:dyDescent="0.25">
      <c r="A34" s="236" t="s">
        <v>760</v>
      </c>
      <c r="B34" s="236" t="s">
        <v>809</v>
      </c>
      <c r="C34" s="547"/>
      <c r="D34" s="545">
        <f>'DEP-Co''sAct'!C139</f>
        <v>4800</v>
      </c>
      <c r="E34" s="236"/>
      <c r="F34" s="545">
        <f>'DEP-Co''sAct'!D139</f>
        <v>0</v>
      </c>
      <c r="G34" s="236"/>
      <c r="H34" s="545">
        <v>0</v>
      </c>
      <c r="I34" s="236"/>
      <c r="J34" s="236"/>
      <c r="K34" s="236"/>
      <c r="L34" s="236"/>
      <c r="M34" s="236"/>
      <c r="N34" s="236"/>
      <c r="O34" s="236"/>
    </row>
    <row r="35" spans="1:15" ht="15" x14ac:dyDescent="0.25">
      <c r="A35" s="236" t="s">
        <v>761</v>
      </c>
      <c r="B35" s="236" t="s">
        <v>844</v>
      </c>
      <c r="C35" s="547"/>
      <c r="D35" s="545">
        <v>0</v>
      </c>
      <c r="E35" s="236"/>
      <c r="F35" s="545">
        <v>0</v>
      </c>
      <c r="G35" s="236"/>
      <c r="H35" s="545">
        <v>0</v>
      </c>
      <c r="I35" s="236"/>
      <c r="J35" s="236"/>
      <c r="K35" s="236"/>
      <c r="L35" s="236"/>
      <c r="M35" s="236"/>
      <c r="N35" s="236"/>
      <c r="O35" s="236"/>
    </row>
    <row r="36" spans="1:15" ht="15" x14ac:dyDescent="0.25">
      <c r="A36" s="236" t="s">
        <v>761</v>
      </c>
      <c r="B36" s="236" t="s">
        <v>766</v>
      </c>
      <c r="C36" s="547"/>
      <c r="D36" s="545">
        <f>-D34</f>
        <v>-4800</v>
      </c>
      <c r="E36" s="236">
        <f>SUM(D33:D36)</f>
        <v>136.4399999999996</v>
      </c>
      <c r="F36" s="236">
        <v>0</v>
      </c>
      <c r="G36" s="545">
        <f>SUM(F33:F36)</f>
        <v>136.4399999999996</v>
      </c>
      <c r="H36" s="545">
        <v>0</v>
      </c>
      <c r="I36" s="545">
        <f>SUM(H33:H36)</f>
        <v>136.4399999999996</v>
      </c>
      <c r="J36" s="236"/>
      <c r="K36" s="545">
        <f>SUM(J33:J36)</f>
        <v>136.4399999999996</v>
      </c>
      <c r="L36" s="236"/>
      <c r="M36" s="545">
        <f>SUM(L33:L36)</f>
        <v>136.4399999999996</v>
      </c>
      <c r="N36" s="236"/>
      <c r="O36" s="545">
        <f>SUM(N33:N36)</f>
        <v>136.4399999999996</v>
      </c>
    </row>
    <row r="37" spans="1:15" ht="15" x14ac:dyDescent="0.25">
      <c r="A37" s="236"/>
      <c r="B37" s="236"/>
      <c r="C37" s="547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</row>
    <row r="38" spans="1:15" ht="15" x14ac:dyDescent="0.25">
      <c r="A38" s="236"/>
      <c r="B38" s="240" t="s">
        <v>772</v>
      </c>
      <c r="C38" s="547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</row>
    <row r="39" spans="1:15" x14ac:dyDescent="0.35">
      <c r="A39" s="236"/>
      <c r="B39" s="236" t="s">
        <v>430</v>
      </c>
      <c r="C39" s="551">
        <v>60.2</v>
      </c>
      <c r="D39" s="545">
        <f>C39</f>
        <v>60.2</v>
      </c>
      <c r="E39" s="236"/>
      <c r="F39" s="548">
        <f>E42</f>
        <v>60.199999999999989</v>
      </c>
      <c r="G39" s="236"/>
      <c r="H39" s="548">
        <f>G42</f>
        <v>60.200000000000045</v>
      </c>
      <c r="I39" s="236"/>
      <c r="J39" s="548">
        <f>I42</f>
        <v>60.200000000000045</v>
      </c>
      <c r="K39" s="236"/>
      <c r="L39" s="548">
        <f>K42</f>
        <v>60.200000000000045</v>
      </c>
      <c r="M39" s="236"/>
      <c r="N39" s="548">
        <f>M42</f>
        <v>60.200000000000045</v>
      </c>
      <c r="O39" s="236"/>
    </row>
    <row r="40" spans="1:15" x14ac:dyDescent="0.35">
      <c r="A40" s="236" t="s">
        <v>760</v>
      </c>
      <c r="B40" s="236" t="s">
        <v>736</v>
      </c>
      <c r="C40" s="547"/>
      <c r="D40" s="545">
        <f>'Loan Repayment'!C94+'Loan Repayment'!C96</f>
        <v>402.63982249999998</v>
      </c>
      <c r="E40" s="236"/>
      <c r="F40" s="545">
        <f>'Loan Repayment'!D97</f>
        <v>737.08816999999999</v>
      </c>
      <c r="G40" s="236"/>
      <c r="H40" s="545">
        <f>'Loan Repayment'!E97</f>
        <v>615.01808000000005</v>
      </c>
      <c r="I40" s="236"/>
      <c r="J40" s="545">
        <f>'Loan Repayment'!F97</f>
        <v>479.7321925</v>
      </c>
      <c r="K40" s="236"/>
      <c r="L40" s="545">
        <f>'Loan Repayment'!G97</f>
        <v>354.07685500000002</v>
      </c>
      <c r="M40" s="236"/>
      <c r="N40" s="545">
        <f>'Loan Repayment'!H97</f>
        <v>237.46495500000003</v>
      </c>
      <c r="O40" s="236"/>
    </row>
    <row r="41" spans="1:15" x14ac:dyDescent="0.35">
      <c r="A41" s="236" t="s">
        <v>760</v>
      </c>
      <c r="B41" s="236" t="s">
        <v>797</v>
      </c>
      <c r="C41" s="547"/>
      <c r="D41" s="545">
        <v>0</v>
      </c>
      <c r="E41" s="236"/>
      <c r="F41" s="545">
        <v>0</v>
      </c>
      <c r="G41" s="236"/>
      <c r="H41" s="545">
        <v>0</v>
      </c>
      <c r="I41" s="236"/>
      <c r="J41" s="545">
        <v>0</v>
      </c>
      <c r="K41" s="236"/>
      <c r="L41" s="545">
        <v>0</v>
      </c>
      <c r="M41" s="236"/>
      <c r="N41" s="236"/>
      <c r="O41" s="236"/>
    </row>
    <row r="42" spans="1:15" x14ac:dyDescent="0.35">
      <c r="A42" s="236" t="s">
        <v>761</v>
      </c>
      <c r="B42" s="236" t="s">
        <v>766</v>
      </c>
      <c r="C42" s="547"/>
      <c r="D42" s="545">
        <f>-D40</f>
        <v>-402.63982249999998</v>
      </c>
      <c r="E42" s="548">
        <f>SUM(D39:D42)</f>
        <v>60.199999999999989</v>
      </c>
      <c r="F42" s="549">
        <f>F40*-1</f>
        <v>-737.08816999999999</v>
      </c>
      <c r="G42" s="548">
        <f>SUM(F39:F42)</f>
        <v>60.200000000000045</v>
      </c>
      <c r="H42" s="545">
        <f>H40*-1</f>
        <v>-615.01808000000005</v>
      </c>
      <c r="I42" s="548">
        <f>SUM(H39:H42)</f>
        <v>60.200000000000045</v>
      </c>
      <c r="J42" s="545">
        <f>J40*-1</f>
        <v>-479.7321925</v>
      </c>
      <c r="K42" s="548">
        <f>SUM(J39:J42)</f>
        <v>60.200000000000045</v>
      </c>
      <c r="L42" s="545">
        <f>L40*-1</f>
        <v>-354.07685500000002</v>
      </c>
      <c r="M42" s="548">
        <f>SUM(L39:L42)</f>
        <v>60.200000000000045</v>
      </c>
      <c r="N42" s="545">
        <f>N40*-1</f>
        <v>-237.46495500000003</v>
      </c>
      <c r="O42" s="548">
        <f>SUM(N39:N42)</f>
        <v>60.200000000000045</v>
      </c>
    </row>
    <row r="43" spans="1:15" x14ac:dyDescent="0.35">
      <c r="A43" s="236"/>
      <c r="B43" s="240"/>
      <c r="C43" s="547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</row>
    <row r="44" spans="1:15" x14ac:dyDescent="0.35">
      <c r="A44" s="236"/>
      <c r="B44" s="240" t="s">
        <v>773</v>
      </c>
      <c r="C44" s="547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</row>
    <row r="45" spans="1:15" x14ac:dyDescent="0.35">
      <c r="A45" s="236"/>
      <c r="B45" s="236" t="s">
        <v>430</v>
      </c>
      <c r="C45" s="551">
        <v>19.2</v>
      </c>
      <c r="D45" s="545">
        <v>19.2</v>
      </c>
      <c r="E45" s="236"/>
      <c r="F45" s="548">
        <f>E47</f>
        <v>19.2</v>
      </c>
      <c r="G45" s="236"/>
      <c r="H45" s="548">
        <f>G47</f>
        <v>19.2</v>
      </c>
      <c r="I45" s="236"/>
      <c r="J45" s="548">
        <f>I47</f>
        <v>19.2</v>
      </c>
      <c r="K45" s="236"/>
      <c r="L45" s="548">
        <f>K47</f>
        <v>19.2</v>
      </c>
      <c r="M45" s="236"/>
      <c r="N45" s="548">
        <f>M47</f>
        <v>19.2</v>
      </c>
      <c r="O45" s="236"/>
    </row>
    <row r="46" spans="1:15" x14ac:dyDescent="0.35">
      <c r="A46" s="236" t="s">
        <v>760</v>
      </c>
      <c r="B46" s="236" t="s">
        <v>677</v>
      </c>
      <c r="C46" s="547"/>
      <c r="D46" s="545">
        <v>0</v>
      </c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</row>
    <row r="47" spans="1:15" x14ac:dyDescent="0.35">
      <c r="A47" s="236" t="s">
        <v>761</v>
      </c>
      <c r="B47" s="236" t="s">
        <v>847</v>
      </c>
      <c r="C47" s="547"/>
      <c r="D47" s="545">
        <v>0</v>
      </c>
      <c r="E47" s="545">
        <f>SUM(D45:D47)</f>
        <v>19.2</v>
      </c>
      <c r="F47" s="549"/>
      <c r="G47" s="545">
        <f>SUM(F45:F47)</f>
        <v>19.2</v>
      </c>
      <c r="H47" s="236"/>
      <c r="I47" s="545">
        <f>SUM(H45:H47)</f>
        <v>19.2</v>
      </c>
      <c r="J47" s="236"/>
      <c r="K47" s="545">
        <f>SUM(J45:J47)</f>
        <v>19.2</v>
      </c>
      <c r="L47" s="236"/>
      <c r="M47" s="545">
        <f>SUM(L45:L47)</f>
        <v>19.2</v>
      </c>
      <c r="N47" s="236"/>
      <c r="O47" s="545">
        <f>SUM(N45:N47)</f>
        <v>19.2</v>
      </c>
    </row>
    <row r="48" spans="1:15" x14ac:dyDescent="0.35">
      <c r="A48" s="236"/>
      <c r="B48" s="236"/>
      <c r="C48" s="547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</row>
    <row r="49" spans="1:15" x14ac:dyDescent="0.35">
      <c r="A49" s="236"/>
      <c r="B49" s="240" t="s">
        <v>796</v>
      </c>
      <c r="C49" s="547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</row>
    <row r="50" spans="1:15" x14ac:dyDescent="0.35">
      <c r="A50" s="236"/>
      <c r="B50" s="236" t="s">
        <v>430</v>
      </c>
      <c r="C50" s="547">
        <v>13.01</v>
      </c>
      <c r="D50" s="236">
        <v>13.01</v>
      </c>
      <c r="E50" s="236"/>
      <c r="F50" s="548">
        <f>E52</f>
        <v>13.01</v>
      </c>
      <c r="G50" s="236"/>
      <c r="H50" s="548">
        <f>G52</f>
        <v>13.01</v>
      </c>
      <c r="I50" s="236"/>
      <c r="J50" s="548">
        <f>I52</f>
        <v>13.01</v>
      </c>
      <c r="K50" s="236"/>
      <c r="L50" s="548">
        <f>K52</f>
        <v>13.01</v>
      </c>
      <c r="M50" s="236"/>
      <c r="N50" s="548">
        <f>M52</f>
        <v>13.01</v>
      </c>
      <c r="O50" s="236"/>
    </row>
    <row r="51" spans="1:15" x14ac:dyDescent="0.35">
      <c r="A51" s="236" t="s">
        <v>760</v>
      </c>
      <c r="B51" s="236" t="s">
        <v>677</v>
      </c>
      <c r="C51" s="547"/>
      <c r="D51" s="545">
        <v>0</v>
      </c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</row>
    <row r="52" spans="1:15" x14ac:dyDescent="0.35">
      <c r="A52" s="236" t="s">
        <v>761</v>
      </c>
      <c r="B52" s="236" t="s">
        <v>847</v>
      </c>
      <c r="C52" s="547"/>
      <c r="D52" s="545">
        <v>0</v>
      </c>
      <c r="E52" s="548">
        <f>SUM(D50:D52)</f>
        <v>13.01</v>
      </c>
      <c r="F52" s="236"/>
      <c r="G52" s="548">
        <f>SUM(F50:F52)</f>
        <v>13.01</v>
      </c>
      <c r="H52" s="236"/>
      <c r="I52" s="548">
        <f>SUM(H50:H52)</f>
        <v>13.01</v>
      </c>
      <c r="J52" s="236"/>
      <c r="K52" s="548">
        <f>SUM(J50:J52)</f>
        <v>13.01</v>
      </c>
      <c r="L52" s="236"/>
      <c r="M52" s="548">
        <f>SUM(L50:L52)</f>
        <v>13.01</v>
      </c>
      <c r="N52" s="236"/>
      <c r="O52" s="548">
        <f>SUM(N50:N52)</f>
        <v>13.01</v>
      </c>
    </row>
    <row r="53" spans="1:15" x14ac:dyDescent="0.35">
      <c r="A53" s="236"/>
      <c r="B53" s="236"/>
      <c r="C53" s="547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</row>
    <row r="54" spans="1:15" x14ac:dyDescent="0.35">
      <c r="A54" s="236"/>
      <c r="B54" s="240" t="s">
        <v>777</v>
      </c>
      <c r="C54" s="547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</row>
    <row r="55" spans="1:15" x14ac:dyDescent="0.35">
      <c r="A55" s="236"/>
      <c r="B55" s="236" t="s">
        <v>430</v>
      </c>
      <c r="C55" s="547">
        <v>3.34</v>
      </c>
      <c r="D55" s="236">
        <v>3.34</v>
      </c>
      <c r="E55" s="236"/>
      <c r="F55" s="548">
        <f>E57</f>
        <v>3.34</v>
      </c>
      <c r="G55" s="236"/>
      <c r="H55" s="548">
        <f>G57</f>
        <v>3.34</v>
      </c>
      <c r="I55" s="236"/>
      <c r="J55" s="548">
        <f>I57</f>
        <v>3.34</v>
      </c>
      <c r="K55" s="236"/>
      <c r="L55" s="548">
        <f>K57</f>
        <v>3.34</v>
      </c>
      <c r="M55" s="236"/>
      <c r="N55" s="548">
        <f>M57</f>
        <v>3.34</v>
      </c>
      <c r="O55" s="236"/>
    </row>
    <row r="56" spans="1:15" x14ac:dyDescent="0.35">
      <c r="A56" s="236" t="s">
        <v>760</v>
      </c>
      <c r="B56" s="236" t="s">
        <v>677</v>
      </c>
      <c r="C56" s="547"/>
      <c r="D56" s="545">
        <v>0</v>
      </c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</row>
    <row r="57" spans="1:15" x14ac:dyDescent="0.35">
      <c r="A57" s="236" t="s">
        <v>761</v>
      </c>
      <c r="B57" s="236" t="s">
        <v>766</v>
      </c>
      <c r="C57" s="547"/>
      <c r="D57" s="545">
        <v>0</v>
      </c>
      <c r="E57" s="545">
        <f>SUM(D55:D57)</f>
        <v>3.34</v>
      </c>
      <c r="F57" s="236"/>
      <c r="G57" s="545">
        <f>SUM(F55:F57)</f>
        <v>3.34</v>
      </c>
      <c r="H57" s="236"/>
      <c r="I57" s="545">
        <f>SUM(H55:H57)</f>
        <v>3.34</v>
      </c>
      <c r="J57" s="236"/>
      <c r="K57" s="545">
        <f>SUM(J55:J57)</f>
        <v>3.34</v>
      </c>
      <c r="L57" s="236"/>
      <c r="M57" s="545">
        <f>SUM(L55:L57)</f>
        <v>3.34</v>
      </c>
      <c r="N57" s="236"/>
      <c r="O57" s="545">
        <f>SUM(N55:N57)</f>
        <v>3.34</v>
      </c>
    </row>
    <row r="58" spans="1:15" x14ac:dyDescent="0.35">
      <c r="A58" s="236"/>
      <c r="B58" s="236"/>
      <c r="C58" s="547"/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</row>
    <row r="59" spans="1:15" x14ac:dyDescent="0.35">
      <c r="A59" s="236"/>
      <c r="B59" s="240" t="s">
        <v>774</v>
      </c>
      <c r="C59" s="550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</row>
    <row r="60" spans="1:15" x14ac:dyDescent="0.35">
      <c r="A60" s="236"/>
      <c r="B60" s="236" t="s">
        <v>430</v>
      </c>
      <c r="C60" s="547">
        <v>45.94</v>
      </c>
      <c r="D60" s="236">
        <v>45.94</v>
      </c>
      <c r="E60" s="236"/>
      <c r="F60" s="236">
        <f>E62</f>
        <v>45.94</v>
      </c>
      <c r="G60" s="236"/>
      <c r="H60" s="236">
        <f>G62</f>
        <v>45.94</v>
      </c>
      <c r="I60" s="236"/>
      <c r="J60" s="236">
        <f>I62</f>
        <v>45.94</v>
      </c>
      <c r="K60" s="236"/>
      <c r="L60" s="236">
        <f>K62</f>
        <v>45.94</v>
      </c>
      <c r="M60" s="236"/>
      <c r="N60" s="236">
        <f>M62</f>
        <v>11.430000000000007</v>
      </c>
      <c r="O60" s="236"/>
    </row>
    <row r="61" spans="1:15" x14ac:dyDescent="0.35">
      <c r="A61" s="236" t="s">
        <v>760</v>
      </c>
      <c r="B61" s="236" t="s">
        <v>775</v>
      </c>
      <c r="C61" s="547"/>
      <c r="D61" s="236">
        <v>45.94</v>
      </c>
      <c r="E61" s="236"/>
      <c r="F61" s="236">
        <f>45.94</f>
        <v>45.94</v>
      </c>
      <c r="G61" s="236"/>
      <c r="H61" s="236">
        <v>45.94</v>
      </c>
      <c r="I61" s="236"/>
      <c r="J61" s="236">
        <v>45.94</v>
      </c>
      <c r="K61" s="236"/>
      <c r="L61" s="236">
        <f>K82</f>
        <v>11.430000000000007</v>
      </c>
      <c r="M61" s="236"/>
      <c r="N61" s="236">
        <v>0</v>
      </c>
      <c r="O61" s="236"/>
    </row>
    <row r="62" spans="1:15" x14ac:dyDescent="0.35">
      <c r="A62" s="236" t="s">
        <v>761</v>
      </c>
      <c r="B62" s="236" t="s">
        <v>776</v>
      </c>
      <c r="C62" s="547"/>
      <c r="D62" s="236">
        <f>-'Detailed PL, TP &amp; TR'!E13</f>
        <v>-45.94</v>
      </c>
      <c r="E62" s="236">
        <f>SUM(D60:D62)</f>
        <v>45.94</v>
      </c>
      <c r="F62" s="236">
        <f>-'Detailed PL, TP &amp; TR'!H13</f>
        <v>-45.94</v>
      </c>
      <c r="G62" s="236">
        <f>SUM(F60:F62)</f>
        <v>45.94</v>
      </c>
      <c r="H62" s="236">
        <f>'Detailed PL, TP &amp; TR'!K13*-1</f>
        <v>-45.94</v>
      </c>
      <c r="I62" s="236">
        <f>SUM(H60:H62)</f>
        <v>45.94</v>
      </c>
      <c r="J62" s="236">
        <f>'Detailed PL, TP &amp; TR'!N13*-1</f>
        <v>-45.94</v>
      </c>
      <c r="K62" s="236">
        <f>SUM(J60:J62)</f>
        <v>45.94</v>
      </c>
      <c r="L62" s="236">
        <f>'Detailed PL, TP &amp; TR'!P13*-1</f>
        <v>-45.94</v>
      </c>
      <c r="M62" s="236">
        <f>SUM(L60:L62)</f>
        <v>11.430000000000007</v>
      </c>
      <c r="N62" s="236">
        <f>N60*-1</f>
        <v>-11.430000000000007</v>
      </c>
      <c r="O62" s="545">
        <f>SUM(N60:N62)</f>
        <v>0</v>
      </c>
    </row>
    <row r="63" spans="1:15" x14ac:dyDescent="0.35">
      <c r="A63" s="236"/>
      <c r="B63" s="236"/>
      <c r="C63" s="547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</row>
    <row r="64" spans="1:15" x14ac:dyDescent="0.35">
      <c r="A64" s="236"/>
      <c r="B64" s="240" t="s">
        <v>781</v>
      </c>
      <c r="C64" s="550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</row>
    <row r="65" spans="1:15" x14ac:dyDescent="0.35">
      <c r="A65" s="236"/>
      <c r="B65" s="236" t="s">
        <v>430</v>
      </c>
      <c r="C65" s="547">
        <v>2.2599999999999998</v>
      </c>
      <c r="D65" s="236">
        <v>2.2599999999999998</v>
      </c>
      <c r="E65" s="236"/>
      <c r="F65" s="236">
        <f>E67</f>
        <v>2.2599999999999998</v>
      </c>
      <c r="G65" s="236"/>
      <c r="H65" s="236">
        <f>G67</f>
        <v>2.2599999999999998</v>
      </c>
      <c r="I65" s="236"/>
      <c r="J65" s="236">
        <f>I67</f>
        <v>2.2599999999999998</v>
      </c>
      <c r="K65" s="236"/>
      <c r="L65" s="236">
        <f>K67</f>
        <v>2.2599999999999998</v>
      </c>
      <c r="M65" s="236"/>
      <c r="N65" s="236">
        <f>M67</f>
        <v>2.2599999999999998</v>
      </c>
      <c r="O65" s="236"/>
    </row>
    <row r="66" spans="1:15" x14ac:dyDescent="0.35">
      <c r="A66" s="236" t="s">
        <v>760</v>
      </c>
      <c r="B66" s="236" t="s">
        <v>778</v>
      </c>
      <c r="C66" s="236"/>
      <c r="D66" s="545">
        <v>0</v>
      </c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</row>
    <row r="67" spans="1:15" x14ac:dyDescent="0.35">
      <c r="A67" s="236" t="s">
        <v>761</v>
      </c>
      <c r="B67" s="236" t="s">
        <v>766</v>
      </c>
      <c r="C67" s="236"/>
      <c r="D67" s="545">
        <v>0</v>
      </c>
      <c r="E67" s="236">
        <f>SUM(D65:D67)</f>
        <v>2.2599999999999998</v>
      </c>
      <c r="F67" s="236"/>
      <c r="G67" s="236">
        <f>SUM(F65:F67)</f>
        <v>2.2599999999999998</v>
      </c>
      <c r="H67" s="236"/>
      <c r="I67" s="236">
        <f>SUM(H65:H67)</f>
        <v>2.2599999999999998</v>
      </c>
      <c r="J67" s="236"/>
      <c r="K67" s="236">
        <f>SUM(J65:J67)</f>
        <v>2.2599999999999998</v>
      </c>
      <c r="L67" s="236"/>
      <c r="M67" s="236">
        <f>SUM(L65:L67)</f>
        <v>2.2599999999999998</v>
      </c>
      <c r="N67" s="236"/>
      <c r="O67" s="236">
        <f>SUM(N65:N67)</f>
        <v>2.2599999999999998</v>
      </c>
    </row>
    <row r="68" spans="1:15" x14ac:dyDescent="0.35">
      <c r="A68" s="236"/>
      <c r="B68" s="236"/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</row>
    <row r="69" spans="1:15" x14ac:dyDescent="0.35">
      <c r="A69" s="552"/>
      <c r="B69" s="553" t="s">
        <v>779</v>
      </c>
      <c r="C69" s="554">
        <f>SUM(C7:C68)</f>
        <v>793.92000000000007</v>
      </c>
      <c r="D69" s="552"/>
      <c r="E69" s="555">
        <f>SUM(E7:E68)</f>
        <v>1597.0540382777776</v>
      </c>
      <c r="F69" s="552"/>
      <c r="G69" s="555">
        <f>SUM(G7:G68)</f>
        <v>2162.8733333333334</v>
      </c>
      <c r="H69" s="552"/>
      <c r="I69" s="555">
        <f>SUM(I7:I68)</f>
        <v>2214.3799999999997</v>
      </c>
      <c r="J69" s="552"/>
      <c r="K69" s="555">
        <f>SUM(K7:K68)</f>
        <v>1974.8399999999997</v>
      </c>
      <c r="L69" s="552"/>
      <c r="M69" s="555">
        <f>SUM(M7:M68)</f>
        <v>2004.2466666666662</v>
      </c>
      <c r="N69" s="552"/>
      <c r="O69" s="555">
        <f>SUM(O7:O68)</f>
        <v>1793.1733333333336</v>
      </c>
    </row>
    <row r="70" spans="1:15" x14ac:dyDescent="0.35">
      <c r="A70" s="236"/>
      <c r="B70" s="236"/>
      <c r="C70" s="236"/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</row>
    <row r="71" spans="1:15" x14ac:dyDescent="0.35">
      <c r="A71" s="236"/>
      <c r="B71" s="240" t="s">
        <v>780</v>
      </c>
      <c r="C71" s="240"/>
      <c r="D71" s="236"/>
      <c r="E71" s="548"/>
      <c r="F71" s="236"/>
      <c r="G71" s="236"/>
      <c r="H71" s="236"/>
      <c r="I71" s="236"/>
      <c r="J71" s="236"/>
      <c r="K71" s="236"/>
      <c r="L71" s="236"/>
      <c r="M71" s="236"/>
      <c r="N71" s="236"/>
      <c r="O71" s="236"/>
    </row>
    <row r="72" spans="1:15" x14ac:dyDescent="0.35">
      <c r="A72" s="236"/>
      <c r="B72" s="236" t="s">
        <v>430</v>
      </c>
      <c r="C72" s="236">
        <v>2876.17</v>
      </c>
      <c r="D72" s="236">
        <f>C72</f>
        <v>2876.17</v>
      </c>
      <c r="E72" s="236"/>
      <c r="F72" s="545">
        <f>E75</f>
        <v>6859.1688888888884</v>
      </c>
      <c r="G72" s="236"/>
      <c r="H72" s="545">
        <f>G75</f>
        <v>5452.9488888888882</v>
      </c>
      <c r="I72" s="236"/>
      <c r="J72" s="548">
        <f>I75</f>
        <v>3996.8888888888882</v>
      </c>
      <c r="K72" s="236"/>
      <c r="L72" s="548">
        <f>K75</f>
        <v>2778.3688888888883</v>
      </c>
      <c r="M72" s="236"/>
      <c r="N72" s="548">
        <f>M75</f>
        <v>1499.8488888888883</v>
      </c>
      <c r="O72" s="236"/>
    </row>
    <row r="73" spans="1:15" x14ac:dyDescent="0.35">
      <c r="A73" s="236" t="s">
        <v>760</v>
      </c>
      <c r="B73" s="236" t="s">
        <v>677</v>
      </c>
      <c r="C73" s="236"/>
      <c r="D73" s="236">
        <f>'Loan Repayment'!C69</f>
        <v>5142.33</v>
      </c>
      <c r="E73" s="236"/>
      <c r="F73" s="545">
        <f>'Loan Repayment'!D69</f>
        <v>0</v>
      </c>
      <c r="G73" s="236"/>
      <c r="H73" s="236"/>
      <c r="I73" s="236"/>
      <c r="J73" s="236"/>
      <c r="K73" s="236"/>
      <c r="L73" s="236"/>
      <c r="M73" s="236"/>
      <c r="N73" s="236"/>
      <c r="O73" s="236"/>
    </row>
    <row r="74" spans="1:15" x14ac:dyDescent="0.35">
      <c r="A74" s="236" t="s">
        <v>761</v>
      </c>
      <c r="B74" s="236" t="s">
        <v>766</v>
      </c>
      <c r="C74" s="236"/>
      <c r="D74" s="545">
        <v>-49.1</v>
      </c>
      <c r="E74" s="236"/>
      <c r="F74" s="545">
        <v>0</v>
      </c>
      <c r="G74" s="236"/>
      <c r="H74" s="236"/>
      <c r="I74" s="236"/>
      <c r="J74" s="236"/>
      <c r="K74" s="236"/>
      <c r="L74" s="236"/>
      <c r="M74" s="236"/>
      <c r="N74" s="236"/>
      <c r="O74" s="236"/>
    </row>
    <row r="75" spans="1:15" x14ac:dyDescent="0.35">
      <c r="A75" s="236" t="s">
        <v>761</v>
      </c>
      <c r="B75" s="236" t="s">
        <v>810</v>
      </c>
      <c r="C75" s="236"/>
      <c r="D75" s="545">
        <f>-'Loan Repayment'!C87</f>
        <v>-1110.2311111111112</v>
      </c>
      <c r="E75" s="545">
        <f>SUM(D72:D75)</f>
        <v>6859.1688888888884</v>
      </c>
      <c r="F75" s="236">
        <f>-'Loan Repayment'!E70</f>
        <v>-1406.2199999999998</v>
      </c>
      <c r="G75" s="545">
        <f>SUM(F72:F75)</f>
        <v>5452.9488888888882</v>
      </c>
      <c r="H75" s="236">
        <f>-'Loan Repayment'!E87</f>
        <v>-1456.06</v>
      </c>
      <c r="I75" s="545">
        <f>SUM(H72:H75)</f>
        <v>3996.8888888888882</v>
      </c>
      <c r="J75" s="236">
        <f>J27*-1</f>
        <v>-1218.52</v>
      </c>
      <c r="K75" s="545">
        <f>SUM(J72:J75)</f>
        <v>2778.3688888888883</v>
      </c>
      <c r="L75" s="236">
        <f>'Loan Repayment'!G87*-1</f>
        <v>-1278.52</v>
      </c>
      <c r="M75" s="545">
        <f>SUM(L72:L75)</f>
        <v>1499.8488888888883</v>
      </c>
      <c r="N75" s="236">
        <f>'Loan Repayment'!H87*-1</f>
        <v>-1077.2100000000003</v>
      </c>
      <c r="O75" s="545">
        <f>SUM(N72:N75)</f>
        <v>422.638888888888</v>
      </c>
    </row>
    <row r="76" spans="1:15" x14ac:dyDescent="0.35">
      <c r="A76" s="236"/>
      <c r="B76" s="236"/>
      <c r="C76" s="236"/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</row>
    <row r="77" spans="1:15" x14ac:dyDescent="0.35">
      <c r="A77" s="236"/>
      <c r="B77" s="240" t="s">
        <v>782</v>
      </c>
      <c r="C77" s="240">
        <v>15.17</v>
      </c>
      <c r="D77" s="236">
        <f t="shared" ref="D77:K77" si="0">C77</f>
        <v>15.17</v>
      </c>
      <c r="E77" s="236">
        <f t="shared" si="0"/>
        <v>15.17</v>
      </c>
      <c r="F77" s="236">
        <f t="shared" si="0"/>
        <v>15.17</v>
      </c>
      <c r="G77" s="236">
        <f t="shared" si="0"/>
        <v>15.17</v>
      </c>
      <c r="H77" s="236">
        <f t="shared" si="0"/>
        <v>15.17</v>
      </c>
      <c r="I77" s="236">
        <f t="shared" si="0"/>
        <v>15.17</v>
      </c>
      <c r="J77" s="236">
        <f t="shared" si="0"/>
        <v>15.17</v>
      </c>
      <c r="K77" s="236">
        <f t="shared" si="0"/>
        <v>15.17</v>
      </c>
      <c r="L77" s="236">
        <f>K77</f>
        <v>15.17</v>
      </c>
      <c r="M77" s="236">
        <f>L77</f>
        <v>15.17</v>
      </c>
      <c r="N77" s="236">
        <f>M77</f>
        <v>15.17</v>
      </c>
      <c r="O77" s="236">
        <f>N77</f>
        <v>15.17</v>
      </c>
    </row>
    <row r="78" spans="1:15" x14ac:dyDescent="0.35">
      <c r="A78" s="236"/>
      <c r="B78" s="236"/>
      <c r="C78" s="236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</row>
    <row r="79" spans="1:15" x14ac:dyDescent="0.35">
      <c r="A79" s="236"/>
      <c r="B79" s="240" t="s">
        <v>783</v>
      </c>
      <c r="C79" s="240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</row>
    <row r="80" spans="1:15" x14ac:dyDescent="0.35">
      <c r="A80" s="236"/>
      <c r="B80" s="236" t="s">
        <v>430</v>
      </c>
      <c r="C80" s="236">
        <v>195.19</v>
      </c>
      <c r="D80" s="236">
        <f>C80</f>
        <v>195.19</v>
      </c>
      <c r="E80" s="236"/>
      <c r="F80" s="236">
        <f>E82</f>
        <v>149.25</v>
      </c>
      <c r="G80" s="236"/>
      <c r="H80" s="236">
        <f>G82</f>
        <v>103.31</v>
      </c>
      <c r="I80" s="236"/>
      <c r="J80" s="236">
        <f>I82</f>
        <v>57.370000000000005</v>
      </c>
      <c r="K80" s="236"/>
      <c r="L80" s="236">
        <f>K82</f>
        <v>11.430000000000007</v>
      </c>
      <c r="M80" s="236"/>
      <c r="N80" s="236">
        <f>M82</f>
        <v>0</v>
      </c>
      <c r="O80" s="236"/>
    </row>
    <row r="81" spans="1:15" x14ac:dyDescent="0.35">
      <c r="A81" s="236" t="s">
        <v>760</v>
      </c>
      <c r="B81" s="236" t="s">
        <v>707</v>
      </c>
      <c r="C81" s="236"/>
      <c r="D81" s="545">
        <v>0</v>
      </c>
      <c r="E81" s="236"/>
      <c r="F81" s="236">
        <v>0</v>
      </c>
      <c r="G81" s="236"/>
      <c r="H81" s="236"/>
      <c r="I81" s="236"/>
      <c r="J81" s="236"/>
      <c r="K81" s="236"/>
      <c r="L81" s="236"/>
      <c r="M81" s="236"/>
      <c r="N81" s="236"/>
      <c r="O81" s="236"/>
    </row>
    <row r="82" spans="1:15" x14ac:dyDescent="0.35">
      <c r="A82" s="236" t="s">
        <v>761</v>
      </c>
      <c r="B82" s="236" t="s">
        <v>784</v>
      </c>
      <c r="C82" s="236"/>
      <c r="D82" s="236">
        <v>-45.94</v>
      </c>
      <c r="E82" s="236">
        <f>SUM(D80:D82)</f>
        <v>149.25</v>
      </c>
      <c r="F82" s="236">
        <f>F61*-1</f>
        <v>-45.94</v>
      </c>
      <c r="G82" s="236">
        <f>SUM(F80:F82)</f>
        <v>103.31</v>
      </c>
      <c r="H82" s="236">
        <f>H61*-1</f>
        <v>-45.94</v>
      </c>
      <c r="I82" s="236">
        <f>SUM(H80:H82)</f>
        <v>57.370000000000005</v>
      </c>
      <c r="J82" s="236">
        <f>J61*-1</f>
        <v>-45.94</v>
      </c>
      <c r="K82" s="236">
        <f>SUM(J80:J82)</f>
        <v>11.430000000000007</v>
      </c>
      <c r="L82" s="236">
        <f>L61*-1</f>
        <v>-11.430000000000007</v>
      </c>
      <c r="M82" s="545">
        <f>SUM(L80:L82)</f>
        <v>0</v>
      </c>
      <c r="N82" s="545"/>
      <c r="O82" s="545">
        <f>SUM(N80:N82)</f>
        <v>0</v>
      </c>
    </row>
    <row r="83" spans="1:15" x14ac:dyDescent="0.35">
      <c r="A83" s="236"/>
      <c r="B83" s="236"/>
      <c r="C83" s="236"/>
      <c r="D83" s="236"/>
      <c r="E83" s="236"/>
      <c r="F83" s="236"/>
      <c r="G83" s="236"/>
      <c r="H83" s="236"/>
      <c r="I83" s="236"/>
      <c r="J83" s="236"/>
      <c r="K83" s="236"/>
      <c r="L83" s="236"/>
      <c r="M83" s="236"/>
      <c r="N83" s="236"/>
      <c r="O83" s="236"/>
    </row>
    <row r="84" spans="1:15" x14ac:dyDescent="0.35">
      <c r="A84" s="236"/>
      <c r="B84" s="240" t="s">
        <v>785</v>
      </c>
      <c r="C84" s="240"/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</row>
    <row r="85" spans="1:15" x14ac:dyDescent="0.35">
      <c r="A85" s="236"/>
      <c r="B85" s="236" t="s">
        <v>430</v>
      </c>
      <c r="C85" s="236">
        <v>1242.44</v>
      </c>
      <c r="D85" s="236">
        <v>1242.44</v>
      </c>
      <c r="E85" s="236"/>
      <c r="F85" s="236">
        <f>E87</f>
        <v>1242.44</v>
      </c>
      <c r="G85" s="236"/>
      <c r="H85" s="236">
        <f>G87</f>
        <v>1242.44</v>
      </c>
      <c r="I85" s="236"/>
      <c r="J85" s="236">
        <f>I87</f>
        <v>1242.44</v>
      </c>
      <c r="K85" s="236"/>
      <c r="L85" s="236">
        <f>K87</f>
        <v>1242.44</v>
      </c>
      <c r="M85" s="236"/>
      <c r="N85" s="236">
        <f>M87</f>
        <v>1242.44</v>
      </c>
      <c r="O85" s="236"/>
    </row>
    <row r="86" spans="1:15" x14ac:dyDescent="0.35">
      <c r="A86" s="236" t="s">
        <v>760</v>
      </c>
      <c r="B86" s="236" t="s">
        <v>677</v>
      </c>
      <c r="C86" s="236"/>
      <c r="D86" s="545">
        <v>0</v>
      </c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</row>
    <row r="87" spans="1:15" x14ac:dyDescent="0.35">
      <c r="A87" s="236" t="s">
        <v>761</v>
      </c>
      <c r="B87" s="236" t="s">
        <v>766</v>
      </c>
      <c r="C87" s="236"/>
      <c r="D87" s="545">
        <v>0</v>
      </c>
      <c r="E87" s="236">
        <f>SUM(D85:D87)</f>
        <v>1242.44</v>
      </c>
      <c r="F87" s="236"/>
      <c r="G87" s="236">
        <f>SUM(F85:F87)</f>
        <v>1242.44</v>
      </c>
      <c r="H87" s="236"/>
      <c r="I87" s="236">
        <f>SUM(H85:H87)</f>
        <v>1242.44</v>
      </c>
      <c r="J87" s="236"/>
      <c r="K87" s="236">
        <f>SUM(J85:J87)</f>
        <v>1242.44</v>
      </c>
      <c r="L87" s="236"/>
      <c r="M87" s="236">
        <f>SUM(L85:L87)</f>
        <v>1242.44</v>
      </c>
      <c r="N87" s="236"/>
      <c r="O87" s="236">
        <f>SUM(N85:N87)</f>
        <v>1242.44</v>
      </c>
    </row>
    <row r="88" spans="1:15" x14ac:dyDescent="0.35">
      <c r="A88" s="236"/>
      <c r="B88" s="236"/>
      <c r="C88" s="236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</row>
    <row r="89" spans="1:15" x14ac:dyDescent="0.35">
      <c r="A89" s="552"/>
      <c r="B89" s="552" t="s">
        <v>786</v>
      </c>
      <c r="C89" s="552">
        <f>SUM(C72:C87)</f>
        <v>4328.97</v>
      </c>
      <c r="D89" s="552"/>
      <c r="E89" s="552">
        <f>SUM(E72:E87)</f>
        <v>8266.0288888888881</v>
      </c>
      <c r="F89" s="552"/>
      <c r="G89" s="552">
        <f>SUM(G72:G87)</f>
        <v>6813.8688888888883</v>
      </c>
      <c r="H89" s="552"/>
      <c r="I89" s="552">
        <f>SUM(I72:I87)</f>
        <v>5311.8688888888883</v>
      </c>
      <c r="J89" s="552"/>
      <c r="K89" s="552">
        <f>SUM(K72:K87)</f>
        <v>4047.4088888888882</v>
      </c>
      <c r="L89" s="552"/>
      <c r="M89" s="552">
        <f>SUM(M72:M87)</f>
        <v>2757.4588888888884</v>
      </c>
      <c r="N89" s="552"/>
      <c r="O89" s="552">
        <f>SUM(O72:O87)</f>
        <v>1680.2488888888881</v>
      </c>
    </row>
    <row r="90" spans="1:15" x14ac:dyDescent="0.35">
      <c r="A90" s="236"/>
      <c r="B90" s="236"/>
      <c r="C90" s="236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</row>
    <row r="91" spans="1:15" x14ac:dyDescent="0.35">
      <c r="A91" s="552"/>
      <c r="B91" s="552" t="s">
        <v>798</v>
      </c>
      <c r="C91" s="552">
        <f>C89+C69</f>
        <v>5122.8900000000003</v>
      </c>
      <c r="D91" s="552"/>
      <c r="E91" s="556">
        <f>E89+E69</f>
        <v>9863.0829271666662</v>
      </c>
      <c r="F91" s="552"/>
      <c r="G91" s="556">
        <f>G89+G69</f>
        <v>8976.7422222222212</v>
      </c>
      <c r="H91" s="552"/>
      <c r="I91" s="556">
        <f>I89+I69</f>
        <v>7526.2488888888874</v>
      </c>
      <c r="J91" s="552"/>
      <c r="K91" s="556">
        <f>K89+K69</f>
        <v>6022.2488888888874</v>
      </c>
      <c r="L91" s="552"/>
      <c r="M91" s="556">
        <f>M89+M69</f>
        <v>4761.7055555555544</v>
      </c>
      <c r="N91" s="552"/>
      <c r="O91" s="556">
        <f>O89+O69</f>
        <v>3473.4222222222215</v>
      </c>
    </row>
    <row r="92" spans="1:15" x14ac:dyDescent="0.35">
      <c r="A92" s="236"/>
      <c r="B92" s="236"/>
      <c r="C92" s="236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</row>
    <row r="93" spans="1:15" x14ac:dyDescent="0.35">
      <c r="A93" s="552"/>
      <c r="B93" s="552" t="s">
        <v>680</v>
      </c>
      <c r="C93" s="556">
        <v>-33.4</v>
      </c>
      <c r="D93" s="552"/>
      <c r="E93" s="557">
        <f>C93</f>
        <v>-33.4</v>
      </c>
      <c r="F93" s="552"/>
      <c r="G93" s="557">
        <f>E93</f>
        <v>-33.4</v>
      </c>
      <c r="H93" s="552"/>
      <c r="I93" s="557">
        <f>G93</f>
        <v>-33.4</v>
      </c>
      <c r="J93" s="552"/>
      <c r="K93" s="557">
        <f>I93</f>
        <v>-33.4</v>
      </c>
      <c r="L93" s="552"/>
      <c r="M93" s="557">
        <f>K93</f>
        <v>-33.4</v>
      </c>
      <c r="N93" s="552"/>
      <c r="O93" s="557">
        <f>M93</f>
        <v>-33.4</v>
      </c>
    </row>
    <row r="94" spans="1:15" x14ac:dyDescent="0.35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</row>
    <row r="95" spans="1:15" x14ac:dyDescent="0.35">
      <c r="A95" s="236"/>
      <c r="B95" s="240" t="s">
        <v>787</v>
      </c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</row>
    <row r="96" spans="1:15" x14ac:dyDescent="0.35">
      <c r="A96" s="236"/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</row>
    <row r="97" spans="1:15" x14ac:dyDescent="0.35">
      <c r="A97" s="236"/>
      <c r="B97" s="236" t="s">
        <v>788</v>
      </c>
      <c r="C97" s="236">
        <v>755.89</v>
      </c>
      <c r="D97" s="236">
        <f t="shared" ref="D97:K97" si="1">C97</f>
        <v>755.89</v>
      </c>
      <c r="E97" s="236">
        <f t="shared" si="1"/>
        <v>755.89</v>
      </c>
      <c r="F97" s="236">
        <f t="shared" si="1"/>
        <v>755.89</v>
      </c>
      <c r="G97" s="236">
        <f t="shared" si="1"/>
        <v>755.89</v>
      </c>
      <c r="H97" s="236">
        <f t="shared" si="1"/>
        <v>755.89</v>
      </c>
      <c r="I97" s="236">
        <f t="shared" si="1"/>
        <v>755.89</v>
      </c>
      <c r="J97" s="236">
        <f t="shared" si="1"/>
        <v>755.89</v>
      </c>
      <c r="K97" s="236">
        <f t="shared" si="1"/>
        <v>755.89</v>
      </c>
      <c r="L97" s="236">
        <f>K97</f>
        <v>755.89</v>
      </c>
      <c r="M97" s="236">
        <f>L97</f>
        <v>755.89</v>
      </c>
      <c r="N97" s="236">
        <f>M97</f>
        <v>755.89</v>
      </c>
      <c r="O97" s="236">
        <f>N97</f>
        <v>755.89</v>
      </c>
    </row>
    <row r="98" spans="1:15" x14ac:dyDescent="0.35">
      <c r="A98" s="236"/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</row>
    <row r="99" spans="1:15" x14ac:dyDescent="0.35">
      <c r="A99" s="236"/>
      <c r="B99" s="236" t="s">
        <v>789</v>
      </c>
      <c r="C99" s="236">
        <v>2652.91</v>
      </c>
      <c r="D99" s="236">
        <f t="shared" ref="D99:K99" si="2">C99</f>
        <v>2652.91</v>
      </c>
      <c r="E99" s="236">
        <f t="shared" si="2"/>
        <v>2652.91</v>
      </c>
      <c r="F99" s="236">
        <f t="shared" si="2"/>
        <v>2652.91</v>
      </c>
      <c r="G99" s="236">
        <f t="shared" si="2"/>
        <v>2652.91</v>
      </c>
      <c r="H99" s="236">
        <f t="shared" si="2"/>
        <v>2652.91</v>
      </c>
      <c r="I99" s="236">
        <f t="shared" si="2"/>
        <v>2652.91</v>
      </c>
      <c r="J99" s="236">
        <f t="shared" si="2"/>
        <v>2652.91</v>
      </c>
      <c r="K99" s="236">
        <f t="shared" si="2"/>
        <v>2652.91</v>
      </c>
      <c r="L99" s="236">
        <f>K99</f>
        <v>2652.91</v>
      </c>
      <c r="M99" s="236">
        <f>L99</f>
        <v>2652.91</v>
      </c>
      <c r="N99" s="236">
        <f>M99</f>
        <v>2652.91</v>
      </c>
      <c r="O99" s="236">
        <f>N99</f>
        <v>2652.91</v>
      </c>
    </row>
    <row r="100" spans="1:15" x14ac:dyDescent="0.35">
      <c r="A100" s="236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</row>
    <row r="101" spans="1:15" x14ac:dyDescent="0.35">
      <c r="A101" s="236"/>
      <c r="B101" s="240" t="s">
        <v>790</v>
      </c>
      <c r="C101" s="240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</row>
    <row r="102" spans="1:15" x14ac:dyDescent="0.35">
      <c r="A102" s="236"/>
      <c r="B102" s="236" t="s">
        <v>430</v>
      </c>
      <c r="C102" s="545">
        <v>283.60000000000002</v>
      </c>
      <c r="D102" s="545">
        <f>C102</f>
        <v>283.60000000000002</v>
      </c>
      <c r="E102" s="548"/>
      <c r="F102" s="548">
        <f>E104</f>
        <v>740.44200246599974</v>
      </c>
      <c r="G102" s="236"/>
      <c r="H102" s="548">
        <f>G104</f>
        <v>1409.2980703180151</v>
      </c>
      <c r="I102" s="236"/>
      <c r="J102" s="548">
        <f>I104</f>
        <v>2295.8200061843741</v>
      </c>
      <c r="K102" s="236"/>
      <c r="L102" s="548">
        <f>K104</f>
        <v>3469.6629238822934</v>
      </c>
      <c r="M102" s="236"/>
      <c r="N102" s="548">
        <f>M104</f>
        <v>4912.4982029032399</v>
      </c>
      <c r="O102" s="236"/>
    </row>
    <row r="103" spans="1:15" x14ac:dyDescent="0.35">
      <c r="A103" s="236" t="s">
        <v>760</v>
      </c>
      <c r="B103" s="236" t="s">
        <v>791</v>
      </c>
      <c r="C103" s="236"/>
      <c r="D103" s="545">
        <f>'Detailed PL, TP &amp; TR'!G16</f>
        <v>456.84200246599971</v>
      </c>
      <c r="E103" s="236"/>
      <c r="F103" s="545">
        <f>'Detailed PL, TP &amp; TR'!J16</f>
        <v>668.85606785201526</v>
      </c>
      <c r="G103" s="236"/>
      <c r="H103" s="545">
        <f>'Detailed PL, TP &amp; TR'!M16</f>
        <v>886.52193586635894</v>
      </c>
      <c r="I103" s="236"/>
      <c r="J103" s="545">
        <f>'Detailed PL, TP &amp; TR'!P16</f>
        <v>1173.8429176979191</v>
      </c>
      <c r="K103" s="236"/>
      <c r="L103" s="545">
        <f>'Detailed PL, TP &amp; TR'!S16</f>
        <v>1442.835279020946</v>
      </c>
      <c r="M103" s="236"/>
      <c r="N103" s="236">
        <f>'Detailed PL, TP &amp; TR'!V16</f>
        <v>1668.1092595642035</v>
      </c>
      <c r="O103" s="236"/>
    </row>
    <row r="104" spans="1:15" x14ac:dyDescent="0.35">
      <c r="A104" s="236" t="s">
        <v>761</v>
      </c>
      <c r="B104" s="236" t="s">
        <v>792</v>
      </c>
      <c r="C104" s="236"/>
      <c r="D104" s="545">
        <v>0</v>
      </c>
      <c r="E104" s="548">
        <f>SUM(D102:D104)</f>
        <v>740.44200246599974</v>
      </c>
      <c r="F104" s="236"/>
      <c r="G104" s="548">
        <f>SUM(F102:F104)</f>
        <v>1409.2980703180151</v>
      </c>
      <c r="H104" s="236"/>
      <c r="I104" s="548">
        <f>SUM(H102:H104)</f>
        <v>2295.8200061843741</v>
      </c>
      <c r="J104" s="236"/>
      <c r="K104" s="548">
        <f>SUM(J102:J104)</f>
        <v>3469.6629238822934</v>
      </c>
      <c r="L104" s="236"/>
      <c r="M104" s="548">
        <f>SUM(L102:L104)</f>
        <v>4912.4982029032399</v>
      </c>
      <c r="N104" s="236"/>
      <c r="O104" s="548">
        <f>SUM(N102:N104)</f>
        <v>6580.6074624674438</v>
      </c>
    </row>
    <row r="105" spans="1:15" x14ac:dyDescent="0.35">
      <c r="A105" s="236"/>
      <c r="B105" s="236"/>
      <c r="C105" s="236"/>
      <c r="D105" s="236"/>
      <c r="E105" s="236"/>
      <c r="F105" s="236"/>
      <c r="G105" s="236"/>
      <c r="H105" s="236"/>
      <c r="I105" s="236"/>
      <c r="J105" s="236"/>
      <c r="K105" s="236"/>
      <c r="L105" s="236"/>
      <c r="M105" s="236"/>
      <c r="N105" s="236"/>
      <c r="O105" s="236"/>
    </row>
    <row r="106" spans="1:15" x14ac:dyDescent="0.35">
      <c r="A106" s="552"/>
      <c r="B106" s="553" t="s">
        <v>799</v>
      </c>
      <c r="C106" s="553">
        <f>SUM(C97:C104)</f>
        <v>3692.3999999999996</v>
      </c>
      <c r="D106" s="553"/>
      <c r="E106" s="558">
        <f>SUM(E97:E104)</f>
        <v>4149.2420024659996</v>
      </c>
      <c r="F106" s="553"/>
      <c r="G106" s="558">
        <f>SUM(G97:G104)</f>
        <v>4818.0980703180148</v>
      </c>
      <c r="H106" s="553"/>
      <c r="I106" s="558">
        <f>SUM(I97:I104)</f>
        <v>5704.6200061843738</v>
      </c>
      <c r="J106" s="553"/>
      <c r="K106" s="558">
        <f>SUM(K97:K104)</f>
        <v>6878.4629238822927</v>
      </c>
      <c r="L106" s="553"/>
      <c r="M106" s="558">
        <f>SUM(M97:M104)</f>
        <v>8321.2982029032391</v>
      </c>
      <c r="N106" s="553"/>
      <c r="O106" s="558">
        <f>SUM(O97:O104)</f>
        <v>9989.4074624674431</v>
      </c>
    </row>
    <row r="107" spans="1:15" x14ac:dyDescent="0.35">
      <c r="A107" s="236"/>
      <c r="B107" s="236"/>
      <c r="C107" s="236"/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</row>
    <row r="108" spans="1:15" x14ac:dyDescent="0.35">
      <c r="A108" s="552"/>
      <c r="B108" s="553" t="s">
        <v>800</v>
      </c>
      <c r="C108" s="559">
        <f>C91+C93+C106</f>
        <v>8781.89</v>
      </c>
      <c r="D108" s="553"/>
      <c r="E108" s="559">
        <f>E91+E93+E106</f>
        <v>13978.924929632667</v>
      </c>
      <c r="F108" s="553"/>
      <c r="G108" s="559">
        <f>G91+G93+G106</f>
        <v>13761.440292540236</v>
      </c>
      <c r="H108" s="553"/>
      <c r="I108" s="559">
        <f>I91+I93+I106</f>
        <v>13197.468895073262</v>
      </c>
      <c r="J108" s="553"/>
      <c r="K108" s="559">
        <f>K91+K93+K106</f>
        <v>12867.31181277118</v>
      </c>
      <c r="L108" s="553"/>
      <c r="M108" s="559">
        <f>M91+M93+M106</f>
        <v>13049.603758458794</v>
      </c>
      <c r="N108" s="553"/>
      <c r="O108" s="559">
        <f>O91+O93+O106</f>
        <v>13429.429684689665</v>
      </c>
    </row>
    <row r="109" spans="1:15" x14ac:dyDescent="0.35">
      <c r="A109" s="236"/>
      <c r="B109" s="236"/>
      <c r="C109" s="236"/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236"/>
      <c r="O109" s="236"/>
    </row>
    <row r="110" spans="1:15" x14ac:dyDescent="0.35">
      <c r="A110" s="236"/>
      <c r="B110" s="240" t="s">
        <v>821</v>
      </c>
      <c r="C110" s="236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</row>
    <row r="111" spans="1:15" x14ac:dyDescent="0.35">
      <c r="A111" s="236"/>
      <c r="B111" s="236" t="s">
        <v>822</v>
      </c>
      <c r="C111" s="236">
        <v>14.82</v>
      </c>
      <c r="D111" s="549">
        <f>CFS!C24</f>
        <v>806.71486363266649</v>
      </c>
      <c r="E111" s="549">
        <f>D111</f>
        <v>806.71486363266649</v>
      </c>
      <c r="F111" s="549">
        <f>CFS!D24</f>
        <v>1692.1862757370372</v>
      </c>
      <c r="G111" s="549">
        <f>F111</f>
        <v>1692.1862757370372</v>
      </c>
      <c r="H111" s="549">
        <f>CFS!E24</f>
        <v>2328.7802123614265</v>
      </c>
      <c r="I111" s="549">
        <f>H111</f>
        <v>2328.7802123614265</v>
      </c>
      <c r="J111" s="549">
        <f>CFS!F24</f>
        <v>3033.0859147026622</v>
      </c>
      <c r="K111" s="549">
        <f>J111</f>
        <v>3033.0859147026622</v>
      </c>
      <c r="L111" s="549">
        <f>CFS!G24</f>
        <v>4039.5164084338558</v>
      </c>
      <c r="M111" s="549">
        <f>L111</f>
        <v>4039.5164084338558</v>
      </c>
      <c r="N111" s="549">
        <f>CFS!H24</f>
        <v>5102.3747253547353</v>
      </c>
      <c r="O111" s="549">
        <f>N111</f>
        <v>5102.3747253547353</v>
      </c>
    </row>
    <row r="112" spans="1:15" x14ac:dyDescent="0.35">
      <c r="A112" s="236"/>
      <c r="B112" s="236"/>
      <c r="C112" s="236"/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</row>
    <row r="113" spans="1:15" ht="29" x14ac:dyDescent="0.35">
      <c r="A113" s="236"/>
      <c r="B113" s="560" t="s">
        <v>830</v>
      </c>
      <c r="C113" s="236">
        <v>130.9</v>
      </c>
      <c r="D113" s="236">
        <f t="shared" ref="D113:K113" si="3">C113</f>
        <v>130.9</v>
      </c>
      <c r="E113" s="236">
        <f t="shared" si="3"/>
        <v>130.9</v>
      </c>
      <c r="F113" s="236">
        <f t="shared" si="3"/>
        <v>130.9</v>
      </c>
      <c r="G113" s="236">
        <f t="shared" si="3"/>
        <v>130.9</v>
      </c>
      <c r="H113" s="236">
        <f t="shared" si="3"/>
        <v>130.9</v>
      </c>
      <c r="I113" s="236">
        <f t="shared" si="3"/>
        <v>130.9</v>
      </c>
      <c r="J113" s="236">
        <f t="shared" si="3"/>
        <v>130.9</v>
      </c>
      <c r="K113" s="236">
        <f t="shared" si="3"/>
        <v>130.9</v>
      </c>
      <c r="L113" s="236">
        <f>K113</f>
        <v>130.9</v>
      </c>
      <c r="M113" s="236">
        <f>L113</f>
        <v>130.9</v>
      </c>
      <c r="N113" s="236">
        <f>M113</f>
        <v>130.9</v>
      </c>
      <c r="O113" s="236">
        <f>N113</f>
        <v>130.9</v>
      </c>
    </row>
    <row r="114" spans="1:15" x14ac:dyDescent="0.35">
      <c r="A114" s="236"/>
      <c r="B114" s="236"/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</row>
    <row r="115" spans="1:15" x14ac:dyDescent="0.35">
      <c r="A115" s="236"/>
      <c r="B115" s="240" t="s">
        <v>804</v>
      </c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</row>
    <row r="116" spans="1:15" x14ac:dyDescent="0.35">
      <c r="A116" s="236"/>
      <c r="B116" s="236" t="s">
        <v>430</v>
      </c>
      <c r="C116" s="236">
        <v>557.88</v>
      </c>
      <c r="D116" s="236">
        <f>C116</f>
        <v>557.88</v>
      </c>
      <c r="E116" s="236"/>
      <c r="F116" s="548">
        <f>E119</f>
        <v>904.89425200000005</v>
      </c>
      <c r="G116" s="236"/>
      <c r="H116" s="548">
        <f>G119</f>
        <v>1166.8099999999995</v>
      </c>
      <c r="I116" s="236"/>
      <c r="J116" s="548">
        <f>I119</f>
        <v>1214.9699999999993</v>
      </c>
      <c r="K116" s="236"/>
      <c r="L116" s="548">
        <f>K119</f>
        <v>1223.619999999999</v>
      </c>
      <c r="M116" s="236"/>
      <c r="N116" s="548">
        <f>M119</f>
        <v>1272.7999999999993</v>
      </c>
      <c r="O116" s="236"/>
    </row>
    <row r="117" spans="1:15" x14ac:dyDescent="0.35">
      <c r="A117" s="236" t="s">
        <v>760</v>
      </c>
      <c r="B117" s="236" t="s">
        <v>805</v>
      </c>
      <c r="C117" s="236"/>
      <c r="D117" s="236">
        <f>'Detailed PL, TP &amp; TR'!G40</f>
        <v>2419.4856300000001</v>
      </c>
      <c r="E117" s="236"/>
      <c r="F117" s="549">
        <f>'Detailed PL, TP &amp; TR'!J40</f>
        <v>5735.1880000000001</v>
      </c>
      <c r="G117" s="236"/>
      <c r="H117" s="549">
        <f>'Detailed PL, TP &amp; TR'!M40</f>
        <v>5958.5190000000002</v>
      </c>
      <c r="I117" s="236"/>
      <c r="J117" s="549">
        <f>'Detailed PL, TP &amp; TR'!P40</f>
        <v>6089.0065500000001</v>
      </c>
      <c r="K117" s="236"/>
      <c r="L117" s="549">
        <f>'Detailed PL, TP &amp; TR'!S40</f>
        <v>6327.0827275000001</v>
      </c>
      <c r="M117" s="236"/>
      <c r="N117" s="549">
        <f>'Detailed PL, TP &amp; TR'!V40</f>
        <v>6573.2067826250004</v>
      </c>
      <c r="O117" s="236"/>
    </row>
    <row r="118" spans="1:15" x14ac:dyDescent="0.35">
      <c r="A118" s="236" t="s">
        <v>761</v>
      </c>
      <c r="B118" s="236" t="s">
        <v>823</v>
      </c>
      <c r="C118" s="549"/>
      <c r="D118" s="549">
        <f>-'Detailed PL, TP &amp; TR'!G44</f>
        <v>-2072.4713780000002</v>
      </c>
      <c r="E118" s="236"/>
      <c r="F118" s="549">
        <f>-'Detailed PL, TP &amp; TR'!J42</f>
        <v>-5473.2722520000007</v>
      </c>
      <c r="G118" s="236"/>
      <c r="H118" s="549">
        <f>-'Detailed PL, TP &amp; TR'!M42</f>
        <v>-5910.3590000000004</v>
      </c>
      <c r="I118" s="549"/>
      <c r="J118" s="549">
        <f>-'Detailed PL, TP &amp; TR'!P42</f>
        <v>-6080.3565500000004</v>
      </c>
      <c r="K118" s="236"/>
      <c r="L118" s="549">
        <f>-'Detailed PL, TP &amp; TR'!S42</f>
        <v>-6277.9027274999999</v>
      </c>
      <c r="M118" s="236"/>
      <c r="N118" s="549">
        <f>-'Detailed PL, TP &amp; TR'!V42</f>
        <v>-6523.4767826249999</v>
      </c>
      <c r="O118" s="236"/>
    </row>
    <row r="119" spans="1:15" x14ac:dyDescent="0.35">
      <c r="A119" s="236" t="s">
        <v>761</v>
      </c>
      <c r="B119" s="236" t="s">
        <v>824</v>
      </c>
      <c r="C119" s="236"/>
      <c r="D119" s="545">
        <v>0</v>
      </c>
      <c r="E119" s="545">
        <f>SUM(D116:D119)</f>
        <v>904.89425200000005</v>
      </c>
      <c r="F119" s="236"/>
      <c r="G119" s="545">
        <f>SUM(F116:F119)</f>
        <v>1166.8099999999995</v>
      </c>
      <c r="H119" s="236"/>
      <c r="I119" s="545">
        <f>SUM(H116:H119)</f>
        <v>1214.9699999999993</v>
      </c>
      <c r="J119" s="236"/>
      <c r="K119" s="545">
        <f>SUM(J116:J119)</f>
        <v>1223.619999999999</v>
      </c>
      <c r="L119" s="236"/>
      <c r="M119" s="545">
        <f>SUM(L116:L119)</f>
        <v>1272.7999999999993</v>
      </c>
      <c r="N119" s="236"/>
      <c r="O119" s="545">
        <f>SUM(N116:N119)</f>
        <v>1322.5299999999997</v>
      </c>
    </row>
    <row r="120" spans="1:15" x14ac:dyDescent="0.35">
      <c r="A120" s="236"/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</row>
    <row r="121" spans="1:15" x14ac:dyDescent="0.35">
      <c r="A121" s="236"/>
      <c r="B121" s="240" t="s">
        <v>670</v>
      </c>
      <c r="C121" s="545">
        <v>5</v>
      </c>
      <c r="D121" s="548">
        <f t="shared" ref="D121:K121" si="4">C121</f>
        <v>5</v>
      </c>
      <c r="E121" s="548">
        <f t="shared" si="4"/>
        <v>5</v>
      </c>
      <c r="F121" s="548">
        <f t="shared" si="4"/>
        <v>5</v>
      </c>
      <c r="G121" s="548">
        <f t="shared" si="4"/>
        <v>5</v>
      </c>
      <c r="H121" s="548">
        <f t="shared" si="4"/>
        <v>5</v>
      </c>
      <c r="I121" s="548">
        <f t="shared" si="4"/>
        <v>5</v>
      </c>
      <c r="J121" s="548">
        <f t="shared" si="4"/>
        <v>5</v>
      </c>
      <c r="K121" s="548">
        <f t="shared" si="4"/>
        <v>5</v>
      </c>
      <c r="L121" s="548">
        <f>K121</f>
        <v>5</v>
      </c>
      <c r="M121" s="548">
        <f>L121</f>
        <v>5</v>
      </c>
      <c r="N121" s="548">
        <f>M121</f>
        <v>5</v>
      </c>
      <c r="O121" s="548">
        <f>N121</f>
        <v>5</v>
      </c>
    </row>
    <row r="122" spans="1:15" x14ac:dyDescent="0.35">
      <c r="A122" s="236"/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</row>
    <row r="123" spans="1:15" x14ac:dyDescent="0.35">
      <c r="A123" s="236"/>
      <c r="B123" s="236" t="s">
        <v>825</v>
      </c>
      <c r="C123" s="236">
        <v>21.55</v>
      </c>
      <c r="D123" s="236">
        <f t="shared" ref="D123:K124" si="5">C123</f>
        <v>21.55</v>
      </c>
      <c r="E123" s="236">
        <f t="shared" si="5"/>
        <v>21.55</v>
      </c>
      <c r="F123" s="236">
        <f t="shared" si="5"/>
        <v>21.55</v>
      </c>
      <c r="G123" s="236">
        <f t="shared" si="5"/>
        <v>21.55</v>
      </c>
      <c r="H123" s="236">
        <f t="shared" si="5"/>
        <v>21.55</v>
      </c>
      <c r="I123" s="236">
        <f t="shared" si="5"/>
        <v>21.55</v>
      </c>
      <c r="J123" s="236">
        <f t="shared" si="5"/>
        <v>21.55</v>
      </c>
      <c r="K123" s="236">
        <f t="shared" si="5"/>
        <v>21.55</v>
      </c>
      <c r="L123" s="236">
        <f t="shared" ref="L123:O124" si="6">K123</f>
        <v>21.55</v>
      </c>
      <c r="M123" s="236">
        <f t="shared" si="6"/>
        <v>21.55</v>
      </c>
      <c r="N123" s="236">
        <f t="shared" si="6"/>
        <v>21.55</v>
      </c>
      <c r="O123" s="236">
        <f t="shared" si="6"/>
        <v>21.55</v>
      </c>
    </row>
    <row r="124" spans="1:15" x14ac:dyDescent="0.35">
      <c r="A124" s="236"/>
      <c r="B124" s="236" t="s">
        <v>681</v>
      </c>
      <c r="C124" s="545">
        <v>81.2</v>
      </c>
      <c r="D124" s="548">
        <f t="shared" si="5"/>
        <v>81.2</v>
      </c>
      <c r="E124" s="548">
        <f t="shared" si="5"/>
        <v>81.2</v>
      </c>
      <c r="F124" s="548">
        <f t="shared" si="5"/>
        <v>81.2</v>
      </c>
      <c r="G124" s="548">
        <f t="shared" si="5"/>
        <v>81.2</v>
      </c>
      <c r="H124" s="548">
        <f t="shared" si="5"/>
        <v>81.2</v>
      </c>
      <c r="I124" s="548">
        <f t="shared" si="5"/>
        <v>81.2</v>
      </c>
      <c r="J124" s="548">
        <f t="shared" si="5"/>
        <v>81.2</v>
      </c>
      <c r="K124" s="548">
        <f t="shared" si="5"/>
        <v>81.2</v>
      </c>
      <c r="L124" s="548">
        <f t="shared" si="6"/>
        <v>81.2</v>
      </c>
      <c r="M124" s="548">
        <f t="shared" si="6"/>
        <v>81.2</v>
      </c>
      <c r="N124" s="548">
        <f t="shared" si="6"/>
        <v>81.2</v>
      </c>
      <c r="O124" s="548">
        <f t="shared" si="6"/>
        <v>81.2</v>
      </c>
    </row>
    <row r="125" spans="1:15" x14ac:dyDescent="0.35">
      <c r="A125" s="236"/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</row>
    <row r="126" spans="1:15" x14ac:dyDescent="0.35">
      <c r="A126" s="236"/>
      <c r="B126" s="236" t="s">
        <v>826</v>
      </c>
      <c r="C126" s="236">
        <v>69.89</v>
      </c>
      <c r="D126" s="236">
        <f t="shared" ref="D126:K131" si="7">C126</f>
        <v>69.89</v>
      </c>
      <c r="E126" s="236">
        <f t="shared" si="7"/>
        <v>69.89</v>
      </c>
      <c r="F126" s="236">
        <f t="shared" si="7"/>
        <v>69.89</v>
      </c>
      <c r="G126" s="236">
        <f t="shared" si="7"/>
        <v>69.89</v>
      </c>
      <c r="H126" s="236">
        <f t="shared" si="7"/>
        <v>69.89</v>
      </c>
      <c r="I126" s="236">
        <f t="shared" si="7"/>
        <v>69.89</v>
      </c>
      <c r="J126" s="236">
        <f t="shared" si="7"/>
        <v>69.89</v>
      </c>
      <c r="K126" s="236">
        <f t="shared" si="7"/>
        <v>69.89</v>
      </c>
      <c r="L126" s="236">
        <f t="shared" ref="L126:O131" si="8">K126</f>
        <v>69.89</v>
      </c>
      <c r="M126" s="236">
        <f t="shared" si="8"/>
        <v>69.89</v>
      </c>
      <c r="N126" s="236">
        <f t="shared" si="8"/>
        <v>69.89</v>
      </c>
      <c r="O126" s="236">
        <f t="shared" si="8"/>
        <v>69.89</v>
      </c>
    </row>
    <row r="127" spans="1:15" x14ac:dyDescent="0.35">
      <c r="A127" s="236"/>
      <c r="B127" s="236" t="s">
        <v>827</v>
      </c>
      <c r="C127" s="236">
        <v>0.54</v>
      </c>
      <c r="D127" s="236">
        <f t="shared" si="7"/>
        <v>0.54</v>
      </c>
      <c r="E127" s="236">
        <f t="shared" si="7"/>
        <v>0.54</v>
      </c>
      <c r="F127" s="236">
        <f t="shared" si="7"/>
        <v>0.54</v>
      </c>
      <c r="G127" s="236">
        <f t="shared" si="7"/>
        <v>0.54</v>
      </c>
      <c r="H127" s="236">
        <f t="shared" si="7"/>
        <v>0.54</v>
      </c>
      <c r="I127" s="236">
        <f t="shared" si="7"/>
        <v>0.54</v>
      </c>
      <c r="J127" s="236">
        <f t="shared" si="7"/>
        <v>0.54</v>
      </c>
      <c r="K127" s="236">
        <f t="shared" si="7"/>
        <v>0.54</v>
      </c>
      <c r="L127" s="236">
        <f t="shared" si="8"/>
        <v>0.54</v>
      </c>
      <c r="M127" s="236">
        <f t="shared" si="8"/>
        <v>0.54</v>
      </c>
      <c r="N127" s="236">
        <f t="shared" si="8"/>
        <v>0.54</v>
      </c>
      <c r="O127" s="236">
        <f t="shared" si="8"/>
        <v>0.54</v>
      </c>
    </row>
    <row r="128" spans="1:15" x14ac:dyDescent="0.35">
      <c r="A128" s="236"/>
      <c r="B128" s="236" t="s">
        <v>178</v>
      </c>
      <c r="C128" s="236">
        <v>79.75</v>
      </c>
      <c r="D128" s="236">
        <f t="shared" si="7"/>
        <v>79.75</v>
      </c>
      <c r="E128" s="236">
        <f t="shared" si="7"/>
        <v>79.75</v>
      </c>
      <c r="F128" s="236">
        <f t="shared" si="7"/>
        <v>79.75</v>
      </c>
      <c r="G128" s="236">
        <f t="shared" si="7"/>
        <v>79.75</v>
      </c>
      <c r="H128" s="236">
        <f t="shared" si="7"/>
        <v>79.75</v>
      </c>
      <c r="I128" s="236">
        <f t="shared" si="7"/>
        <v>79.75</v>
      </c>
      <c r="J128" s="236">
        <f t="shared" si="7"/>
        <v>79.75</v>
      </c>
      <c r="K128" s="236">
        <f t="shared" si="7"/>
        <v>79.75</v>
      </c>
      <c r="L128" s="236">
        <f t="shared" si="8"/>
        <v>79.75</v>
      </c>
      <c r="M128" s="236">
        <f t="shared" si="8"/>
        <v>79.75</v>
      </c>
      <c r="N128" s="236">
        <f t="shared" si="8"/>
        <v>79.75</v>
      </c>
      <c r="O128" s="236">
        <f t="shared" si="8"/>
        <v>79.75</v>
      </c>
    </row>
    <row r="129" spans="1:15" x14ac:dyDescent="0.35">
      <c r="A129" s="236"/>
      <c r="B129" s="236" t="s">
        <v>208</v>
      </c>
      <c r="C129" s="236">
        <v>14.37</v>
      </c>
      <c r="D129" s="236">
        <f t="shared" si="7"/>
        <v>14.37</v>
      </c>
      <c r="E129" s="236">
        <f t="shared" si="7"/>
        <v>14.37</v>
      </c>
      <c r="F129" s="236">
        <f t="shared" si="7"/>
        <v>14.37</v>
      </c>
      <c r="G129" s="236">
        <f t="shared" si="7"/>
        <v>14.37</v>
      </c>
      <c r="H129" s="236">
        <f t="shared" si="7"/>
        <v>14.37</v>
      </c>
      <c r="I129" s="236">
        <f t="shared" si="7"/>
        <v>14.37</v>
      </c>
      <c r="J129" s="236">
        <f t="shared" si="7"/>
        <v>14.37</v>
      </c>
      <c r="K129" s="236">
        <f t="shared" si="7"/>
        <v>14.37</v>
      </c>
      <c r="L129" s="236">
        <f t="shared" si="8"/>
        <v>14.37</v>
      </c>
      <c r="M129" s="236">
        <f t="shared" si="8"/>
        <v>14.37</v>
      </c>
      <c r="N129" s="236">
        <f t="shared" si="8"/>
        <v>14.37</v>
      </c>
      <c r="O129" s="236">
        <f t="shared" si="8"/>
        <v>14.37</v>
      </c>
    </row>
    <row r="130" spans="1:15" x14ac:dyDescent="0.35">
      <c r="A130" s="236"/>
      <c r="B130" s="236" t="s">
        <v>828</v>
      </c>
      <c r="C130" s="236">
        <v>46.67</v>
      </c>
      <c r="D130" s="236">
        <f t="shared" si="7"/>
        <v>46.67</v>
      </c>
      <c r="E130" s="236">
        <f t="shared" si="7"/>
        <v>46.67</v>
      </c>
      <c r="F130" s="236">
        <f t="shared" si="7"/>
        <v>46.67</v>
      </c>
      <c r="G130" s="236">
        <f t="shared" si="7"/>
        <v>46.67</v>
      </c>
      <c r="H130" s="236">
        <f t="shared" si="7"/>
        <v>46.67</v>
      </c>
      <c r="I130" s="236">
        <f t="shared" si="7"/>
        <v>46.67</v>
      </c>
      <c r="J130" s="236">
        <f t="shared" si="7"/>
        <v>46.67</v>
      </c>
      <c r="K130" s="236">
        <f t="shared" si="7"/>
        <v>46.67</v>
      </c>
      <c r="L130" s="236">
        <f t="shared" si="8"/>
        <v>46.67</v>
      </c>
      <c r="M130" s="236">
        <f t="shared" si="8"/>
        <v>46.67</v>
      </c>
      <c r="N130" s="236">
        <f t="shared" si="8"/>
        <v>46.67</v>
      </c>
      <c r="O130" s="236">
        <f t="shared" si="8"/>
        <v>46.67</v>
      </c>
    </row>
    <row r="131" spans="1:15" x14ac:dyDescent="0.35">
      <c r="A131" s="236"/>
      <c r="B131" s="236" t="s">
        <v>829</v>
      </c>
      <c r="C131" s="236">
        <v>138.41999999999999</v>
      </c>
      <c r="D131" s="236">
        <f t="shared" si="7"/>
        <v>138.41999999999999</v>
      </c>
      <c r="E131" s="236">
        <f t="shared" si="7"/>
        <v>138.41999999999999</v>
      </c>
      <c r="F131" s="236">
        <f t="shared" si="7"/>
        <v>138.41999999999999</v>
      </c>
      <c r="G131" s="236">
        <f t="shared" si="7"/>
        <v>138.41999999999999</v>
      </c>
      <c r="H131" s="236">
        <f t="shared" si="7"/>
        <v>138.41999999999999</v>
      </c>
      <c r="I131" s="236">
        <f t="shared" si="7"/>
        <v>138.41999999999999</v>
      </c>
      <c r="J131" s="236">
        <f t="shared" si="7"/>
        <v>138.41999999999999</v>
      </c>
      <c r="K131" s="236">
        <f t="shared" si="7"/>
        <v>138.41999999999999</v>
      </c>
      <c r="L131" s="236">
        <f t="shared" si="8"/>
        <v>138.41999999999999</v>
      </c>
      <c r="M131" s="236">
        <f t="shared" si="8"/>
        <v>138.41999999999999</v>
      </c>
      <c r="N131" s="236">
        <f t="shared" si="8"/>
        <v>138.41999999999999</v>
      </c>
      <c r="O131" s="236">
        <f t="shared" si="8"/>
        <v>138.41999999999999</v>
      </c>
    </row>
    <row r="132" spans="1:15" x14ac:dyDescent="0.35">
      <c r="A132" s="236"/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</row>
    <row r="133" spans="1:15" x14ac:dyDescent="0.35">
      <c r="A133" s="552"/>
      <c r="B133" s="552" t="s">
        <v>671</v>
      </c>
      <c r="C133" s="552">
        <f>SUM(C111:C131)</f>
        <v>1160.99</v>
      </c>
      <c r="D133" s="552"/>
      <c r="E133" s="556">
        <f>SUM(E111:E131)</f>
        <v>2299.8991156326665</v>
      </c>
      <c r="F133" s="552"/>
      <c r="G133" s="556">
        <f>SUM(G111:G131)</f>
        <v>3447.2862757370367</v>
      </c>
      <c r="H133" s="552"/>
      <c r="I133" s="556">
        <f>SUM(I111:I131)</f>
        <v>4132.0402123614258</v>
      </c>
      <c r="J133" s="552"/>
      <c r="K133" s="556">
        <f>SUM(K111:K131)</f>
        <v>4844.9959147026611</v>
      </c>
      <c r="L133" s="552"/>
      <c r="M133" s="556">
        <f>SUM(M111:M131)</f>
        <v>5900.606408433855</v>
      </c>
      <c r="N133" s="552"/>
      <c r="O133" s="556">
        <f>SUM(O111:O131)</f>
        <v>7013.1947253547351</v>
      </c>
    </row>
    <row r="134" spans="1:15" x14ac:dyDescent="0.35">
      <c r="A134" s="236"/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</row>
    <row r="135" spans="1:15" x14ac:dyDescent="0.35">
      <c r="A135" s="236"/>
      <c r="B135" s="236" t="s">
        <v>548</v>
      </c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</row>
    <row r="136" spans="1:15" x14ac:dyDescent="0.35">
      <c r="A136" s="236"/>
      <c r="B136" s="240" t="s">
        <v>813</v>
      </c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</row>
    <row r="137" spans="1:15" x14ac:dyDescent="0.35">
      <c r="A137" s="236"/>
      <c r="B137" s="236" t="s">
        <v>430</v>
      </c>
      <c r="C137" s="236"/>
      <c r="D137" s="236">
        <v>10114.469999999999</v>
      </c>
      <c r="E137" s="236"/>
      <c r="F137" s="236">
        <f>SUM(D137:D139)</f>
        <v>12514.47</v>
      </c>
      <c r="G137" s="236"/>
      <c r="H137" s="236">
        <f>SUM(F137:F139)</f>
        <v>15311.88</v>
      </c>
      <c r="I137" s="236"/>
      <c r="J137" s="236">
        <f>SUM(H137:H139)</f>
        <v>15846.31</v>
      </c>
      <c r="K137" s="236"/>
      <c r="L137" s="236">
        <f>SUM(J137:J139)</f>
        <v>15846.31</v>
      </c>
      <c r="M137" s="236"/>
      <c r="N137" s="236">
        <f>SUM(L137:L139)</f>
        <v>15846.31</v>
      </c>
      <c r="O137" s="236"/>
    </row>
    <row r="138" spans="1:15" x14ac:dyDescent="0.35">
      <c r="A138" s="236" t="s">
        <v>760</v>
      </c>
      <c r="B138" s="236" t="s">
        <v>837</v>
      </c>
      <c r="C138" s="236"/>
      <c r="D138" s="545">
        <f>'DEP-Co''sAct'!C118</f>
        <v>2400</v>
      </c>
      <c r="E138" s="236"/>
      <c r="F138" s="236">
        <f>'DEP-Co''sAct'!D118</f>
        <v>2797.41</v>
      </c>
      <c r="G138" s="236"/>
      <c r="H138" s="545">
        <f>'DEP-Co''sAct'!E118</f>
        <v>534.42999999999995</v>
      </c>
      <c r="I138" s="236"/>
      <c r="J138" s="545">
        <v>0</v>
      </c>
      <c r="K138" s="236"/>
      <c r="L138" s="236"/>
      <c r="M138" s="236"/>
      <c r="N138" s="236"/>
      <c r="O138" s="236"/>
    </row>
    <row r="139" spans="1:15" x14ac:dyDescent="0.35">
      <c r="A139" s="236" t="s">
        <v>761</v>
      </c>
      <c r="B139" s="236" t="s">
        <v>838</v>
      </c>
      <c r="C139" s="236"/>
      <c r="D139" s="545">
        <f>'DEP-Co''sAct'!C119</f>
        <v>0</v>
      </c>
      <c r="E139" s="236">
        <f>SUM(D137:D139)</f>
        <v>12514.47</v>
      </c>
      <c r="F139" s="545">
        <v>0</v>
      </c>
      <c r="G139" s="236">
        <f>SUM(F137:F139)</f>
        <v>15311.88</v>
      </c>
      <c r="H139" s="545">
        <v>0</v>
      </c>
      <c r="I139" s="236">
        <f>SUM(H137:H139)</f>
        <v>15846.31</v>
      </c>
      <c r="J139" s="545">
        <v>0</v>
      </c>
      <c r="K139" s="236">
        <f>SUM(J137:J139)</f>
        <v>15846.31</v>
      </c>
      <c r="L139" s="236"/>
      <c r="M139" s="236">
        <f>SUM(L137:L139)</f>
        <v>15846.31</v>
      </c>
      <c r="N139" s="236"/>
      <c r="O139" s="236">
        <f>SUM(N137:N139)</f>
        <v>15846.31</v>
      </c>
    </row>
    <row r="140" spans="1:15" x14ac:dyDescent="0.35">
      <c r="A140" s="236"/>
      <c r="B140" s="240" t="s">
        <v>544</v>
      </c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</row>
    <row r="141" spans="1:15" x14ac:dyDescent="0.35">
      <c r="A141" s="236"/>
      <c r="B141" s="236" t="s">
        <v>795</v>
      </c>
      <c r="C141" s="236"/>
      <c r="D141" s="236">
        <f>-'DEP-Co''sAct'!C124</f>
        <v>-5351.93</v>
      </c>
      <c r="E141" s="236"/>
      <c r="F141" s="545">
        <f>SUM(D141:D143)</f>
        <v>-6093.2041859999999</v>
      </c>
      <c r="G141" s="236"/>
      <c r="H141" s="548">
        <f>SUM(F141:F143)</f>
        <v>-7458.0759831967998</v>
      </c>
      <c r="I141" s="236"/>
      <c r="J141" s="545">
        <f>SUM(H141:H143)</f>
        <v>-8706.801317288162</v>
      </c>
      <c r="K141" s="236"/>
      <c r="L141" s="548">
        <f>SUM(J141:J143)</f>
        <v>-9749.9141019314757</v>
      </c>
      <c r="M141" s="236"/>
      <c r="N141" s="548">
        <f>SUM(L141:L143)</f>
        <v>-10623.232649975058</v>
      </c>
      <c r="O141" s="236"/>
    </row>
    <row r="142" spans="1:15" x14ac:dyDescent="0.35">
      <c r="A142" s="236" t="s">
        <v>760</v>
      </c>
      <c r="B142" s="236" t="s">
        <v>677</v>
      </c>
      <c r="C142" s="236"/>
      <c r="D142" s="545">
        <f>-'DEP-Co''sAct'!C125</f>
        <v>-741.27418599999999</v>
      </c>
      <c r="E142" s="236"/>
      <c r="F142" s="545">
        <f>-'DEP-Co''sAct'!D125</f>
        <v>-1364.8717971967999</v>
      </c>
      <c r="G142" s="236"/>
      <c r="H142" s="236">
        <f>-'DEP-Co''sAct'!E125</f>
        <v>-1248.7253340913628</v>
      </c>
      <c r="I142" s="236"/>
      <c r="J142" s="545">
        <f>-'DEP-Co''sAct'!F125</f>
        <v>-1043.1127846433142</v>
      </c>
      <c r="K142" s="236"/>
      <c r="L142" s="545">
        <f>'DEP-Co''sAct'!G125*-1</f>
        <v>-873.31854804358272</v>
      </c>
      <c r="M142" s="236"/>
      <c r="N142" s="549">
        <f>'DEP-Co''sAct'!H131*-1</f>
        <v>-732.76239069000871</v>
      </c>
      <c r="O142" s="236"/>
    </row>
    <row r="143" spans="1:15" x14ac:dyDescent="0.35">
      <c r="A143" s="236" t="s">
        <v>761</v>
      </c>
      <c r="B143" s="236" t="s">
        <v>691</v>
      </c>
      <c r="C143" s="236"/>
      <c r="D143" s="545">
        <v>0</v>
      </c>
      <c r="E143" s="545">
        <f>SUM(D141:D143)</f>
        <v>-6093.2041859999999</v>
      </c>
      <c r="F143" s="236">
        <v>0</v>
      </c>
      <c r="G143" s="545">
        <f>SUM(F141:F143)</f>
        <v>-7458.0759831967998</v>
      </c>
      <c r="H143" s="236">
        <v>0</v>
      </c>
      <c r="I143" s="545">
        <f>SUM(H141:H143)</f>
        <v>-8706.801317288162</v>
      </c>
      <c r="J143" s="236">
        <v>0</v>
      </c>
      <c r="K143" s="545">
        <f>SUM(J141:J143)</f>
        <v>-9749.9141019314757</v>
      </c>
      <c r="L143" s="236">
        <v>0</v>
      </c>
      <c r="M143" s="545">
        <f>SUM(L141:L143)</f>
        <v>-10623.232649975058</v>
      </c>
      <c r="N143" s="236">
        <v>0</v>
      </c>
      <c r="O143" s="545">
        <f>SUM(N141:N143)</f>
        <v>-11355.995040665066</v>
      </c>
    </row>
    <row r="144" spans="1:15" x14ac:dyDescent="0.35">
      <c r="A144" s="236"/>
      <c r="B144" s="240" t="s">
        <v>545</v>
      </c>
      <c r="C144" s="236">
        <v>4763.1400000000003</v>
      </c>
      <c r="D144" s="236"/>
      <c r="E144" s="545">
        <f>E139+E143</f>
        <v>6421.2658139999994</v>
      </c>
      <c r="F144" s="236"/>
      <c r="G144" s="545">
        <f>G139+G143</f>
        <v>7853.8040168031994</v>
      </c>
      <c r="H144" s="236"/>
      <c r="I144" s="545">
        <f>I139+I143</f>
        <v>7139.5086827118375</v>
      </c>
      <c r="J144" s="236"/>
      <c r="K144" s="545">
        <f>K139+K143</f>
        <v>6096.3958980685238</v>
      </c>
      <c r="L144" s="236"/>
      <c r="M144" s="545">
        <f>M139+M143</f>
        <v>5223.0773500249416</v>
      </c>
      <c r="N144" s="236"/>
      <c r="O144" s="545">
        <f>O139+O143</f>
        <v>4490.3149593349335</v>
      </c>
    </row>
    <row r="145" spans="1:15" x14ac:dyDescent="0.35">
      <c r="A145" s="236"/>
      <c r="B145" s="236"/>
      <c r="C145" s="236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</row>
    <row r="146" spans="1:15" x14ac:dyDescent="0.35">
      <c r="A146" s="236"/>
      <c r="B146" s="236" t="s">
        <v>814</v>
      </c>
      <c r="C146" s="236"/>
      <c r="D146" s="236"/>
      <c r="E146" s="236"/>
      <c r="F146" s="236"/>
      <c r="G146" s="236"/>
      <c r="H146" s="236"/>
      <c r="I146" s="236"/>
      <c r="J146" s="236"/>
      <c r="K146" s="236"/>
      <c r="L146" s="548"/>
      <c r="M146" s="236"/>
      <c r="N146" s="236"/>
      <c r="O146" s="236"/>
    </row>
    <row r="147" spans="1:15" x14ac:dyDescent="0.35">
      <c r="A147" s="236"/>
      <c r="B147" s="236" t="s">
        <v>430</v>
      </c>
      <c r="C147" s="236">
        <v>931.84</v>
      </c>
      <c r="D147" s="236">
        <f>C147</f>
        <v>931.84</v>
      </c>
      <c r="E147" s="236"/>
      <c r="F147" s="236">
        <f>E149</f>
        <v>3331.84</v>
      </c>
      <c r="G147" s="236"/>
      <c r="H147" s="236">
        <f>G149</f>
        <v>534.43000000000029</v>
      </c>
      <c r="I147" s="236"/>
      <c r="J147" s="548">
        <f>I149</f>
        <v>0</v>
      </c>
      <c r="K147" s="236"/>
      <c r="L147" s="548">
        <f>K149</f>
        <v>0</v>
      </c>
      <c r="M147" s="236"/>
      <c r="N147" s="548">
        <f>M149</f>
        <v>0</v>
      </c>
      <c r="O147" s="236"/>
    </row>
    <row r="148" spans="1:15" x14ac:dyDescent="0.35">
      <c r="A148" s="236" t="s">
        <v>760</v>
      </c>
      <c r="B148" s="236" t="s">
        <v>835</v>
      </c>
      <c r="C148" s="236"/>
      <c r="D148" s="545">
        <f>'DEP-Co''sAct'!C139</f>
        <v>4800</v>
      </c>
      <c r="E148" s="236"/>
      <c r="F148" s="236">
        <f>'DEP-Co''sAct'!D139</f>
        <v>0</v>
      </c>
      <c r="G148" s="236"/>
      <c r="H148" s="236">
        <v>0</v>
      </c>
      <c r="I148" s="236"/>
      <c r="J148" s="545">
        <v>0</v>
      </c>
      <c r="K148" s="236"/>
      <c r="L148" s="236"/>
      <c r="M148" s="236"/>
      <c r="N148" s="236"/>
      <c r="O148" s="236"/>
    </row>
    <row r="149" spans="1:15" x14ac:dyDescent="0.35">
      <c r="A149" s="236" t="s">
        <v>761</v>
      </c>
      <c r="B149" s="236" t="s">
        <v>836</v>
      </c>
      <c r="C149" s="236"/>
      <c r="D149" s="545">
        <f>-'DEP-Co''sAct'!C140</f>
        <v>-2400</v>
      </c>
      <c r="E149" s="236">
        <f>SUM(D147:D149)</f>
        <v>3331.84</v>
      </c>
      <c r="F149" s="236">
        <f>-'DEP-Co''sAct'!D140</f>
        <v>-2797.41</v>
      </c>
      <c r="G149" s="236">
        <f>SUM(F147:F149)</f>
        <v>534.43000000000029</v>
      </c>
      <c r="H149" s="236">
        <f>-'DEP-Co''sAct'!E142</f>
        <v>-534.42999999999995</v>
      </c>
      <c r="I149" s="545">
        <f>SUM(H147:H149)</f>
        <v>0</v>
      </c>
      <c r="J149" s="545">
        <v>0</v>
      </c>
      <c r="K149" s="545">
        <f>SUM(J147:J149)</f>
        <v>0</v>
      </c>
      <c r="L149" s="236"/>
      <c r="M149" s="545">
        <f>SUM(L147:L149)</f>
        <v>0</v>
      </c>
      <c r="N149" s="236"/>
      <c r="O149" s="545">
        <f>SUM(N147:N149)</f>
        <v>0</v>
      </c>
    </row>
    <row r="150" spans="1:15" x14ac:dyDescent="0.35">
      <c r="A150" s="236"/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</row>
    <row r="151" spans="1:15" x14ac:dyDescent="0.35">
      <c r="A151" s="236"/>
      <c r="B151" s="236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</row>
    <row r="152" spans="1:15" x14ac:dyDescent="0.35">
      <c r="A152" s="236"/>
      <c r="B152" s="236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</row>
    <row r="153" spans="1:15" x14ac:dyDescent="0.35">
      <c r="A153" s="552"/>
      <c r="B153" s="552" t="s">
        <v>831</v>
      </c>
      <c r="C153" s="552">
        <f>SUM(C144:C152)</f>
        <v>5694.9800000000005</v>
      </c>
      <c r="D153" s="552"/>
      <c r="E153" s="556">
        <f>SUM(E144:E152)</f>
        <v>9753.1058139999986</v>
      </c>
      <c r="F153" s="552"/>
      <c r="G153" s="556">
        <f>SUM(G144:G152)</f>
        <v>8388.2340168031988</v>
      </c>
      <c r="H153" s="552"/>
      <c r="I153" s="556">
        <f>SUM(I144:I152)</f>
        <v>7139.5086827118375</v>
      </c>
      <c r="J153" s="552"/>
      <c r="K153" s="556">
        <f>SUM(K144:K152)</f>
        <v>6096.3958980685238</v>
      </c>
      <c r="L153" s="552"/>
      <c r="M153" s="556">
        <f>SUM(M144:M152)</f>
        <v>5223.0773500249416</v>
      </c>
      <c r="N153" s="552"/>
      <c r="O153" s="556">
        <f>SUM(O144:O152)</f>
        <v>4490.3149593349335</v>
      </c>
    </row>
    <row r="154" spans="1:15" x14ac:dyDescent="0.35">
      <c r="A154" s="236"/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</row>
    <row r="155" spans="1:15" x14ac:dyDescent="0.35">
      <c r="A155" s="236"/>
      <c r="B155" s="236" t="s">
        <v>815</v>
      </c>
      <c r="C155" s="236">
        <v>1</v>
      </c>
      <c r="D155" s="236">
        <v>1</v>
      </c>
      <c r="E155" s="236">
        <f t="shared" ref="E155:K155" si="9">D155</f>
        <v>1</v>
      </c>
      <c r="F155" s="236">
        <f t="shared" si="9"/>
        <v>1</v>
      </c>
      <c r="G155" s="236">
        <f t="shared" si="9"/>
        <v>1</v>
      </c>
      <c r="H155" s="236">
        <f t="shared" si="9"/>
        <v>1</v>
      </c>
      <c r="I155" s="236">
        <f t="shared" si="9"/>
        <v>1</v>
      </c>
      <c r="J155" s="236">
        <f t="shared" si="9"/>
        <v>1</v>
      </c>
      <c r="K155" s="236">
        <f t="shared" si="9"/>
        <v>1</v>
      </c>
      <c r="L155" s="236">
        <f>K155</f>
        <v>1</v>
      </c>
      <c r="M155" s="236">
        <f>L155</f>
        <v>1</v>
      </c>
      <c r="N155" s="236">
        <f>M155</f>
        <v>1</v>
      </c>
      <c r="O155" s="236">
        <f>N155</f>
        <v>1</v>
      </c>
    </row>
    <row r="156" spans="1:15" x14ac:dyDescent="0.35">
      <c r="A156" s="236"/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236"/>
      <c r="O156" s="236"/>
    </row>
    <row r="157" spans="1:15" x14ac:dyDescent="0.35">
      <c r="A157" s="236"/>
      <c r="B157" s="236" t="s">
        <v>816</v>
      </c>
      <c r="C157" s="236">
        <v>554.96</v>
      </c>
      <c r="D157" s="236">
        <f>C157</f>
        <v>554.96</v>
      </c>
      <c r="E157" s="236"/>
      <c r="F157" s="548">
        <f>E158</f>
        <v>554.96</v>
      </c>
      <c r="G157" s="236"/>
      <c r="H157" s="548">
        <f>G158</f>
        <v>554.96</v>
      </c>
      <c r="I157" s="236"/>
      <c r="J157" s="548">
        <f>I158</f>
        <v>554.96</v>
      </c>
      <c r="K157" s="236"/>
      <c r="L157" s="548">
        <f>K158</f>
        <v>554.96</v>
      </c>
      <c r="M157" s="236"/>
      <c r="N157" s="548">
        <f>M158</f>
        <v>554.96</v>
      </c>
      <c r="O157" s="236"/>
    </row>
    <row r="158" spans="1:15" x14ac:dyDescent="0.35">
      <c r="A158" s="236"/>
      <c r="B158" s="236" t="s">
        <v>845</v>
      </c>
      <c r="C158" s="236"/>
      <c r="D158" s="236">
        <v>0</v>
      </c>
      <c r="E158" s="545">
        <f>SUM(D157:D158)</f>
        <v>554.96</v>
      </c>
      <c r="F158" s="545">
        <v>0</v>
      </c>
      <c r="G158" s="545">
        <f>SUM(F157:F158)</f>
        <v>554.96</v>
      </c>
      <c r="H158" s="236">
        <v>0</v>
      </c>
      <c r="I158" s="545">
        <f>SUM(H157:H158)</f>
        <v>554.96</v>
      </c>
      <c r="J158" s="236">
        <v>0</v>
      </c>
      <c r="K158" s="545">
        <f>SUM(J157:J158)</f>
        <v>554.96</v>
      </c>
      <c r="L158" s="236"/>
      <c r="M158" s="545">
        <f>SUM(L157:L158)</f>
        <v>554.96</v>
      </c>
      <c r="N158" s="236"/>
      <c r="O158" s="545">
        <f>SUM(N157:N158)</f>
        <v>554.96</v>
      </c>
    </row>
    <row r="159" spans="1:15" x14ac:dyDescent="0.35">
      <c r="A159" s="236"/>
      <c r="B159" s="236"/>
      <c r="C159" s="236"/>
      <c r="D159" s="236"/>
      <c r="E159" s="236"/>
      <c r="F159" s="236"/>
      <c r="G159" s="236"/>
      <c r="H159" s="236"/>
      <c r="I159" s="236"/>
      <c r="J159" s="236"/>
      <c r="K159" s="236"/>
      <c r="L159" s="236"/>
      <c r="M159" s="236"/>
      <c r="N159" s="236"/>
      <c r="O159" s="236"/>
    </row>
    <row r="160" spans="1:15" x14ac:dyDescent="0.35">
      <c r="A160" s="236"/>
      <c r="B160" s="236" t="s">
        <v>817</v>
      </c>
      <c r="C160" s="236">
        <v>43.25</v>
      </c>
      <c r="D160" s="236">
        <f t="shared" ref="D160:K160" si="10">C160</f>
        <v>43.25</v>
      </c>
      <c r="E160" s="236">
        <f t="shared" si="10"/>
        <v>43.25</v>
      </c>
      <c r="F160" s="236">
        <f t="shared" si="10"/>
        <v>43.25</v>
      </c>
      <c r="G160" s="236">
        <f t="shared" si="10"/>
        <v>43.25</v>
      </c>
      <c r="H160" s="236">
        <f t="shared" si="10"/>
        <v>43.25</v>
      </c>
      <c r="I160" s="236">
        <f t="shared" si="10"/>
        <v>43.25</v>
      </c>
      <c r="J160" s="236">
        <f t="shared" si="10"/>
        <v>43.25</v>
      </c>
      <c r="K160" s="236">
        <f t="shared" si="10"/>
        <v>43.25</v>
      </c>
      <c r="L160" s="236">
        <f>K160</f>
        <v>43.25</v>
      </c>
      <c r="M160" s="236">
        <f>L160</f>
        <v>43.25</v>
      </c>
      <c r="N160" s="236">
        <f>M160</f>
        <v>43.25</v>
      </c>
      <c r="O160" s="236">
        <f>N160</f>
        <v>43.25</v>
      </c>
    </row>
    <row r="161" spans="1:15" x14ac:dyDescent="0.35">
      <c r="A161" s="236"/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</row>
    <row r="162" spans="1:15" x14ac:dyDescent="0.35">
      <c r="A162" s="236"/>
      <c r="B162" s="240" t="s">
        <v>818</v>
      </c>
      <c r="C162" s="236"/>
      <c r="D162" s="236"/>
      <c r="E162" s="236"/>
      <c r="F162" s="236"/>
      <c r="G162" s="236"/>
      <c r="H162" s="236"/>
      <c r="I162" s="236"/>
      <c r="J162" s="236"/>
      <c r="K162" s="236"/>
      <c r="L162" s="236"/>
      <c r="M162" s="236"/>
      <c r="N162" s="236"/>
      <c r="O162" s="236"/>
    </row>
    <row r="163" spans="1:15" x14ac:dyDescent="0.35">
      <c r="A163" s="236"/>
      <c r="B163" s="236" t="s">
        <v>430</v>
      </c>
      <c r="C163" s="236">
        <v>879.36</v>
      </c>
      <c r="D163" s="236">
        <f>C163</f>
        <v>879.36</v>
      </c>
      <c r="E163" s="236"/>
      <c r="F163" s="236">
        <f>E165</f>
        <v>879.36</v>
      </c>
      <c r="G163" s="236"/>
      <c r="H163" s="236">
        <f>G165</f>
        <v>879.36</v>
      </c>
      <c r="I163" s="236"/>
      <c r="J163" s="236">
        <f>I165</f>
        <v>879.36</v>
      </c>
      <c r="K163" s="236"/>
      <c r="L163" s="236">
        <f>K165</f>
        <v>879.36</v>
      </c>
      <c r="M163" s="236"/>
      <c r="N163" s="236">
        <f>M165</f>
        <v>879.36</v>
      </c>
      <c r="O163" s="236"/>
    </row>
    <row r="164" spans="1:15" x14ac:dyDescent="0.35">
      <c r="A164" s="236" t="s">
        <v>760</v>
      </c>
      <c r="B164" s="236" t="s">
        <v>677</v>
      </c>
      <c r="C164" s="236"/>
      <c r="D164" s="236"/>
      <c r="E164" s="236"/>
      <c r="F164" s="236"/>
      <c r="G164" s="236"/>
      <c r="H164" s="236"/>
      <c r="I164" s="236"/>
      <c r="J164" s="236"/>
      <c r="K164" s="545"/>
      <c r="L164" s="236"/>
      <c r="M164" s="236"/>
      <c r="N164" s="236"/>
      <c r="O164" s="236"/>
    </row>
    <row r="165" spans="1:15" x14ac:dyDescent="0.35">
      <c r="A165" s="236" t="s">
        <v>761</v>
      </c>
      <c r="B165" s="236" t="s">
        <v>766</v>
      </c>
      <c r="C165" s="236"/>
      <c r="D165" s="236"/>
      <c r="E165" s="236">
        <f>SUM(D163:D165)</f>
        <v>879.36</v>
      </c>
      <c r="F165" s="236"/>
      <c r="G165" s="236">
        <f>SUM(F163:F165)</f>
        <v>879.36</v>
      </c>
      <c r="H165" s="236"/>
      <c r="I165" s="236">
        <f>SUM(H163:H165)</f>
        <v>879.36</v>
      </c>
      <c r="J165" s="236"/>
      <c r="K165" s="236">
        <f>SUM(J163:J165)</f>
        <v>879.36</v>
      </c>
      <c r="L165" s="236"/>
      <c r="M165" s="236">
        <f>SUM(L163:L165)</f>
        <v>879.36</v>
      </c>
      <c r="N165" s="236"/>
      <c r="O165" s="236">
        <f>SUM(N163:N165)</f>
        <v>879.36</v>
      </c>
    </row>
    <row r="166" spans="1:15" x14ac:dyDescent="0.35">
      <c r="A166" s="236"/>
      <c r="B166" s="236"/>
      <c r="C166" s="236"/>
      <c r="D166" s="236"/>
      <c r="E166" s="236"/>
      <c r="F166" s="236"/>
      <c r="G166" s="236"/>
      <c r="H166" s="236"/>
      <c r="I166" s="236"/>
      <c r="J166" s="236"/>
      <c r="K166" s="236"/>
      <c r="L166" s="236"/>
      <c r="M166" s="236"/>
      <c r="N166" s="236"/>
      <c r="O166" s="236"/>
    </row>
    <row r="167" spans="1:15" x14ac:dyDescent="0.35">
      <c r="A167" s="236"/>
      <c r="B167" s="236" t="s">
        <v>208</v>
      </c>
      <c r="C167" s="236">
        <v>5.71</v>
      </c>
      <c r="D167" s="236">
        <f t="shared" ref="D167:K167" si="11">C167</f>
        <v>5.71</v>
      </c>
      <c r="E167" s="236">
        <f t="shared" si="11"/>
        <v>5.71</v>
      </c>
      <c r="F167" s="236">
        <f t="shared" si="11"/>
        <v>5.71</v>
      </c>
      <c r="G167" s="236">
        <f t="shared" si="11"/>
        <v>5.71</v>
      </c>
      <c r="H167" s="236">
        <f t="shared" si="11"/>
        <v>5.71</v>
      </c>
      <c r="I167" s="236">
        <f t="shared" si="11"/>
        <v>5.71</v>
      </c>
      <c r="J167" s="236">
        <f t="shared" si="11"/>
        <v>5.71</v>
      </c>
      <c r="K167" s="236">
        <f t="shared" si="11"/>
        <v>5.71</v>
      </c>
      <c r="L167" s="236">
        <f>K167</f>
        <v>5.71</v>
      </c>
      <c r="M167" s="236">
        <f>L167</f>
        <v>5.71</v>
      </c>
      <c r="N167" s="236">
        <f>M167</f>
        <v>5.71</v>
      </c>
      <c r="O167" s="236">
        <f>N167</f>
        <v>5.71</v>
      </c>
    </row>
    <row r="168" spans="1:15" x14ac:dyDescent="0.35">
      <c r="A168" s="236"/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236"/>
      <c r="M168" s="236"/>
      <c r="N168" s="236"/>
      <c r="O168" s="236"/>
    </row>
    <row r="169" spans="1:15" x14ac:dyDescent="0.35">
      <c r="A169" s="236"/>
      <c r="B169" s="236" t="s">
        <v>819</v>
      </c>
      <c r="C169" s="236">
        <v>325.69</v>
      </c>
      <c r="D169" s="236">
        <f t="shared" ref="D169:K169" si="12">C169</f>
        <v>325.69</v>
      </c>
      <c r="E169" s="236">
        <f t="shared" si="12"/>
        <v>325.69</v>
      </c>
      <c r="F169" s="236">
        <f t="shared" si="12"/>
        <v>325.69</v>
      </c>
      <c r="G169" s="236">
        <f t="shared" si="12"/>
        <v>325.69</v>
      </c>
      <c r="H169" s="236">
        <f t="shared" si="12"/>
        <v>325.69</v>
      </c>
      <c r="I169" s="236">
        <f t="shared" si="12"/>
        <v>325.69</v>
      </c>
      <c r="J169" s="236">
        <f t="shared" si="12"/>
        <v>325.69</v>
      </c>
      <c r="K169" s="236">
        <f t="shared" si="12"/>
        <v>325.69</v>
      </c>
      <c r="L169" s="236">
        <f>K169</f>
        <v>325.69</v>
      </c>
      <c r="M169" s="236">
        <f>L169</f>
        <v>325.69</v>
      </c>
      <c r="N169" s="236">
        <f>M169</f>
        <v>325.69</v>
      </c>
      <c r="O169" s="236">
        <f>N169</f>
        <v>325.69</v>
      </c>
    </row>
    <row r="170" spans="1:15" x14ac:dyDescent="0.35">
      <c r="A170" s="236"/>
      <c r="B170" s="236"/>
      <c r="C170" s="236"/>
      <c r="D170" s="236"/>
      <c r="E170" s="236"/>
      <c r="F170" s="236"/>
      <c r="G170" s="236"/>
      <c r="H170" s="236"/>
      <c r="I170" s="236"/>
      <c r="J170" s="236"/>
      <c r="K170" s="236"/>
      <c r="L170" s="236"/>
      <c r="M170" s="236"/>
      <c r="N170" s="236"/>
      <c r="O170" s="236"/>
    </row>
    <row r="171" spans="1:15" x14ac:dyDescent="0.35">
      <c r="A171" s="236"/>
      <c r="B171" s="240" t="s">
        <v>210</v>
      </c>
      <c r="C171" s="236"/>
      <c r="D171" s="236"/>
      <c r="E171" s="236"/>
      <c r="F171" s="236"/>
      <c r="G171" s="236"/>
      <c r="H171" s="236"/>
      <c r="I171" s="236"/>
      <c r="J171" s="236"/>
      <c r="K171" s="236"/>
      <c r="L171" s="236"/>
      <c r="M171" s="236"/>
      <c r="N171" s="236"/>
      <c r="O171" s="236"/>
    </row>
    <row r="172" spans="1:15" x14ac:dyDescent="0.35">
      <c r="A172" s="236"/>
      <c r="B172" s="236" t="s">
        <v>430</v>
      </c>
      <c r="C172" s="236">
        <v>115.95</v>
      </c>
      <c r="D172" s="236">
        <f>C172</f>
        <v>115.95</v>
      </c>
      <c r="E172" s="236"/>
      <c r="F172" s="236">
        <f>E174</f>
        <v>115.95000000000002</v>
      </c>
      <c r="G172" s="236"/>
      <c r="H172" s="236">
        <f>G174</f>
        <v>115.95000000000005</v>
      </c>
      <c r="I172" s="236"/>
      <c r="J172" s="545">
        <f>I174</f>
        <v>115.95000000000005</v>
      </c>
      <c r="K172" s="236"/>
      <c r="L172" s="236">
        <f>K174</f>
        <v>115.9500000000001</v>
      </c>
      <c r="M172" s="236"/>
      <c r="N172" s="236">
        <f>M174</f>
        <v>115.95000000000016</v>
      </c>
      <c r="O172" s="236"/>
    </row>
    <row r="173" spans="1:15" x14ac:dyDescent="0.35">
      <c r="A173" s="236" t="s">
        <v>760</v>
      </c>
      <c r="B173" s="236" t="s">
        <v>820</v>
      </c>
      <c r="C173" s="236"/>
      <c r="D173" s="545">
        <f>'Detailed PL, TP &amp; TR'!G15</f>
        <v>157.82449303399991</v>
      </c>
      <c r="E173" s="236"/>
      <c r="F173" s="545">
        <f>'Detailed PL, TP &amp; TR'!J15</f>
        <v>314.30782495118501</v>
      </c>
      <c r="G173" s="236"/>
      <c r="H173" s="545">
        <f>'Detailed PL, TP &amp; TR'!M15</f>
        <v>421.0150175422782</v>
      </c>
      <c r="I173" s="236"/>
      <c r="J173" s="545">
        <f>'Detailed PL, TP &amp; TR'!P15</f>
        <v>510.16885397126697</v>
      </c>
      <c r="K173" s="236"/>
      <c r="L173" s="545">
        <f>'Detailed PL, TP &amp; TR'!S15</f>
        <v>597.63812825890898</v>
      </c>
      <c r="M173" s="236"/>
      <c r="N173" s="545">
        <f>'Detailed PL, TP &amp; TR'!V15</f>
        <v>672.35811758988939</v>
      </c>
      <c r="O173" s="236"/>
    </row>
    <row r="174" spans="1:15" x14ac:dyDescent="0.35">
      <c r="A174" s="236" t="s">
        <v>761</v>
      </c>
      <c r="B174" s="236" t="s">
        <v>766</v>
      </c>
      <c r="C174" s="236"/>
      <c r="D174" s="545">
        <f>D173*-1</f>
        <v>-157.82449303399991</v>
      </c>
      <c r="E174" s="236">
        <f>SUM(D172:D174)</f>
        <v>115.95000000000002</v>
      </c>
      <c r="F174" s="549">
        <f>F173*-1</f>
        <v>-314.30782495118501</v>
      </c>
      <c r="G174" s="236">
        <f>SUM(F172:F174)</f>
        <v>115.95000000000005</v>
      </c>
      <c r="H174" s="545">
        <f>H173*-1</f>
        <v>-421.0150175422782</v>
      </c>
      <c r="I174" s="236">
        <f>SUM(H172:H174)</f>
        <v>115.95000000000005</v>
      </c>
      <c r="J174" s="545">
        <f>J173*-1</f>
        <v>-510.16885397126697</v>
      </c>
      <c r="K174" s="236">
        <f>SUM(J172:J174)</f>
        <v>115.9500000000001</v>
      </c>
      <c r="L174" s="545">
        <f>L173*-1</f>
        <v>-597.63812825890898</v>
      </c>
      <c r="M174" s="236">
        <f>SUM(L172:L174)</f>
        <v>115.95000000000016</v>
      </c>
      <c r="N174" s="545">
        <f>N173*-1</f>
        <v>-672.35811758988939</v>
      </c>
      <c r="O174" s="236">
        <f>SUM(N172:N174)</f>
        <v>115.95000000000016</v>
      </c>
    </row>
    <row r="175" spans="1:15" x14ac:dyDescent="0.35">
      <c r="A175" s="236"/>
      <c r="B175" s="236"/>
      <c r="C175" s="236"/>
      <c r="D175" s="236"/>
      <c r="E175" s="236"/>
      <c r="F175" s="236"/>
      <c r="G175" s="236"/>
      <c r="H175" s="236"/>
      <c r="I175" s="236"/>
      <c r="J175" s="236"/>
      <c r="K175" s="236"/>
      <c r="L175" s="236"/>
      <c r="M175" s="236"/>
      <c r="N175" s="236"/>
      <c r="O175" s="236"/>
    </row>
    <row r="176" spans="1:15" x14ac:dyDescent="0.35">
      <c r="A176" s="552"/>
      <c r="B176" s="552" t="s">
        <v>832</v>
      </c>
      <c r="C176" s="556">
        <f>SUM(C155:C174)</f>
        <v>1925.9200000000003</v>
      </c>
      <c r="D176" s="552"/>
      <c r="E176" s="556">
        <f>SUM(E155:E174)</f>
        <v>1925.9200000000003</v>
      </c>
      <c r="F176" s="552"/>
      <c r="G176" s="556">
        <f>SUM(G155:G174)</f>
        <v>1925.9200000000003</v>
      </c>
      <c r="H176" s="552"/>
      <c r="I176" s="556">
        <f>SUM(I155:I174)</f>
        <v>1925.9200000000003</v>
      </c>
      <c r="J176" s="552"/>
      <c r="K176" s="556">
        <f>SUM(K155:K174)</f>
        <v>1925.9200000000003</v>
      </c>
      <c r="L176" s="552"/>
      <c r="M176" s="556">
        <f>SUM(M155:M174)</f>
        <v>1925.9200000000005</v>
      </c>
      <c r="N176" s="552"/>
      <c r="O176" s="556">
        <f>SUM(O155:O174)</f>
        <v>1925.9200000000005</v>
      </c>
    </row>
    <row r="177" spans="1:15" x14ac:dyDescent="0.35">
      <c r="A177" s="236"/>
      <c r="B177" s="236"/>
      <c r="C177" s="236"/>
      <c r="D177" s="236"/>
      <c r="E177" s="236"/>
      <c r="F177" s="236"/>
      <c r="G177" s="236"/>
      <c r="H177" s="236"/>
      <c r="I177" s="236"/>
      <c r="J177" s="236"/>
      <c r="K177" s="236"/>
      <c r="L177" s="236"/>
      <c r="M177" s="236"/>
      <c r="N177" s="236"/>
      <c r="O177" s="236"/>
    </row>
    <row r="178" spans="1:15" x14ac:dyDescent="0.35">
      <c r="A178" s="552"/>
      <c r="B178" s="552" t="s">
        <v>833</v>
      </c>
      <c r="C178" s="561">
        <f>C133+C153+C176</f>
        <v>8781.8900000000012</v>
      </c>
      <c r="D178" s="552"/>
      <c r="E178" s="561">
        <f>E133+E153+E176</f>
        <v>13978.924929632665</v>
      </c>
      <c r="F178" s="552"/>
      <c r="G178" s="561">
        <f>G133+G153+G176</f>
        <v>13761.440292540236</v>
      </c>
      <c r="H178" s="552"/>
      <c r="I178" s="561">
        <f>I133+I153+I176</f>
        <v>13197.468895073263</v>
      </c>
      <c r="J178" s="552"/>
      <c r="K178" s="561">
        <f>K133+K153+K176</f>
        <v>12867.311812771184</v>
      </c>
      <c r="L178" s="552"/>
      <c r="M178" s="561">
        <f>M133+M153+M176</f>
        <v>13049.603758458796</v>
      </c>
      <c r="N178" s="552"/>
      <c r="O178" s="561">
        <f>O133+O153+O176</f>
        <v>13429.429684689669</v>
      </c>
    </row>
    <row r="179" spans="1:15" x14ac:dyDescent="0.35">
      <c r="C179" s="533">
        <f>C108</f>
        <v>8781.89</v>
      </c>
      <c r="E179" s="533">
        <f>E108</f>
        <v>13978.924929632667</v>
      </c>
      <c r="G179" s="533">
        <f>G108</f>
        <v>13761.440292540236</v>
      </c>
      <c r="I179" s="533">
        <f>I108</f>
        <v>13197.468895073262</v>
      </c>
      <c r="K179" s="533">
        <f>K108</f>
        <v>12867.31181277118</v>
      </c>
      <c r="M179" s="533">
        <f>M108</f>
        <v>13049.603758458794</v>
      </c>
      <c r="O179" s="533">
        <f>O108</f>
        <v>13429.429684689665</v>
      </c>
    </row>
    <row r="180" spans="1:15" x14ac:dyDescent="0.35">
      <c r="B180" t="s">
        <v>834</v>
      </c>
      <c r="C180" s="533">
        <f>C108-C178</f>
        <v>0</v>
      </c>
      <c r="E180" s="533">
        <f>E108-E178</f>
        <v>0</v>
      </c>
      <c r="G180" s="533">
        <f>G108-G178</f>
        <v>0</v>
      </c>
      <c r="I180" s="533">
        <f>I108-I178</f>
        <v>0</v>
      </c>
      <c r="J180" s="533"/>
      <c r="K180" s="533">
        <f>K108-K178</f>
        <v>0</v>
      </c>
      <c r="M180" s="533">
        <f>M108-M178</f>
        <v>0</v>
      </c>
      <c r="O180" s="533">
        <f>O108-O178</f>
        <v>0</v>
      </c>
    </row>
    <row r="181" spans="1:15" x14ac:dyDescent="0.35">
      <c r="E181" s="533"/>
      <c r="G181" s="533">
        <f>E180-G180</f>
        <v>0</v>
      </c>
      <c r="I181" s="533">
        <f>I180-G180</f>
        <v>0</v>
      </c>
      <c r="K181" s="533">
        <f>K180-I180</f>
        <v>0</v>
      </c>
      <c r="M181" s="533">
        <f>M180-K180</f>
        <v>0</v>
      </c>
      <c r="O181" s="533">
        <f>O180-M180</f>
        <v>0</v>
      </c>
    </row>
  </sheetData>
  <mergeCells count="5">
    <mergeCell ref="N3:O3"/>
    <mergeCell ref="D3:E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3"/>
  <sheetViews>
    <sheetView topLeftCell="A2" workbookViewId="0">
      <selection activeCell="B13" sqref="B13"/>
    </sheetView>
  </sheetViews>
  <sheetFormatPr defaultColWidth="8.81640625" defaultRowHeight="14.5" x14ac:dyDescent="0.35"/>
  <cols>
    <col min="1" max="1" width="43.54296875" customWidth="1"/>
    <col min="2" max="7" width="11.453125" bestFit="1" customWidth="1"/>
  </cols>
  <sheetData>
    <row r="1" spans="1:7" ht="15" x14ac:dyDescent="0.25">
      <c r="A1" t="s">
        <v>864</v>
      </c>
    </row>
    <row r="3" spans="1:7" ht="15" x14ac:dyDescent="0.25">
      <c r="A3" t="s">
        <v>888</v>
      </c>
      <c r="B3" t="s">
        <v>711</v>
      </c>
    </row>
    <row r="5" spans="1:7" ht="15" x14ac:dyDescent="0.25">
      <c r="A5" s="562" t="s">
        <v>478</v>
      </c>
      <c r="B5" s="563" t="s">
        <v>355</v>
      </c>
      <c r="C5" s="563" t="s">
        <v>356</v>
      </c>
      <c r="D5" s="563" t="s">
        <v>357</v>
      </c>
      <c r="E5" s="563" t="s">
        <v>358</v>
      </c>
      <c r="F5" s="563" t="s">
        <v>10</v>
      </c>
      <c r="G5" s="563" t="s">
        <v>11</v>
      </c>
    </row>
    <row r="6" spans="1:7" ht="15" hidden="1" x14ac:dyDescent="0.25">
      <c r="A6" s="518" t="s">
        <v>17</v>
      </c>
      <c r="B6" s="519" t="s">
        <v>658</v>
      </c>
      <c r="C6" s="517">
        <v>0.02</v>
      </c>
      <c r="D6" s="517">
        <v>0.02</v>
      </c>
      <c r="E6" s="517">
        <v>0.02</v>
      </c>
      <c r="F6" s="517">
        <v>0.02</v>
      </c>
      <c r="G6" s="517">
        <v>0.02</v>
      </c>
    </row>
    <row r="7" spans="1:7" ht="15" x14ac:dyDescent="0.25">
      <c r="A7" s="391" t="s">
        <v>660</v>
      </c>
      <c r="B7" s="411">
        <f>+Sheet2!L17</f>
        <v>2025.17563</v>
      </c>
      <c r="C7" s="411">
        <v>2300</v>
      </c>
      <c r="D7" s="411">
        <v>2400</v>
      </c>
      <c r="E7" s="411">
        <v>2400</v>
      </c>
      <c r="F7" s="411">
        <v>2500</v>
      </c>
      <c r="G7" s="411">
        <v>2600</v>
      </c>
    </row>
    <row r="8" spans="1:7" ht="15" x14ac:dyDescent="0.25">
      <c r="A8" s="391" t="s">
        <v>598</v>
      </c>
      <c r="B8" s="407" t="s">
        <v>934</v>
      </c>
      <c r="C8" s="407" t="s">
        <v>934</v>
      </c>
      <c r="D8" s="407" t="s">
        <v>934</v>
      </c>
      <c r="E8" s="407" t="s">
        <v>934</v>
      </c>
      <c r="F8" s="407" t="s">
        <v>934</v>
      </c>
      <c r="G8" s="407" t="s">
        <v>934</v>
      </c>
    </row>
    <row r="9" spans="1:7" ht="15" x14ac:dyDescent="0.25">
      <c r="A9" s="391" t="s">
        <v>599</v>
      </c>
      <c r="B9" s="407">
        <v>0.08</v>
      </c>
      <c r="C9" s="407">
        <v>0.08</v>
      </c>
      <c r="D9" s="407">
        <v>0.08</v>
      </c>
      <c r="E9" s="407">
        <v>0.08</v>
      </c>
      <c r="F9" s="407">
        <v>0.08</v>
      </c>
      <c r="G9" s="407">
        <v>0.08</v>
      </c>
    </row>
    <row r="10" spans="1:7" ht="15" x14ac:dyDescent="0.25">
      <c r="A10" s="391" t="s">
        <v>600</v>
      </c>
      <c r="B10" s="407">
        <v>0.04</v>
      </c>
      <c r="C10" s="407">
        <v>0.04</v>
      </c>
      <c r="D10" s="407">
        <v>0.04</v>
      </c>
      <c r="E10" s="407">
        <v>0.04</v>
      </c>
      <c r="F10" s="407">
        <v>0.04</v>
      </c>
      <c r="G10" s="407">
        <v>0.04</v>
      </c>
    </row>
    <row r="11" spans="1:7" ht="15" x14ac:dyDescent="0.25">
      <c r="A11" s="391" t="s">
        <v>859</v>
      </c>
      <c r="B11" s="407">
        <v>0.08</v>
      </c>
      <c r="C11" s="407">
        <v>0.08</v>
      </c>
      <c r="D11" s="407">
        <v>0.08</v>
      </c>
      <c r="E11" s="407">
        <v>0.08</v>
      </c>
      <c r="F11" s="407">
        <v>0.08</v>
      </c>
      <c r="G11" s="407">
        <v>0.08</v>
      </c>
    </row>
    <row r="12" spans="1:7" ht="15" x14ac:dyDescent="0.25">
      <c r="A12" s="391" t="s">
        <v>861</v>
      </c>
      <c r="B12" s="407">
        <f>B9+B10+B11</f>
        <v>0.2</v>
      </c>
      <c r="C12" s="407">
        <f t="shared" ref="C12:G12" si="0">C9+C10+C11</f>
        <v>0.2</v>
      </c>
      <c r="D12" s="407">
        <f t="shared" si="0"/>
        <v>0.2</v>
      </c>
      <c r="E12" s="407">
        <f t="shared" si="0"/>
        <v>0.2</v>
      </c>
      <c r="F12" s="407">
        <f t="shared" si="0"/>
        <v>0.2</v>
      </c>
      <c r="G12" s="407">
        <f t="shared" si="0"/>
        <v>0.2</v>
      </c>
    </row>
    <row r="13" spans="1:7" ht="15" x14ac:dyDescent="0.25">
      <c r="A13" s="391" t="s">
        <v>860</v>
      </c>
      <c r="B13" s="407">
        <f>100%-B12</f>
        <v>0.8</v>
      </c>
      <c r="C13" s="407">
        <f t="shared" ref="C13:G13" si="1">100%-C12</f>
        <v>0.8</v>
      </c>
      <c r="D13" s="407">
        <f t="shared" si="1"/>
        <v>0.8</v>
      </c>
      <c r="E13" s="407">
        <f t="shared" si="1"/>
        <v>0.8</v>
      </c>
      <c r="F13" s="407">
        <f t="shared" si="1"/>
        <v>0.8</v>
      </c>
      <c r="G13" s="407">
        <f t="shared" si="1"/>
        <v>0.8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"/>
  <sheetViews>
    <sheetView topLeftCell="A11" workbookViewId="0">
      <selection activeCell="D24" sqref="D24"/>
    </sheetView>
  </sheetViews>
  <sheetFormatPr defaultColWidth="13.26953125" defaultRowHeight="14.5" x14ac:dyDescent="0.35"/>
  <cols>
    <col min="2" max="2" width="25.7265625" bestFit="1" customWidth="1"/>
  </cols>
  <sheetData>
    <row r="1" spans="1:8" ht="15" x14ac:dyDescent="0.25">
      <c r="B1" s="245" t="s">
        <v>857</v>
      </c>
    </row>
    <row r="2" spans="1:8" ht="15" x14ac:dyDescent="0.25">
      <c r="B2" s="245" t="s">
        <v>858</v>
      </c>
    </row>
    <row r="4" spans="1:8" ht="15" x14ac:dyDescent="0.25">
      <c r="B4" s="245" t="s">
        <v>478</v>
      </c>
      <c r="C4" s="531" t="s">
        <v>541</v>
      </c>
      <c r="D4" s="531" t="s">
        <v>575</v>
      </c>
      <c r="E4" s="531" t="s">
        <v>576</v>
      </c>
      <c r="F4" s="531" t="s">
        <v>577</v>
      </c>
      <c r="G4" s="531" t="s">
        <v>578</v>
      </c>
      <c r="H4" s="531" t="s">
        <v>579</v>
      </c>
    </row>
    <row r="5" spans="1:8" ht="15" x14ac:dyDescent="0.25">
      <c r="B5" t="s">
        <v>839</v>
      </c>
      <c r="C5">
        <f>'Detailed BS'!C111</f>
        <v>14.82</v>
      </c>
      <c r="D5" s="533">
        <f>C24</f>
        <v>806.71486363266649</v>
      </c>
      <c r="E5" s="533">
        <f>D24</f>
        <v>1692.1862757370372</v>
      </c>
      <c r="F5" s="533">
        <f>E24</f>
        <v>2328.7802123614265</v>
      </c>
      <c r="G5" s="533">
        <f>F24</f>
        <v>3033.0859147026622</v>
      </c>
      <c r="H5" s="533">
        <f>G24</f>
        <v>4039.5164084338558</v>
      </c>
    </row>
    <row r="6" spans="1:8" ht="15" x14ac:dyDescent="0.25">
      <c r="D6" s="533"/>
      <c r="E6" s="533"/>
      <c r="F6" s="533"/>
      <c r="G6" s="533"/>
      <c r="H6" s="533"/>
    </row>
    <row r="7" spans="1:8" ht="15" x14ac:dyDescent="0.25">
      <c r="A7" t="s">
        <v>760</v>
      </c>
      <c r="B7" t="s">
        <v>840</v>
      </c>
    </row>
    <row r="8" spans="1:8" ht="15" x14ac:dyDescent="0.25">
      <c r="B8" t="s">
        <v>804</v>
      </c>
      <c r="C8" s="592">
        <f>'Detailed PL, TP &amp; TR'!G44</f>
        <v>2072.4713780000002</v>
      </c>
      <c r="D8" s="533">
        <f>'Detailed PL, TP &amp; TR'!J42</f>
        <v>5473.2722520000007</v>
      </c>
      <c r="E8" s="533">
        <f>-'Detailed BS'!H118</f>
        <v>5910.3590000000004</v>
      </c>
      <c r="F8" s="533">
        <f>'Detailed BS'!J118*-1</f>
        <v>6080.3565500000004</v>
      </c>
      <c r="G8" s="533">
        <f>'Detailed BS'!L118*-1</f>
        <v>6277.9027274999999</v>
      </c>
      <c r="H8" s="533">
        <f>'Detailed BS'!N118*-1</f>
        <v>6523.4767826249999</v>
      </c>
    </row>
    <row r="9" spans="1:8" ht="15" x14ac:dyDescent="0.25">
      <c r="B9" t="s">
        <v>841</v>
      </c>
      <c r="C9" s="592">
        <f>'Detailed BS'!D8</f>
        <v>75.67</v>
      </c>
      <c r="D9" s="530">
        <f>'Detailed BS'!F8</f>
        <v>265</v>
      </c>
      <c r="E9" s="530">
        <v>0</v>
      </c>
      <c r="F9" s="530">
        <v>0</v>
      </c>
      <c r="G9" s="530">
        <v>0</v>
      </c>
      <c r="H9" s="530">
        <v>0</v>
      </c>
    </row>
    <row r="10" spans="1:8" ht="15" x14ac:dyDescent="0.25">
      <c r="B10" t="s">
        <v>852</v>
      </c>
      <c r="C10" s="592">
        <f>'Detailed BS'!D73</f>
        <v>5142.33</v>
      </c>
      <c r="D10" s="530">
        <f>'Detailed BS'!F73</f>
        <v>0</v>
      </c>
      <c r="E10" s="530">
        <v>0</v>
      </c>
      <c r="F10" s="530">
        <v>0</v>
      </c>
      <c r="G10" s="530">
        <v>0</v>
      </c>
      <c r="H10" s="530">
        <v>0</v>
      </c>
    </row>
    <row r="11" spans="1:8" ht="15" x14ac:dyDescent="0.25">
      <c r="B11" t="s">
        <v>853</v>
      </c>
      <c r="C11" s="595">
        <v>0.6</v>
      </c>
      <c r="D11" s="530">
        <v>0</v>
      </c>
      <c r="E11" s="533">
        <v>0</v>
      </c>
      <c r="F11" s="530">
        <v>0</v>
      </c>
      <c r="G11" s="530">
        <v>0</v>
      </c>
      <c r="H11" s="530">
        <v>0</v>
      </c>
    </row>
    <row r="12" spans="1:8" ht="15.75" thickBot="1" x14ac:dyDescent="0.3">
      <c r="B12" t="s">
        <v>854</v>
      </c>
      <c r="C12" s="596">
        <f t="shared" ref="C12:H12" si="0">SUM(C8:C11)</f>
        <v>7291.0713780000005</v>
      </c>
      <c r="D12" s="542">
        <f t="shared" si="0"/>
        <v>5738.2722520000007</v>
      </c>
      <c r="E12" s="542">
        <f t="shared" si="0"/>
        <v>5910.3590000000004</v>
      </c>
      <c r="F12" s="542">
        <f t="shared" si="0"/>
        <v>6080.3565500000004</v>
      </c>
      <c r="G12" s="542">
        <f t="shared" si="0"/>
        <v>6277.9027274999999</v>
      </c>
      <c r="H12" s="542">
        <f t="shared" si="0"/>
        <v>6523.4767826249999</v>
      </c>
    </row>
    <row r="13" spans="1:8" ht="15.75" thickTop="1" x14ac:dyDescent="0.25"/>
    <row r="14" spans="1:8" ht="15" x14ac:dyDescent="0.25">
      <c r="A14" t="s">
        <v>761</v>
      </c>
      <c r="B14" t="s">
        <v>842</v>
      </c>
    </row>
    <row r="15" spans="1:8" ht="15" x14ac:dyDescent="0.25">
      <c r="B15" t="s">
        <v>764</v>
      </c>
      <c r="C15" s="533">
        <f>-'Detailed PL, TP &amp; TR'!G32</f>
        <v>-747.53219883333327</v>
      </c>
      <c r="D15" s="533">
        <f>'Detailed BS'!F14</f>
        <v>-2691.1737338333332</v>
      </c>
      <c r="E15" s="533">
        <f>'Detailed BS'!H14</f>
        <v>-2831.5119658333338</v>
      </c>
      <c r="F15" s="533">
        <f>'Detailed BS'!J14</f>
        <v>-2930.0898011874997</v>
      </c>
      <c r="G15" s="533">
        <f>'Detailed BS'!L14</f>
        <v>-3101.2372505098961</v>
      </c>
      <c r="H15" s="533">
        <f>'Detailed BS'!N14</f>
        <v>-3272.275393114232</v>
      </c>
    </row>
    <row r="16" spans="1:8" ht="15" x14ac:dyDescent="0.25">
      <c r="B16" t="s">
        <v>843</v>
      </c>
      <c r="C16" s="530">
        <f>'Detailed BS'!D23</f>
        <v>-7.04</v>
      </c>
      <c r="D16" s="530">
        <v>0</v>
      </c>
      <c r="E16" s="530">
        <v>0</v>
      </c>
      <c r="F16" s="530">
        <v>0</v>
      </c>
      <c r="G16" s="530">
        <v>0</v>
      </c>
      <c r="H16" s="530">
        <v>0</v>
      </c>
    </row>
    <row r="17" spans="2:8" ht="15" x14ac:dyDescent="0.25">
      <c r="B17" t="s">
        <v>849</v>
      </c>
      <c r="C17" s="533">
        <f>'Detailed BS'!D28</f>
        <v>-335.03999999999996</v>
      </c>
      <c r="D17" s="533">
        <f>'Detailed BS'!F28</f>
        <v>-1110.2311111111112</v>
      </c>
      <c r="E17" s="533">
        <f>'Detailed BS'!H28</f>
        <v>-1406.2199999999998</v>
      </c>
      <c r="F17" s="533">
        <f>'Detailed BS'!J28</f>
        <v>-1456.06</v>
      </c>
      <c r="G17" s="533">
        <f>'Detailed BS'!L28</f>
        <v>-1218.52</v>
      </c>
      <c r="H17" s="533">
        <f>'Detailed BS'!N28</f>
        <v>-1278.52</v>
      </c>
    </row>
    <row r="18" spans="2:8" ht="15" x14ac:dyDescent="0.25">
      <c r="B18" t="s">
        <v>771</v>
      </c>
      <c r="C18" s="533">
        <f>'Detailed BS'!D36</f>
        <v>-4800</v>
      </c>
      <c r="D18" s="530">
        <f>'Detailed BS'!F36</f>
        <v>0</v>
      </c>
      <c r="E18" s="530">
        <f>'Detailed BS'!H36</f>
        <v>0</v>
      </c>
      <c r="F18" s="530">
        <v>0</v>
      </c>
      <c r="G18" s="530">
        <v>0</v>
      </c>
      <c r="H18" s="530">
        <v>0</v>
      </c>
    </row>
    <row r="19" spans="2:8" ht="15" x14ac:dyDescent="0.25">
      <c r="B19" t="s">
        <v>846</v>
      </c>
      <c r="C19" s="533">
        <f>'Detailed BS'!D42</f>
        <v>-402.63982249999998</v>
      </c>
      <c r="D19" s="533">
        <f>'Detailed BS'!F42</f>
        <v>-737.08816999999999</v>
      </c>
      <c r="E19" s="533">
        <f>'Detailed BS'!H42</f>
        <v>-615.01808000000005</v>
      </c>
      <c r="F19" s="533">
        <f>-'Loan Repayment'!F97</f>
        <v>-479.7321925</v>
      </c>
      <c r="G19" s="533">
        <f>'Loan Repayment'!G97*-1</f>
        <v>-354.07685500000002</v>
      </c>
      <c r="H19" s="533">
        <f>'Loan Repayment'!H97*-1</f>
        <v>-237.46495500000003</v>
      </c>
    </row>
    <row r="20" spans="2:8" ht="15" x14ac:dyDescent="0.25">
      <c r="B20" t="s">
        <v>850</v>
      </c>
      <c r="C20" s="533">
        <f>'Detailed BS'!D74</f>
        <v>-49.1</v>
      </c>
      <c r="D20" s="530">
        <v>0</v>
      </c>
      <c r="E20" s="530">
        <v>0</v>
      </c>
      <c r="F20" s="530">
        <v>0</v>
      </c>
      <c r="G20" s="530">
        <v>0</v>
      </c>
      <c r="H20" s="530">
        <v>0</v>
      </c>
    </row>
    <row r="21" spans="2:8" ht="15" x14ac:dyDescent="0.25">
      <c r="B21" t="s">
        <v>851</v>
      </c>
      <c r="C21" s="533">
        <f>'Detailed BS'!D174</f>
        <v>-157.82449303399991</v>
      </c>
      <c r="D21" s="533">
        <f>'Detailed BS'!F174</f>
        <v>-314.30782495118501</v>
      </c>
      <c r="E21" s="533">
        <f>'Detailed BS'!H174</f>
        <v>-421.0150175422782</v>
      </c>
      <c r="F21" s="533">
        <f>'Detailed BS'!J174</f>
        <v>-510.16885397126697</v>
      </c>
      <c r="G21" s="533">
        <f>'Detailed BS'!L174</f>
        <v>-597.63812825890898</v>
      </c>
      <c r="H21" s="533">
        <f>'Detailed BS'!N174</f>
        <v>-672.35811758988939</v>
      </c>
    </row>
    <row r="22" spans="2:8" ht="15.75" thickBot="1" x14ac:dyDescent="0.3">
      <c r="B22" t="s">
        <v>855</v>
      </c>
      <c r="C22" s="542">
        <f t="shared" ref="C22:H22" si="1">SUM(C15:C21)</f>
        <v>-6499.1765143673338</v>
      </c>
      <c r="D22" s="542">
        <f t="shared" si="1"/>
        <v>-4852.8008398956299</v>
      </c>
      <c r="E22" s="542">
        <f t="shared" si="1"/>
        <v>-5273.7650633756111</v>
      </c>
      <c r="F22" s="542">
        <f t="shared" si="1"/>
        <v>-5376.0508476587656</v>
      </c>
      <c r="G22" s="542">
        <f t="shared" si="1"/>
        <v>-5271.4722337688054</v>
      </c>
      <c r="H22" s="542">
        <f t="shared" si="1"/>
        <v>-5460.6184657041213</v>
      </c>
    </row>
    <row r="23" spans="2:8" ht="15.75" thickTop="1" x14ac:dyDescent="0.25">
      <c r="C23" s="532"/>
      <c r="D23" s="532"/>
      <c r="E23" s="532"/>
      <c r="F23" s="532"/>
      <c r="G23" s="532"/>
      <c r="H23" s="532"/>
    </row>
    <row r="24" spans="2:8" ht="15.75" thickBot="1" x14ac:dyDescent="0.3">
      <c r="B24" t="s">
        <v>856</v>
      </c>
      <c r="C24" s="542">
        <f t="shared" ref="C24:H24" si="2">C5+C12+C22</f>
        <v>806.71486363266649</v>
      </c>
      <c r="D24" s="542">
        <f t="shared" si="2"/>
        <v>1692.1862757370372</v>
      </c>
      <c r="E24" s="542">
        <f t="shared" si="2"/>
        <v>2328.7802123614265</v>
      </c>
      <c r="F24" s="542">
        <f t="shared" si="2"/>
        <v>3033.0859147026622</v>
      </c>
      <c r="G24" s="542">
        <f t="shared" si="2"/>
        <v>4039.5164084338558</v>
      </c>
      <c r="H24" s="542">
        <f t="shared" si="2"/>
        <v>5102.3747253547353</v>
      </c>
    </row>
    <row r="25" spans="2:8" ht="15" thickTop="1" x14ac:dyDescent="0.3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4"/>
  <sheetViews>
    <sheetView zoomScaleNormal="100" workbookViewId="0">
      <selection activeCell="I7" sqref="I7"/>
    </sheetView>
  </sheetViews>
  <sheetFormatPr defaultColWidth="9.1796875" defaultRowHeight="13" x14ac:dyDescent="0.3"/>
  <cols>
    <col min="1" max="1" width="9.1796875" style="212" customWidth="1"/>
    <col min="2" max="2" width="29.1796875" style="212" bestFit="1" customWidth="1"/>
    <col min="3" max="7" width="9.1796875" style="212" hidden="1" customWidth="1"/>
    <col min="8" max="8" width="9.1796875" style="221" hidden="1" customWidth="1"/>
    <col min="9" max="13" width="9.1796875" style="212" bestFit="1" customWidth="1"/>
    <col min="14" max="14" width="9.453125" style="212" customWidth="1"/>
    <col min="15" max="15" width="9.453125" style="212" hidden="1" customWidth="1"/>
    <col min="16" max="17" width="9.1796875" style="212" hidden="1" customWidth="1"/>
    <col min="18" max="18" width="9.1796875" style="212" customWidth="1"/>
    <col min="19" max="16384" width="9.1796875" style="212"/>
  </cols>
  <sheetData>
    <row r="1" spans="1:17" x14ac:dyDescent="0.2">
      <c r="A1" s="212" t="s">
        <v>857</v>
      </c>
    </row>
    <row r="2" spans="1:17" x14ac:dyDescent="0.2">
      <c r="A2" s="212" t="s">
        <v>887</v>
      </c>
    </row>
    <row r="3" spans="1:17" x14ac:dyDescent="0.2">
      <c r="A3" s="606" t="s">
        <v>491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211"/>
    </row>
    <row r="6" spans="1:17" x14ac:dyDescent="0.2">
      <c r="B6" s="213" t="s">
        <v>478</v>
      </c>
      <c r="C6" s="214"/>
      <c r="D6" s="215" t="s">
        <v>416</v>
      </c>
      <c r="E6" s="215" t="s">
        <v>417</v>
      </c>
      <c r="F6" s="215" t="s">
        <v>418</v>
      </c>
      <c r="G6" s="215" t="s">
        <v>572</v>
      </c>
      <c r="H6" s="313" t="s">
        <v>573</v>
      </c>
      <c r="I6" s="215" t="s">
        <v>574</v>
      </c>
      <c r="J6" s="215" t="s">
        <v>575</v>
      </c>
      <c r="K6" s="215" t="s">
        <v>576</v>
      </c>
      <c r="L6" s="215" t="s">
        <v>577</v>
      </c>
      <c r="M6" s="215" t="s">
        <v>578</v>
      </c>
      <c r="N6" s="215" t="s">
        <v>579</v>
      </c>
      <c r="O6" s="215" t="s">
        <v>580</v>
      </c>
      <c r="P6" s="215" t="s">
        <v>592</v>
      </c>
      <c r="Q6" s="215" t="s">
        <v>593</v>
      </c>
    </row>
    <row r="7" spans="1:17" x14ac:dyDescent="0.2">
      <c r="B7" s="213" t="s">
        <v>744</v>
      </c>
      <c r="C7" s="214"/>
      <c r="D7" s="215"/>
      <c r="E7" s="215"/>
      <c r="F7" s="215"/>
      <c r="G7" s="215"/>
      <c r="H7" s="313"/>
      <c r="I7" s="544">
        <f>0.25*1.07*1.04</f>
        <v>0.2782</v>
      </c>
      <c r="J7" s="544">
        <f t="shared" ref="J7:N7" si="0">0.25*1.07*1.04</f>
        <v>0.2782</v>
      </c>
      <c r="K7" s="544">
        <f t="shared" si="0"/>
        <v>0.2782</v>
      </c>
      <c r="L7" s="544">
        <f t="shared" si="0"/>
        <v>0.2782</v>
      </c>
      <c r="M7" s="544">
        <f t="shared" si="0"/>
        <v>0.2782</v>
      </c>
      <c r="N7" s="544">
        <f t="shared" si="0"/>
        <v>0.2782</v>
      </c>
      <c r="O7" s="215"/>
      <c r="P7" s="215"/>
      <c r="Q7" s="215"/>
    </row>
    <row r="8" spans="1:17" x14ac:dyDescent="0.2">
      <c r="B8" s="213" t="s">
        <v>745</v>
      </c>
      <c r="C8" s="214"/>
      <c r="D8" s="215"/>
      <c r="E8" s="215"/>
      <c r="F8" s="215"/>
      <c r="G8" s="215"/>
      <c r="H8" s="313"/>
      <c r="I8" s="544">
        <f>0.15*1.07*1.04</f>
        <v>0.16692000000000001</v>
      </c>
      <c r="J8" s="544">
        <f t="shared" ref="J8:N8" si="1">0.15*1.07*1.04</f>
        <v>0.16692000000000001</v>
      </c>
      <c r="K8" s="544">
        <f t="shared" si="1"/>
        <v>0.16692000000000001</v>
      </c>
      <c r="L8" s="544">
        <f t="shared" si="1"/>
        <v>0.16692000000000001</v>
      </c>
      <c r="M8" s="544">
        <f t="shared" si="1"/>
        <v>0.16692000000000001</v>
      </c>
      <c r="N8" s="544">
        <f t="shared" si="1"/>
        <v>0.16692000000000001</v>
      </c>
      <c r="O8" s="215"/>
      <c r="P8" s="215"/>
      <c r="Q8" s="215"/>
    </row>
    <row r="9" spans="1:17" x14ac:dyDescent="0.2">
      <c r="B9" s="222" t="s">
        <v>492</v>
      </c>
      <c r="C9" s="222"/>
      <c r="D9" s="223"/>
      <c r="E9" s="223"/>
      <c r="F9" s="223">
        <v>0</v>
      </c>
      <c r="G9" s="358">
        <f>'Financial Statements'!H124</f>
        <v>208.90375189999992</v>
      </c>
      <c r="H9" s="358">
        <f>'Detailed PL, TP &amp; TR'!G14</f>
        <v>614.66649549999966</v>
      </c>
      <c r="I9" s="358">
        <f>'Detailed PL, TP &amp; TR'!G14</f>
        <v>614.66649549999966</v>
      </c>
      <c r="J9" s="358">
        <f>'Detailed PL, TP &amp; TR'!J14</f>
        <v>983.16389280320027</v>
      </c>
      <c r="K9" s="358">
        <f>'Detailed PL, TP &amp; TR'!M14</f>
        <v>1307.5369534086371</v>
      </c>
      <c r="L9" s="358">
        <f>'Detailed PL, TP &amp; TR'!P14</f>
        <v>1684.0117716691861</v>
      </c>
      <c r="M9" s="358">
        <f>'Detailed PL, TP &amp; TR'!S14</f>
        <v>2040.4734072798549</v>
      </c>
      <c r="N9" s="358">
        <f>'Detailed PL, TP &amp; TR'!V14</f>
        <v>2340.4673771540929</v>
      </c>
      <c r="O9" s="358" t="e">
        <f>'Financial Statements'!P124</f>
        <v>#REF!</v>
      </c>
      <c r="P9" s="358" t="e">
        <f>'Financial Statements'!Q124</f>
        <v>#REF!</v>
      </c>
      <c r="Q9" s="358" t="e">
        <f>'Financial Statements'!R124</f>
        <v>#REF!</v>
      </c>
    </row>
    <row r="10" spans="1:17" x14ac:dyDescent="0.2">
      <c r="B10" s="214" t="s">
        <v>493</v>
      </c>
      <c r="C10" s="214"/>
      <c r="D10" s="220"/>
      <c r="E10" s="220"/>
      <c r="F10" s="220">
        <v>0</v>
      </c>
      <c r="G10" s="359">
        <f>'Financial Statements'!H53</f>
        <v>1163.21</v>
      </c>
      <c r="H10" s="359">
        <f>'Financial Statements'!I53</f>
        <v>969.66</v>
      </c>
      <c r="I10" s="359">
        <f>'Detailed PL, TP &amp; TR'!G9</f>
        <v>741.27418599999999</v>
      </c>
      <c r="J10" s="359">
        <f>'Detailed PL, TP &amp; TR'!J9</f>
        <v>1364.8717971967999</v>
      </c>
      <c r="K10" s="359">
        <f>'Detailed PL, TP &amp; TR'!M9</f>
        <v>1248.7253340913628</v>
      </c>
      <c r="L10" s="359">
        <f>'Detailed PL, TP &amp; TR'!P9</f>
        <v>1043.1127846433142</v>
      </c>
      <c r="M10" s="359">
        <f>'Detailed PL, TP &amp; TR'!S9</f>
        <v>873.31854804358272</v>
      </c>
      <c r="N10" s="359">
        <f>'Detailed PL, TP &amp; TR'!V9</f>
        <v>732.76239069000871</v>
      </c>
      <c r="O10" s="359">
        <f>'Financial Statements'!P53</f>
        <v>418.06011443809285</v>
      </c>
      <c r="P10" s="359">
        <f>'Financial Statements'!Q53</f>
        <v>337.63965937522721</v>
      </c>
      <c r="Q10" s="359">
        <f>'Financial Statements'!R53</f>
        <v>264.26440811007245</v>
      </c>
    </row>
    <row r="11" spans="1:17" x14ac:dyDescent="0.2">
      <c r="B11" s="214" t="s">
        <v>494</v>
      </c>
      <c r="C11" s="214"/>
      <c r="D11" s="220"/>
      <c r="E11" s="220"/>
      <c r="F11" s="220">
        <f>F10+F9</f>
        <v>0</v>
      </c>
      <c r="G11" s="359">
        <f t="shared" ref="G11:Q11" si="2">G10+G9</f>
        <v>1372.1137518999999</v>
      </c>
      <c r="H11" s="359">
        <f t="shared" si="2"/>
        <v>1584.3264954999995</v>
      </c>
      <c r="I11" s="359">
        <f t="shared" si="2"/>
        <v>1355.9406814999998</v>
      </c>
      <c r="J11" s="359">
        <f t="shared" si="2"/>
        <v>2348.0356900000002</v>
      </c>
      <c r="K11" s="359">
        <f t="shared" si="2"/>
        <v>2556.2622874999997</v>
      </c>
      <c r="L11" s="359">
        <f t="shared" si="2"/>
        <v>2727.1245563125003</v>
      </c>
      <c r="M11" s="359">
        <f t="shared" si="2"/>
        <v>2913.7919553234378</v>
      </c>
      <c r="N11" s="359">
        <f t="shared" si="2"/>
        <v>3073.2297678441018</v>
      </c>
      <c r="O11" s="359" t="e">
        <f t="shared" si="2"/>
        <v>#REF!</v>
      </c>
      <c r="P11" s="359" t="e">
        <f t="shared" si="2"/>
        <v>#REF!</v>
      </c>
      <c r="Q11" s="359" t="e">
        <f t="shared" si="2"/>
        <v>#REF!</v>
      </c>
    </row>
    <row r="12" spans="1:17" x14ac:dyDescent="0.2">
      <c r="B12" s="214" t="s">
        <v>495</v>
      </c>
      <c r="C12" s="214"/>
      <c r="D12" s="220"/>
      <c r="E12" s="220"/>
      <c r="F12" s="220">
        <v>0</v>
      </c>
      <c r="G12" s="358"/>
      <c r="H12" s="358"/>
      <c r="I12" s="358">
        <f>'Dep-IT'!L11</f>
        <v>788.63481150000007</v>
      </c>
      <c r="J12" s="358">
        <f>'Dep-IT'!L18</f>
        <v>1218.2448023250001</v>
      </c>
      <c r="K12" s="358">
        <f>'Dep-IT'!L25</f>
        <v>1042.90852207125</v>
      </c>
      <c r="L12" s="358">
        <f>'Dep-IT'!L32</f>
        <v>893.30408912606265</v>
      </c>
      <c r="M12" s="358">
        <f>'Dep-IT'!L39</f>
        <v>765.56000615410312</v>
      </c>
      <c r="N12" s="358">
        <f>'Dep-IT'!L46</f>
        <v>656.41410432904274</v>
      </c>
      <c r="O12" s="358">
        <f>'dep as per It'!I12</f>
        <v>685.18761191824967</v>
      </c>
      <c r="P12" s="358">
        <f>'dep as per It'!I13</f>
        <v>267.05117734304616</v>
      </c>
      <c r="Q12" s="358">
        <f>'dep as per It'!I14</f>
        <v>232.49285593860691</v>
      </c>
    </row>
    <row r="13" spans="1:17" x14ac:dyDescent="0.2">
      <c r="B13" s="214" t="s">
        <v>496</v>
      </c>
      <c r="C13" s="214"/>
      <c r="D13" s="220"/>
      <c r="E13" s="220"/>
      <c r="F13" s="220">
        <f>F11-F12</f>
        <v>0</v>
      </c>
      <c r="G13" s="220"/>
      <c r="H13" s="223"/>
      <c r="I13" s="220">
        <f t="shared" ref="I13:Q13" si="3">I11-I12</f>
        <v>567.30586999999969</v>
      </c>
      <c r="J13" s="220">
        <f t="shared" si="3"/>
        <v>1129.790887675</v>
      </c>
      <c r="K13" s="220">
        <f t="shared" si="3"/>
        <v>1513.3537654287497</v>
      </c>
      <c r="L13" s="220">
        <f t="shared" si="3"/>
        <v>1833.8204671864378</v>
      </c>
      <c r="M13" s="220">
        <f t="shared" si="3"/>
        <v>2148.2319491693347</v>
      </c>
      <c r="N13" s="220">
        <f t="shared" si="3"/>
        <v>2416.815663515059</v>
      </c>
      <c r="O13" s="220" t="e">
        <f t="shared" si="3"/>
        <v>#REF!</v>
      </c>
      <c r="P13" s="220" t="e">
        <f t="shared" si="3"/>
        <v>#REF!</v>
      </c>
      <c r="Q13" s="220" t="e">
        <f t="shared" si="3"/>
        <v>#REF!</v>
      </c>
    </row>
    <row r="14" spans="1:17" x14ac:dyDescent="0.2">
      <c r="B14" s="214" t="s">
        <v>497</v>
      </c>
      <c r="C14" s="214"/>
      <c r="D14" s="220"/>
      <c r="E14" s="220"/>
      <c r="F14" s="220">
        <v>0</v>
      </c>
      <c r="G14" s="220"/>
      <c r="H14" s="223"/>
      <c r="I14" s="220">
        <f t="shared" ref="I14:P14" si="4">IF(H15&lt;0,H15,0)</f>
        <v>0</v>
      </c>
      <c r="J14" s="220">
        <f t="shared" si="4"/>
        <v>0</v>
      </c>
      <c r="K14" s="220">
        <f t="shared" si="4"/>
        <v>0</v>
      </c>
      <c r="L14" s="220">
        <f t="shared" si="4"/>
        <v>0</v>
      </c>
      <c r="M14" s="220">
        <f t="shared" si="4"/>
        <v>0</v>
      </c>
      <c r="N14" s="220">
        <f t="shared" si="4"/>
        <v>0</v>
      </c>
      <c r="O14" s="220">
        <f t="shared" si="4"/>
        <v>0</v>
      </c>
      <c r="P14" s="220" t="e">
        <f t="shared" si="4"/>
        <v>#REF!</v>
      </c>
      <c r="Q14" s="220"/>
    </row>
    <row r="15" spans="1:17" x14ac:dyDescent="0.2">
      <c r="B15" s="214" t="s">
        <v>498</v>
      </c>
      <c r="C15" s="214"/>
      <c r="D15" s="220"/>
      <c r="E15" s="220"/>
      <c r="F15" s="220">
        <f>F13+F14</f>
        <v>0</v>
      </c>
      <c r="G15" s="220"/>
      <c r="H15" s="223"/>
      <c r="I15" s="220">
        <f t="shared" ref="I15:Q15" si="5">I13+I14</f>
        <v>567.30586999999969</v>
      </c>
      <c r="J15" s="220">
        <f t="shared" si="5"/>
        <v>1129.790887675</v>
      </c>
      <c r="K15" s="220">
        <f t="shared" si="5"/>
        <v>1513.3537654287497</v>
      </c>
      <c r="L15" s="220">
        <f t="shared" si="5"/>
        <v>1833.8204671864378</v>
      </c>
      <c r="M15" s="220">
        <f t="shared" si="5"/>
        <v>2148.2319491693347</v>
      </c>
      <c r="N15" s="220">
        <f t="shared" si="5"/>
        <v>2416.815663515059</v>
      </c>
      <c r="O15" s="220" t="e">
        <f t="shared" si="5"/>
        <v>#REF!</v>
      </c>
      <c r="P15" s="220" t="e">
        <f t="shared" si="5"/>
        <v>#REF!</v>
      </c>
      <c r="Q15" s="220" t="e">
        <f t="shared" si="5"/>
        <v>#REF!</v>
      </c>
    </row>
    <row r="16" spans="1:17" x14ac:dyDescent="0.2">
      <c r="B16" s="214" t="s">
        <v>499</v>
      </c>
      <c r="C16" s="214"/>
      <c r="D16" s="220"/>
      <c r="E16" s="220"/>
      <c r="F16" s="220">
        <v>0</v>
      </c>
      <c r="G16" s="359"/>
      <c r="H16" s="223"/>
      <c r="I16" s="223">
        <f>I15*I7</f>
        <v>157.82449303399991</v>
      </c>
      <c r="J16" s="223">
        <f t="shared" ref="J16:N16" si="6">J15*J7</f>
        <v>314.30782495118501</v>
      </c>
      <c r="K16" s="223">
        <f t="shared" si="6"/>
        <v>421.0150175422782</v>
      </c>
      <c r="L16" s="223">
        <f t="shared" si="6"/>
        <v>510.16885397126697</v>
      </c>
      <c r="M16" s="223">
        <f t="shared" si="6"/>
        <v>597.63812825890898</v>
      </c>
      <c r="N16" s="223">
        <f t="shared" si="6"/>
        <v>672.35811758988939</v>
      </c>
      <c r="O16" s="223" t="e">
        <f t="shared" ref="O16:Q16" si="7">O15*$H$31</f>
        <v>#REF!</v>
      </c>
      <c r="P16" s="223" t="e">
        <f t="shared" si="7"/>
        <v>#REF!</v>
      </c>
      <c r="Q16" s="223" t="e">
        <f t="shared" si="7"/>
        <v>#REF!</v>
      </c>
    </row>
    <row r="17" spans="2:17" x14ac:dyDescent="0.2">
      <c r="B17" s="214" t="s">
        <v>500</v>
      </c>
      <c r="C17" s="214"/>
      <c r="D17" s="220"/>
      <c r="E17" s="220"/>
      <c r="F17" s="220">
        <v>0</v>
      </c>
      <c r="G17" s="223"/>
      <c r="H17" s="223"/>
      <c r="I17" s="223">
        <f>I9*I8</f>
        <v>102.60013142885995</v>
      </c>
      <c r="J17" s="223">
        <f t="shared" ref="J17:N17" si="8">J9*J8</f>
        <v>164.1097169867102</v>
      </c>
      <c r="K17" s="223">
        <f t="shared" si="8"/>
        <v>218.25406826296972</v>
      </c>
      <c r="L17" s="223">
        <f t="shared" si="8"/>
        <v>281.09524492702059</v>
      </c>
      <c r="M17" s="223">
        <f t="shared" si="8"/>
        <v>340.59582114315339</v>
      </c>
      <c r="N17" s="223">
        <f t="shared" si="8"/>
        <v>390.67081459456119</v>
      </c>
      <c r="O17" s="223"/>
      <c r="P17" s="223"/>
      <c r="Q17" s="223"/>
    </row>
    <row r="18" spans="2:17" s="221" customFormat="1" x14ac:dyDescent="0.2">
      <c r="B18" s="222" t="s">
        <v>501</v>
      </c>
      <c r="C18" s="222"/>
      <c r="D18" s="223"/>
      <c r="E18" s="223"/>
      <c r="F18" s="223">
        <f>IF(F17&gt;F16,F17,F16)</f>
        <v>0</v>
      </c>
      <c r="G18" s="223"/>
      <c r="H18" s="223"/>
      <c r="I18" s="474">
        <f t="shared" ref="I18:Q18" si="9">IF(I17&gt;I16,I17,I16)</f>
        <v>157.82449303399991</v>
      </c>
      <c r="J18" s="474">
        <f t="shared" si="9"/>
        <v>314.30782495118501</v>
      </c>
      <c r="K18" s="474">
        <f t="shared" si="9"/>
        <v>421.0150175422782</v>
      </c>
      <c r="L18" s="474">
        <f t="shared" si="9"/>
        <v>510.16885397126697</v>
      </c>
      <c r="M18" s="474">
        <f t="shared" si="9"/>
        <v>597.63812825890898</v>
      </c>
      <c r="N18" s="474">
        <f t="shared" si="9"/>
        <v>672.35811758988939</v>
      </c>
      <c r="O18" s="223" t="e">
        <f t="shared" si="9"/>
        <v>#REF!</v>
      </c>
      <c r="P18" s="223" t="e">
        <f t="shared" si="9"/>
        <v>#REF!</v>
      </c>
      <c r="Q18" s="223" t="e">
        <f t="shared" si="9"/>
        <v>#REF!</v>
      </c>
    </row>
    <row r="19" spans="2:17" x14ac:dyDescent="0.2">
      <c r="B19" s="214" t="s">
        <v>502</v>
      </c>
      <c r="C19" s="214"/>
      <c r="D19" s="220"/>
      <c r="E19" s="220"/>
      <c r="F19" s="220">
        <f t="shared" ref="F19:P19" si="10">MAX(IF(F17&gt;F16,F17-F16,F17-F16)+E19,0)</f>
        <v>0</v>
      </c>
      <c r="G19" s="220"/>
      <c r="H19" s="223"/>
      <c r="I19" s="220">
        <f t="shared" si="10"/>
        <v>0</v>
      </c>
      <c r="J19" s="220">
        <f t="shared" si="10"/>
        <v>0</v>
      </c>
      <c r="K19" s="220">
        <f t="shared" si="10"/>
        <v>0</v>
      </c>
      <c r="L19" s="220">
        <f t="shared" si="10"/>
        <v>0</v>
      </c>
      <c r="M19" s="220">
        <f t="shared" si="10"/>
        <v>0</v>
      </c>
      <c r="N19" s="220">
        <f t="shared" si="10"/>
        <v>0</v>
      </c>
      <c r="O19" s="220" t="e">
        <f t="shared" si="10"/>
        <v>#REF!</v>
      </c>
      <c r="P19" s="220" t="e">
        <f t="shared" si="10"/>
        <v>#REF!</v>
      </c>
      <c r="Q19" s="220"/>
    </row>
    <row r="20" spans="2:17" x14ac:dyDescent="0.2">
      <c r="B20" s="214" t="s">
        <v>503</v>
      </c>
      <c r="C20" s="214"/>
      <c r="D20" s="220"/>
      <c r="E20" s="220"/>
      <c r="F20" s="220"/>
      <c r="G20" s="220"/>
      <c r="H20" s="223"/>
      <c r="I20" s="220"/>
      <c r="J20" s="220"/>
      <c r="K20" s="220"/>
      <c r="L20" s="220"/>
      <c r="M20" s="220"/>
      <c r="N20" s="220"/>
      <c r="O20" s="220"/>
      <c r="P20" s="220"/>
      <c r="Q20" s="220"/>
    </row>
    <row r="21" spans="2:17" x14ac:dyDescent="0.2">
      <c r="B21" s="214" t="s">
        <v>504</v>
      </c>
      <c r="C21" s="214"/>
      <c r="D21" s="220"/>
      <c r="E21" s="220"/>
      <c r="F21" s="220"/>
      <c r="G21" s="220"/>
      <c r="H21" s="223"/>
      <c r="I21" s="475">
        <f t="shared" ref="I21:Q21" si="11">I16-I20</f>
        <v>157.82449303399991</v>
      </c>
      <c r="J21" s="475">
        <f t="shared" si="11"/>
        <v>314.30782495118501</v>
      </c>
      <c r="K21" s="475">
        <f t="shared" si="11"/>
        <v>421.0150175422782</v>
      </c>
      <c r="L21" s="475">
        <f t="shared" si="11"/>
        <v>510.16885397126697</v>
      </c>
      <c r="M21" s="475">
        <f t="shared" si="11"/>
        <v>597.63812825890898</v>
      </c>
      <c r="N21" s="475">
        <f t="shared" si="11"/>
        <v>672.35811758988939</v>
      </c>
      <c r="O21" s="220" t="e">
        <f t="shared" si="11"/>
        <v>#REF!</v>
      </c>
      <c r="P21" s="220" t="e">
        <f t="shared" si="11"/>
        <v>#REF!</v>
      </c>
      <c r="Q21" s="220" t="e">
        <f t="shared" si="11"/>
        <v>#REF!</v>
      </c>
    </row>
    <row r="22" spans="2:17" x14ac:dyDescent="0.2">
      <c r="B22" s="214"/>
      <c r="C22" s="214"/>
      <c r="D22" s="220"/>
      <c r="E22" s="220"/>
      <c r="F22" s="220"/>
      <c r="G22" s="220"/>
      <c r="H22" s="223"/>
      <c r="I22" s="220"/>
      <c r="J22" s="220"/>
      <c r="K22" s="220"/>
      <c r="L22" s="220"/>
      <c r="M22" s="220"/>
      <c r="N22" s="220"/>
      <c r="O22" s="220"/>
      <c r="P22" s="220"/>
      <c r="Q22" s="220"/>
    </row>
    <row r="23" spans="2:17" x14ac:dyDescent="0.2">
      <c r="B23" s="214" t="s">
        <v>505</v>
      </c>
      <c r="C23" s="214"/>
      <c r="D23" s="220"/>
      <c r="E23" s="220"/>
      <c r="F23" s="220"/>
      <c r="G23" s="220">
        <f>+IF(G17&gt;G16,(G17-G16),0)</f>
        <v>0</v>
      </c>
      <c r="H23" s="223">
        <f t="shared" ref="H23:P23" si="12">+IF(H17&gt;H16,(H17-H16),0)</f>
        <v>0</v>
      </c>
      <c r="I23" s="220">
        <f t="shared" si="12"/>
        <v>0</v>
      </c>
      <c r="J23" s="220">
        <f t="shared" si="12"/>
        <v>0</v>
      </c>
      <c r="K23" s="220">
        <f t="shared" si="12"/>
        <v>0</v>
      </c>
      <c r="L23" s="220">
        <f t="shared" si="12"/>
        <v>0</v>
      </c>
      <c r="M23" s="220">
        <f t="shared" si="12"/>
        <v>0</v>
      </c>
      <c r="N23" s="220">
        <f t="shared" si="12"/>
        <v>0</v>
      </c>
      <c r="O23" s="220" t="e">
        <f t="shared" si="12"/>
        <v>#REF!</v>
      </c>
      <c r="P23" s="220" t="e">
        <f t="shared" si="12"/>
        <v>#REF!</v>
      </c>
      <c r="Q23" s="220"/>
    </row>
    <row r="24" spans="2:17" x14ac:dyDescent="0.2">
      <c r="B24" s="214" t="s">
        <v>506</v>
      </c>
      <c r="C24" s="214"/>
      <c r="D24" s="220"/>
      <c r="E24" s="220"/>
      <c r="F24" s="220"/>
      <c r="G24" s="220">
        <f>+IF(F25&gt;0,IF((G16&gt;G17),IF((G16-G17)&gt;F25,F25,(G16-G17)),0),)</f>
        <v>0</v>
      </c>
      <c r="H24" s="223">
        <f t="shared" ref="H24:P24" si="13">+IF(G25&gt;0,IF((H16&gt;H17),IF((H16-H17)&gt;G25,G25,(H16-H17)),0),)</f>
        <v>0</v>
      </c>
      <c r="I24" s="220">
        <f t="shared" si="13"/>
        <v>0</v>
      </c>
      <c r="J24" s="475">
        <f t="shared" si="13"/>
        <v>0</v>
      </c>
      <c r="K24" s="220">
        <f t="shared" si="13"/>
        <v>0</v>
      </c>
      <c r="L24" s="220">
        <f t="shared" si="13"/>
        <v>0</v>
      </c>
      <c r="M24" s="220">
        <f t="shared" si="13"/>
        <v>0</v>
      </c>
      <c r="N24" s="220">
        <f t="shared" si="13"/>
        <v>0</v>
      </c>
      <c r="O24" s="220">
        <f t="shared" si="13"/>
        <v>0</v>
      </c>
      <c r="P24" s="220" t="e">
        <f t="shared" si="13"/>
        <v>#REF!</v>
      </c>
      <c r="Q24" s="220"/>
    </row>
    <row r="25" spans="2:17" x14ac:dyDescent="0.2">
      <c r="B25" s="214" t="s">
        <v>507</v>
      </c>
      <c r="C25" s="214"/>
      <c r="D25" s="220"/>
      <c r="E25" s="220"/>
      <c r="F25" s="220"/>
      <c r="G25" s="220">
        <f>+G23-G24</f>
        <v>0</v>
      </c>
      <c r="H25" s="223">
        <f>+G25+H23-H24</f>
        <v>0</v>
      </c>
      <c r="I25" s="220">
        <f t="shared" ref="I25:P25" si="14">+H25+I23-I24</f>
        <v>0</v>
      </c>
      <c r="J25" s="220">
        <f t="shared" si="14"/>
        <v>0</v>
      </c>
      <c r="K25" s="220">
        <f t="shared" si="14"/>
        <v>0</v>
      </c>
      <c r="L25" s="220">
        <f t="shared" si="14"/>
        <v>0</v>
      </c>
      <c r="M25" s="220">
        <f t="shared" si="14"/>
        <v>0</v>
      </c>
      <c r="N25" s="220">
        <f t="shared" si="14"/>
        <v>0</v>
      </c>
      <c r="O25" s="220" t="e">
        <f t="shared" si="14"/>
        <v>#REF!</v>
      </c>
      <c r="P25" s="220" t="e">
        <f t="shared" si="14"/>
        <v>#REF!</v>
      </c>
      <c r="Q25" s="220"/>
    </row>
    <row r="26" spans="2:17" x14ac:dyDescent="0.2">
      <c r="B26" s="224" t="s">
        <v>508</v>
      </c>
      <c r="C26" s="224"/>
      <c r="D26" s="224"/>
      <c r="E26" s="224"/>
      <c r="F26" s="224"/>
      <c r="G26" s="225">
        <f>+IF(G16&gt;G17,(G16-G24),G17)</f>
        <v>0</v>
      </c>
      <c r="H26" s="225">
        <f t="shared" ref="H26:Q26" si="15">+IF(H16&gt;H17,(H16-H24),H17)</f>
        <v>0</v>
      </c>
      <c r="I26" s="476">
        <f t="shared" si="15"/>
        <v>157.82449303399991</v>
      </c>
      <c r="J26" s="476">
        <f t="shared" si="15"/>
        <v>314.30782495118501</v>
      </c>
      <c r="K26" s="476">
        <f>+IF(K16&gt;K17,(K16-K24),K17)</f>
        <v>421.0150175422782</v>
      </c>
      <c r="L26" s="476">
        <f t="shared" si="15"/>
        <v>510.16885397126697</v>
      </c>
      <c r="M26" s="476">
        <f t="shared" si="15"/>
        <v>597.63812825890898</v>
      </c>
      <c r="N26" s="476">
        <f t="shared" si="15"/>
        <v>672.35811758988939</v>
      </c>
      <c r="O26" s="225" t="e">
        <f t="shared" si="15"/>
        <v>#REF!</v>
      </c>
      <c r="P26" s="225" t="e">
        <f t="shared" si="15"/>
        <v>#REF!</v>
      </c>
      <c r="Q26" s="225" t="e">
        <f t="shared" si="15"/>
        <v>#REF!</v>
      </c>
    </row>
    <row r="29" spans="2:17" x14ac:dyDescent="0.3">
      <c r="H29" s="221">
        <f>25%*0.07</f>
        <v>1.7500000000000002E-2</v>
      </c>
    </row>
    <row r="30" spans="2:17" x14ac:dyDescent="0.3">
      <c r="H30" s="221">
        <f>0.25+H29</f>
        <v>0.26750000000000002</v>
      </c>
    </row>
    <row r="31" spans="2:17" x14ac:dyDescent="0.3">
      <c r="H31" s="221">
        <f>H30*1.04</f>
        <v>0.2782</v>
      </c>
    </row>
    <row r="33" spans="7:17" x14ac:dyDescent="0.3"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</row>
    <row r="34" spans="7:17" x14ac:dyDescent="0.3">
      <c r="H34" s="408"/>
      <c r="I34" s="408"/>
      <c r="J34" s="408"/>
      <c r="K34" s="408"/>
      <c r="L34" s="408"/>
      <c r="M34" s="408"/>
      <c r="N34" s="408"/>
      <c r="O34" s="408"/>
      <c r="P34" s="408"/>
      <c r="Q34" s="408"/>
    </row>
  </sheetData>
  <mergeCells count="1">
    <mergeCell ref="A3:N3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01"/>
  <sheetViews>
    <sheetView topLeftCell="B66" workbookViewId="0">
      <selection activeCell="C81" sqref="C81"/>
    </sheetView>
  </sheetViews>
  <sheetFormatPr defaultRowHeight="14.5" x14ac:dyDescent="0.35"/>
  <cols>
    <col min="2" max="2" width="42.54296875" customWidth="1"/>
    <col min="3" max="3" width="11.54296875" customWidth="1"/>
    <col min="4" max="4" width="10.81640625" customWidth="1"/>
    <col min="5" max="5" width="11.81640625" customWidth="1"/>
    <col min="6" max="9" width="9.1796875" bestFit="1" customWidth="1"/>
    <col min="13" max="13" width="9.7265625" bestFit="1" customWidth="1"/>
  </cols>
  <sheetData>
    <row r="1" spans="1:13" ht="15" x14ac:dyDescent="0.25">
      <c r="A1" s="245" t="s">
        <v>864</v>
      </c>
    </row>
    <row r="2" spans="1:13" ht="15" x14ac:dyDescent="0.25">
      <c r="A2" s="245" t="s">
        <v>747</v>
      </c>
    </row>
    <row r="4" spans="1:13" ht="15" x14ac:dyDescent="0.25">
      <c r="A4" s="587">
        <v>9.2499999999999999E-2</v>
      </c>
      <c r="B4" s="553" t="s">
        <v>679</v>
      </c>
      <c r="C4" s="588" t="s">
        <v>355</v>
      </c>
      <c r="D4" s="588" t="s">
        <v>356</v>
      </c>
      <c r="E4" s="588" t="s">
        <v>357</v>
      </c>
      <c r="F4" s="588" t="s">
        <v>358</v>
      </c>
      <c r="G4" s="588" t="s">
        <v>10</v>
      </c>
      <c r="H4" s="588" t="s">
        <v>11</v>
      </c>
      <c r="I4" s="588" t="s">
        <v>12</v>
      </c>
      <c r="J4" s="588" t="s">
        <v>13</v>
      </c>
      <c r="K4" s="588" t="s">
        <v>569</v>
      </c>
      <c r="L4" s="588" t="s">
        <v>590</v>
      </c>
      <c r="M4" s="553" t="s">
        <v>391</v>
      </c>
    </row>
    <row r="5" spans="1:13" ht="15" x14ac:dyDescent="0.25">
      <c r="A5" s="236"/>
      <c r="B5" s="236" t="s">
        <v>430</v>
      </c>
      <c r="C5" s="545">
        <v>163.51</v>
      </c>
      <c r="D5" s="545">
        <f>C8</f>
        <v>122.63</v>
      </c>
      <c r="E5" s="545">
        <f>+D8</f>
        <v>68.13</v>
      </c>
      <c r="F5" s="545">
        <f>+E8</f>
        <v>13.629999999999995</v>
      </c>
      <c r="G5" s="545">
        <f>+F8</f>
        <v>0</v>
      </c>
      <c r="H5" s="545"/>
      <c r="I5" s="545"/>
      <c r="J5" s="545"/>
      <c r="K5" s="545"/>
      <c r="L5" s="545"/>
      <c r="M5" s="543">
        <f>C5</f>
        <v>163.51</v>
      </c>
    </row>
    <row r="6" spans="1:13" ht="15" x14ac:dyDescent="0.25">
      <c r="A6" s="236"/>
      <c r="B6" s="236" t="s">
        <v>677</v>
      </c>
      <c r="C6" s="545">
        <v>0</v>
      </c>
      <c r="D6" s="545">
        <v>0</v>
      </c>
      <c r="E6" s="545">
        <v>0</v>
      </c>
      <c r="F6" s="545">
        <v>0</v>
      </c>
      <c r="G6" s="545"/>
      <c r="H6" s="545"/>
      <c r="I6" s="545"/>
      <c r="J6" s="545"/>
      <c r="K6" s="545"/>
      <c r="L6" s="545"/>
      <c r="M6" s="543">
        <f>SUM(C6:L6)</f>
        <v>0</v>
      </c>
    </row>
    <row r="7" spans="1:13" ht="15" x14ac:dyDescent="0.25">
      <c r="A7" s="236"/>
      <c r="B7" s="236" t="s">
        <v>678</v>
      </c>
      <c r="C7" s="545">
        <v>40.880000000000003</v>
      </c>
      <c r="D7" s="545">
        <v>54.5</v>
      </c>
      <c r="E7" s="545">
        <v>54.5</v>
      </c>
      <c r="F7" s="545">
        <v>13.63</v>
      </c>
      <c r="G7" s="545"/>
      <c r="H7" s="545"/>
      <c r="I7" s="545"/>
      <c r="J7" s="545"/>
      <c r="K7" s="545"/>
      <c r="L7" s="545"/>
      <c r="M7" s="543">
        <f>SUM(C7:L7)</f>
        <v>163.51</v>
      </c>
    </row>
    <row r="8" spans="1:13" ht="15" x14ac:dyDescent="0.25">
      <c r="A8" s="236"/>
      <c r="B8" s="236" t="s">
        <v>433</v>
      </c>
      <c r="C8" s="545">
        <f>C5+C6-C7</f>
        <v>122.63</v>
      </c>
      <c r="D8" s="545">
        <f t="shared" ref="D8:J8" si="0">D5+D6-D7</f>
        <v>68.13</v>
      </c>
      <c r="E8" s="545">
        <f t="shared" si="0"/>
        <v>13.629999999999995</v>
      </c>
      <c r="F8" s="545">
        <f t="shared" si="0"/>
        <v>0</v>
      </c>
      <c r="G8" s="545">
        <f t="shared" si="0"/>
        <v>0</v>
      </c>
      <c r="H8" s="545">
        <f t="shared" si="0"/>
        <v>0</v>
      </c>
      <c r="I8" s="545">
        <f t="shared" si="0"/>
        <v>0</v>
      </c>
      <c r="J8" s="545">
        <f t="shared" si="0"/>
        <v>0</v>
      </c>
      <c r="K8" s="545"/>
      <c r="L8" s="545"/>
      <c r="M8" s="543">
        <f>M5+M6-M7</f>
        <v>0</v>
      </c>
    </row>
    <row r="9" spans="1:13" ht="15" x14ac:dyDescent="0.25">
      <c r="A9" s="236"/>
      <c r="B9" s="236" t="s">
        <v>434</v>
      </c>
      <c r="C9" s="545">
        <f>(C5+C8)/2*$A$4</f>
        <v>13.233974999999999</v>
      </c>
      <c r="D9" s="545">
        <f t="shared" ref="D9:L9" si="1">(D5+D8)/2*$A$4</f>
        <v>8.8226499999999994</v>
      </c>
      <c r="E9" s="545">
        <f t="shared" si="1"/>
        <v>3.7813999999999997</v>
      </c>
      <c r="F9" s="545">
        <f t="shared" si="1"/>
        <v>0.63038749999999977</v>
      </c>
      <c r="G9" s="545">
        <f t="shared" si="1"/>
        <v>0</v>
      </c>
      <c r="H9" s="545">
        <f t="shared" si="1"/>
        <v>0</v>
      </c>
      <c r="I9" s="545">
        <f t="shared" si="1"/>
        <v>0</v>
      </c>
      <c r="J9" s="545">
        <f t="shared" si="1"/>
        <v>0</v>
      </c>
      <c r="K9" s="545">
        <f t="shared" si="1"/>
        <v>0</v>
      </c>
      <c r="L9" s="545">
        <f t="shared" si="1"/>
        <v>0</v>
      </c>
      <c r="M9" s="543"/>
    </row>
    <row r="10" spans="1:13" ht="15" x14ac:dyDescent="0.25">
      <c r="A10" s="236"/>
      <c r="B10" s="236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</row>
    <row r="11" spans="1:13" ht="15" x14ac:dyDescent="0.25">
      <c r="A11" s="589">
        <v>0.10199999999999999</v>
      </c>
      <c r="B11" s="553" t="s">
        <v>682</v>
      </c>
      <c r="C11" s="588" t="s">
        <v>355</v>
      </c>
      <c r="D11" s="588" t="s">
        <v>356</v>
      </c>
      <c r="E11" s="588" t="s">
        <v>357</v>
      </c>
      <c r="F11" s="588" t="s">
        <v>358</v>
      </c>
      <c r="G11" s="588" t="s">
        <v>10</v>
      </c>
      <c r="H11" s="588" t="s">
        <v>11</v>
      </c>
      <c r="I11" s="588" t="s">
        <v>12</v>
      </c>
      <c r="J11" s="588" t="s">
        <v>13</v>
      </c>
      <c r="K11" s="588" t="s">
        <v>569</v>
      </c>
      <c r="L11" s="588" t="s">
        <v>590</v>
      </c>
      <c r="M11" s="553" t="s">
        <v>391</v>
      </c>
    </row>
    <row r="12" spans="1:13" ht="15" x14ac:dyDescent="0.25">
      <c r="A12" s="236"/>
      <c r="B12" s="236" t="s">
        <v>430</v>
      </c>
      <c r="C12" s="545">
        <v>540.04999999999995</v>
      </c>
      <c r="D12" s="545">
        <f>C15</f>
        <v>540.04999999999995</v>
      </c>
      <c r="E12" s="545">
        <f>+D15</f>
        <v>456.17999999999995</v>
      </c>
      <c r="F12" s="545">
        <f>+E15</f>
        <v>219.66999999999996</v>
      </c>
      <c r="G12" s="545">
        <f>+F15</f>
        <v>0</v>
      </c>
      <c r="H12" s="545"/>
      <c r="I12" s="545"/>
      <c r="J12" s="545"/>
      <c r="K12" s="545"/>
      <c r="L12" s="545"/>
      <c r="M12" s="543">
        <f>C12</f>
        <v>540.04999999999995</v>
      </c>
    </row>
    <row r="13" spans="1:13" ht="15" x14ac:dyDescent="0.25">
      <c r="A13" s="236"/>
      <c r="B13" s="236" t="s">
        <v>677</v>
      </c>
      <c r="C13" s="545">
        <v>0</v>
      </c>
      <c r="D13" s="545">
        <v>0</v>
      </c>
      <c r="E13" s="545"/>
      <c r="F13" s="545"/>
      <c r="G13" s="545"/>
      <c r="H13" s="545"/>
      <c r="I13" s="545"/>
      <c r="J13" s="545"/>
      <c r="K13" s="545"/>
      <c r="L13" s="545"/>
      <c r="M13" s="543">
        <f>SUM(C13:L13)</f>
        <v>0</v>
      </c>
    </row>
    <row r="14" spans="1:13" ht="15" x14ac:dyDescent="0.25">
      <c r="A14" s="236"/>
      <c r="B14" s="236" t="s">
        <v>678</v>
      </c>
      <c r="C14" s="545">
        <v>0</v>
      </c>
      <c r="D14" s="545">
        <v>83.87</v>
      </c>
      <c r="E14" s="545">
        <v>236.51</v>
      </c>
      <c r="F14" s="545">
        <v>219.67</v>
      </c>
      <c r="G14" s="545"/>
      <c r="H14" s="545"/>
      <c r="I14" s="545"/>
      <c r="J14" s="545"/>
      <c r="K14" s="545"/>
      <c r="L14" s="545"/>
      <c r="M14" s="543">
        <f>SUM(C14:L14)</f>
        <v>540.04999999999995</v>
      </c>
    </row>
    <row r="15" spans="1:13" ht="15" x14ac:dyDescent="0.25">
      <c r="A15" s="236"/>
      <c r="B15" s="236" t="s">
        <v>433</v>
      </c>
      <c r="C15" s="545">
        <f>C12+C13-C14</f>
        <v>540.04999999999995</v>
      </c>
      <c r="D15" s="545">
        <f t="shared" ref="D15:J15" si="2">D12+D13-D14</f>
        <v>456.17999999999995</v>
      </c>
      <c r="E15" s="545">
        <f t="shared" si="2"/>
        <v>219.66999999999996</v>
      </c>
      <c r="F15" s="545">
        <f t="shared" si="2"/>
        <v>0</v>
      </c>
      <c r="G15" s="545">
        <f t="shared" si="2"/>
        <v>0</v>
      </c>
      <c r="H15" s="545">
        <f t="shared" si="2"/>
        <v>0</v>
      </c>
      <c r="I15" s="545">
        <f t="shared" si="2"/>
        <v>0</v>
      </c>
      <c r="J15" s="545">
        <f t="shared" si="2"/>
        <v>0</v>
      </c>
      <c r="K15" s="545"/>
      <c r="L15" s="545"/>
      <c r="M15" s="543">
        <f>M12+M13-M14</f>
        <v>0</v>
      </c>
    </row>
    <row r="16" spans="1:13" ht="15" x14ac:dyDescent="0.25">
      <c r="A16" s="236"/>
      <c r="B16" s="236" t="s">
        <v>434</v>
      </c>
      <c r="C16" s="545">
        <f>(C12+C15)/2*$A$11</f>
        <v>55.08509999999999</v>
      </c>
      <c r="D16" s="545">
        <f t="shared" ref="D16:L16" si="3">(D12+D15)/2*$A$11</f>
        <v>50.807729999999992</v>
      </c>
      <c r="E16" s="545">
        <f t="shared" si="3"/>
        <v>34.468349999999994</v>
      </c>
      <c r="F16" s="545">
        <f t="shared" si="3"/>
        <v>11.203169999999997</v>
      </c>
      <c r="G16" s="545">
        <f t="shared" si="3"/>
        <v>0</v>
      </c>
      <c r="H16" s="545">
        <f t="shared" si="3"/>
        <v>0</v>
      </c>
      <c r="I16" s="545">
        <f t="shared" si="3"/>
        <v>0</v>
      </c>
      <c r="J16" s="545">
        <f t="shared" si="3"/>
        <v>0</v>
      </c>
      <c r="K16" s="545">
        <f t="shared" si="3"/>
        <v>0</v>
      </c>
      <c r="L16" s="545">
        <f t="shared" si="3"/>
        <v>0</v>
      </c>
      <c r="M16" s="543"/>
    </row>
    <row r="17" spans="1:13" ht="15" x14ac:dyDescent="0.25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</row>
    <row r="18" spans="1:13" ht="15" x14ac:dyDescent="0.25">
      <c r="A18" s="589">
        <v>0.10199999999999999</v>
      </c>
      <c r="B18" s="553" t="s">
        <v>683</v>
      </c>
      <c r="C18" s="588" t="s">
        <v>355</v>
      </c>
      <c r="D18" s="588" t="s">
        <v>356</v>
      </c>
      <c r="E18" s="588" t="s">
        <v>357</v>
      </c>
      <c r="F18" s="588" t="s">
        <v>358</v>
      </c>
      <c r="G18" s="588" t="s">
        <v>10</v>
      </c>
      <c r="H18" s="588" t="s">
        <v>11</v>
      </c>
      <c r="I18" s="588" t="s">
        <v>12</v>
      </c>
      <c r="J18" s="588" t="s">
        <v>13</v>
      </c>
      <c r="K18" s="588" t="s">
        <v>569</v>
      </c>
      <c r="L18" s="588" t="s">
        <v>590</v>
      </c>
      <c r="M18" s="553" t="s">
        <v>391</v>
      </c>
    </row>
    <row r="19" spans="1:13" ht="15" x14ac:dyDescent="0.25">
      <c r="A19" s="236"/>
      <c r="B19" s="236" t="s">
        <v>430</v>
      </c>
      <c r="C19" s="545">
        <v>0.27</v>
      </c>
      <c r="D19" s="545">
        <f>C22</f>
        <v>0</v>
      </c>
      <c r="E19" s="545">
        <f>+D22</f>
        <v>0</v>
      </c>
      <c r="F19" s="545">
        <f>+E22</f>
        <v>0</v>
      </c>
      <c r="G19" s="545">
        <f>+F22</f>
        <v>0</v>
      </c>
      <c r="H19" s="545"/>
      <c r="I19" s="545"/>
      <c r="J19" s="545"/>
      <c r="K19" s="545"/>
      <c r="L19" s="545"/>
      <c r="M19" s="543">
        <f>C19</f>
        <v>0.27</v>
      </c>
    </row>
    <row r="20" spans="1:13" ht="15" x14ac:dyDescent="0.25">
      <c r="A20" s="236"/>
      <c r="B20" s="236" t="s">
        <v>677</v>
      </c>
      <c r="C20" s="545">
        <v>0</v>
      </c>
      <c r="D20" s="545">
        <v>0</v>
      </c>
      <c r="E20" s="545"/>
      <c r="F20" s="545"/>
      <c r="G20" s="545"/>
      <c r="H20" s="545"/>
      <c r="I20" s="545"/>
      <c r="J20" s="545"/>
      <c r="K20" s="545"/>
      <c r="L20" s="545"/>
      <c r="M20" s="543">
        <f>SUM(C20:L20)</f>
        <v>0</v>
      </c>
    </row>
    <row r="21" spans="1:13" ht="15" x14ac:dyDescent="0.25">
      <c r="A21" s="236"/>
      <c r="B21" s="236" t="s">
        <v>678</v>
      </c>
      <c r="C21" s="545">
        <v>0.27</v>
      </c>
      <c r="D21" s="545">
        <v>0</v>
      </c>
      <c r="E21" s="545">
        <v>0</v>
      </c>
      <c r="F21" s="545">
        <v>0</v>
      </c>
      <c r="G21" s="545"/>
      <c r="H21" s="545"/>
      <c r="I21" s="545"/>
      <c r="J21" s="545"/>
      <c r="K21" s="545"/>
      <c r="L21" s="545"/>
      <c r="M21" s="543">
        <f>SUM(C21:L21)</f>
        <v>0.27</v>
      </c>
    </row>
    <row r="22" spans="1:13" ht="15" x14ac:dyDescent="0.25">
      <c r="A22" s="236"/>
      <c r="B22" s="236" t="s">
        <v>433</v>
      </c>
      <c r="C22" s="545">
        <f>C19+C20-C21</f>
        <v>0</v>
      </c>
      <c r="D22" s="545">
        <f t="shared" ref="D22:J22" si="4">D19+D20-D21</f>
        <v>0</v>
      </c>
      <c r="E22" s="545">
        <f t="shared" si="4"/>
        <v>0</v>
      </c>
      <c r="F22" s="545">
        <f t="shared" si="4"/>
        <v>0</v>
      </c>
      <c r="G22" s="545">
        <f t="shared" si="4"/>
        <v>0</v>
      </c>
      <c r="H22" s="545">
        <f t="shared" si="4"/>
        <v>0</v>
      </c>
      <c r="I22" s="545">
        <f t="shared" si="4"/>
        <v>0</v>
      </c>
      <c r="J22" s="545">
        <f t="shared" si="4"/>
        <v>0</v>
      </c>
      <c r="K22" s="545"/>
      <c r="L22" s="545"/>
      <c r="M22" s="543">
        <f>M19+M20-M21</f>
        <v>0</v>
      </c>
    </row>
    <row r="23" spans="1:13" ht="15" x14ac:dyDescent="0.25">
      <c r="A23" s="236"/>
      <c r="B23" s="236" t="s">
        <v>434</v>
      </c>
      <c r="C23" s="545">
        <f>(C19+C22)/2*$A$18</f>
        <v>1.3769999999999999E-2</v>
      </c>
      <c r="D23" s="545">
        <f t="shared" ref="D23:L23" si="5">(D19+D22)/2*$A$18</f>
        <v>0</v>
      </c>
      <c r="E23" s="545">
        <f t="shared" si="5"/>
        <v>0</v>
      </c>
      <c r="F23" s="545">
        <f t="shared" si="5"/>
        <v>0</v>
      </c>
      <c r="G23" s="545">
        <f t="shared" si="5"/>
        <v>0</v>
      </c>
      <c r="H23" s="545">
        <f t="shared" si="5"/>
        <v>0</v>
      </c>
      <c r="I23" s="545">
        <f t="shared" si="5"/>
        <v>0</v>
      </c>
      <c r="J23" s="545">
        <f t="shared" si="5"/>
        <v>0</v>
      </c>
      <c r="K23" s="545">
        <f t="shared" si="5"/>
        <v>0</v>
      </c>
      <c r="L23" s="545">
        <f t="shared" si="5"/>
        <v>0</v>
      </c>
      <c r="M23" s="543"/>
    </row>
    <row r="24" spans="1:13" ht="15" x14ac:dyDescent="0.25">
      <c r="A24" s="236"/>
      <c r="B24" s="236"/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543"/>
    </row>
    <row r="25" spans="1:13" ht="15" x14ac:dyDescent="0.25">
      <c r="A25" s="589">
        <v>0.10100000000000001</v>
      </c>
      <c r="B25" s="553" t="s">
        <v>684</v>
      </c>
      <c r="C25" s="588" t="s">
        <v>355</v>
      </c>
      <c r="D25" s="588" t="s">
        <v>356</v>
      </c>
      <c r="E25" s="588" t="s">
        <v>357</v>
      </c>
      <c r="F25" s="588" t="s">
        <v>358</v>
      </c>
      <c r="G25" s="588" t="s">
        <v>10</v>
      </c>
      <c r="H25" s="588" t="s">
        <v>11</v>
      </c>
      <c r="I25" s="588" t="s">
        <v>12</v>
      </c>
      <c r="J25" s="588" t="s">
        <v>13</v>
      </c>
      <c r="K25" s="588" t="s">
        <v>569</v>
      </c>
      <c r="L25" s="588" t="s">
        <v>590</v>
      </c>
      <c r="M25" s="553" t="s">
        <v>391</v>
      </c>
    </row>
    <row r="26" spans="1:13" ht="15" x14ac:dyDescent="0.25">
      <c r="A26" s="236"/>
      <c r="B26" s="236" t="s">
        <v>430</v>
      </c>
      <c r="C26" s="545">
        <v>500</v>
      </c>
      <c r="D26" s="545">
        <f>C29</f>
        <v>1092.03</v>
      </c>
      <c r="E26" s="545">
        <f t="shared" ref="E26:K26" si="6">+D29</f>
        <v>972.03</v>
      </c>
      <c r="F26" s="545">
        <f t="shared" si="6"/>
        <v>822.03</v>
      </c>
      <c r="G26" s="545">
        <f t="shared" si="6"/>
        <v>642.03</v>
      </c>
      <c r="H26" s="545">
        <f t="shared" si="6"/>
        <v>462.03</v>
      </c>
      <c r="I26" s="545">
        <f t="shared" si="6"/>
        <v>222.02999999999997</v>
      </c>
      <c r="J26" s="545">
        <f t="shared" si="6"/>
        <v>0</v>
      </c>
      <c r="K26" s="545">
        <f t="shared" si="6"/>
        <v>0</v>
      </c>
      <c r="L26" s="545"/>
      <c r="M26" s="543">
        <f>C26</f>
        <v>500</v>
      </c>
    </row>
    <row r="27" spans="1:13" ht="15" x14ac:dyDescent="0.25">
      <c r="A27" s="236"/>
      <c r="B27" s="236" t="s">
        <v>677</v>
      </c>
      <c r="C27" s="545">
        <v>592.33000000000004</v>
      </c>
      <c r="D27" s="545">
        <v>0</v>
      </c>
      <c r="E27" s="545"/>
      <c r="F27" s="545"/>
      <c r="G27" s="545"/>
      <c r="H27" s="545"/>
      <c r="I27" s="545"/>
      <c r="J27" s="545"/>
      <c r="K27" s="545"/>
      <c r="L27" s="545"/>
      <c r="M27" s="543">
        <f>SUM(C27:L27)</f>
        <v>592.33000000000004</v>
      </c>
    </row>
    <row r="28" spans="1:13" ht="15" x14ac:dyDescent="0.25">
      <c r="A28" s="236"/>
      <c r="B28" s="236" t="s">
        <v>678</v>
      </c>
      <c r="C28" s="545">
        <v>0.3</v>
      </c>
      <c r="D28" s="545">
        <v>120</v>
      </c>
      <c r="E28" s="545">
        <v>150</v>
      </c>
      <c r="F28" s="545">
        <v>180</v>
      </c>
      <c r="G28" s="545">
        <v>180</v>
      </c>
      <c r="H28" s="545">
        <v>240</v>
      </c>
      <c r="I28" s="545">
        <v>222.03</v>
      </c>
      <c r="J28" s="545">
        <v>0</v>
      </c>
      <c r="K28" s="545">
        <v>0</v>
      </c>
      <c r="L28" s="545"/>
      <c r="M28" s="543">
        <f>SUM(C28:L28)</f>
        <v>1092.33</v>
      </c>
    </row>
    <row r="29" spans="1:13" ht="15" x14ac:dyDescent="0.25">
      <c r="A29" s="236"/>
      <c r="B29" s="236" t="s">
        <v>433</v>
      </c>
      <c r="C29" s="545">
        <f>C26+C27-C28</f>
        <v>1092.03</v>
      </c>
      <c r="D29" s="545">
        <f t="shared" ref="D29:K29" si="7">D26+D27-D28</f>
        <v>972.03</v>
      </c>
      <c r="E29" s="545">
        <f t="shared" si="7"/>
        <v>822.03</v>
      </c>
      <c r="F29" s="545">
        <f t="shared" si="7"/>
        <v>642.03</v>
      </c>
      <c r="G29" s="545">
        <f t="shared" si="7"/>
        <v>462.03</v>
      </c>
      <c r="H29" s="545">
        <f t="shared" si="7"/>
        <v>222.02999999999997</v>
      </c>
      <c r="I29" s="545">
        <f t="shared" si="7"/>
        <v>0</v>
      </c>
      <c r="J29" s="545">
        <f t="shared" si="7"/>
        <v>0</v>
      </c>
      <c r="K29" s="545">
        <f t="shared" si="7"/>
        <v>0</v>
      </c>
      <c r="L29" s="545"/>
      <c r="M29" s="543">
        <f>M26+M27-M28</f>
        <v>0</v>
      </c>
    </row>
    <row r="30" spans="1:13" ht="15" x14ac:dyDescent="0.25">
      <c r="A30" s="236"/>
      <c r="B30" s="236" t="s">
        <v>434</v>
      </c>
      <c r="C30" s="545">
        <f>(C26+C29)/2*$A$25</f>
        <v>80.397514999999999</v>
      </c>
      <c r="D30" s="545">
        <f t="shared" ref="D30:L30" si="8">(D26+D29)/2*$A$25</f>
        <v>104.23503000000001</v>
      </c>
      <c r="E30" s="545">
        <f t="shared" si="8"/>
        <v>90.600030000000004</v>
      </c>
      <c r="F30" s="545">
        <f t="shared" si="8"/>
        <v>73.935029999999998</v>
      </c>
      <c r="G30" s="545">
        <f t="shared" si="8"/>
        <v>55.755029999999998</v>
      </c>
      <c r="H30" s="545">
        <f t="shared" si="8"/>
        <v>34.545029999999997</v>
      </c>
      <c r="I30" s="545">
        <f t="shared" si="8"/>
        <v>11.212515</v>
      </c>
      <c r="J30" s="545">
        <f t="shared" si="8"/>
        <v>0</v>
      </c>
      <c r="K30" s="545">
        <f t="shared" si="8"/>
        <v>0</v>
      </c>
      <c r="L30" s="545">
        <f t="shared" si="8"/>
        <v>0</v>
      </c>
      <c r="M30" s="236"/>
    </row>
    <row r="31" spans="1:13" ht="15" x14ac:dyDescent="0.25">
      <c r="A31" s="236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</row>
    <row r="32" spans="1:13" ht="15" x14ac:dyDescent="0.25">
      <c r="A32" s="589">
        <v>9.9000000000000005E-2</v>
      </c>
      <c r="B32" s="553" t="s">
        <v>685</v>
      </c>
      <c r="C32" s="588" t="s">
        <v>355</v>
      </c>
      <c r="D32" s="588" t="s">
        <v>356</v>
      </c>
      <c r="E32" s="588" t="s">
        <v>357</v>
      </c>
      <c r="F32" s="588" t="s">
        <v>358</v>
      </c>
      <c r="G32" s="588" t="s">
        <v>10</v>
      </c>
      <c r="H32" s="588" t="s">
        <v>11</v>
      </c>
      <c r="I32" s="588" t="s">
        <v>12</v>
      </c>
      <c r="J32" s="588" t="s">
        <v>13</v>
      </c>
      <c r="K32" s="588" t="s">
        <v>569</v>
      </c>
      <c r="L32" s="588" t="s">
        <v>590</v>
      </c>
      <c r="M32" s="553" t="s">
        <v>391</v>
      </c>
    </row>
    <row r="33" spans="1:13" ht="15" x14ac:dyDescent="0.25">
      <c r="A33" s="236"/>
      <c r="B33" s="236" t="s">
        <v>430</v>
      </c>
      <c r="C33" s="545">
        <v>43.03</v>
      </c>
      <c r="D33" s="545">
        <f>C36</f>
        <v>29.92</v>
      </c>
      <c r="E33" s="545">
        <f t="shared" ref="E33:K33" si="9">+D36</f>
        <v>16.810000000000002</v>
      </c>
      <c r="F33" s="545">
        <f t="shared" si="9"/>
        <v>4.240000000000002</v>
      </c>
      <c r="G33" s="545">
        <f t="shared" si="9"/>
        <v>0</v>
      </c>
      <c r="H33" s="545">
        <f t="shared" si="9"/>
        <v>0</v>
      </c>
      <c r="I33" s="545">
        <f t="shared" si="9"/>
        <v>0</v>
      </c>
      <c r="J33" s="545">
        <f t="shared" si="9"/>
        <v>0</v>
      </c>
      <c r="K33" s="545">
        <f t="shared" si="9"/>
        <v>0</v>
      </c>
      <c r="L33" s="545"/>
      <c r="M33" s="543">
        <f>C33</f>
        <v>43.03</v>
      </c>
    </row>
    <row r="34" spans="1:13" ht="15" x14ac:dyDescent="0.25">
      <c r="A34" s="236"/>
      <c r="B34" s="236" t="s">
        <v>677</v>
      </c>
      <c r="C34" s="545">
        <v>0</v>
      </c>
      <c r="D34" s="545">
        <v>0</v>
      </c>
      <c r="E34" s="545"/>
      <c r="F34" s="545"/>
      <c r="G34" s="545"/>
      <c r="H34" s="545"/>
      <c r="I34" s="545"/>
      <c r="J34" s="545"/>
      <c r="K34" s="545"/>
      <c r="L34" s="545"/>
      <c r="M34" s="543">
        <f>SUM(C34:L34)</f>
        <v>0</v>
      </c>
    </row>
    <row r="35" spans="1:13" ht="15" x14ac:dyDescent="0.25">
      <c r="A35" s="236"/>
      <c r="B35" s="236" t="s">
        <v>678</v>
      </c>
      <c r="C35" s="545">
        <v>13.11</v>
      </c>
      <c r="D35" s="545">
        <v>13.11</v>
      </c>
      <c r="E35" s="545">
        <v>12.57</v>
      </c>
      <c r="F35" s="545">
        <v>4.24</v>
      </c>
      <c r="G35" s="545">
        <v>0</v>
      </c>
      <c r="H35" s="545">
        <v>0</v>
      </c>
      <c r="I35" s="545">
        <v>0</v>
      </c>
      <c r="J35" s="545">
        <v>0</v>
      </c>
      <c r="K35" s="545">
        <v>0</v>
      </c>
      <c r="L35" s="545"/>
      <c r="M35" s="543">
        <f>SUM(C35:L35)</f>
        <v>43.03</v>
      </c>
    </row>
    <row r="36" spans="1:13" ht="15" x14ac:dyDescent="0.25">
      <c r="A36" s="236"/>
      <c r="B36" s="236" t="s">
        <v>433</v>
      </c>
      <c r="C36" s="545">
        <f>C33+C34-C35</f>
        <v>29.92</v>
      </c>
      <c r="D36" s="545">
        <f t="shared" ref="D36:K36" si="10">D33+D34-D35</f>
        <v>16.810000000000002</v>
      </c>
      <c r="E36" s="545">
        <f t="shared" si="10"/>
        <v>4.240000000000002</v>
      </c>
      <c r="F36" s="545">
        <f t="shared" si="10"/>
        <v>0</v>
      </c>
      <c r="G36" s="545">
        <f t="shared" si="10"/>
        <v>0</v>
      </c>
      <c r="H36" s="545">
        <f t="shared" si="10"/>
        <v>0</v>
      </c>
      <c r="I36" s="545">
        <f t="shared" si="10"/>
        <v>0</v>
      </c>
      <c r="J36" s="545">
        <f t="shared" si="10"/>
        <v>0</v>
      </c>
      <c r="K36" s="545">
        <f t="shared" si="10"/>
        <v>0</v>
      </c>
      <c r="L36" s="545"/>
      <c r="M36" s="543">
        <f>M33+M34-M35</f>
        <v>0</v>
      </c>
    </row>
    <row r="37" spans="1:13" ht="15" x14ac:dyDescent="0.25">
      <c r="A37" s="236"/>
      <c r="B37" s="236" t="s">
        <v>434</v>
      </c>
      <c r="C37" s="545">
        <f>(C33+C36)/2*$A$32</f>
        <v>3.6110250000000002</v>
      </c>
      <c r="D37" s="545">
        <f t="shared" ref="D37:L37" si="11">(D33+D36)/2*$A$32</f>
        <v>2.3131350000000004</v>
      </c>
      <c r="E37" s="545">
        <f t="shared" si="11"/>
        <v>1.0419750000000003</v>
      </c>
      <c r="F37" s="545">
        <f t="shared" si="11"/>
        <v>0.20988000000000012</v>
      </c>
      <c r="G37" s="545">
        <f t="shared" si="11"/>
        <v>0</v>
      </c>
      <c r="H37" s="545">
        <f t="shared" si="11"/>
        <v>0</v>
      </c>
      <c r="I37" s="545">
        <f t="shared" si="11"/>
        <v>0</v>
      </c>
      <c r="J37" s="545">
        <f t="shared" si="11"/>
        <v>0</v>
      </c>
      <c r="K37" s="545">
        <f t="shared" si="11"/>
        <v>0</v>
      </c>
      <c r="L37" s="545">
        <f t="shared" si="11"/>
        <v>0</v>
      </c>
      <c r="M37" s="236"/>
    </row>
    <row r="38" spans="1:13" ht="15" x14ac:dyDescent="0.25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</row>
    <row r="39" spans="1:13" ht="15" x14ac:dyDescent="0.25">
      <c r="A39" s="589">
        <v>9.2499999999999999E-2</v>
      </c>
      <c r="B39" s="553" t="s">
        <v>686</v>
      </c>
      <c r="C39" s="588" t="s">
        <v>355</v>
      </c>
      <c r="D39" s="588" t="s">
        <v>356</v>
      </c>
      <c r="E39" s="588" t="s">
        <v>357</v>
      </c>
      <c r="F39" s="588" t="s">
        <v>358</v>
      </c>
      <c r="G39" s="588" t="s">
        <v>10</v>
      </c>
      <c r="H39" s="588" t="s">
        <v>11</v>
      </c>
      <c r="I39" s="588" t="s">
        <v>12</v>
      </c>
      <c r="J39" s="588" t="s">
        <v>13</v>
      </c>
      <c r="K39" s="588" t="s">
        <v>569</v>
      </c>
      <c r="L39" s="588" t="s">
        <v>590</v>
      </c>
      <c r="M39" s="553" t="s">
        <v>391</v>
      </c>
    </row>
    <row r="40" spans="1:13" ht="15" x14ac:dyDescent="0.25">
      <c r="A40" s="236"/>
      <c r="B40" s="236" t="s">
        <v>430</v>
      </c>
      <c r="C40" s="545">
        <v>0.68</v>
      </c>
      <c r="D40" s="545">
        <f>C43</f>
        <v>0</v>
      </c>
      <c r="E40" s="545">
        <f t="shared" ref="E40:K40" si="12">+D43</f>
        <v>0</v>
      </c>
      <c r="F40" s="545">
        <f t="shared" si="12"/>
        <v>0</v>
      </c>
      <c r="G40" s="545">
        <f t="shared" si="12"/>
        <v>0</v>
      </c>
      <c r="H40" s="545">
        <f t="shared" si="12"/>
        <v>0</v>
      </c>
      <c r="I40" s="545">
        <f t="shared" si="12"/>
        <v>0</v>
      </c>
      <c r="J40" s="545">
        <f t="shared" si="12"/>
        <v>0</v>
      </c>
      <c r="K40" s="545">
        <f t="shared" si="12"/>
        <v>0</v>
      </c>
      <c r="L40" s="545">
        <f>+K43</f>
        <v>0</v>
      </c>
      <c r="M40" s="543">
        <f>C40</f>
        <v>0.68</v>
      </c>
    </row>
    <row r="41" spans="1:13" ht="15" x14ac:dyDescent="0.25">
      <c r="A41" s="236"/>
      <c r="B41" s="236" t="s">
        <v>677</v>
      </c>
      <c r="C41" s="545">
        <v>0</v>
      </c>
      <c r="D41" s="545">
        <v>0</v>
      </c>
      <c r="E41" s="545"/>
      <c r="F41" s="545"/>
      <c r="G41" s="545"/>
      <c r="H41" s="545"/>
      <c r="I41" s="545"/>
      <c r="J41" s="545"/>
      <c r="K41" s="545"/>
      <c r="L41" s="545"/>
      <c r="M41" s="543">
        <f>SUM(C41:L41)</f>
        <v>0</v>
      </c>
    </row>
    <row r="42" spans="1:13" ht="15" x14ac:dyDescent="0.25">
      <c r="A42" s="236"/>
      <c r="B42" s="236" t="s">
        <v>678</v>
      </c>
      <c r="C42" s="545">
        <v>0.68</v>
      </c>
      <c r="D42" s="545">
        <v>0</v>
      </c>
      <c r="E42" s="545">
        <v>0</v>
      </c>
      <c r="F42" s="545">
        <v>0</v>
      </c>
      <c r="G42" s="545">
        <v>0</v>
      </c>
      <c r="H42" s="545">
        <v>0</v>
      </c>
      <c r="I42" s="545">
        <v>0</v>
      </c>
      <c r="J42" s="545">
        <v>0</v>
      </c>
      <c r="K42" s="545">
        <v>0</v>
      </c>
      <c r="L42" s="545">
        <v>0</v>
      </c>
      <c r="M42" s="543">
        <f>SUM(C42:L42)</f>
        <v>0.68</v>
      </c>
    </row>
    <row r="43" spans="1:13" ht="15" x14ac:dyDescent="0.25">
      <c r="A43" s="236"/>
      <c r="B43" s="236" t="s">
        <v>433</v>
      </c>
      <c r="C43" s="545">
        <f>C40+C41-C42</f>
        <v>0</v>
      </c>
      <c r="D43" s="545">
        <f t="shared" ref="D43:L43" si="13">D40+D41-D42</f>
        <v>0</v>
      </c>
      <c r="E43" s="545">
        <f t="shared" si="13"/>
        <v>0</v>
      </c>
      <c r="F43" s="545">
        <f t="shared" si="13"/>
        <v>0</v>
      </c>
      <c r="G43" s="545">
        <f t="shared" si="13"/>
        <v>0</v>
      </c>
      <c r="H43" s="545">
        <f t="shared" si="13"/>
        <v>0</v>
      </c>
      <c r="I43" s="545">
        <f t="shared" si="13"/>
        <v>0</v>
      </c>
      <c r="J43" s="545">
        <f t="shared" si="13"/>
        <v>0</v>
      </c>
      <c r="K43" s="545">
        <f t="shared" si="13"/>
        <v>0</v>
      </c>
      <c r="L43" s="545">
        <f t="shared" si="13"/>
        <v>0</v>
      </c>
      <c r="M43" s="543">
        <f>M40+M41-M42</f>
        <v>0</v>
      </c>
    </row>
    <row r="44" spans="1:13" ht="15" x14ac:dyDescent="0.25">
      <c r="A44" s="236"/>
      <c r="B44" s="236" t="s">
        <v>434</v>
      </c>
      <c r="C44" s="545">
        <f>(C40+C43)/2*$A$39</f>
        <v>3.1449999999999999E-2</v>
      </c>
      <c r="D44" s="545">
        <f t="shared" ref="D44:L44" si="14">(D40+D43)/2*$A$39</f>
        <v>0</v>
      </c>
      <c r="E44" s="545">
        <f t="shared" si="14"/>
        <v>0</v>
      </c>
      <c r="F44" s="545">
        <f t="shared" si="14"/>
        <v>0</v>
      </c>
      <c r="G44" s="545">
        <f t="shared" si="14"/>
        <v>0</v>
      </c>
      <c r="H44" s="545">
        <f t="shared" si="14"/>
        <v>0</v>
      </c>
      <c r="I44" s="545">
        <f t="shared" si="14"/>
        <v>0</v>
      </c>
      <c r="J44" s="545">
        <f t="shared" si="14"/>
        <v>0</v>
      </c>
      <c r="K44" s="545">
        <f t="shared" si="14"/>
        <v>0</v>
      </c>
      <c r="L44" s="545">
        <f t="shared" si="14"/>
        <v>0</v>
      </c>
      <c r="M44" s="236"/>
    </row>
    <row r="45" spans="1:13" ht="15" x14ac:dyDescent="0.25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</row>
    <row r="46" spans="1:13" ht="15" x14ac:dyDescent="0.25">
      <c r="A46" s="587">
        <v>9.2499999999999999E-2</v>
      </c>
      <c r="B46" s="553" t="s">
        <v>687</v>
      </c>
      <c r="C46" s="588" t="s">
        <v>355</v>
      </c>
      <c r="D46" s="588" t="s">
        <v>356</v>
      </c>
      <c r="E46" s="588" t="s">
        <v>357</v>
      </c>
      <c r="F46" s="588" t="s">
        <v>358</v>
      </c>
      <c r="G46" s="588" t="s">
        <v>10</v>
      </c>
      <c r="H46" s="588" t="s">
        <v>11</v>
      </c>
      <c r="I46" s="588" t="s">
        <v>12</v>
      </c>
      <c r="J46" s="588" t="s">
        <v>13</v>
      </c>
      <c r="K46" s="588" t="s">
        <v>569</v>
      </c>
      <c r="L46" s="588" t="s">
        <v>590</v>
      </c>
      <c r="M46" s="553" t="s">
        <v>391</v>
      </c>
    </row>
    <row r="47" spans="1:13" ht="15" x14ac:dyDescent="0.25">
      <c r="A47" s="236"/>
      <c r="B47" s="236" t="s">
        <v>430</v>
      </c>
      <c r="C47" s="545">
        <v>0</v>
      </c>
      <c r="D47" s="545">
        <f>C50</f>
        <v>878.75</v>
      </c>
      <c r="E47" s="545">
        <f t="shared" ref="E47:K47" si="15">+D50</f>
        <v>783.75</v>
      </c>
      <c r="F47" s="545">
        <f t="shared" si="15"/>
        <v>688.75</v>
      </c>
      <c r="G47" s="545">
        <f t="shared" si="15"/>
        <v>593.75</v>
      </c>
      <c r="H47" s="545">
        <f t="shared" si="15"/>
        <v>498.75</v>
      </c>
      <c r="I47" s="545">
        <f t="shared" si="15"/>
        <v>403.75</v>
      </c>
      <c r="J47" s="545">
        <f t="shared" si="15"/>
        <v>308.75</v>
      </c>
      <c r="K47" s="545">
        <f t="shared" si="15"/>
        <v>213.75</v>
      </c>
      <c r="L47" s="545">
        <f>+K50</f>
        <v>118.75</v>
      </c>
      <c r="M47" s="543">
        <f>C47</f>
        <v>0</v>
      </c>
    </row>
    <row r="48" spans="1:13" ht="15" x14ac:dyDescent="0.25">
      <c r="A48" s="236"/>
      <c r="B48" s="236" t="s">
        <v>677</v>
      </c>
      <c r="C48" s="545">
        <v>950</v>
      </c>
      <c r="D48" s="545">
        <v>0</v>
      </c>
      <c r="E48" s="545"/>
      <c r="F48" s="545"/>
      <c r="G48" s="545"/>
      <c r="H48" s="545"/>
      <c r="I48" s="545"/>
      <c r="J48" s="545"/>
      <c r="K48" s="545"/>
      <c r="L48" s="545"/>
      <c r="M48" s="543">
        <f>SUM(C48:L48)</f>
        <v>950</v>
      </c>
    </row>
    <row r="49" spans="1:16" ht="15" x14ac:dyDescent="0.25">
      <c r="A49" s="236"/>
      <c r="B49" s="236" t="s">
        <v>678</v>
      </c>
      <c r="C49" s="545">
        <v>71.25</v>
      </c>
      <c r="D49" s="545">
        <v>95</v>
      </c>
      <c r="E49" s="545">
        <v>95</v>
      </c>
      <c r="F49" s="545">
        <v>95</v>
      </c>
      <c r="G49" s="545">
        <v>95</v>
      </c>
      <c r="H49" s="545">
        <v>95</v>
      </c>
      <c r="I49" s="545">
        <v>95</v>
      </c>
      <c r="J49" s="545">
        <v>95</v>
      </c>
      <c r="K49" s="545">
        <v>95</v>
      </c>
      <c r="L49" s="545">
        <v>118.75</v>
      </c>
      <c r="M49" s="543">
        <f>SUM(C49:L49)</f>
        <v>950</v>
      </c>
    </row>
    <row r="50" spans="1:16" ht="15" x14ac:dyDescent="0.25">
      <c r="A50" s="236"/>
      <c r="B50" s="236" t="s">
        <v>433</v>
      </c>
      <c r="C50" s="545">
        <f>C47+C48-C49</f>
        <v>878.75</v>
      </c>
      <c r="D50" s="545">
        <f t="shared" ref="D50:L50" si="16">D47+D48-D49</f>
        <v>783.75</v>
      </c>
      <c r="E50" s="545">
        <f t="shared" si="16"/>
        <v>688.75</v>
      </c>
      <c r="F50" s="545">
        <f t="shared" si="16"/>
        <v>593.75</v>
      </c>
      <c r="G50" s="545">
        <f t="shared" si="16"/>
        <v>498.75</v>
      </c>
      <c r="H50" s="545">
        <f t="shared" si="16"/>
        <v>403.75</v>
      </c>
      <c r="I50" s="545">
        <f t="shared" si="16"/>
        <v>308.75</v>
      </c>
      <c r="J50" s="545">
        <f t="shared" si="16"/>
        <v>213.75</v>
      </c>
      <c r="K50" s="545">
        <f t="shared" si="16"/>
        <v>118.75</v>
      </c>
      <c r="L50" s="545">
        <f t="shared" si="16"/>
        <v>0</v>
      </c>
      <c r="M50" s="543">
        <f>M47+M48-M49</f>
        <v>0</v>
      </c>
    </row>
    <row r="51" spans="1:16" ht="15" x14ac:dyDescent="0.25">
      <c r="A51" s="236"/>
      <c r="B51" s="236" t="s">
        <v>434</v>
      </c>
      <c r="C51" s="545">
        <f>(C47+C50)/2*$A$46</f>
        <v>40.642187499999999</v>
      </c>
      <c r="D51" s="545">
        <f t="shared" ref="D51:L51" si="17">(D47+D50)/2*$A$46</f>
        <v>76.890625</v>
      </c>
      <c r="E51" s="545">
        <f t="shared" si="17"/>
        <v>68.103125000000006</v>
      </c>
      <c r="F51" s="545">
        <f t="shared" si="17"/>
        <v>59.315624999999997</v>
      </c>
      <c r="G51" s="545">
        <f t="shared" si="17"/>
        <v>50.528125000000003</v>
      </c>
      <c r="H51" s="545">
        <f t="shared" si="17"/>
        <v>41.740625000000001</v>
      </c>
      <c r="I51" s="545">
        <f t="shared" si="17"/>
        <v>32.953125</v>
      </c>
      <c r="J51" s="545">
        <f t="shared" si="17"/>
        <v>24.165624999999999</v>
      </c>
      <c r="K51" s="545">
        <f t="shared" si="17"/>
        <v>15.378124999999999</v>
      </c>
      <c r="L51" s="545">
        <f t="shared" si="17"/>
        <v>5.4921875</v>
      </c>
      <c r="M51" s="236"/>
    </row>
    <row r="52" spans="1:16" ht="15" x14ac:dyDescent="0.25">
      <c r="A52" s="236"/>
      <c r="B52" s="236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</row>
    <row r="53" spans="1:16" ht="15" x14ac:dyDescent="0.25">
      <c r="A53" s="587">
        <v>9.5000000000000001E-2</v>
      </c>
      <c r="B53" s="553" t="s">
        <v>688</v>
      </c>
      <c r="C53" s="588" t="s">
        <v>355</v>
      </c>
      <c r="D53" s="588" t="s">
        <v>356</v>
      </c>
      <c r="E53" s="588" t="s">
        <v>357</v>
      </c>
      <c r="F53" s="588" t="s">
        <v>358</v>
      </c>
      <c r="G53" s="588" t="s">
        <v>10</v>
      </c>
      <c r="H53" s="588" t="s">
        <v>11</v>
      </c>
      <c r="I53" s="588" t="s">
        <v>12</v>
      </c>
      <c r="J53" s="588" t="s">
        <v>13</v>
      </c>
      <c r="K53" s="588" t="s">
        <v>569</v>
      </c>
      <c r="L53" s="588" t="s">
        <v>590</v>
      </c>
      <c r="M53" s="553" t="s">
        <v>391</v>
      </c>
    </row>
    <row r="54" spans="1:16" ht="15" x14ac:dyDescent="0.25">
      <c r="A54" s="236"/>
      <c r="B54" s="236" t="s">
        <v>430</v>
      </c>
      <c r="C54" s="545">
        <v>1963.66</v>
      </c>
      <c r="D54" s="545">
        <f>C57</f>
        <v>1706.02</v>
      </c>
      <c r="E54" s="545">
        <f t="shared" ref="E54:K54" si="18">+D57</f>
        <v>1448.38</v>
      </c>
      <c r="F54" s="545">
        <f t="shared" si="18"/>
        <v>1190.7400000000002</v>
      </c>
      <c r="G54" s="545">
        <f t="shared" si="18"/>
        <v>847.22000000000025</v>
      </c>
      <c r="H54" s="545">
        <f t="shared" si="18"/>
        <v>503.70000000000027</v>
      </c>
      <c r="I54" s="545">
        <f t="shared" si="18"/>
        <v>160.18000000000029</v>
      </c>
      <c r="J54" s="545">
        <f t="shared" si="18"/>
        <v>0</v>
      </c>
      <c r="K54" s="545">
        <f t="shared" si="18"/>
        <v>0</v>
      </c>
      <c r="L54" s="545">
        <f>+K57</f>
        <v>0</v>
      </c>
      <c r="M54" s="543">
        <f>C54</f>
        <v>1963.66</v>
      </c>
    </row>
    <row r="55" spans="1:16" ht="15" x14ac:dyDescent="0.25">
      <c r="A55" s="236"/>
      <c r="B55" s="236" t="s">
        <v>677</v>
      </c>
      <c r="C55" s="545">
        <v>0</v>
      </c>
      <c r="D55" s="545">
        <v>0</v>
      </c>
      <c r="E55" s="545"/>
      <c r="F55" s="545"/>
      <c r="G55" s="545"/>
      <c r="H55" s="545"/>
      <c r="I55" s="545"/>
      <c r="J55" s="545"/>
      <c r="K55" s="545"/>
      <c r="L55" s="545"/>
      <c r="M55" s="543">
        <f>SUM(C55:L55)</f>
        <v>0</v>
      </c>
    </row>
    <row r="56" spans="1:16" ht="15" x14ac:dyDescent="0.25">
      <c r="A56" s="236"/>
      <c r="B56" s="236" t="s">
        <v>678</v>
      </c>
      <c r="C56" s="545">
        <v>257.64</v>
      </c>
      <c r="D56" s="545">
        <v>257.64</v>
      </c>
      <c r="E56" s="545">
        <v>257.64</v>
      </c>
      <c r="F56" s="545">
        <v>343.52</v>
      </c>
      <c r="G56" s="545">
        <v>343.52</v>
      </c>
      <c r="H56" s="545">
        <v>343.52</v>
      </c>
      <c r="I56" s="545">
        <f>I54</f>
        <v>160.18000000000029</v>
      </c>
      <c r="J56" s="545">
        <v>0</v>
      </c>
      <c r="K56" s="545">
        <v>0</v>
      </c>
      <c r="L56" s="545">
        <v>0</v>
      </c>
      <c r="M56" s="543">
        <f>SUM(C56:L56)</f>
        <v>1963.6600000000003</v>
      </c>
    </row>
    <row r="57" spans="1:16" ht="15" x14ac:dyDescent="0.25">
      <c r="A57" s="236"/>
      <c r="B57" s="236" t="s">
        <v>433</v>
      </c>
      <c r="C57" s="545">
        <f>C54+C55-C56</f>
        <v>1706.02</v>
      </c>
      <c r="D57" s="545">
        <f t="shared" ref="D57:L57" si="19">D54+D55-D56</f>
        <v>1448.38</v>
      </c>
      <c r="E57" s="545">
        <f t="shared" si="19"/>
        <v>1190.7400000000002</v>
      </c>
      <c r="F57" s="545">
        <f t="shared" si="19"/>
        <v>847.22000000000025</v>
      </c>
      <c r="G57" s="545">
        <f t="shared" si="19"/>
        <v>503.70000000000027</v>
      </c>
      <c r="H57" s="545">
        <f t="shared" si="19"/>
        <v>160.18000000000029</v>
      </c>
      <c r="I57" s="545">
        <f t="shared" si="19"/>
        <v>0</v>
      </c>
      <c r="J57" s="545">
        <f t="shared" si="19"/>
        <v>0</v>
      </c>
      <c r="K57" s="545">
        <f t="shared" si="19"/>
        <v>0</v>
      </c>
      <c r="L57" s="545">
        <f t="shared" si="19"/>
        <v>0</v>
      </c>
      <c r="M57" s="543">
        <f>M54+M55-M56</f>
        <v>0</v>
      </c>
    </row>
    <row r="58" spans="1:16" ht="15" x14ac:dyDescent="0.25">
      <c r="A58" s="236"/>
      <c r="B58" s="236" t="s">
        <v>434</v>
      </c>
      <c r="C58" s="545">
        <f>(C54+C57)/2*$A$53</f>
        <v>174.30980000000002</v>
      </c>
      <c r="D58" s="545">
        <f t="shared" ref="D58:L58" si="20">(D54+D57)/2*$A$53</f>
        <v>149.834</v>
      </c>
      <c r="E58" s="545">
        <f t="shared" si="20"/>
        <v>125.35820000000002</v>
      </c>
      <c r="F58" s="545">
        <f t="shared" si="20"/>
        <v>96.803100000000029</v>
      </c>
      <c r="G58" s="545">
        <f t="shared" si="20"/>
        <v>64.16870000000003</v>
      </c>
      <c r="H58" s="545">
        <f t="shared" si="20"/>
        <v>31.534300000000027</v>
      </c>
      <c r="I58" s="545">
        <f t="shared" si="20"/>
        <v>7.6085500000000135</v>
      </c>
      <c r="J58" s="545">
        <f t="shared" si="20"/>
        <v>0</v>
      </c>
      <c r="K58" s="545">
        <f t="shared" si="20"/>
        <v>0</v>
      </c>
      <c r="L58" s="545">
        <f t="shared" si="20"/>
        <v>0</v>
      </c>
      <c r="M58" s="236"/>
    </row>
    <row r="59" spans="1:16" ht="15" x14ac:dyDescent="0.25">
      <c r="A59" s="236"/>
      <c r="B59" s="236"/>
      <c r="C59" s="549"/>
      <c r="D59" s="548"/>
      <c r="E59" s="549"/>
      <c r="F59" s="236"/>
      <c r="G59" s="236"/>
      <c r="H59" s="236"/>
      <c r="I59" s="236"/>
      <c r="J59" s="236"/>
      <c r="K59" s="236"/>
      <c r="L59" s="236"/>
      <c r="M59" s="236"/>
    </row>
    <row r="60" spans="1:16" ht="15" x14ac:dyDescent="0.25">
      <c r="A60" s="587">
        <v>0.09</v>
      </c>
      <c r="B60" s="553" t="s">
        <v>689</v>
      </c>
      <c r="C60" s="588" t="s">
        <v>355</v>
      </c>
      <c r="D60" s="588" t="s">
        <v>356</v>
      </c>
      <c r="E60" s="598" t="s">
        <v>357</v>
      </c>
      <c r="F60" s="588" t="s">
        <v>358</v>
      </c>
      <c r="G60" s="588" t="s">
        <v>10</v>
      </c>
      <c r="H60" s="597" t="s">
        <v>11</v>
      </c>
      <c r="I60" s="588" t="s">
        <v>12</v>
      </c>
      <c r="J60" s="588" t="s">
        <v>13</v>
      </c>
      <c r="K60" s="588" t="s">
        <v>569</v>
      </c>
      <c r="L60" s="588" t="s">
        <v>590</v>
      </c>
      <c r="M60" s="553" t="s">
        <v>391</v>
      </c>
    </row>
    <row r="61" spans="1:16" x14ac:dyDescent="0.35">
      <c r="A61" s="236"/>
      <c r="B61" s="236" t="s">
        <v>430</v>
      </c>
      <c r="C61" s="545">
        <v>0</v>
      </c>
      <c r="D61" s="545">
        <f t="shared" ref="D61:J61" si="21">C64</f>
        <v>3600</v>
      </c>
      <c r="E61" s="601">
        <f t="shared" si="21"/>
        <v>3113.8888888888887</v>
      </c>
      <c r="F61" s="545">
        <f t="shared" si="21"/>
        <v>2513.8888888888887</v>
      </c>
      <c r="G61" s="545">
        <f t="shared" si="21"/>
        <v>1913.8888888888887</v>
      </c>
      <c r="H61" s="599">
        <f t="shared" si="21"/>
        <v>1313.8888888888887</v>
      </c>
      <c r="I61" s="545">
        <f t="shared" si="21"/>
        <v>713.88888888888869</v>
      </c>
      <c r="J61" s="545">
        <f t="shared" si="21"/>
        <v>113.88888888888869</v>
      </c>
      <c r="K61" s="545"/>
      <c r="L61" s="545"/>
      <c r="M61" s="545">
        <f>C61</f>
        <v>0</v>
      </c>
    </row>
    <row r="62" spans="1:16" x14ac:dyDescent="0.35">
      <c r="A62" s="236"/>
      <c r="B62" s="236" t="s">
        <v>677</v>
      </c>
      <c r="C62" s="545">
        <v>3600</v>
      </c>
      <c r="D62" s="545">
        <v>0</v>
      </c>
      <c r="E62" s="601">
        <v>0</v>
      </c>
      <c r="F62" s="545">
        <v>0</v>
      </c>
      <c r="G62" s="545">
        <v>0</v>
      </c>
      <c r="H62" s="599">
        <v>0</v>
      </c>
      <c r="I62" s="545">
        <v>0</v>
      </c>
      <c r="J62" s="545"/>
      <c r="K62" s="545"/>
      <c r="L62" s="545"/>
      <c r="M62" s="545">
        <f>SUM(C62:L62)</f>
        <v>3600</v>
      </c>
    </row>
    <row r="63" spans="1:16" x14ac:dyDescent="0.35">
      <c r="A63" s="236"/>
      <c r="B63" s="236" t="s">
        <v>678</v>
      </c>
      <c r="C63" s="545">
        <v>0</v>
      </c>
      <c r="D63" s="545">
        <v>486.11111111111114</v>
      </c>
      <c r="E63" s="601">
        <v>600</v>
      </c>
      <c r="F63" s="545">
        <v>600</v>
      </c>
      <c r="G63" s="545">
        <v>600</v>
      </c>
      <c r="H63" s="599">
        <v>600</v>
      </c>
      <c r="I63" s="545">
        <v>600</v>
      </c>
      <c r="J63" s="545">
        <v>113.88888888888889</v>
      </c>
      <c r="K63" s="545"/>
      <c r="L63" s="545"/>
      <c r="M63" s="545">
        <f>SUM(C63:L63)</f>
        <v>3600</v>
      </c>
      <c r="O63">
        <v>475</v>
      </c>
      <c r="P63" s="532">
        <f>D63-O63</f>
        <v>11.111111111111143</v>
      </c>
    </row>
    <row r="64" spans="1:16" x14ac:dyDescent="0.35">
      <c r="A64" s="236"/>
      <c r="B64" s="236" t="s">
        <v>433</v>
      </c>
      <c r="C64" s="545">
        <f t="shared" ref="C64:J64" si="22">C61+C62-C63</f>
        <v>3600</v>
      </c>
      <c r="D64" s="545">
        <f t="shared" si="22"/>
        <v>3113.8888888888887</v>
      </c>
      <c r="E64" s="601">
        <f t="shared" si="22"/>
        <v>2513.8888888888887</v>
      </c>
      <c r="F64" s="545">
        <f t="shared" si="22"/>
        <v>1913.8888888888887</v>
      </c>
      <c r="G64" s="545">
        <f t="shared" si="22"/>
        <v>1313.8888888888887</v>
      </c>
      <c r="H64" s="599">
        <f t="shared" si="22"/>
        <v>713.88888888888869</v>
      </c>
      <c r="I64" s="545">
        <f t="shared" si="22"/>
        <v>113.88888888888869</v>
      </c>
      <c r="J64" s="545">
        <f t="shared" si="22"/>
        <v>-1.9895196601282805E-13</v>
      </c>
      <c r="K64" s="545"/>
      <c r="L64" s="545"/>
      <c r="M64" s="545">
        <f>M61+M62-M63</f>
        <v>0</v>
      </c>
    </row>
    <row r="65" spans="1:22" x14ac:dyDescent="0.35">
      <c r="A65" s="236"/>
      <c r="B65" s="236" t="s">
        <v>392</v>
      </c>
      <c r="C65" s="548">
        <v>99.42</v>
      </c>
      <c r="D65" s="236">
        <v>308.11</v>
      </c>
      <c r="E65">
        <v>255.59</v>
      </c>
      <c r="F65">
        <v>201.56</v>
      </c>
      <c r="G65">
        <v>147.55000000000001</v>
      </c>
      <c r="H65">
        <v>93.57</v>
      </c>
      <c r="I65" s="236">
        <v>39.56</v>
      </c>
      <c r="J65" s="236">
        <v>1.52</v>
      </c>
      <c r="K65" s="236"/>
      <c r="L65" s="236"/>
      <c r="M65" s="236"/>
      <c r="P65">
        <v>316.52000000000004</v>
      </c>
      <c r="Q65">
        <v>262.53000000000003</v>
      </c>
      <c r="R65">
        <v>207.01999999999998</v>
      </c>
      <c r="S65">
        <v>151.5</v>
      </c>
      <c r="T65">
        <v>96.010000000000019</v>
      </c>
      <c r="U65">
        <v>40.510000000000005</v>
      </c>
      <c r="V65">
        <v>1.54</v>
      </c>
    </row>
    <row r="66" spans="1:22" x14ac:dyDescent="0.35">
      <c r="A66" s="236"/>
      <c r="B66" s="236"/>
      <c r="C66" s="236"/>
      <c r="D66" s="236"/>
      <c r="E66" s="602"/>
      <c r="F66" s="236"/>
      <c r="G66" s="236"/>
      <c r="H66" s="600"/>
      <c r="I66" s="236"/>
      <c r="J66" s="236"/>
      <c r="K66" s="236"/>
      <c r="L66" s="236"/>
      <c r="M66" s="236"/>
      <c r="P66">
        <f>P65-D65</f>
        <v>8.410000000000025</v>
      </c>
    </row>
    <row r="67" spans="1:22" x14ac:dyDescent="0.35">
      <c r="A67" s="552"/>
      <c r="B67" s="553" t="s">
        <v>690</v>
      </c>
      <c r="C67" s="588" t="s">
        <v>355</v>
      </c>
      <c r="D67" s="588" t="s">
        <v>356</v>
      </c>
      <c r="E67" s="588" t="s">
        <v>357</v>
      </c>
      <c r="F67" s="588" t="s">
        <v>358</v>
      </c>
      <c r="G67" s="588" t="s">
        <v>10</v>
      </c>
      <c r="H67" s="588" t="s">
        <v>11</v>
      </c>
      <c r="I67" s="588" t="s">
        <v>12</v>
      </c>
      <c r="J67" s="588" t="s">
        <v>13</v>
      </c>
      <c r="K67" s="588" t="s">
        <v>569</v>
      </c>
      <c r="L67" s="588" t="s">
        <v>590</v>
      </c>
      <c r="M67" s="553" t="s">
        <v>391</v>
      </c>
      <c r="P67" s="532">
        <f>P63-P66</f>
        <v>2.7011111111111177</v>
      </c>
    </row>
    <row r="68" spans="1:22" x14ac:dyDescent="0.35">
      <c r="A68" s="236"/>
      <c r="B68" s="236" t="s">
        <v>430</v>
      </c>
      <c r="C68" s="548">
        <f>SUM(C5,C12,C19,C26,C33,C40,C47,C54,C61)</f>
        <v>3211.2</v>
      </c>
      <c r="D68" s="549">
        <f>C71</f>
        <v>7969.3999999999987</v>
      </c>
      <c r="E68" s="549">
        <f t="shared" ref="E68:L68" si="23">D71</f>
        <v>6859.1688888888875</v>
      </c>
      <c r="F68" s="549">
        <f t="shared" si="23"/>
        <v>5452.9488888888882</v>
      </c>
      <c r="G68" s="549">
        <f t="shared" si="23"/>
        <v>3996.8888888888882</v>
      </c>
      <c r="H68" s="549">
        <f t="shared" si="23"/>
        <v>2778.3688888888883</v>
      </c>
      <c r="I68" s="549">
        <f t="shared" si="23"/>
        <v>1499.8488888888883</v>
      </c>
      <c r="J68" s="549">
        <f t="shared" si="23"/>
        <v>422.638888888888</v>
      </c>
      <c r="K68" s="549">
        <f t="shared" si="23"/>
        <v>213.74999999999912</v>
      </c>
      <c r="L68" s="549">
        <f t="shared" si="23"/>
        <v>118.74999999999912</v>
      </c>
      <c r="M68" s="548">
        <f>C68</f>
        <v>3211.2</v>
      </c>
    </row>
    <row r="69" spans="1:22" ht="15" x14ac:dyDescent="0.25">
      <c r="A69" s="236"/>
      <c r="B69" s="236" t="s">
        <v>677</v>
      </c>
      <c r="C69" s="548">
        <f>SUM(C6,C13,C20,C27,C34,C41,C48,C55,C62)</f>
        <v>5142.33</v>
      </c>
      <c r="D69" s="548">
        <f t="shared" ref="D69:L69" si="24">SUM(D6,D13,D20,D27,D34,D41,D48,D55,D62)</f>
        <v>0</v>
      </c>
      <c r="E69" s="548">
        <f t="shared" si="24"/>
        <v>0</v>
      </c>
      <c r="F69" s="548">
        <f t="shared" si="24"/>
        <v>0</v>
      </c>
      <c r="G69" s="548">
        <f t="shared" si="24"/>
        <v>0</v>
      </c>
      <c r="H69" s="548">
        <f t="shared" si="24"/>
        <v>0</v>
      </c>
      <c r="I69" s="548">
        <f t="shared" si="24"/>
        <v>0</v>
      </c>
      <c r="J69" s="548">
        <f t="shared" si="24"/>
        <v>0</v>
      </c>
      <c r="K69" s="548">
        <f t="shared" si="24"/>
        <v>0</v>
      </c>
      <c r="L69" s="548">
        <f t="shared" si="24"/>
        <v>0</v>
      </c>
      <c r="M69" s="548">
        <f>SUM(C69:L69)</f>
        <v>5142.33</v>
      </c>
    </row>
    <row r="70" spans="1:22" ht="15" x14ac:dyDescent="0.25">
      <c r="A70" s="236"/>
      <c r="B70" s="236" t="s">
        <v>678</v>
      </c>
      <c r="C70" s="548">
        <f>SUM(C7,C14,C21,C28,C35,C42,C49,C56,C63)</f>
        <v>384.13</v>
      </c>
      <c r="D70" s="548">
        <f t="shared" ref="D70:L70" si="25">SUM(D7,D14,D21,D28,D35,D42,D49,D56,D63)</f>
        <v>1110.2311111111112</v>
      </c>
      <c r="E70" s="548">
        <f t="shared" si="25"/>
        <v>1406.2199999999998</v>
      </c>
      <c r="F70" s="548">
        <f t="shared" si="25"/>
        <v>1456.06</v>
      </c>
      <c r="G70" s="548">
        <f t="shared" si="25"/>
        <v>1218.52</v>
      </c>
      <c r="H70" s="548">
        <f t="shared" si="25"/>
        <v>1278.52</v>
      </c>
      <c r="I70" s="548">
        <f t="shared" si="25"/>
        <v>1077.2100000000003</v>
      </c>
      <c r="J70" s="548">
        <f t="shared" si="25"/>
        <v>208.88888888888889</v>
      </c>
      <c r="K70" s="548">
        <f t="shared" si="25"/>
        <v>95</v>
      </c>
      <c r="L70" s="548">
        <f t="shared" si="25"/>
        <v>118.75</v>
      </c>
      <c r="M70" s="548">
        <f>SUM(C70:L70)</f>
        <v>8353.5299999999988</v>
      </c>
    </row>
    <row r="71" spans="1:22" ht="15" x14ac:dyDescent="0.25">
      <c r="A71" s="236"/>
      <c r="B71" s="236" t="s">
        <v>433</v>
      </c>
      <c r="C71" s="549">
        <f>C68+C69-C70</f>
        <v>7969.3999999999987</v>
      </c>
      <c r="D71" s="549">
        <f>D68+D69-D70</f>
        <v>6859.1688888888875</v>
      </c>
      <c r="E71" s="549">
        <f t="shared" ref="E71:L71" si="26">E68+E69-E70</f>
        <v>5452.9488888888882</v>
      </c>
      <c r="F71" s="549">
        <f t="shared" si="26"/>
        <v>3996.8888888888882</v>
      </c>
      <c r="G71" s="549">
        <f t="shared" si="26"/>
        <v>2778.3688888888883</v>
      </c>
      <c r="H71" s="549">
        <f t="shared" si="26"/>
        <v>1499.8488888888883</v>
      </c>
      <c r="I71" s="549">
        <f t="shared" si="26"/>
        <v>422.638888888888</v>
      </c>
      <c r="J71" s="549">
        <f t="shared" si="26"/>
        <v>213.74999999999912</v>
      </c>
      <c r="K71" s="549">
        <f t="shared" si="26"/>
        <v>118.74999999999912</v>
      </c>
      <c r="L71" s="545">
        <f t="shared" si="26"/>
        <v>-8.8107299234252423E-13</v>
      </c>
      <c r="M71" s="549">
        <f>M68+M69-M70</f>
        <v>0</v>
      </c>
    </row>
    <row r="72" spans="1:22" ht="15" x14ac:dyDescent="0.25">
      <c r="A72" s="236"/>
      <c r="B72" s="236" t="s">
        <v>392</v>
      </c>
      <c r="C72" s="548">
        <f t="shared" ref="C72:L72" si="27">SUM(C9,C16,C23,C30,C37,C44,C51,C58,C65)</f>
        <v>466.7448225</v>
      </c>
      <c r="D72" s="548">
        <f t="shared" si="27"/>
        <v>701.01316999999995</v>
      </c>
      <c r="E72" s="548">
        <f t="shared" si="27"/>
        <v>578.94308000000001</v>
      </c>
      <c r="F72" s="548">
        <f t="shared" si="27"/>
        <v>443.65719250000001</v>
      </c>
      <c r="G72" s="548">
        <f t="shared" si="27"/>
        <v>318.00185500000003</v>
      </c>
      <c r="H72" s="548">
        <f t="shared" si="27"/>
        <v>201.38995500000001</v>
      </c>
      <c r="I72" s="548">
        <f t="shared" si="27"/>
        <v>91.334190000000007</v>
      </c>
      <c r="J72" s="548">
        <f t="shared" si="27"/>
        <v>25.685624999999998</v>
      </c>
      <c r="K72" s="548">
        <f t="shared" si="27"/>
        <v>15.378124999999999</v>
      </c>
      <c r="L72" s="548">
        <f t="shared" si="27"/>
        <v>5.4921875</v>
      </c>
      <c r="M72" s="236"/>
    </row>
    <row r="73" spans="1:22" ht="15" x14ac:dyDescent="0.25">
      <c r="C73" s="533"/>
      <c r="F73" s="532"/>
      <c r="G73" s="532"/>
    </row>
    <row r="74" spans="1:22" ht="15" x14ac:dyDescent="0.25">
      <c r="B74" s="245" t="s">
        <v>882</v>
      </c>
      <c r="C74" s="533"/>
      <c r="F74" s="532"/>
      <c r="G74" s="532"/>
    </row>
    <row r="75" spans="1:22" ht="15" x14ac:dyDescent="0.25">
      <c r="A75" s="553" t="s">
        <v>880</v>
      </c>
      <c r="B75" s="553" t="s">
        <v>881</v>
      </c>
      <c r="C75" s="588" t="s">
        <v>355</v>
      </c>
      <c r="D75" s="588" t="s">
        <v>356</v>
      </c>
      <c r="E75" s="588" t="s">
        <v>357</v>
      </c>
      <c r="F75" s="588" t="s">
        <v>358</v>
      </c>
      <c r="G75" s="588" t="s">
        <v>10</v>
      </c>
      <c r="H75" s="588" t="s">
        <v>11</v>
      </c>
      <c r="I75" s="588" t="s">
        <v>12</v>
      </c>
      <c r="J75" s="588" t="s">
        <v>13</v>
      </c>
      <c r="K75" s="588" t="s">
        <v>569</v>
      </c>
      <c r="L75" s="588" t="s">
        <v>590</v>
      </c>
    </row>
    <row r="76" spans="1:22" ht="15" x14ac:dyDescent="0.25">
      <c r="A76" s="407">
        <v>0.10199999999999999</v>
      </c>
      <c r="B76" s="236" t="s">
        <v>701</v>
      </c>
      <c r="C76" s="545">
        <v>0</v>
      </c>
      <c r="D76" s="236">
        <v>200</v>
      </c>
      <c r="E76" s="236">
        <v>200</v>
      </c>
      <c r="F76" s="236">
        <v>200</v>
      </c>
      <c r="G76" s="236">
        <v>200</v>
      </c>
      <c r="H76" s="236">
        <v>200</v>
      </c>
      <c r="I76" s="236">
        <v>200</v>
      </c>
      <c r="J76" s="236">
        <v>200</v>
      </c>
      <c r="K76" s="236">
        <v>200</v>
      </c>
      <c r="L76" s="236">
        <v>200</v>
      </c>
    </row>
    <row r="77" spans="1:22" ht="15" x14ac:dyDescent="0.25">
      <c r="A77" s="407">
        <v>0.10199999999999999</v>
      </c>
      <c r="B77" s="236" t="s">
        <v>701</v>
      </c>
      <c r="C77" s="236">
        <v>75</v>
      </c>
      <c r="D77" s="236">
        <v>75</v>
      </c>
      <c r="E77" s="236">
        <v>75</v>
      </c>
      <c r="F77" s="236">
        <v>75</v>
      </c>
      <c r="G77" s="236">
        <v>75</v>
      </c>
      <c r="H77" s="236">
        <v>75</v>
      </c>
      <c r="I77" s="236">
        <v>75</v>
      </c>
      <c r="J77" s="236">
        <v>75</v>
      </c>
      <c r="K77" s="236">
        <v>75</v>
      </c>
      <c r="L77" s="236">
        <v>75</v>
      </c>
    </row>
    <row r="78" spans="1:22" ht="15" x14ac:dyDescent="0.25">
      <c r="A78" s="407">
        <v>0.107</v>
      </c>
      <c r="B78" s="236" t="s">
        <v>701</v>
      </c>
      <c r="C78" s="236">
        <v>75</v>
      </c>
      <c r="D78" s="236">
        <v>75</v>
      </c>
      <c r="E78" s="236">
        <v>75</v>
      </c>
      <c r="F78" s="236">
        <v>75</v>
      </c>
      <c r="G78" s="236">
        <v>75</v>
      </c>
      <c r="H78" s="236">
        <v>75</v>
      </c>
      <c r="I78" s="236">
        <v>75</v>
      </c>
      <c r="J78" s="236">
        <v>75</v>
      </c>
      <c r="K78" s="236">
        <v>75</v>
      </c>
      <c r="L78" s="236">
        <v>75</v>
      </c>
    </row>
    <row r="79" spans="1:22" ht="15" x14ac:dyDescent="0.25">
      <c r="A79" s="236"/>
      <c r="B79" s="236" t="s">
        <v>700</v>
      </c>
      <c r="C79" s="545">
        <f>C77*$A$77+C78*$A$78+$A$76*C76</f>
        <v>15.675000000000001</v>
      </c>
      <c r="D79" s="545">
        <f t="shared" ref="D79:L79" si="28">D77*$A$77+D78*$A$78+$A$76*D76</f>
        <v>36.075000000000003</v>
      </c>
      <c r="E79" s="545">
        <f t="shared" si="28"/>
        <v>36.075000000000003</v>
      </c>
      <c r="F79" s="545">
        <f t="shared" si="28"/>
        <v>36.075000000000003</v>
      </c>
      <c r="G79" s="545">
        <f t="shared" si="28"/>
        <v>36.075000000000003</v>
      </c>
      <c r="H79" s="545">
        <f t="shared" si="28"/>
        <v>36.075000000000003</v>
      </c>
      <c r="I79" s="545">
        <f t="shared" si="28"/>
        <v>36.075000000000003</v>
      </c>
      <c r="J79" s="545">
        <f t="shared" si="28"/>
        <v>36.075000000000003</v>
      </c>
      <c r="K79" s="545">
        <f t="shared" si="28"/>
        <v>36.075000000000003</v>
      </c>
      <c r="L79" s="545">
        <f t="shared" si="28"/>
        <v>36.075000000000003</v>
      </c>
    </row>
    <row r="80" spans="1:22" ht="15" x14ac:dyDescent="0.25">
      <c r="A80" s="420"/>
    </row>
    <row r="81" spans="2:12" ht="15" x14ac:dyDescent="0.25">
      <c r="B81" t="s">
        <v>702</v>
      </c>
      <c r="C81" s="532">
        <f>C72+C79</f>
        <v>482.41982250000001</v>
      </c>
      <c r="D81" s="532">
        <f t="shared" ref="D81:L81" si="29">D72+D79</f>
        <v>737.08816999999999</v>
      </c>
      <c r="E81" s="532">
        <f t="shared" si="29"/>
        <v>615.01808000000005</v>
      </c>
      <c r="F81" s="532">
        <f t="shared" si="29"/>
        <v>479.7321925</v>
      </c>
      <c r="G81" s="532">
        <f t="shared" si="29"/>
        <v>354.07685500000002</v>
      </c>
      <c r="H81" s="532">
        <f t="shared" si="29"/>
        <v>237.46495500000003</v>
      </c>
      <c r="I81" s="532">
        <f t="shared" si="29"/>
        <v>127.40919000000001</v>
      </c>
      <c r="J81" s="532">
        <f t="shared" si="29"/>
        <v>61.760625000000005</v>
      </c>
      <c r="K81" s="532">
        <f t="shared" si="29"/>
        <v>51.453125</v>
      </c>
      <c r="L81" s="532">
        <f t="shared" si="29"/>
        <v>41.567187500000003</v>
      </c>
    </row>
    <row r="83" spans="2:12" ht="15" x14ac:dyDescent="0.25">
      <c r="B83" t="s">
        <v>879</v>
      </c>
    </row>
    <row r="84" spans="2:12" x14ac:dyDescent="0.35">
      <c r="B84" s="580" t="s">
        <v>478</v>
      </c>
      <c r="C84" s="584" t="s">
        <v>355</v>
      </c>
      <c r="D84" s="584" t="s">
        <v>356</v>
      </c>
      <c r="E84" s="584" t="s">
        <v>357</v>
      </c>
      <c r="F84" s="584" t="s">
        <v>358</v>
      </c>
      <c r="G84" s="584" t="s">
        <v>10</v>
      </c>
      <c r="H84" s="584" t="s">
        <v>11</v>
      </c>
      <c r="I84" s="584" t="s">
        <v>12</v>
      </c>
      <c r="J84" s="584" t="s">
        <v>13</v>
      </c>
      <c r="K84" s="584" t="s">
        <v>569</v>
      </c>
    </row>
    <row r="85" spans="2:12" x14ac:dyDescent="0.35">
      <c r="B85" s="236" t="s">
        <v>703</v>
      </c>
      <c r="C85" s="549">
        <f>C71</f>
        <v>7969.3999999999987</v>
      </c>
      <c r="D85" s="549">
        <f t="shared" ref="D85:K85" si="30">D71</f>
        <v>6859.1688888888875</v>
      </c>
      <c r="E85" s="549">
        <f t="shared" si="30"/>
        <v>5452.9488888888882</v>
      </c>
      <c r="F85" s="549">
        <f t="shared" si="30"/>
        <v>3996.8888888888882</v>
      </c>
      <c r="G85" s="549">
        <f t="shared" si="30"/>
        <v>2778.3688888888883</v>
      </c>
      <c r="H85" s="549">
        <f t="shared" si="30"/>
        <v>1499.8488888888883</v>
      </c>
      <c r="I85" s="549">
        <f t="shared" si="30"/>
        <v>422.638888888888</v>
      </c>
      <c r="J85" s="549">
        <f t="shared" si="30"/>
        <v>213.74999999999912</v>
      </c>
      <c r="K85" s="549">
        <f t="shared" si="30"/>
        <v>118.74999999999912</v>
      </c>
      <c r="L85" s="533"/>
    </row>
    <row r="86" spans="2:12" x14ac:dyDescent="0.35">
      <c r="B86" s="236" t="s">
        <v>704</v>
      </c>
      <c r="C86" s="549">
        <f>C85-C87</f>
        <v>6859.1688888888875</v>
      </c>
      <c r="D86" s="549">
        <f t="shared" ref="D86:K86" si="31">D85-D87</f>
        <v>5452.9488888888882</v>
      </c>
      <c r="E86" s="549">
        <f t="shared" si="31"/>
        <v>3996.8888888888882</v>
      </c>
      <c r="F86" s="549">
        <f t="shared" si="31"/>
        <v>2778.3688888888883</v>
      </c>
      <c r="G86" s="549">
        <f t="shared" si="31"/>
        <v>1499.8488888888883</v>
      </c>
      <c r="H86" s="549">
        <f t="shared" si="31"/>
        <v>422.638888888888</v>
      </c>
      <c r="I86" s="549">
        <f t="shared" si="31"/>
        <v>213.74999999999912</v>
      </c>
      <c r="J86" s="549">
        <f t="shared" si="31"/>
        <v>118.74999999999912</v>
      </c>
      <c r="K86" s="549">
        <f t="shared" si="31"/>
        <v>-8.8107299234252423E-13</v>
      </c>
    </row>
    <row r="87" spans="2:12" x14ac:dyDescent="0.35">
      <c r="B87" s="236" t="s">
        <v>705</v>
      </c>
      <c r="C87" s="548">
        <f>D70</f>
        <v>1110.2311111111112</v>
      </c>
      <c r="D87" s="548">
        <f t="shared" ref="D87:K87" si="32">E70</f>
        <v>1406.2199999999998</v>
      </c>
      <c r="E87" s="548">
        <f t="shared" si="32"/>
        <v>1456.06</v>
      </c>
      <c r="F87" s="548">
        <f t="shared" si="32"/>
        <v>1218.52</v>
      </c>
      <c r="G87" s="548">
        <f t="shared" si="32"/>
        <v>1278.52</v>
      </c>
      <c r="H87" s="548">
        <f t="shared" si="32"/>
        <v>1077.2100000000003</v>
      </c>
      <c r="I87" s="548">
        <f t="shared" si="32"/>
        <v>208.88888888888889</v>
      </c>
      <c r="J87" s="548">
        <f t="shared" si="32"/>
        <v>95</v>
      </c>
      <c r="K87" s="548">
        <f t="shared" si="32"/>
        <v>118.75</v>
      </c>
      <c r="L87" s="532"/>
    </row>
    <row r="88" spans="2:12" x14ac:dyDescent="0.35">
      <c r="C88" s="532"/>
      <c r="D88" s="532"/>
      <c r="E88" s="532"/>
      <c r="F88" s="532"/>
      <c r="G88" s="532"/>
      <c r="H88" s="532"/>
      <c r="I88" s="532"/>
      <c r="J88" s="532"/>
      <c r="K88" s="532"/>
      <c r="L88" s="532"/>
    </row>
    <row r="89" spans="2:12" x14ac:dyDescent="0.35">
      <c r="B89" s="552" t="s">
        <v>478</v>
      </c>
      <c r="C89" s="588" t="s">
        <v>355</v>
      </c>
      <c r="D89" s="588" t="s">
        <v>356</v>
      </c>
      <c r="E89" s="588" t="s">
        <v>357</v>
      </c>
      <c r="F89" s="588" t="s">
        <v>358</v>
      </c>
      <c r="G89" s="588" t="s">
        <v>10</v>
      </c>
      <c r="H89" s="588" t="s">
        <v>11</v>
      </c>
      <c r="I89" s="588" t="s">
        <v>12</v>
      </c>
      <c r="J89" s="588" t="s">
        <v>13</v>
      </c>
      <c r="K89" s="588" t="s">
        <v>569</v>
      </c>
      <c r="L89" s="588" t="s">
        <v>590</v>
      </c>
    </row>
    <row r="90" spans="2:12" x14ac:dyDescent="0.35">
      <c r="B90" s="236" t="s">
        <v>404</v>
      </c>
      <c r="C90" s="548">
        <f t="shared" ref="C90:L90" si="33">SUM(C9,C16,C23,C30,C37,C44,C51,C58)</f>
        <v>367.32482249999998</v>
      </c>
      <c r="D90" s="548">
        <f t="shared" si="33"/>
        <v>392.90316999999999</v>
      </c>
      <c r="E90" s="548">
        <f t="shared" si="33"/>
        <v>323.35308000000003</v>
      </c>
      <c r="F90" s="548">
        <f t="shared" si="33"/>
        <v>242.09719250000001</v>
      </c>
      <c r="G90" s="548">
        <f t="shared" si="33"/>
        <v>170.45185500000002</v>
      </c>
      <c r="H90" s="548">
        <f t="shared" si="33"/>
        <v>107.81995500000002</v>
      </c>
      <c r="I90" s="548">
        <f t="shared" si="33"/>
        <v>51.774190000000011</v>
      </c>
      <c r="J90" s="548">
        <f t="shared" si="33"/>
        <v>24.165624999999999</v>
      </c>
      <c r="K90" s="548">
        <f t="shared" si="33"/>
        <v>15.378124999999999</v>
      </c>
      <c r="L90" s="548">
        <f t="shared" si="33"/>
        <v>5.4921875</v>
      </c>
    </row>
    <row r="91" spans="2:12" x14ac:dyDescent="0.35">
      <c r="B91" s="236" t="s">
        <v>405</v>
      </c>
      <c r="C91" s="548">
        <f>C65</f>
        <v>99.42</v>
      </c>
      <c r="D91" s="548">
        <f t="shared" ref="D91:L91" si="34">D65</f>
        <v>308.11</v>
      </c>
      <c r="E91" s="548">
        <f t="shared" si="34"/>
        <v>255.59</v>
      </c>
      <c r="F91" s="548">
        <f t="shared" si="34"/>
        <v>201.56</v>
      </c>
      <c r="G91" s="548">
        <f t="shared" si="34"/>
        <v>147.55000000000001</v>
      </c>
      <c r="H91" s="548">
        <f t="shared" si="34"/>
        <v>93.57</v>
      </c>
      <c r="I91" s="548">
        <f t="shared" si="34"/>
        <v>39.56</v>
      </c>
      <c r="J91" s="548">
        <f t="shared" si="34"/>
        <v>1.52</v>
      </c>
      <c r="K91" s="548">
        <f t="shared" si="34"/>
        <v>0</v>
      </c>
      <c r="L91" s="548">
        <f t="shared" si="34"/>
        <v>0</v>
      </c>
    </row>
    <row r="92" spans="2:12" x14ac:dyDescent="0.35">
      <c r="B92" s="236" t="s">
        <v>883</v>
      </c>
      <c r="C92" s="548">
        <v>79.78</v>
      </c>
      <c r="D92" s="548">
        <v>0</v>
      </c>
      <c r="E92" s="548">
        <v>0</v>
      </c>
      <c r="F92" s="548">
        <v>0</v>
      </c>
      <c r="G92" s="548">
        <v>0</v>
      </c>
      <c r="H92" s="548">
        <v>0</v>
      </c>
      <c r="I92" s="548">
        <v>0</v>
      </c>
      <c r="J92" s="548">
        <v>0</v>
      </c>
      <c r="K92" s="548"/>
      <c r="L92" s="548"/>
    </row>
    <row r="93" spans="2:12" x14ac:dyDescent="0.35">
      <c r="B93" s="236" t="s">
        <v>736</v>
      </c>
      <c r="C93" s="548">
        <f>C91-C92</f>
        <v>19.64</v>
      </c>
      <c r="D93" s="548">
        <f t="shared" ref="D93:J93" si="35">D91-D92</f>
        <v>308.11</v>
      </c>
      <c r="E93" s="548">
        <f t="shared" si="35"/>
        <v>255.59</v>
      </c>
      <c r="F93" s="548">
        <f t="shared" si="35"/>
        <v>201.56</v>
      </c>
      <c r="G93" s="548">
        <f t="shared" si="35"/>
        <v>147.55000000000001</v>
      </c>
      <c r="H93" s="548">
        <f t="shared" si="35"/>
        <v>93.57</v>
      </c>
      <c r="I93" s="548">
        <f t="shared" si="35"/>
        <v>39.56</v>
      </c>
      <c r="J93" s="548">
        <f t="shared" si="35"/>
        <v>1.52</v>
      </c>
      <c r="K93" s="548"/>
      <c r="L93" s="548"/>
    </row>
    <row r="94" spans="2:12" x14ac:dyDescent="0.35">
      <c r="B94" s="236" t="s">
        <v>811</v>
      </c>
      <c r="C94" s="549">
        <f>C90+C93</f>
        <v>386.96482249999997</v>
      </c>
      <c r="D94" s="549">
        <f>D90+D93</f>
        <v>701.01316999999995</v>
      </c>
      <c r="E94" s="549">
        <f t="shared" ref="E94:L94" si="36">E90+E93</f>
        <v>578.94308000000001</v>
      </c>
      <c r="F94" s="549">
        <f t="shared" si="36"/>
        <v>443.65719250000001</v>
      </c>
      <c r="G94" s="549">
        <f t="shared" si="36"/>
        <v>318.00185500000003</v>
      </c>
      <c r="H94" s="549">
        <f t="shared" si="36"/>
        <v>201.38995500000001</v>
      </c>
      <c r="I94" s="549">
        <f t="shared" si="36"/>
        <v>91.334190000000007</v>
      </c>
      <c r="J94" s="549">
        <f t="shared" si="36"/>
        <v>25.685624999999998</v>
      </c>
      <c r="K94" s="549">
        <f t="shared" si="36"/>
        <v>15.378124999999999</v>
      </c>
      <c r="L94" s="549">
        <f t="shared" si="36"/>
        <v>5.4921875</v>
      </c>
    </row>
    <row r="95" spans="2:12" x14ac:dyDescent="0.35">
      <c r="B95" s="236" t="s">
        <v>885</v>
      </c>
      <c r="C95" s="549">
        <f>C72-C94</f>
        <v>79.78000000000003</v>
      </c>
      <c r="D95" s="549">
        <f t="shared" ref="D95:L95" si="37">D72-D94</f>
        <v>0</v>
      </c>
      <c r="E95" s="549">
        <f t="shared" si="37"/>
        <v>0</v>
      </c>
      <c r="F95" s="549">
        <f t="shared" si="37"/>
        <v>0</v>
      </c>
      <c r="G95" s="549">
        <f t="shared" si="37"/>
        <v>0</v>
      </c>
      <c r="H95" s="549">
        <f t="shared" si="37"/>
        <v>0</v>
      </c>
      <c r="I95" s="549">
        <f t="shared" si="37"/>
        <v>0</v>
      </c>
      <c r="J95" s="549">
        <f t="shared" si="37"/>
        <v>0</v>
      </c>
      <c r="K95" s="549">
        <f t="shared" si="37"/>
        <v>0</v>
      </c>
      <c r="L95" s="549">
        <f t="shared" si="37"/>
        <v>0</v>
      </c>
    </row>
    <row r="96" spans="2:12" x14ac:dyDescent="0.35">
      <c r="B96" s="236" t="s">
        <v>812</v>
      </c>
      <c r="C96" s="548">
        <f>C79</f>
        <v>15.675000000000001</v>
      </c>
      <c r="D96" s="548">
        <f t="shared" ref="D96:L96" si="38">D79</f>
        <v>36.075000000000003</v>
      </c>
      <c r="E96" s="548">
        <f t="shared" si="38"/>
        <v>36.075000000000003</v>
      </c>
      <c r="F96" s="548">
        <f t="shared" si="38"/>
        <v>36.075000000000003</v>
      </c>
      <c r="G96" s="548">
        <f t="shared" si="38"/>
        <v>36.075000000000003</v>
      </c>
      <c r="H96" s="548">
        <f t="shared" si="38"/>
        <v>36.075000000000003</v>
      </c>
      <c r="I96" s="548">
        <f t="shared" si="38"/>
        <v>36.075000000000003</v>
      </c>
      <c r="J96" s="548">
        <f t="shared" si="38"/>
        <v>36.075000000000003</v>
      </c>
      <c r="K96" s="548">
        <f t="shared" si="38"/>
        <v>36.075000000000003</v>
      </c>
      <c r="L96" s="548">
        <f t="shared" si="38"/>
        <v>36.075000000000003</v>
      </c>
    </row>
    <row r="97" spans="2:12" x14ac:dyDescent="0.35">
      <c r="B97" s="552" t="s">
        <v>884</v>
      </c>
      <c r="C97" s="557">
        <f>C94+C95+C96</f>
        <v>482.41982250000001</v>
      </c>
      <c r="D97" s="557">
        <f t="shared" ref="D97:L97" si="39">D94+D95+D96</f>
        <v>737.08816999999999</v>
      </c>
      <c r="E97" s="557">
        <f t="shared" si="39"/>
        <v>615.01808000000005</v>
      </c>
      <c r="F97" s="557">
        <f t="shared" si="39"/>
        <v>479.7321925</v>
      </c>
      <c r="G97" s="557">
        <f t="shared" si="39"/>
        <v>354.07685500000002</v>
      </c>
      <c r="H97" s="557">
        <f t="shared" si="39"/>
        <v>237.46495500000003</v>
      </c>
      <c r="I97" s="557">
        <f t="shared" si="39"/>
        <v>127.40919000000001</v>
      </c>
      <c r="J97" s="557">
        <f t="shared" si="39"/>
        <v>61.760625000000005</v>
      </c>
      <c r="K97" s="557">
        <f t="shared" si="39"/>
        <v>51.453125</v>
      </c>
      <c r="L97" s="557">
        <f t="shared" si="39"/>
        <v>41.567187500000003</v>
      </c>
    </row>
    <row r="98" spans="2:12" x14ac:dyDescent="0.35">
      <c r="C98" s="530"/>
    </row>
    <row r="99" spans="2:12" x14ac:dyDescent="0.35">
      <c r="C99" s="532"/>
      <c r="D99" s="532"/>
    </row>
    <row r="100" spans="2:12" x14ac:dyDescent="0.35">
      <c r="C100" s="532"/>
    </row>
    <row r="101" spans="2:12" x14ac:dyDescent="0.35">
      <c r="D101" s="53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6"/>
  <sheetViews>
    <sheetView topLeftCell="A4" zoomScale="80" zoomScaleNormal="80" workbookViewId="0">
      <selection activeCell="A28" sqref="A28"/>
    </sheetView>
  </sheetViews>
  <sheetFormatPr defaultColWidth="11.453125" defaultRowHeight="14.5" x14ac:dyDescent="0.35"/>
  <cols>
    <col min="1" max="1" width="29.81640625" bestFit="1" customWidth="1"/>
    <col min="2" max="2" width="32.26953125" bestFit="1" customWidth="1"/>
    <col min="3" max="3" width="28" bestFit="1" customWidth="1"/>
    <col min="4" max="4" width="16.81640625" bestFit="1" customWidth="1"/>
    <col min="5" max="5" width="17.1796875" customWidth="1"/>
    <col min="6" max="6" width="19.81640625" bestFit="1" customWidth="1"/>
    <col min="7" max="7" width="18.54296875" bestFit="1" customWidth="1"/>
    <col min="8" max="8" width="24.1796875" bestFit="1" customWidth="1"/>
    <col min="9" max="13" width="18.1796875" bestFit="1" customWidth="1"/>
    <col min="14" max="14" width="16.453125" bestFit="1" customWidth="1"/>
    <col min="15" max="15" width="15.453125" bestFit="1" customWidth="1"/>
    <col min="16" max="16" width="13.1796875" bestFit="1" customWidth="1"/>
    <col min="17" max="17" width="16.453125" bestFit="1" customWidth="1"/>
  </cols>
  <sheetData>
    <row r="1" spans="1:18" ht="16.5" x14ac:dyDescent="0.3">
      <c r="A1" s="256"/>
      <c r="B1" s="256"/>
      <c r="C1" s="257"/>
      <c r="D1" s="257"/>
      <c r="E1" s="257"/>
      <c r="F1" s="257"/>
      <c r="G1" s="257"/>
      <c r="H1" s="257"/>
      <c r="I1" s="257"/>
      <c r="J1" s="257"/>
      <c r="K1" s="256"/>
      <c r="L1" s="256"/>
      <c r="M1" s="256"/>
      <c r="N1" s="256"/>
      <c r="O1" s="256"/>
      <c r="P1" s="256"/>
      <c r="Q1" s="256"/>
      <c r="R1" s="256"/>
    </row>
    <row r="2" spans="1:18" ht="16.5" x14ac:dyDescent="0.3">
      <c r="A2" s="258"/>
      <c r="B2" s="258"/>
      <c r="C2" s="257"/>
      <c r="D2" s="257"/>
      <c r="E2" s="257"/>
      <c r="F2" s="257"/>
      <c r="G2" s="257"/>
      <c r="H2" s="257"/>
      <c r="I2" s="257"/>
      <c r="J2" s="257"/>
      <c r="K2" s="256"/>
      <c r="L2" s="256"/>
      <c r="M2" s="256"/>
      <c r="N2" s="256"/>
      <c r="O2" s="256"/>
      <c r="P2" s="256"/>
      <c r="Q2" s="256"/>
      <c r="R2" s="256"/>
    </row>
    <row r="3" spans="1:18" ht="16.5" x14ac:dyDescent="0.3">
      <c r="A3" s="258"/>
      <c r="B3" s="256"/>
      <c r="C3" s="257"/>
      <c r="D3" s="257"/>
      <c r="E3" s="257"/>
      <c r="F3" s="257"/>
      <c r="G3" s="257"/>
      <c r="H3" s="257"/>
      <c r="I3" s="257"/>
      <c r="J3" s="257"/>
      <c r="K3" s="256"/>
      <c r="L3" s="256"/>
      <c r="M3" s="256"/>
      <c r="N3" s="256"/>
      <c r="O3" s="256"/>
      <c r="P3" s="256"/>
      <c r="Q3" s="256"/>
      <c r="R3" s="256"/>
    </row>
    <row r="4" spans="1:18" ht="16.5" x14ac:dyDescent="0.3">
      <c r="A4" s="258"/>
      <c r="B4" s="256"/>
      <c r="C4" s="257"/>
      <c r="D4" s="257"/>
      <c r="E4" s="257"/>
      <c r="F4" s="263"/>
      <c r="G4" s="263"/>
      <c r="H4" s="263"/>
      <c r="I4" s="263"/>
      <c r="J4" s="263"/>
      <c r="K4" s="263"/>
      <c r="L4" s="263"/>
      <c r="M4" s="263"/>
      <c r="N4" s="263"/>
      <c r="O4" s="256"/>
      <c r="P4" s="256"/>
      <c r="Q4" s="256"/>
      <c r="R4" s="256"/>
    </row>
    <row r="5" spans="1:18" ht="16.5" x14ac:dyDescent="0.3">
      <c r="A5" s="256"/>
      <c r="B5" s="256"/>
      <c r="C5" s="257"/>
      <c r="D5" s="257"/>
      <c r="E5" s="257"/>
      <c r="F5" s="257"/>
      <c r="G5" s="257"/>
      <c r="H5" s="257"/>
      <c r="I5" s="257"/>
      <c r="J5" s="257"/>
      <c r="K5" s="256"/>
      <c r="L5" s="256"/>
      <c r="M5" s="256"/>
      <c r="N5" s="256"/>
      <c r="O5" s="256"/>
      <c r="P5" s="256"/>
      <c r="Q5" s="256"/>
      <c r="R5" s="256"/>
    </row>
    <row r="6" spans="1:18" ht="16.5" hidden="1" x14ac:dyDescent="0.3">
      <c r="A6" s="265" t="s">
        <v>361</v>
      </c>
      <c r="B6" s="265" t="s">
        <v>362</v>
      </c>
      <c r="C6" s="266" t="s">
        <v>363</v>
      </c>
      <c r="D6" s="266" t="s">
        <v>364</v>
      </c>
      <c r="E6" s="613" t="s">
        <v>382</v>
      </c>
      <c r="F6" s="613"/>
      <c r="G6" s="613"/>
      <c r="H6" s="613"/>
      <c r="I6" s="613"/>
      <c r="J6" s="613"/>
      <c r="K6" s="613"/>
      <c r="L6" s="613"/>
      <c r="M6" s="613"/>
      <c r="N6" s="613"/>
      <c r="O6" s="256"/>
      <c r="P6" s="256"/>
      <c r="Q6" s="256"/>
      <c r="R6" s="256"/>
    </row>
    <row r="7" spans="1:18" ht="16.5" hidden="1" x14ac:dyDescent="0.3">
      <c r="A7" s="265"/>
      <c r="B7" s="265"/>
      <c r="C7" s="266"/>
      <c r="D7" s="266"/>
      <c r="E7" s="266" t="s">
        <v>383</v>
      </c>
      <c r="F7" s="266" t="s">
        <v>384</v>
      </c>
      <c r="G7" s="266" t="s">
        <v>385</v>
      </c>
      <c r="H7" s="266" t="s">
        <v>386</v>
      </c>
      <c r="I7" s="266" t="s">
        <v>387</v>
      </c>
      <c r="J7" s="266" t="s">
        <v>388</v>
      </c>
      <c r="K7" s="265" t="s">
        <v>389</v>
      </c>
      <c r="L7" s="265" t="s">
        <v>390</v>
      </c>
      <c r="M7" s="265" t="s">
        <v>390</v>
      </c>
      <c r="N7" s="265" t="s">
        <v>391</v>
      </c>
      <c r="O7" s="256"/>
      <c r="P7" s="256"/>
      <c r="Q7" s="256"/>
      <c r="R7" s="256"/>
    </row>
    <row r="8" spans="1:18" ht="16.5" hidden="1" x14ac:dyDescent="0.3">
      <c r="A8" s="267" t="s">
        <v>369</v>
      </c>
      <c r="B8" s="268" t="s">
        <v>370</v>
      </c>
      <c r="C8" s="260">
        <v>100001</v>
      </c>
      <c r="D8" s="269" t="s">
        <v>371</v>
      </c>
      <c r="E8" s="260">
        <v>100001</v>
      </c>
      <c r="F8" s="260">
        <v>0</v>
      </c>
      <c r="G8" s="260"/>
      <c r="H8" s="260"/>
      <c r="I8" s="260"/>
      <c r="J8" s="260"/>
      <c r="K8" s="261">
        <v>0</v>
      </c>
      <c r="L8" s="261">
        <v>0</v>
      </c>
      <c r="M8" s="261">
        <v>0</v>
      </c>
      <c r="N8" s="261">
        <v>100001</v>
      </c>
      <c r="O8" s="256"/>
      <c r="P8" s="256"/>
      <c r="Q8" s="256"/>
      <c r="R8" s="256"/>
    </row>
    <row r="9" spans="1:18" ht="16.5" hidden="1" x14ac:dyDescent="0.3">
      <c r="A9" s="270" t="s">
        <v>369</v>
      </c>
      <c r="B9" s="271" t="s">
        <v>373</v>
      </c>
      <c r="C9" s="272">
        <v>16351000</v>
      </c>
      <c r="D9" s="273" t="s">
        <v>374</v>
      </c>
      <c r="E9" s="272">
        <v>0</v>
      </c>
      <c r="F9" s="272">
        <v>4541944.4000000004</v>
      </c>
      <c r="G9" s="272">
        <v>5450333.2800000012</v>
      </c>
      <c r="H9" s="272">
        <v>5450333.2800000012</v>
      </c>
      <c r="I9" s="272">
        <v>908388.88</v>
      </c>
      <c r="J9" s="272"/>
      <c r="K9" s="262">
        <v>0</v>
      </c>
      <c r="L9" s="262">
        <v>0</v>
      </c>
      <c r="M9" s="262">
        <v>0</v>
      </c>
      <c r="N9" s="262">
        <v>16350999.840000004</v>
      </c>
      <c r="O9" s="256"/>
      <c r="P9" s="256"/>
      <c r="Q9" s="256"/>
      <c r="R9" s="256"/>
    </row>
    <row r="10" spans="1:18" ht="16.5" hidden="1" x14ac:dyDescent="0.3">
      <c r="A10" s="270" t="s">
        <v>369</v>
      </c>
      <c r="B10" s="271" t="s">
        <v>376</v>
      </c>
      <c r="C10" s="272">
        <v>1265237</v>
      </c>
      <c r="D10" s="273" t="s">
        <v>377</v>
      </c>
      <c r="E10" s="272">
        <v>1265237</v>
      </c>
      <c r="F10" s="272">
        <v>0</v>
      </c>
      <c r="G10" s="272"/>
      <c r="H10" s="272"/>
      <c r="I10" s="272"/>
      <c r="J10" s="272"/>
      <c r="K10" s="262">
        <v>0</v>
      </c>
      <c r="L10" s="262">
        <v>0</v>
      </c>
      <c r="M10" s="262">
        <v>0</v>
      </c>
      <c r="N10" s="262">
        <v>1265237</v>
      </c>
      <c r="O10" s="256"/>
      <c r="P10" s="256"/>
      <c r="Q10" s="256"/>
      <c r="R10" s="256"/>
    </row>
    <row r="11" spans="1:18" ht="16.5" hidden="1" x14ac:dyDescent="0.3">
      <c r="A11" s="270" t="s">
        <v>369</v>
      </c>
      <c r="B11" s="271" t="s">
        <v>378</v>
      </c>
      <c r="C11" s="272">
        <v>70005426</v>
      </c>
      <c r="D11" s="273" t="s">
        <v>377</v>
      </c>
      <c r="E11" s="272">
        <v>16151440</v>
      </c>
      <c r="F11" s="272">
        <v>16151440</v>
      </c>
      <c r="G11" s="272">
        <v>16151440</v>
      </c>
      <c r="H11" s="272">
        <v>21551106</v>
      </c>
      <c r="I11" s="272"/>
      <c r="J11" s="272"/>
      <c r="K11" s="262">
        <v>0</v>
      </c>
      <c r="L11" s="262">
        <v>0</v>
      </c>
      <c r="M11" s="262">
        <v>0</v>
      </c>
      <c r="N11" s="262">
        <v>70005426</v>
      </c>
      <c r="O11" s="256"/>
      <c r="P11" s="256"/>
      <c r="Q11" s="256"/>
      <c r="R11" s="256"/>
    </row>
    <row r="12" spans="1:18" ht="16.5" hidden="1" x14ac:dyDescent="0.3">
      <c r="A12" s="270" t="s">
        <v>59</v>
      </c>
      <c r="B12" s="271" t="s">
        <v>379</v>
      </c>
      <c r="C12" s="272">
        <v>214341790</v>
      </c>
      <c r="D12" s="273" t="s">
        <v>380</v>
      </c>
      <c r="E12" s="272">
        <v>14876000</v>
      </c>
      <c r="F12" s="272">
        <v>25764000</v>
      </c>
      <c r="G12" s="272">
        <v>25764000</v>
      </c>
      <c r="H12" s="272">
        <v>25764000</v>
      </c>
      <c r="I12" s="272">
        <v>34352000</v>
      </c>
      <c r="J12" s="272">
        <v>34352000</v>
      </c>
      <c r="K12" s="262">
        <v>34352000</v>
      </c>
      <c r="L12" s="262">
        <v>19117790</v>
      </c>
      <c r="M12" s="262">
        <v>0</v>
      </c>
      <c r="N12" s="262">
        <v>214341790</v>
      </c>
      <c r="O12" s="256"/>
      <c r="P12" s="256"/>
      <c r="Q12" s="256"/>
      <c r="R12" s="256"/>
    </row>
    <row r="13" spans="1:18" ht="16.5" hidden="1" x14ac:dyDescent="0.3">
      <c r="A13" s="302" t="s">
        <v>551</v>
      </c>
      <c r="B13" s="256"/>
      <c r="C13" s="301">
        <f>53.76897*10^5</f>
        <v>5376897</v>
      </c>
      <c r="D13" s="303"/>
      <c r="E13" s="263">
        <f>$C$13/8</f>
        <v>672112.125</v>
      </c>
      <c r="F13" s="263">
        <f t="shared" ref="F13:L13" si="0">$C$13/8</f>
        <v>672112.125</v>
      </c>
      <c r="G13" s="263">
        <f t="shared" si="0"/>
        <v>672112.125</v>
      </c>
      <c r="H13" s="263">
        <f t="shared" si="0"/>
        <v>672112.125</v>
      </c>
      <c r="I13" s="263">
        <f t="shared" si="0"/>
        <v>672112.125</v>
      </c>
      <c r="J13" s="263">
        <f t="shared" si="0"/>
        <v>672112.125</v>
      </c>
      <c r="K13" s="263">
        <f t="shared" si="0"/>
        <v>672112.125</v>
      </c>
      <c r="L13" s="263">
        <f t="shared" si="0"/>
        <v>672112.125</v>
      </c>
      <c r="M13" s="304"/>
      <c r="N13" s="304"/>
      <c r="O13" s="256"/>
      <c r="P13" s="256"/>
      <c r="Q13" s="256"/>
      <c r="R13" s="256"/>
    </row>
    <row r="14" spans="1:18" ht="16.5" hidden="1" x14ac:dyDescent="0.3">
      <c r="A14" s="256"/>
      <c r="B14" s="301"/>
      <c r="C14" s="263">
        <f>SUM(C8:C12)+C13</f>
        <v>307440351</v>
      </c>
      <c r="D14" s="257"/>
      <c r="E14" s="263">
        <f>SUM(E8:E13)</f>
        <v>33064790.125</v>
      </c>
      <c r="F14" s="263">
        <f t="shared" ref="F14:M14" si="1">SUM(F8:F13)</f>
        <v>47129496.524999999</v>
      </c>
      <c r="G14" s="263">
        <f t="shared" si="1"/>
        <v>48037885.405000001</v>
      </c>
      <c r="H14" s="263">
        <f t="shared" si="1"/>
        <v>53437551.405000001</v>
      </c>
      <c r="I14" s="263">
        <f t="shared" si="1"/>
        <v>35932501.005000003</v>
      </c>
      <c r="J14" s="263">
        <f t="shared" si="1"/>
        <v>35024112.125</v>
      </c>
      <c r="K14" s="263">
        <f t="shared" si="1"/>
        <v>35024112.125</v>
      </c>
      <c r="L14" s="263">
        <f t="shared" si="1"/>
        <v>19789902.125</v>
      </c>
      <c r="M14" s="263">
        <f t="shared" si="1"/>
        <v>0</v>
      </c>
      <c r="N14" s="256"/>
      <c r="O14" s="256"/>
      <c r="P14" s="256"/>
      <c r="Q14" s="256"/>
      <c r="R14" s="256"/>
    </row>
    <row r="15" spans="1:18" ht="16.5" x14ac:dyDescent="0.3">
      <c r="A15" s="256" t="s">
        <v>381</v>
      </c>
      <c r="B15" s="256"/>
      <c r="C15" s="257"/>
      <c r="D15" s="257"/>
      <c r="E15" s="257"/>
      <c r="F15" s="257"/>
      <c r="G15" s="257"/>
      <c r="H15" s="257"/>
      <c r="I15" s="257"/>
      <c r="J15" s="257"/>
      <c r="K15" s="256"/>
      <c r="L15" s="256"/>
      <c r="M15" s="256"/>
      <c r="N15" s="256"/>
      <c r="O15" s="256"/>
      <c r="P15" s="256"/>
      <c r="Q15" s="256"/>
      <c r="R15" s="256"/>
    </row>
    <row r="16" spans="1:18" ht="16.5" x14ac:dyDescent="0.3">
      <c r="A16" s="265" t="s">
        <v>361</v>
      </c>
      <c r="B16" s="265" t="s">
        <v>362</v>
      </c>
      <c r="C16" s="266"/>
      <c r="D16" s="266"/>
      <c r="E16" s="613" t="s">
        <v>392</v>
      </c>
      <c r="F16" s="613"/>
      <c r="G16" s="613"/>
      <c r="H16" s="613"/>
      <c r="I16" s="613"/>
      <c r="J16" s="613"/>
      <c r="K16" s="613"/>
      <c r="L16" s="613"/>
      <c r="M16" s="613"/>
      <c r="N16" s="613"/>
      <c r="O16" s="256"/>
      <c r="P16" s="256"/>
      <c r="Q16" s="256"/>
      <c r="R16" s="256"/>
    </row>
    <row r="17" spans="1:18" ht="16.5" x14ac:dyDescent="0.3">
      <c r="A17" s="265"/>
      <c r="B17" s="265"/>
      <c r="C17" s="266"/>
      <c r="D17" s="266"/>
      <c r="E17" s="266" t="s">
        <v>383</v>
      </c>
      <c r="F17" s="266" t="s">
        <v>384</v>
      </c>
      <c r="G17" s="266" t="s">
        <v>385</v>
      </c>
      <c r="H17" s="266" t="s">
        <v>386</v>
      </c>
      <c r="I17" s="266" t="s">
        <v>387</v>
      </c>
      <c r="J17" s="266" t="s">
        <v>388</v>
      </c>
      <c r="K17" s="265" t="s">
        <v>389</v>
      </c>
      <c r="L17" s="265" t="s">
        <v>390</v>
      </c>
      <c r="M17" s="265" t="s">
        <v>615</v>
      </c>
      <c r="N17" s="265" t="s">
        <v>391</v>
      </c>
      <c r="O17" s="256"/>
      <c r="P17" s="256"/>
      <c r="Q17" s="256"/>
      <c r="R17" s="256"/>
    </row>
    <row r="18" spans="1:18" ht="16.5" x14ac:dyDescent="0.3">
      <c r="A18" s="267" t="s">
        <v>369</v>
      </c>
      <c r="B18" s="268" t="s">
        <v>370</v>
      </c>
      <c r="C18" s="260" t="s">
        <v>655</v>
      </c>
      <c r="D18" s="269"/>
      <c r="E18" s="431">
        <v>6354</v>
      </c>
      <c r="F18" s="260">
        <f>2028/5*12</f>
        <v>4867.2000000000007</v>
      </c>
      <c r="G18" s="260">
        <v>4867.2000000000007</v>
      </c>
      <c r="H18" s="260">
        <v>4867.2000000000007</v>
      </c>
      <c r="I18" s="260">
        <v>4867.2000000000007</v>
      </c>
      <c r="J18" s="260">
        <v>4867.2000000000007</v>
      </c>
      <c r="K18" s="261">
        <v>4867.2000000000007</v>
      </c>
      <c r="L18" s="261">
        <v>4867.2000000000007</v>
      </c>
      <c r="M18" s="261">
        <v>4867.2000000000007</v>
      </c>
      <c r="N18" s="261">
        <f>SUM(E18:M18)</f>
        <v>45291.600000000006</v>
      </c>
      <c r="O18" s="256"/>
      <c r="P18" s="256"/>
      <c r="Q18" s="256"/>
      <c r="R18" s="256"/>
    </row>
    <row r="19" spans="1:18" ht="16.5" x14ac:dyDescent="0.3">
      <c r="A19" s="270" t="s">
        <v>369</v>
      </c>
      <c r="B19" s="271" t="s">
        <v>373</v>
      </c>
      <c r="C19" s="260" t="s">
        <v>655</v>
      </c>
      <c r="D19" s="273"/>
      <c r="E19" s="432">
        <v>1519609</v>
      </c>
      <c r="F19" s="272">
        <f>618107/5*12</f>
        <v>1483456.7999999998</v>
      </c>
      <c r="G19" s="272">
        <v>1483456.7999999998</v>
      </c>
      <c r="H19" s="272">
        <v>1483456.7999999998</v>
      </c>
      <c r="I19" s="272">
        <v>1483456.7999999998</v>
      </c>
      <c r="J19" s="272">
        <v>1483456.7999999998</v>
      </c>
      <c r="K19" s="262">
        <v>1483456.7999999998</v>
      </c>
      <c r="L19" s="262">
        <v>1483456.7999999998</v>
      </c>
      <c r="M19" s="262">
        <v>1483456.7999999998</v>
      </c>
      <c r="N19" s="261">
        <f t="shared" ref="N19:N28" si="2">SUM(E19:M19)</f>
        <v>13387263.400000002</v>
      </c>
      <c r="O19" s="256"/>
      <c r="P19" s="256"/>
      <c r="Q19" s="256"/>
      <c r="R19" s="256"/>
    </row>
    <row r="20" spans="1:18" ht="16.5" x14ac:dyDescent="0.3">
      <c r="A20" s="270" t="s">
        <v>369</v>
      </c>
      <c r="B20" s="271" t="s">
        <v>376</v>
      </c>
      <c r="C20" s="260" t="s">
        <v>655</v>
      </c>
      <c r="D20" s="273"/>
      <c r="E20" s="432">
        <v>67439</v>
      </c>
      <c r="F20" s="272">
        <f>897.64/5*12</f>
        <v>2154.3359999999998</v>
      </c>
      <c r="G20" s="272">
        <v>2154.3359999999998</v>
      </c>
      <c r="H20" s="272">
        <v>2154.3359999999998</v>
      </c>
      <c r="I20" s="272">
        <v>2154.3359999999998</v>
      </c>
      <c r="J20" s="272">
        <v>2154.3359999999998</v>
      </c>
      <c r="K20" s="262">
        <v>2154.3359999999998</v>
      </c>
      <c r="L20" s="262">
        <v>2154.3359999999998</v>
      </c>
      <c r="M20" s="262">
        <v>2154.3359999999998</v>
      </c>
      <c r="N20" s="261">
        <f t="shared" si="2"/>
        <v>84673.687999999966</v>
      </c>
      <c r="O20" s="256"/>
      <c r="P20" s="256"/>
      <c r="Q20" s="256"/>
      <c r="R20" s="256"/>
    </row>
    <row r="21" spans="1:18" ht="16.5" x14ac:dyDescent="0.3">
      <c r="A21" s="270" t="s">
        <v>369</v>
      </c>
      <c r="B21" s="271" t="s">
        <v>378</v>
      </c>
      <c r="C21" s="260" t="s">
        <v>655</v>
      </c>
      <c r="D21" s="273"/>
      <c r="E21" s="432">
        <v>6019606</v>
      </c>
      <c r="F21" s="272">
        <f>2500000/5*12</f>
        <v>6000000</v>
      </c>
      <c r="G21" s="272">
        <v>6000000</v>
      </c>
      <c r="H21" s="272">
        <v>6000000</v>
      </c>
      <c r="I21" s="272">
        <v>6000000</v>
      </c>
      <c r="J21" s="272">
        <v>6000000</v>
      </c>
      <c r="K21" s="262">
        <v>6000000</v>
      </c>
      <c r="L21" s="262">
        <v>6000000</v>
      </c>
      <c r="M21" s="262">
        <v>6000000</v>
      </c>
      <c r="N21" s="261">
        <f t="shared" si="2"/>
        <v>54019606</v>
      </c>
      <c r="O21" s="256"/>
      <c r="P21" s="256"/>
      <c r="Q21" s="256"/>
      <c r="R21" s="256"/>
    </row>
    <row r="22" spans="1:18" ht="16.5" x14ac:dyDescent="0.3">
      <c r="A22" s="270"/>
      <c r="B22" s="271" t="s">
        <v>659</v>
      </c>
      <c r="C22" s="260"/>
      <c r="D22" s="273"/>
      <c r="E22" s="432"/>
      <c r="F22" s="272">
        <f>SUM(F18:F21)</f>
        <v>7490478.3359999992</v>
      </c>
      <c r="G22" s="272">
        <f t="shared" ref="G22:M22" si="3">SUM(G18:G21)</f>
        <v>7490478.3359999992</v>
      </c>
      <c r="H22" s="272">
        <f t="shared" si="3"/>
        <v>7490478.3359999992</v>
      </c>
      <c r="I22" s="272">
        <f t="shared" si="3"/>
        <v>7490478.3359999992</v>
      </c>
      <c r="J22" s="272">
        <f t="shared" si="3"/>
        <v>7490478.3359999992</v>
      </c>
      <c r="K22" s="272">
        <f t="shared" si="3"/>
        <v>7490478.3359999992</v>
      </c>
      <c r="L22" s="272">
        <f t="shared" si="3"/>
        <v>7490478.3359999992</v>
      </c>
      <c r="M22" s="272">
        <f t="shared" si="3"/>
        <v>7490478.3359999992</v>
      </c>
      <c r="N22" s="261"/>
      <c r="O22" s="256"/>
      <c r="P22" s="256"/>
      <c r="Q22" s="256"/>
      <c r="R22" s="256"/>
    </row>
    <row r="23" spans="1:18" ht="16.5" x14ac:dyDescent="0.3">
      <c r="A23" s="270" t="s">
        <v>369</v>
      </c>
      <c r="B23" s="271" t="s">
        <v>622</v>
      </c>
      <c r="C23" s="260" t="s">
        <v>620</v>
      </c>
      <c r="D23" s="273"/>
      <c r="E23" s="432">
        <v>459542</v>
      </c>
      <c r="F23" s="272">
        <f>167743/5*12</f>
        <v>402583.19999999995</v>
      </c>
      <c r="G23" s="272">
        <v>402583.19999999995</v>
      </c>
      <c r="H23" s="272">
        <v>402583.19999999995</v>
      </c>
      <c r="I23" s="272">
        <v>402583.19999999995</v>
      </c>
      <c r="J23" s="272">
        <v>402583.19999999995</v>
      </c>
      <c r="K23" s="262">
        <v>402583.19999999995</v>
      </c>
      <c r="L23" s="262">
        <v>402583.19999999995</v>
      </c>
      <c r="M23" s="262">
        <v>402583.19999999995</v>
      </c>
      <c r="N23" s="261">
        <f t="shared" si="2"/>
        <v>3680207.6000000006</v>
      </c>
      <c r="O23" s="256"/>
      <c r="P23" s="256"/>
      <c r="Q23" s="256"/>
      <c r="R23" s="256"/>
    </row>
    <row r="24" spans="1:18" ht="16.5" x14ac:dyDescent="0.3">
      <c r="A24" s="270" t="s">
        <v>369</v>
      </c>
      <c r="B24" s="271" t="s">
        <v>623</v>
      </c>
      <c r="C24" s="272" t="s">
        <v>656</v>
      </c>
      <c r="D24" s="273"/>
      <c r="E24" s="432">
        <v>55342</v>
      </c>
      <c r="F24" s="272">
        <f>3863378/5*12</f>
        <v>9272107.1999999993</v>
      </c>
      <c r="G24" s="272">
        <v>9272107.1999999993</v>
      </c>
      <c r="H24" s="272">
        <v>9272107.1999999993</v>
      </c>
      <c r="I24" s="272">
        <v>9272107.1999999993</v>
      </c>
      <c r="J24" s="272">
        <v>9272107.1999999993</v>
      </c>
      <c r="K24" s="262">
        <v>9272107.1999999993</v>
      </c>
      <c r="L24" s="262">
        <v>9272107.1999999993</v>
      </c>
      <c r="M24" s="262">
        <v>9272107.1999999993</v>
      </c>
      <c r="N24" s="261">
        <f t="shared" si="2"/>
        <v>74232199.600000009</v>
      </c>
      <c r="O24" s="256"/>
      <c r="P24" s="256"/>
      <c r="Q24" s="256"/>
      <c r="R24" s="256"/>
    </row>
    <row r="25" spans="1:18" ht="16.5" x14ac:dyDescent="0.3">
      <c r="A25" s="270" t="s">
        <v>59</v>
      </c>
      <c r="B25" s="271" t="s">
        <v>379</v>
      </c>
      <c r="C25" s="272" t="s">
        <v>59</v>
      </c>
      <c r="D25" s="264"/>
      <c r="E25" s="432">
        <v>22345696</v>
      </c>
      <c r="F25" s="272">
        <f>8315619/5*12</f>
        <v>19957485.600000001</v>
      </c>
      <c r="G25" s="272">
        <v>19957485.600000001</v>
      </c>
      <c r="H25" s="272">
        <v>19957485.600000001</v>
      </c>
      <c r="I25" s="272">
        <v>19957485.600000001</v>
      </c>
      <c r="J25" s="272">
        <v>19957485.600000001</v>
      </c>
      <c r="K25" s="262">
        <v>19957485.600000001</v>
      </c>
      <c r="L25" s="262">
        <v>19957485.600000001</v>
      </c>
      <c r="M25" s="262">
        <v>19957485.600000001</v>
      </c>
      <c r="N25" s="261">
        <f t="shared" si="2"/>
        <v>182005580.79999998</v>
      </c>
      <c r="O25" s="256"/>
      <c r="P25" s="256"/>
      <c r="Q25" s="256"/>
      <c r="R25" s="256"/>
    </row>
    <row r="26" spans="1:18" ht="16.5" x14ac:dyDescent="0.3">
      <c r="A26" s="271" t="s">
        <v>624</v>
      </c>
      <c r="B26" s="271"/>
      <c r="C26" s="264" t="s">
        <v>658</v>
      </c>
      <c r="D26" s="264"/>
      <c r="E26" s="433">
        <v>754</v>
      </c>
      <c r="F26" s="272">
        <v>0</v>
      </c>
      <c r="G26" s="272">
        <v>0</v>
      </c>
      <c r="H26" s="272">
        <v>0</v>
      </c>
      <c r="I26" s="272">
        <v>0</v>
      </c>
      <c r="J26" s="272">
        <v>0</v>
      </c>
      <c r="K26" s="272">
        <v>0</v>
      </c>
      <c r="L26" s="272">
        <v>0</v>
      </c>
      <c r="M26" s="272">
        <v>0</v>
      </c>
      <c r="N26" s="261">
        <f t="shared" si="2"/>
        <v>754</v>
      </c>
      <c r="O26" s="256"/>
      <c r="P26" s="256"/>
      <c r="Q26" s="256"/>
      <c r="R26" s="256"/>
    </row>
    <row r="27" spans="1:18" ht="16.5" x14ac:dyDescent="0.3">
      <c r="A27" s="271" t="s">
        <v>625</v>
      </c>
      <c r="B27" s="271"/>
      <c r="C27" s="264" t="s">
        <v>658</v>
      </c>
      <c r="D27" s="264"/>
      <c r="E27" s="433">
        <v>2065</v>
      </c>
      <c r="F27" s="426">
        <v>0</v>
      </c>
      <c r="G27" s="426">
        <v>0</v>
      </c>
      <c r="H27" s="426">
        <v>0</v>
      </c>
      <c r="I27" s="426">
        <v>0</v>
      </c>
      <c r="J27" s="426">
        <v>0</v>
      </c>
      <c r="K27" s="426">
        <v>0</v>
      </c>
      <c r="L27" s="426">
        <v>0</v>
      </c>
      <c r="M27" s="426">
        <v>0</v>
      </c>
      <c r="N27" s="261">
        <f t="shared" si="2"/>
        <v>2065</v>
      </c>
      <c r="O27" s="256"/>
      <c r="P27" s="256"/>
      <c r="Q27" s="256"/>
      <c r="R27" s="256"/>
    </row>
    <row r="28" spans="1:18" ht="16.5" x14ac:dyDescent="0.3">
      <c r="A28" s="270" t="s">
        <v>619</v>
      </c>
      <c r="B28" s="427">
        <v>603090040991</v>
      </c>
      <c r="C28" s="272" t="s">
        <v>657</v>
      </c>
      <c r="D28" s="264"/>
      <c r="E28" s="433">
        <v>0</v>
      </c>
      <c r="F28" s="470">
        <f>2935239.73/5*12</f>
        <v>7044575.352</v>
      </c>
      <c r="G28" s="264">
        <v>7044575.352</v>
      </c>
      <c r="H28" s="264">
        <v>7044575.352</v>
      </c>
      <c r="I28" s="264">
        <v>7044575.352</v>
      </c>
      <c r="J28" s="264">
        <v>7044575.352</v>
      </c>
      <c r="K28" s="271">
        <v>7044575.352</v>
      </c>
      <c r="L28" s="271">
        <v>7044575.352</v>
      </c>
      <c r="M28" s="271">
        <v>7044575.352</v>
      </c>
      <c r="N28" s="261">
        <f t="shared" si="2"/>
        <v>56356602.815999992</v>
      </c>
      <c r="O28" s="256"/>
      <c r="P28" s="256"/>
      <c r="Q28" s="256"/>
      <c r="R28" s="256"/>
    </row>
    <row r="29" spans="1:18" s="443" customFormat="1" ht="16.5" x14ac:dyDescent="0.3">
      <c r="A29" s="434" t="s">
        <v>628</v>
      </c>
      <c r="B29" s="435"/>
      <c r="C29" s="436" t="s">
        <v>630</v>
      </c>
      <c r="D29" s="436"/>
      <c r="E29" s="437"/>
      <c r="F29" s="438">
        <v>1372000</v>
      </c>
      <c r="G29" s="439">
        <v>30892000</v>
      </c>
      <c r="H29" s="439">
        <v>25658000.000000004</v>
      </c>
      <c r="I29" s="439">
        <v>20256000</v>
      </c>
      <c r="J29" s="439">
        <v>14856000</v>
      </c>
      <c r="K29" s="440">
        <v>9456000</v>
      </c>
      <c r="L29" s="440">
        <v>4056000</v>
      </c>
      <c r="M29" s="441">
        <v>168000.00000000003</v>
      </c>
      <c r="N29" s="430"/>
      <c r="O29" s="442"/>
      <c r="P29" s="442"/>
      <c r="Q29" s="442"/>
      <c r="R29" s="442"/>
    </row>
    <row r="30" spans="1:18" ht="16.5" x14ac:dyDescent="0.3">
      <c r="A30" s="256"/>
      <c r="B30" s="256"/>
      <c r="C30" s="257"/>
      <c r="D30" s="257"/>
      <c r="E30" s="428">
        <f>SUM(E18:E28)</f>
        <v>30476407</v>
      </c>
      <c r="F30" s="429">
        <f t="shared" ref="F30:M30" si="4">SUM(F22:F29)</f>
        <v>45539229.687999994</v>
      </c>
      <c r="G30" s="429">
        <f t="shared" si="4"/>
        <v>75059229.687999994</v>
      </c>
      <c r="H30" s="429">
        <f t="shared" si="4"/>
        <v>69825229.687999994</v>
      </c>
      <c r="I30" s="429">
        <f t="shared" si="4"/>
        <v>64423229.687999994</v>
      </c>
      <c r="J30" s="429">
        <f t="shared" si="4"/>
        <v>59023229.687999994</v>
      </c>
      <c r="K30" s="429">
        <f t="shared" si="4"/>
        <v>53623229.687999994</v>
      </c>
      <c r="L30" s="429">
        <f t="shared" si="4"/>
        <v>48223229.687999994</v>
      </c>
      <c r="M30" s="429">
        <f t="shared" si="4"/>
        <v>44335229.687999994</v>
      </c>
      <c r="N30" s="258"/>
      <c r="O30" s="256"/>
      <c r="P30" s="256"/>
      <c r="Q30" s="256"/>
      <c r="R30" s="256"/>
    </row>
    <row r="31" spans="1:18" ht="16.5" x14ac:dyDescent="0.3">
      <c r="A31" s="256"/>
      <c r="B31" s="256"/>
      <c r="C31" s="257"/>
      <c r="D31" s="257"/>
      <c r="E31" s="257"/>
      <c r="F31" s="257"/>
      <c r="G31" s="257"/>
      <c r="H31" s="257"/>
      <c r="I31" s="257"/>
      <c r="J31" s="257"/>
      <c r="K31" s="256"/>
      <c r="L31" s="256"/>
      <c r="M31" s="256"/>
      <c r="N31" s="256"/>
      <c r="O31" s="256"/>
      <c r="P31" s="256"/>
      <c r="Q31" s="256"/>
      <c r="R31" s="256"/>
    </row>
    <row r="32" spans="1:18" s="236" customFormat="1" ht="16.5" x14ac:dyDescent="0.3">
      <c r="A32" s="305" t="s">
        <v>361</v>
      </c>
      <c r="B32" s="305" t="s">
        <v>362</v>
      </c>
      <c r="C32" s="306" t="s">
        <v>552</v>
      </c>
      <c r="D32" s="306" t="s">
        <v>364</v>
      </c>
      <c r="E32" s="306" t="s">
        <v>626</v>
      </c>
      <c r="F32" s="614" t="s">
        <v>627</v>
      </c>
      <c r="G32" s="614"/>
      <c r="H32" s="614"/>
      <c r="I32" s="614"/>
      <c r="J32" s="614"/>
      <c r="K32" s="614"/>
      <c r="L32" s="614"/>
      <c r="M32" s="614"/>
      <c r="N32" s="614"/>
      <c r="O32" s="614"/>
      <c r="P32" s="259"/>
      <c r="Q32" s="271"/>
      <c r="R32" s="271"/>
    </row>
    <row r="33" spans="1:18" s="236" customFormat="1" ht="16.5" x14ac:dyDescent="0.3">
      <c r="A33" s="305"/>
      <c r="B33" s="305"/>
      <c r="C33" s="306"/>
      <c r="D33" s="306"/>
      <c r="E33" s="306"/>
      <c r="F33" s="306" t="s">
        <v>383</v>
      </c>
      <c r="G33" s="306" t="s">
        <v>384</v>
      </c>
      <c r="H33" s="306" t="s">
        <v>385</v>
      </c>
      <c r="I33" s="306" t="s">
        <v>386</v>
      </c>
      <c r="J33" s="306" t="s">
        <v>387</v>
      </c>
      <c r="K33" s="305" t="s">
        <v>388</v>
      </c>
      <c r="L33" s="305" t="s">
        <v>389</v>
      </c>
      <c r="M33" s="305" t="s">
        <v>390</v>
      </c>
      <c r="N33" s="305" t="s">
        <v>615</v>
      </c>
      <c r="O33" s="305" t="s">
        <v>391</v>
      </c>
      <c r="P33" s="259"/>
      <c r="Q33" s="271"/>
      <c r="R33" s="271"/>
    </row>
    <row r="34" spans="1:18" s="236" customFormat="1" ht="16.5" x14ac:dyDescent="0.3">
      <c r="A34" s="267" t="s">
        <v>369</v>
      </c>
      <c r="B34" s="268" t="s">
        <v>370</v>
      </c>
      <c r="C34" s="424">
        <v>100000</v>
      </c>
      <c r="D34" s="269" t="s">
        <v>371</v>
      </c>
      <c r="E34" s="424">
        <v>100000</v>
      </c>
      <c r="F34" s="260">
        <f>E34-100000</f>
        <v>0</v>
      </c>
      <c r="G34" s="260">
        <v>0</v>
      </c>
      <c r="H34" s="260">
        <v>0</v>
      </c>
      <c r="I34" s="260">
        <v>0</v>
      </c>
      <c r="J34" s="260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f>SUM(F34:N34)</f>
        <v>0</v>
      </c>
      <c r="P34" s="271"/>
      <c r="Q34" s="271"/>
      <c r="R34" s="271"/>
    </row>
    <row r="35" spans="1:18" s="236" customFormat="1" ht="16.5" x14ac:dyDescent="0.3">
      <c r="A35" s="270" t="s">
        <v>369</v>
      </c>
      <c r="B35" s="271" t="s">
        <v>373</v>
      </c>
      <c r="C35" s="425">
        <v>16351000</v>
      </c>
      <c r="D35" s="273" t="s">
        <v>374</v>
      </c>
      <c r="E35" s="272">
        <v>16350999.840000004</v>
      </c>
      <c r="F35" s="520">
        <f>E35-4087750</f>
        <v>12263249.840000004</v>
      </c>
      <c r="G35" s="272">
        <f>F35-4087750</f>
        <v>8175499.8400000036</v>
      </c>
      <c r="H35" s="272">
        <f>G35-4087750</f>
        <v>4087749.8400000036</v>
      </c>
      <c r="I35" s="272">
        <f>H35-4087750</f>
        <v>-0.15999999642372131</v>
      </c>
      <c r="J35" s="260">
        <v>0</v>
      </c>
      <c r="K35" s="261">
        <v>0</v>
      </c>
      <c r="L35" s="261">
        <v>0</v>
      </c>
      <c r="M35" s="261">
        <v>0</v>
      </c>
      <c r="N35" s="261">
        <v>0</v>
      </c>
      <c r="O35" s="261">
        <f t="shared" ref="O35:O41" si="5">SUM(F35:N35)</f>
        <v>24526499.360000014</v>
      </c>
      <c r="P35" s="271"/>
      <c r="Q35" s="271"/>
      <c r="R35" s="271"/>
    </row>
    <row r="36" spans="1:18" s="236" customFormat="1" ht="16.5" x14ac:dyDescent="0.3">
      <c r="A36" s="270" t="s">
        <v>369</v>
      </c>
      <c r="B36" s="271" t="s">
        <v>376</v>
      </c>
      <c r="C36" s="425">
        <v>1265237.1100000001</v>
      </c>
      <c r="D36" s="273" t="s">
        <v>377</v>
      </c>
      <c r="E36" s="272">
        <v>1265237</v>
      </c>
      <c r="F36" s="520">
        <f>E36-1238305</f>
        <v>26932</v>
      </c>
      <c r="G36" s="272">
        <f>F36-26932</f>
        <v>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61">
        <f t="shared" si="5"/>
        <v>26932</v>
      </c>
      <c r="P36" s="271"/>
      <c r="Q36" s="271"/>
      <c r="R36" s="271"/>
    </row>
    <row r="37" spans="1:18" s="236" customFormat="1" ht="16.5" x14ac:dyDescent="0.3">
      <c r="A37" s="270" t="s">
        <v>369</v>
      </c>
      <c r="B37" s="271" t="s">
        <v>378</v>
      </c>
      <c r="C37" s="425">
        <v>63430114.399999999</v>
      </c>
      <c r="D37" s="273" t="s">
        <v>377</v>
      </c>
      <c r="E37" s="272">
        <v>63430114</v>
      </c>
      <c r="F37" s="520">
        <f t="shared" ref="F37:K37" si="6">E37-9424688</f>
        <v>54005426</v>
      </c>
      <c r="G37" s="272">
        <f t="shared" si="6"/>
        <v>44580738</v>
      </c>
      <c r="H37" s="272">
        <f t="shared" si="6"/>
        <v>35156050</v>
      </c>
      <c r="I37" s="272">
        <f t="shared" si="6"/>
        <v>25731362</v>
      </c>
      <c r="J37" s="272">
        <f t="shared" si="6"/>
        <v>16306674</v>
      </c>
      <c r="K37" s="272">
        <f t="shared" si="6"/>
        <v>6881986</v>
      </c>
      <c r="L37" s="272">
        <f>K37-6881986</f>
        <v>0</v>
      </c>
      <c r="M37" s="272">
        <v>0</v>
      </c>
      <c r="N37" s="272">
        <v>0</v>
      </c>
      <c r="O37" s="261">
        <f t="shared" si="5"/>
        <v>182662236</v>
      </c>
      <c r="P37" s="271"/>
      <c r="Q37" s="271"/>
      <c r="R37" s="271"/>
    </row>
    <row r="38" spans="1:18" s="236" customFormat="1" ht="16.5" x14ac:dyDescent="0.3">
      <c r="A38" s="270" t="s">
        <v>59</v>
      </c>
      <c r="B38" s="271" t="s">
        <v>379</v>
      </c>
      <c r="C38" s="425">
        <v>196984000</v>
      </c>
      <c r="D38" s="273" t="s">
        <v>380</v>
      </c>
      <c r="E38" s="425">
        <v>196984000</v>
      </c>
      <c r="F38" s="272">
        <f t="shared" ref="F38:K38" si="7">E38-25764000</f>
        <v>171220000</v>
      </c>
      <c r="G38" s="272">
        <f t="shared" si="7"/>
        <v>145456000</v>
      </c>
      <c r="H38" s="272">
        <f t="shared" si="7"/>
        <v>119692000</v>
      </c>
      <c r="I38" s="272">
        <f t="shared" si="7"/>
        <v>93928000</v>
      </c>
      <c r="J38" s="272">
        <f t="shared" si="7"/>
        <v>68164000</v>
      </c>
      <c r="K38" s="272">
        <f t="shared" si="7"/>
        <v>42400000</v>
      </c>
      <c r="L38" s="262">
        <f>K38-34352000</f>
        <v>8048000</v>
      </c>
      <c r="M38" s="262">
        <f>L38-8048000</f>
        <v>0</v>
      </c>
      <c r="N38" s="262">
        <v>0</v>
      </c>
      <c r="O38" s="261">
        <f t="shared" si="5"/>
        <v>648908000</v>
      </c>
      <c r="P38" s="271"/>
      <c r="Q38" s="271"/>
      <c r="R38" s="271"/>
    </row>
    <row r="39" spans="1:18" s="236" customFormat="1" ht="16.5" x14ac:dyDescent="0.3">
      <c r="A39" s="270" t="s">
        <v>369</v>
      </c>
      <c r="B39" s="271" t="s">
        <v>623</v>
      </c>
      <c r="C39" s="272">
        <v>0</v>
      </c>
      <c r="D39" s="273" t="s">
        <v>377</v>
      </c>
      <c r="E39" s="272">
        <v>50000000</v>
      </c>
      <c r="F39" s="272">
        <f>E39-3000000</f>
        <v>47000000</v>
      </c>
      <c r="G39" s="272">
        <f>F39+54895726</f>
        <v>101895726</v>
      </c>
      <c r="H39" s="272">
        <f>G39</f>
        <v>101895726</v>
      </c>
      <c r="I39" s="272">
        <f t="shared" ref="I39:L39" si="8">H39</f>
        <v>101895726</v>
      </c>
      <c r="J39" s="272">
        <f t="shared" si="8"/>
        <v>101895726</v>
      </c>
      <c r="K39" s="272">
        <f t="shared" si="8"/>
        <v>101895726</v>
      </c>
      <c r="L39" s="272">
        <f t="shared" si="8"/>
        <v>101895726</v>
      </c>
      <c r="M39" s="523"/>
      <c r="N39" s="262"/>
      <c r="O39" s="261">
        <f t="shared" si="5"/>
        <v>658374356</v>
      </c>
      <c r="P39" s="271"/>
      <c r="Q39" s="271"/>
      <c r="R39" s="271"/>
    </row>
    <row r="40" spans="1:18" s="236" customFormat="1" x14ac:dyDescent="0.35">
      <c r="A40" s="270" t="s">
        <v>619</v>
      </c>
      <c r="B40" s="427">
        <v>603090040991</v>
      </c>
      <c r="C40" s="272"/>
      <c r="D40" s="273"/>
      <c r="E40" s="272"/>
      <c r="F40" s="272"/>
      <c r="G40" s="272"/>
      <c r="H40" s="272"/>
      <c r="I40" s="272"/>
      <c r="J40" s="272"/>
      <c r="K40" s="262"/>
      <c r="L40" s="262"/>
      <c r="M40" s="262"/>
      <c r="N40" s="262"/>
      <c r="O40" s="262"/>
      <c r="P40" s="271"/>
      <c r="Q40" s="271"/>
      <c r="R40" s="271"/>
    </row>
    <row r="41" spans="1:18" s="437" customFormat="1" x14ac:dyDescent="0.35">
      <c r="A41" s="521" t="s">
        <v>629</v>
      </c>
      <c r="B41" s="521"/>
      <c r="C41" s="520"/>
      <c r="D41" s="522">
        <v>95</v>
      </c>
      <c r="E41" s="520"/>
      <c r="F41" s="520"/>
      <c r="G41" s="520">
        <f>'[1]Loan Schedule'!$AP$3*10^5</f>
        <v>360000000</v>
      </c>
      <c r="H41" s="520">
        <f>'[1]Loan Schedule'!$AP$4*10^5</f>
        <v>312500000</v>
      </c>
      <c r="I41" s="520">
        <f>'[1]Loan Schedule'!$AP$5*10^5</f>
        <v>252500000</v>
      </c>
      <c r="J41" s="520">
        <f>'[1]Loan Schedule'!$AP$6*10^5</f>
        <v>192500000.00000003</v>
      </c>
      <c r="K41" s="520">
        <f>'[1]Loan Schedule'!$AP$7*10^5</f>
        <v>132500000.00000003</v>
      </c>
      <c r="L41" s="520">
        <f>'[1]Loan Schedule'!$AP$8*10^5</f>
        <v>72500000.000000015</v>
      </c>
      <c r="M41" s="523">
        <f>'[1]Loan Schedule'!$AP$9*10^5</f>
        <v>12500000.000000017</v>
      </c>
      <c r="N41" s="521"/>
      <c r="O41" s="261">
        <f t="shared" si="5"/>
        <v>1335000000</v>
      </c>
      <c r="P41" s="441"/>
      <c r="Q41" s="441"/>
      <c r="R41" s="441"/>
    </row>
    <row r="42" spans="1:18" s="236" customFormat="1" x14ac:dyDescent="0.35">
      <c r="A42" s="271"/>
      <c r="B42" s="271" t="s">
        <v>553</v>
      </c>
      <c r="C42" s="272">
        <v>3878115</v>
      </c>
      <c r="D42" s="264"/>
      <c r="E42" s="272"/>
      <c r="F42" s="386">
        <f>C42-776801</f>
        <v>3101314</v>
      </c>
      <c r="G42" s="386">
        <f>F42-776801</f>
        <v>2324513</v>
      </c>
      <c r="H42" s="386">
        <f>G42-776801</f>
        <v>1547712</v>
      </c>
      <c r="I42" s="386">
        <f>H42-776801</f>
        <v>770911</v>
      </c>
      <c r="J42" s="386">
        <f>I42-770911</f>
        <v>0</v>
      </c>
      <c r="K42" s="386">
        <v>0</v>
      </c>
      <c r="L42" s="386">
        <v>0</v>
      </c>
      <c r="M42" s="386">
        <v>0</v>
      </c>
      <c r="N42" s="271"/>
      <c r="O42" s="261">
        <f t="shared" ref="O42" si="9">SUM(F42:N42)</f>
        <v>7744450</v>
      </c>
      <c r="P42" s="271"/>
      <c r="Q42" s="271"/>
      <c r="R42" s="271"/>
    </row>
    <row r="43" spans="1:18" s="236" customFormat="1" x14ac:dyDescent="0.35">
      <c r="A43" s="271"/>
      <c r="B43" s="271" t="s">
        <v>554</v>
      </c>
      <c r="C43" s="272">
        <f>SUM(C34:C42)</f>
        <v>282008466.50999999</v>
      </c>
      <c r="D43" s="264"/>
      <c r="E43" s="272"/>
      <c r="F43" s="272">
        <f>SUM(F34:F42)</f>
        <v>287616921.84000003</v>
      </c>
      <c r="G43" s="272">
        <f>SUM(G34:G42)</f>
        <v>662432476.84000003</v>
      </c>
      <c r="H43" s="272">
        <f t="shared" ref="H43:M43" si="10">SUM(H34:H42)</f>
        <v>574879237.84000003</v>
      </c>
      <c r="I43" s="272">
        <f t="shared" si="10"/>
        <v>474825998.84000003</v>
      </c>
      <c r="J43" s="272">
        <f t="shared" si="10"/>
        <v>378866400</v>
      </c>
      <c r="K43" s="272">
        <f t="shared" si="10"/>
        <v>283677712</v>
      </c>
      <c r="L43" s="272">
        <f t="shared" si="10"/>
        <v>182443726</v>
      </c>
      <c r="M43" s="272">
        <f t="shared" si="10"/>
        <v>12500000.000000017</v>
      </c>
      <c r="N43" s="271"/>
      <c r="O43" s="271"/>
      <c r="P43" s="271"/>
      <c r="Q43" s="271"/>
      <c r="R43" s="271"/>
    </row>
    <row r="44" spans="1:18" ht="16.5" hidden="1" x14ac:dyDescent="0.3">
      <c r="A44" s="256"/>
      <c r="B44" s="256" t="s">
        <v>433</v>
      </c>
      <c r="C44" s="257"/>
      <c r="D44" s="257"/>
      <c r="E44" s="257"/>
      <c r="F44" s="263">
        <f>C43-F43</f>
        <v>-5608455.3300000429</v>
      </c>
      <c r="G44" s="263">
        <f>F44-G43</f>
        <v>-668040932.17000008</v>
      </c>
      <c r="H44" s="263">
        <f t="shared" ref="H44:N44" si="11">G44-H43</f>
        <v>-1242920170.0100002</v>
      </c>
      <c r="I44" s="263">
        <f t="shared" si="11"/>
        <v>-1717746168.8500004</v>
      </c>
      <c r="J44" s="263">
        <f t="shared" si="11"/>
        <v>-2096612568.8500004</v>
      </c>
      <c r="K44" s="263">
        <f t="shared" si="11"/>
        <v>-2380290280.8500004</v>
      </c>
      <c r="L44" s="263">
        <f t="shared" si="11"/>
        <v>-2562734006.8500004</v>
      </c>
      <c r="M44" s="263">
        <f t="shared" si="11"/>
        <v>-2575234006.8500004</v>
      </c>
      <c r="N44" s="263">
        <f t="shared" si="11"/>
        <v>-2575234006.8500004</v>
      </c>
      <c r="O44" s="256"/>
      <c r="P44" s="256"/>
      <c r="Q44" s="256"/>
      <c r="R44" s="256"/>
    </row>
    <row r="45" spans="1:18" x14ac:dyDescent="0.35">
      <c r="A45" s="256"/>
      <c r="B45" s="256"/>
      <c r="C45" s="257"/>
      <c r="D45" s="257"/>
      <c r="E45" s="257"/>
      <c r="F45" s="257"/>
      <c r="G45" s="263">
        <f>SUM(G34:G39)-SUM(F34:F39)-54895726</f>
        <v>-39303370</v>
      </c>
      <c r="H45" s="263">
        <f t="shared" ref="H45:L45" si="12">SUM(H34:H39)-SUM(G34:G39)</f>
        <v>-39276438.00000003</v>
      </c>
      <c r="I45" s="263">
        <f t="shared" si="12"/>
        <v>-39276438</v>
      </c>
      <c r="J45" s="263">
        <f t="shared" si="12"/>
        <v>-35188687.840000004</v>
      </c>
      <c r="K45" s="263">
        <f t="shared" si="12"/>
        <v>-35188688</v>
      </c>
      <c r="L45" s="263">
        <f t="shared" si="12"/>
        <v>-41233986</v>
      </c>
      <c r="M45" s="256"/>
      <c r="N45" s="256"/>
      <c r="O45" s="256"/>
      <c r="P45" s="256"/>
      <c r="Q45" s="256"/>
      <c r="R45" s="256"/>
    </row>
    <row r="46" spans="1:18" x14ac:dyDescent="0.35">
      <c r="A46" s="256"/>
      <c r="B46" s="256"/>
      <c r="C46" s="257"/>
      <c r="D46" s="257"/>
      <c r="E46" s="257"/>
      <c r="F46" s="257"/>
      <c r="G46" s="263"/>
      <c r="H46" s="263"/>
      <c r="I46" s="263"/>
      <c r="J46" s="263"/>
      <c r="K46" s="263"/>
      <c r="L46" s="263"/>
      <c r="M46" s="256"/>
      <c r="N46" s="256"/>
      <c r="O46" s="256"/>
      <c r="P46" s="256"/>
      <c r="Q46" s="256"/>
      <c r="R46" s="256"/>
    </row>
    <row r="47" spans="1:18" x14ac:dyDescent="0.35">
      <c r="A47" s="305" t="s">
        <v>361</v>
      </c>
      <c r="B47" s="305" t="s">
        <v>362</v>
      </c>
      <c r="C47" s="306" t="s">
        <v>552</v>
      </c>
      <c r="D47" s="306" t="s">
        <v>364</v>
      </c>
      <c r="E47" s="615" t="s">
        <v>637</v>
      </c>
      <c r="F47" s="614" t="s">
        <v>638</v>
      </c>
      <c r="G47" s="614"/>
      <c r="H47" s="614"/>
      <c r="I47" s="614"/>
      <c r="J47" s="614"/>
      <c r="K47" s="614"/>
      <c r="L47" s="614"/>
      <c r="M47" s="614"/>
      <c r="N47" s="614"/>
      <c r="O47" s="614"/>
      <c r="P47" s="256"/>
      <c r="Q47" s="256"/>
      <c r="R47" s="256"/>
    </row>
    <row r="48" spans="1:18" x14ac:dyDescent="0.35">
      <c r="A48" s="305"/>
      <c r="B48" s="305"/>
      <c r="C48" s="306"/>
      <c r="D48" s="306"/>
      <c r="E48" s="616"/>
      <c r="F48" s="306" t="s">
        <v>383</v>
      </c>
      <c r="G48" s="306" t="s">
        <v>384</v>
      </c>
      <c r="H48" s="306" t="s">
        <v>385</v>
      </c>
      <c r="I48" s="306" t="s">
        <v>386</v>
      </c>
      <c r="J48" s="306" t="s">
        <v>387</v>
      </c>
      <c r="K48" s="305" t="s">
        <v>388</v>
      </c>
      <c r="L48" s="305" t="s">
        <v>389</v>
      </c>
      <c r="M48" s="305" t="s">
        <v>390</v>
      </c>
      <c r="N48" s="305" t="s">
        <v>615</v>
      </c>
      <c r="O48" s="305" t="s">
        <v>391</v>
      </c>
      <c r="P48" s="256"/>
      <c r="Q48" s="256"/>
      <c r="R48" s="256"/>
    </row>
    <row r="49" spans="1:18" x14ac:dyDescent="0.35">
      <c r="A49" s="267" t="s">
        <v>369</v>
      </c>
      <c r="B49" s="268" t="s">
        <v>370</v>
      </c>
      <c r="C49" s="424">
        <v>100000</v>
      </c>
      <c r="D49" s="269" t="s">
        <v>371</v>
      </c>
      <c r="E49" s="424">
        <v>100000</v>
      </c>
      <c r="F49" s="260">
        <f>100000</f>
        <v>100000</v>
      </c>
      <c r="G49" s="607" t="s">
        <v>639</v>
      </c>
      <c r="H49" s="608"/>
      <c r="I49" s="608"/>
      <c r="J49" s="608"/>
      <c r="K49" s="608"/>
      <c r="L49" s="608"/>
      <c r="M49" s="608"/>
      <c r="N49" s="609"/>
      <c r="O49" s="261">
        <f>SUM(F49:N49)</f>
        <v>100000</v>
      </c>
      <c r="P49" s="256"/>
      <c r="Q49" s="256"/>
      <c r="R49" s="256"/>
    </row>
    <row r="50" spans="1:18" x14ac:dyDescent="0.35">
      <c r="A50" s="270" t="s">
        <v>369</v>
      </c>
      <c r="B50" s="271" t="s">
        <v>373</v>
      </c>
      <c r="C50" s="425">
        <v>16351000</v>
      </c>
      <c r="D50" s="273" t="s">
        <v>374</v>
      </c>
      <c r="E50" s="272">
        <v>16350999.840000004</v>
      </c>
      <c r="F50" s="272">
        <v>4087750</v>
      </c>
      <c r="G50" s="272">
        <f>4087750</f>
        <v>4087750</v>
      </c>
      <c r="H50" s="272">
        <f>4087750</f>
        <v>4087750</v>
      </c>
      <c r="I50" s="272">
        <f>4087750</f>
        <v>4087750</v>
      </c>
      <c r="J50" s="260">
        <v>0</v>
      </c>
      <c r="K50" s="261">
        <v>0</v>
      </c>
      <c r="L50" s="261">
        <v>0</v>
      </c>
      <c r="M50" s="261">
        <v>0</v>
      </c>
      <c r="N50" s="261">
        <v>0</v>
      </c>
      <c r="O50" s="261">
        <f t="shared" ref="O50:O53" si="13">SUM(F50:N50)</f>
        <v>16351000</v>
      </c>
      <c r="P50" s="256"/>
      <c r="Q50" s="256"/>
      <c r="R50" s="256"/>
    </row>
    <row r="51" spans="1:18" x14ac:dyDescent="0.35">
      <c r="A51" s="270" t="s">
        <v>369</v>
      </c>
      <c r="B51" s="271" t="s">
        <v>376</v>
      </c>
      <c r="C51" s="425">
        <v>1265237.1100000001</v>
      </c>
      <c r="D51" s="273" t="s">
        <v>377</v>
      </c>
      <c r="E51" s="272">
        <v>1265237</v>
      </c>
      <c r="F51" s="272">
        <f>1238305</f>
        <v>1238305</v>
      </c>
      <c r="G51" s="272">
        <f>26932</f>
        <v>26932</v>
      </c>
      <c r="H51" s="610" t="s">
        <v>639</v>
      </c>
      <c r="I51" s="611"/>
      <c r="J51" s="611"/>
      <c r="K51" s="611"/>
      <c r="L51" s="611"/>
      <c r="M51" s="611"/>
      <c r="N51" s="612"/>
      <c r="O51" s="261">
        <f t="shared" si="13"/>
        <v>1265237</v>
      </c>
      <c r="P51" s="256"/>
      <c r="Q51" s="256"/>
      <c r="R51" s="256"/>
    </row>
    <row r="52" spans="1:18" x14ac:dyDescent="0.35">
      <c r="A52" s="270" t="s">
        <v>369</v>
      </c>
      <c r="B52" s="271" t="s">
        <v>378</v>
      </c>
      <c r="C52" s="425">
        <v>63430114.399999999</v>
      </c>
      <c r="D52" s="273" t="s">
        <v>377</v>
      </c>
      <c r="E52" s="272">
        <v>63430114</v>
      </c>
      <c r="F52" s="272">
        <v>9424688</v>
      </c>
      <c r="G52" s="272">
        <f>9424688</f>
        <v>9424688</v>
      </c>
      <c r="H52" s="272">
        <f>9424688</f>
        <v>9424688</v>
      </c>
      <c r="I52" s="272">
        <f>9424688</f>
        <v>9424688</v>
      </c>
      <c r="J52" s="272">
        <f>9424688</f>
        <v>9424688</v>
      </c>
      <c r="K52" s="272">
        <f>9424688</f>
        <v>9424688</v>
      </c>
      <c r="L52" s="272">
        <f>6881986</f>
        <v>6881986</v>
      </c>
      <c r="M52" s="272">
        <v>0</v>
      </c>
      <c r="N52" s="272">
        <v>0</v>
      </c>
      <c r="O52" s="261">
        <f t="shared" si="13"/>
        <v>63430114</v>
      </c>
      <c r="P52" s="256"/>
      <c r="Q52" s="256"/>
      <c r="R52" s="256"/>
    </row>
    <row r="53" spans="1:18" x14ac:dyDescent="0.35">
      <c r="A53" s="270" t="s">
        <v>59</v>
      </c>
      <c r="B53" s="271" t="s">
        <v>379</v>
      </c>
      <c r="C53" s="425">
        <v>196984000</v>
      </c>
      <c r="D53" s="273" t="s">
        <v>380</v>
      </c>
      <c r="E53" s="425">
        <v>196984000</v>
      </c>
      <c r="F53" s="272">
        <f t="shared" ref="F53:K53" si="14">25764000</f>
        <v>25764000</v>
      </c>
      <c r="G53" s="272">
        <f t="shared" si="14"/>
        <v>25764000</v>
      </c>
      <c r="H53" s="272">
        <f t="shared" si="14"/>
        <v>25764000</v>
      </c>
      <c r="I53" s="272">
        <f t="shared" si="14"/>
        <v>25764000</v>
      </c>
      <c r="J53" s="272">
        <f t="shared" si="14"/>
        <v>25764000</v>
      </c>
      <c r="K53" s="272">
        <f t="shared" si="14"/>
        <v>25764000</v>
      </c>
      <c r="L53" s="262">
        <f>34352000</f>
        <v>34352000</v>
      </c>
      <c r="M53" s="262">
        <f>8048000</f>
        <v>8048000</v>
      </c>
      <c r="N53" s="262">
        <v>0</v>
      </c>
      <c r="O53" s="261">
        <f t="shared" si="13"/>
        <v>196984000</v>
      </c>
      <c r="P53" s="256"/>
      <c r="Q53" s="256"/>
      <c r="R53" s="256"/>
    </row>
    <row r="54" spans="1:18" x14ac:dyDescent="0.35">
      <c r="A54" s="270" t="s">
        <v>369</v>
      </c>
      <c r="B54" s="271" t="s">
        <v>623</v>
      </c>
      <c r="C54" s="272">
        <v>0</v>
      </c>
      <c r="D54" s="273" t="s">
        <v>377</v>
      </c>
      <c r="E54" s="272">
        <v>50000000</v>
      </c>
      <c r="F54">
        <v>0</v>
      </c>
      <c r="G54" s="272">
        <f>3000000</f>
        <v>3000000</v>
      </c>
      <c r="H54" s="272">
        <v>12000000</v>
      </c>
      <c r="I54" s="425">
        <v>15000000</v>
      </c>
      <c r="J54" s="425">
        <v>18000000</v>
      </c>
      <c r="K54" s="425">
        <v>18000000</v>
      </c>
      <c r="L54" s="457">
        <v>24000000</v>
      </c>
      <c r="M54" s="457">
        <v>24000000</v>
      </c>
      <c r="N54" s="262"/>
      <c r="O54" s="261">
        <f>SUM(G54:N54)</f>
        <v>114000000</v>
      </c>
      <c r="P54" s="256"/>
      <c r="Q54" s="256"/>
      <c r="R54" s="256"/>
    </row>
    <row r="55" spans="1:18" x14ac:dyDescent="0.35">
      <c r="A55" s="270" t="s">
        <v>619</v>
      </c>
      <c r="B55" s="427">
        <v>603090040991</v>
      </c>
      <c r="C55" s="272"/>
      <c r="D55" s="273"/>
      <c r="E55" s="272"/>
      <c r="F55" s="272"/>
      <c r="G55" s="272"/>
      <c r="H55" s="272"/>
      <c r="I55" s="272"/>
      <c r="J55" s="272"/>
      <c r="K55" s="262"/>
      <c r="L55" s="262"/>
      <c r="M55" s="262"/>
      <c r="N55" s="262"/>
      <c r="O55" s="262"/>
      <c r="P55" s="256"/>
      <c r="Q55" s="256"/>
      <c r="R55" s="256"/>
    </row>
    <row r="56" spans="1:18" x14ac:dyDescent="0.35">
      <c r="A56" s="525" t="s">
        <v>629</v>
      </c>
      <c r="B56" s="471"/>
      <c r="C56" s="472"/>
      <c r="D56" s="473"/>
      <c r="E56" s="472"/>
      <c r="F56" s="472"/>
      <c r="G56" s="472">
        <f>'[1]Loan Schedule'!$AO$3*10^5</f>
        <v>0</v>
      </c>
      <c r="H56" s="524">
        <f>'[1]Loan Schedule'!$AO$4*10^5</f>
        <v>47500000</v>
      </c>
      <c r="I56" s="524">
        <f>'[1]Loan Schedule'!$AO$5*10^5</f>
        <v>60000000</v>
      </c>
      <c r="J56" s="524">
        <f>'[1]Loan Schedule'!$AO$6*10^5</f>
        <v>60000000</v>
      </c>
      <c r="K56" s="524">
        <f>'[1]Loan Schedule'!$AO$7*10^5</f>
        <v>60000000</v>
      </c>
      <c r="L56" s="524">
        <f>'[1]Loan Schedule'!$AO$8*10^5</f>
        <v>60000000</v>
      </c>
      <c r="M56" s="524">
        <f>'[1]Loan Schedule'!$AO$9*10^5</f>
        <v>60000000</v>
      </c>
      <c r="N56" s="524">
        <f>125*10^5</f>
        <v>12500000</v>
      </c>
      <c r="O56" s="261">
        <f>SUM(G56:N56)</f>
        <v>360000000</v>
      </c>
      <c r="P56" s="256"/>
      <c r="Q56" s="256"/>
      <c r="R56" s="256"/>
    </row>
    <row r="57" spans="1:18" x14ac:dyDescent="0.35">
      <c r="A57" s="270"/>
      <c r="B57" s="427"/>
      <c r="C57" s="272"/>
      <c r="D57" s="273"/>
      <c r="E57" s="272"/>
      <c r="F57" s="272"/>
      <c r="G57" s="272"/>
      <c r="H57" s="272"/>
      <c r="I57" s="272"/>
      <c r="J57" s="272"/>
      <c r="K57" s="262"/>
      <c r="L57" s="262"/>
      <c r="M57" s="262"/>
      <c r="N57" s="262"/>
      <c r="O57" s="262"/>
      <c r="P57" s="256"/>
      <c r="Q57" s="256"/>
      <c r="R57" s="256"/>
    </row>
    <row r="58" spans="1:18" x14ac:dyDescent="0.35">
      <c r="A58" s="270" t="s">
        <v>640</v>
      </c>
      <c r="B58" s="427"/>
      <c r="C58" s="272"/>
      <c r="D58" s="273"/>
      <c r="E58" s="272"/>
      <c r="F58" s="272">
        <f t="shared" ref="F58:M58" si="15">SUM(F49:F57)</f>
        <v>40614743</v>
      </c>
      <c r="G58" s="272">
        <f t="shared" si="15"/>
        <v>42303370</v>
      </c>
      <c r="H58" s="272">
        <f t="shared" si="15"/>
        <v>98776438</v>
      </c>
      <c r="I58" s="272">
        <f t="shared" si="15"/>
        <v>114276438</v>
      </c>
      <c r="J58" s="272">
        <f t="shared" si="15"/>
        <v>113188688</v>
      </c>
      <c r="K58" s="272">
        <f t="shared" si="15"/>
        <v>113188688</v>
      </c>
      <c r="L58" s="272">
        <f t="shared" si="15"/>
        <v>125233986</v>
      </c>
      <c r="M58" s="272">
        <f t="shared" si="15"/>
        <v>92048000</v>
      </c>
      <c r="N58" s="262"/>
      <c r="O58" s="262"/>
      <c r="P58" s="256"/>
      <c r="Q58" s="256"/>
      <c r="R58" s="256"/>
    </row>
    <row r="59" spans="1:18" x14ac:dyDescent="0.35">
      <c r="A59" s="270"/>
      <c r="B59" s="427"/>
      <c r="C59" s="272"/>
      <c r="D59" s="273"/>
      <c r="E59" s="272"/>
      <c r="F59" s="272"/>
      <c r="G59" s="272"/>
      <c r="H59" s="272"/>
      <c r="I59" s="272"/>
      <c r="J59" s="272"/>
      <c r="K59" s="262"/>
      <c r="L59" s="262"/>
      <c r="M59" s="262"/>
      <c r="N59" s="262"/>
      <c r="O59" s="262"/>
      <c r="P59" s="256"/>
      <c r="Q59" s="256"/>
      <c r="R59" s="256"/>
    </row>
    <row r="60" spans="1:18" x14ac:dyDescent="0.35">
      <c r="A60" s="270"/>
      <c r="B60" s="427"/>
      <c r="C60" s="272"/>
      <c r="D60" s="273"/>
      <c r="E60" s="272"/>
      <c r="F60" s="272"/>
      <c r="G60" s="272"/>
      <c r="H60" s="272"/>
      <c r="I60" s="272"/>
      <c r="J60" s="272"/>
      <c r="K60" s="262"/>
      <c r="L60" s="262"/>
      <c r="M60" s="262"/>
      <c r="N60" s="262"/>
      <c r="O60" s="262"/>
      <c r="P60" s="256"/>
      <c r="Q60" s="256"/>
      <c r="R60" s="256"/>
    </row>
    <row r="61" spans="1:18" x14ac:dyDescent="0.35">
      <c r="A61" s="271"/>
      <c r="B61" s="271"/>
      <c r="C61" s="272"/>
      <c r="D61" s="264"/>
      <c r="E61" s="272"/>
      <c r="F61" s="272"/>
      <c r="G61" s="272"/>
      <c r="H61" s="272"/>
      <c r="I61" s="272"/>
      <c r="J61" s="272"/>
      <c r="K61" s="262"/>
      <c r="L61" s="262"/>
      <c r="M61" s="262"/>
      <c r="N61" s="271"/>
      <c r="O61" s="271"/>
      <c r="P61" s="256"/>
      <c r="Q61" s="256"/>
      <c r="R61" s="256"/>
    </row>
    <row r="62" spans="1:18" x14ac:dyDescent="0.35">
      <c r="A62" s="271"/>
      <c r="B62" s="271" t="s">
        <v>553</v>
      </c>
      <c r="C62" s="272">
        <v>3878115</v>
      </c>
      <c r="D62" s="264"/>
      <c r="E62" s="272"/>
      <c r="F62" s="386">
        <f>776801</f>
        <v>776801</v>
      </c>
      <c r="G62" s="386">
        <f>776801</f>
        <v>776801</v>
      </c>
      <c r="H62" s="386">
        <f>776801</f>
        <v>776801</v>
      </c>
      <c r="I62" s="386">
        <f>776801</f>
        <v>776801</v>
      </c>
      <c r="J62" s="386">
        <f>770911</f>
        <v>770911</v>
      </c>
      <c r="K62" s="386">
        <v>0</v>
      </c>
      <c r="L62" s="386">
        <v>0</v>
      </c>
      <c r="M62" s="386">
        <v>0</v>
      </c>
      <c r="N62" s="271"/>
      <c r="O62" s="261">
        <f t="shared" ref="O62" si="16">SUM(F62:N62)</f>
        <v>3878115</v>
      </c>
      <c r="P62" s="256"/>
      <c r="Q62" s="256"/>
      <c r="R62" s="256"/>
    </row>
    <row r="63" spans="1:18" x14ac:dyDescent="0.35">
      <c r="A63" s="256"/>
      <c r="B63" s="256"/>
      <c r="C63" s="257"/>
      <c r="D63" s="257"/>
      <c r="E63" s="257"/>
      <c r="F63" s="257"/>
      <c r="G63" s="257"/>
      <c r="H63" s="278"/>
      <c r="I63" s="279"/>
      <c r="J63" s="277"/>
      <c r="K63" s="256"/>
      <c r="L63" s="256"/>
      <c r="M63" s="256"/>
      <c r="N63" s="256"/>
      <c r="O63" s="256"/>
      <c r="P63" s="256"/>
      <c r="Q63" s="256"/>
      <c r="R63" s="256"/>
    </row>
    <row r="64" spans="1:18" x14ac:dyDescent="0.35">
      <c r="A64" s="256"/>
      <c r="B64" s="256"/>
      <c r="C64" s="257"/>
      <c r="D64" s="257"/>
      <c r="E64" s="257"/>
      <c r="F64" s="257"/>
      <c r="G64" s="263">
        <f>SUM(G50:G53)</f>
        <v>39303370</v>
      </c>
      <c r="H64" s="275"/>
      <c r="I64" s="276"/>
      <c r="J64" s="277"/>
      <c r="K64" s="256"/>
      <c r="L64" s="256"/>
      <c r="M64" s="256"/>
      <c r="N64" s="256"/>
      <c r="O64" s="256"/>
      <c r="P64" s="256"/>
      <c r="Q64" s="256"/>
      <c r="R64" s="256"/>
    </row>
    <row r="65" spans="1:18" x14ac:dyDescent="0.35">
      <c r="A65" s="256"/>
      <c r="B65" s="256"/>
      <c r="C65" s="257"/>
      <c r="D65" s="257"/>
      <c r="E65" s="257"/>
      <c r="F65" s="257"/>
      <c r="G65" s="257"/>
      <c r="H65" s="257"/>
      <c r="I65" s="257"/>
      <c r="J65" s="257"/>
      <c r="K65" s="256"/>
      <c r="L65" s="256"/>
      <c r="M65" s="256"/>
      <c r="N65" s="256"/>
      <c r="O65" s="256"/>
      <c r="P65" s="256"/>
      <c r="Q65" s="256"/>
      <c r="R65" s="256"/>
    </row>
    <row r="66" spans="1:18" x14ac:dyDescent="0.35">
      <c r="A66" s="256"/>
      <c r="B66" s="256"/>
      <c r="C66" s="257"/>
      <c r="D66" s="257"/>
      <c r="E66" s="257"/>
      <c r="F66" s="257"/>
      <c r="G66" s="469">
        <f>G53/12*3</f>
        <v>6441000</v>
      </c>
      <c r="H66" s="469">
        <f>G66/10^5</f>
        <v>64.41</v>
      </c>
      <c r="I66" s="257"/>
      <c r="J66" s="257"/>
      <c r="K66" s="256"/>
      <c r="L66" s="256"/>
      <c r="M66" s="256"/>
      <c r="N66" s="256"/>
      <c r="O66" s="256" t="s">
        <v>616</v>
      </c>
      <c r="P66" s="256"/>
      <c r="Q66" s="256"/>
      <c r="R66" s="256"/>
    </row>
    <row r="67" spans="1:18" x14ac:dyDescent="0.35">
      <c r="A67" s="256"/>
      <c r="B67" s="256"/>
      <c r="C67" s="257"/>
      <c r="D67" s="257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P67" s="256"/>
      <c r="Q67" s="256"/>
      <c r="R67" s="256"/>
    </row>
    <row r="68" spans="1:18" x14ac:dyDescent="0.35">
      <c r="A68" s="256"/>
      <c r="B68" s="256"/>
      <c r="C68" s="257"/>
      <c r="D68" s="257"/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P68" s="256"/>
      <c r="Q68" s="256"/>
      <c r="R68" s="256"/>
    </row>
    <row r="69" spans="1:18" x14ac:dyDescent="0.35">
      <c r="A69" s="256"/>
      <c r="B69" s="256"/>
      <c r="C69" s="257"/>
      <c r="D69" s="257"/>
      <c r="E69" s="410"/>
      <c r="F69" s="410"/>
      <c r="G69" s="410"/>
      <c r="H69" s="410"/>
      <c r="I69" s="410"/>
      <c r="J69" s="410"/>
      <c r="K69" s="410"/>
      <c r="L69" s="410"/>
      <c r="M69" s="410"/>
      <c r="N69" s="410"/>
      <c r="P69" s="256"/>
      <c r="Q69" s="256"/>
      <c r="R69" s="256"/>
    </row>
    <row r="70" spans="1:18" x14ac:dyDescent="0.35">
      <c r="A70" s="256"/>
      <c r="B70" s="256"/>
      <c r="C70" s="257"/>
      <c r="D70" s="257"/>
      <c r="E70" s="257"/>
      <c r="F70" s="257"/>
      <c r="G70" s="257"/>
      <c r="H70" s="257"/>
      <c r="I70" s="257"/>
      <c r="J70" s="257"/>
      <c r="K70" s="256"/>
      <c r="L70" s="256"/>
      <c r="M70" s="256"/>
      <c r="N70" s="256"/>
      <c r="O70" s="256"/>
      <c r="P70" s="256"/>
      <c r="Q70" s="256"/>
      <c r="R70" s="256"/>
    </row>
    <row r="71" spans="1:18" x14ac:dyDescent="0.35">
      <c r="A71" s="256"/>
      <c r="B71" s="256"/>
      <c r="C71" s="257"/>
      <c r="D71" s="257"/>
      <c r="E71" s="257"/>
      <c r="F71" s="410"/>
      <c r="G71" s="410"/>
      <c r="H71" s="410"/>
      <c r="I71" s="410"/>
      <c r="J71" s="410"/>
      <c r="K71" s="410"/>
      <c r="L71" s="410"/>
      <c r="M71" s="410"/>
      <c r="N71" s="410"/>
      <c r="O71" s="410"/>
      <c r="P71" s="256"/>
      <c r="Q71" s="256"/>
      <c r="R71" s="256"/>
    </row>
    <row r="72" spans="1:18" x14ac:dyDescent="0.35">
      <c r="A72" s="256"/>
      <c r="B72" s="256"/>
      <c r="C72" s="257"/>
      <c r="D72" s="257"/>
      <c r="E72" s="257"/>
      <c r="F72" s="410"/>
      <c r="G72" s="410"/>
      <c r="H72" s="410"/>
      <c r="I72" s="410"/>
      <c r="J72" s="410"/>
      <c r="K72" s="410"/>
      <c r="L72" s="410"/>
      <c r="M72" s="410"/>
      <c r="N72" s="410"/>
      <c r="O72" s="410"/>
      <c r="P72" s="256"/>
      <c r="Q72" s="256"/>
      <c r="R72" s="256"/>
    </row>
    <row r="73" spans="1:18" x14ac:dyDescent="0.35">
      <c r="A73" s="256"/>
      <c r="B73" s="256"/>
      <c r="C73" s="263"/>
      <c r="D73" s="263"/>
      <c r="E73" s="263"/>
      <c r="F73" s="415"/>
      <c r="G73" s="415"/>
      <c r="H73" s="415"/>
      <c r="I73" s="415"/>
      <c r="J73" s="415"/>
      <c r="K73" s="415"/>
      <c r="L73" s="415"/>
      <c r="M73" s="415"/>
      <c r="N73" s="415"/>
      <c r="O73" s="415"/>
      <c r="P73" s="256"/>
      <c r="Q73" s="256"/>
      <c r="R73" s="256"/>
    </row>
    <row r="74" spans="1:18" x14ac:dyDescent="0.35">
      <c r="A74" s="258"/>
      <c r="B74" s="256"/>
      <c r="C74" s="257"/>
      <c r="D74" s="257"/>
      <c r="E74" s="257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256"/>
      <c r="Q74" s="256"/>
      <c r="R74" s="256"/>
    </row>
    <row r="76" spans="1:18" x14ac:dyDescent="0.35">
      <c r="A76" s="256"/>
      <c r="F76" s="415"/>
      <c r="G76" s="415"/>
      <c r="H76" s="415"/>
      <c r="I76" s="415"/>
      <c r="J76" s="415"/>
      <c r="K76" s="415"/>
      <c r="L76" s="415"/>
      <c r="M76" s="415"/>
      <c r="N76" s="415"/>
      <c r="O76" s="415"/>
    </row>
  </sheetData>
  <mergeCells count="7">
    <mergeCell ref="G49:N49"/>
    <mergeCell ref="H51:N51"/>
    <mergeCell ref="E6:N6"/>
    <mergeCell ref="E16:N16"/>
    <mergeCell ref="F32:O32"/>
    <mergeCell ref="E47:E48"/>
    <mergeCell ref="F47:O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Index</vt:lpstr>
      <vt:lpstr>Financial Statements</vt:lpstr>
      <vt:lpstr>Detailed PL, TP &amp; TR</vt:lpstr>
      <vt:lpstr>Detailed BS</vt:lpstr>
      <vt:lpstr>Assumption</vt:lpstr>
      <vt:lpstr>CFS</vt:lpstr>
      <vt:lpstr>ITComputation</vt:lpstr>
      <vt:lpstr>Loan Repayment</vt:lpstr>
      <vt:lpstr>Existing Loan Working Updated</vt:lpstr>
      <vt:lpstr>Existing Loan Working</vt:lpstr>
      <vt:lpstr>WC</vt:lpstr>
      <vt:lpstr>Bank Loan Workings</vt:lpstr>
      <vt:lpstr>DEP-Co'sAct</vt:lpstr>
      <vt:lpstr>Dep-IT</vt:lpstr>
      <vt:lpstr>DSCR</vt:lpstr>
      <vt:lpstr>Sheet2</vt:lpstr>
      <vt:lpstr>new project</vt:lpstr>
      <vt:lpstr>dep as per It</vt:lpstr>
      <vt:lpstr>Debt</vt:lpstr>
      <vt:lpstr>Evaluation</vt:lpstr>
      <vt:lpstr>Depreciation new</vt:lpstr>
      <vt:lpstr>Fixed Assets - Existing</vt:lpstr>
      <vt:lpstr>'Bank Loan Workings'!Print_Area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2024-12-03T10:21:02Z</dcterms:modified>
</cp:coreProperties>
</file>