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 activeTab="4"/>
  </bookViews>
  <sheets>
    <sheet name="INDEX" sheetId="18" r:id="rId1"/>
    <sheet name="ASSUMPTION" sheetId="7" r:id="rId2"/>
    <sheet name="PROJECT COST" sheetId="1" r:id="rId3"/>
    <sheet name="Location- PL" sheetId="10" r:id="rId4"/>
    <sheet name="Conso-PL" sheetId="12" r:id="rId5"/>
    <sheet name="Location -BS" sheetId="13" r:id="rId6"/>
    <sheet name="Conso-BS" sheetId="15" r:id="rId7"/>
    <sheet name="Location-CFS" sheetId="14" r:id="rId8"/>
    <sheet name="Conso-CFS" sheetId="16" r:id="rId9"/>
    <sheet name="Location-DSCR" sheetId="21" r:id="rId10"/>
    <sheet name="Conso-DSCR" sheetId="23" r:id="rId11"/>
    <sheet name="WCR" sheetId="22" state="hidden" r:id="rId12"/>
    <sheet name="List of Plant &amp; Machinery" sheetId="20" r:id="rId13"/>
    <sheet name="Detailed Revenue&amp;Expenses" sheetId="24" r:id="rId14"/>
    <sheet name="Loan Schedule" sheetId="8" r:id="rId15"/>
    <sheet name="Depreciation Schedule" sheetId="11" r:id="rId16"/>
    <sheet name="CapitalReimb. sch" sheetId="9" r:id="rId17"/>
    <sheet name="P&amp;L" sheetId="2" state="hidden" r:id="rId18"/>
    <sheet name="EMI Schedule(basic)" sheetId="3" state="hidden" r:id="rId19"/>
    <sheet name="CR (basic)" sheetId="4" state="hidden" r:id="rId20"/>
    <sheet name="Depreciation" sheetId="5" state="hidden" r:id="rId21"/>
    <sheet name="PL-Yearly" sheetId="6" state="hidden" r:id="rId22"/>
    <sheet name="Sheet1" sheetId="19" state="hidden" r:id="rId2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0" l="1"/>
  <c r="G22" i="20"/>
  <c r="G21" i="20"/>
  <c r="G20" i="20"/>
  <c r="G17" i="20"/>
  <c r="G11" i="20"/>
  <c r="G9" i="20"/>
  <c r="G8" i="20"/>
  <c r="G7" i="20"/>
  <c r="G6" i="20"/>
  <c r="G5" i="20"/>
  <c r="G4" i="20"/>
  <c r="AM19" i="8" l="1"/>
  <c r="F36" i="24"/>
  <c r="J33" i="24"/>
  <c r="I33" i="24"/>
  <c r="R18" i="1" l="1"/>
  <c r="Q18" i="1"/>
  <c r="R14" i="1"/>
  <c r="Q14" i="1"/>
  <c r="R13" i="1"/>
  <c r="R12" i="1"/>
  <c r="Q13" i="1"/>
  <c r="Q12" i="1"/>
  <c r="P12" i="1"/>
  <c r="O12" i="1"/>
  <c r="M7" i="23"/>
  <c r="L7" i="23"/>
  <c r="M61" i="21"/>
  <c r="L61" i="21"/>
  <c r="M59" i="21"/>
  <c r="L59" i="21"/>
  <c r="M58" i="21"/>
  <c r="L58" i="21"/>
  <c r="M57" i="21"/>
  <c r="L57" i="21"/>
  <c r="M54" i="21"/>
  <c r="L54" i="21"/>
  <c r="M53" i="21"/>
  <c r="L53" i="21"/>
  <c r="M52" i="21"/>
  <c r="L52" i="21"/>
  <c r="M51" i="21"/>
  <c r="L51" i="21"/>
  <c r="M46" i="21"/>
  <c r="L46" i="21"/>
  <c r="M44" i="21"/>
  <c r="L44" i="21"/>
  <c r="M43" i="21"/>
  <c r="L43" i="21"/>
  <c r="M42" i="21"/>
  <c r="L42" i="21"/>
  <c r="M39" i="21"/>
  <c r="L39" i="21"/>
  <c r="M38" i="21"/>
  <c r="L38" i="21"/>
  <c r="M37" i="21"/>
  <c r="L37" i="21"/>
  <c r="M36" i="21"/>
  <c r="L36" i="21"/>
  <c r="M29" i="21"/>
  <c r="L29" i="21"/>
  <c r="M28" i="21"/>
  <c r="L28" i="21"/>
  <c r="M27" i="21"/>
  <c r="L27" i="21"/>
  <c r="M23" i="21"/>
  <c r="L23" i="21"/>
  <c r="M22" i="21"/>
  <c r="L22" i="21"/>
  <c r="M7" i="21"/>
  <c r="L7" i="21"/>
  <c r="M30" i="15" l="1"/>
  <c r="L30" i="15"/>
  <c r="M28" i="15"/>
  <c r="L28" i="15"/>
  <c r="M19" i="15"/>
  <c r="L19" i="15"/>
  <c r="M18" i="15"/>
  <c r="L18" i="15"/>
  <c r="M17" i="15"/>
  <c r="L17" i="15"/>
  <c r="M12" i="15"/>
  <c r="L12" i="15"/>
  <c r="M11" i="15"/>
  <c r="L11" i="15"/>
  <c r="M6" i="15"/>
  <c r="L6" i="15"/>
  <c r="M24" i="16"/>
  <c r="M22" i="16"/>
  <c r="L22" i="16"/>
  <c r="M21" i="16"/>
  <c r="L21" i="16"/>
  <c r="M17" i="16"/>
  <c r="L17" i="16"/>
  <c r="M16" i="16"/>
  <c r="L16" i="16"/>
  <c r="M8" i="16"/>
  <c r="M7" i="16"/>
  <c r="L7" i="16"/>
  <c r="M127" i="14"/>
  <c r="M126" i="14"/>
  <c r="L127" i="14"/>
  <c r="L126" i="14"/>
  <c r="M124" i="14"/>
  <c r="L124" i="14"/>
  <c r="M122" i="14"/>
  <c r="L122" i="14"/>
  <c r="M121" i="14"/>
  <c r="L121" i="14"/>
  <c r="M120" i="14"/>
  <c r="L120" i="14"/>
  <c r="M114" i="14"/>
  <c r="L114" i="14"/>
  <c r="M109" i="14"/>
  <c r="L109" i="14"/>
  <c r="M108" i="14"/>
  <c r="L108" i="14"/>
  <c r="M106" i="14"/>
  <c r="L106" i="14"/>
  <c r="M105" i="14"/>
  <c r="L105" i="14"/>
  <c r="M104" i="14"/>
  <c r="L104" i="14"/>
  <c r="M102" i="14"/>
  <c r="L102" i="14"/>
  <c r="M93" i="14"/>
  <c r="L93" i="14"/>
  <c r="M91" i="14"/>
  <c r="L91" i="14"/>
  <c r="M89" i="14"/>
  <c r="L89" i="14"/>
  <c r="M83" i="14"/>
  <c r="L83" i="14"/>
  <c r="M78" i="14"/>
  <c r="L78" i="14"/>
  <c r="M77" i="14"/>
  <c r="L77" i="14"/>
  <c r="M75" i="14"/>
  <c r="L75" i="14"/>
  <c r="M74" i="14"/>
  <c r="L74" i="14"/>
  <c r="M73" i="14"/>
  <c r="L73" i="14"/>
  <c r="M71" i="14"/>
  <c r="L71" i="14"/>
  <c r="M59" i="14"/>
  <c r="L59" i="14"/>
  <c r="M58" i="14"/>
  <c r="L58" i="14"/>
  <c r="M57" i="14"/>
  <c r="L57" i="14"/>
  <c r="M51" i="14"/>
  <c r="L51" i="14"/>
  <c r="M42" i="14"/>
  <c r="L42" i="14"/>
  <c r="M41" i="14"/>
  <c r="L41" i="14"/>
  <c r="M26" i="14"/>
  <c r="M19" i="14"/>
  <c r="L19" i="14"/>
  <c r="M13" i="14"/>
  <c r="L13" i="14"/>
  <c r="M10" i="14"/>
  <c r="M9" i="14"/>
  <c r="L9" i="14"/>
  <c r="M99" i="13"/>
  <c r="M101" i="13" s="1"/>
  <c r="L99" i="13"/>
  <c r="L101" i="13" s="1"/>
  <c r="M98" i="13"/>
  <c r="L98" i="13"/>
  <c r="M96" i="13"/>
  <c r="M94" i="13"/>
  <c r="L96" i="13"/>
  <c r="M95" i="13"/>
  <c r="L95" i="13"/>
  <c r="L94" i="13"/>
  <c r="M91" i="13"/>
  <c r="L91" i="13"/>
  <c r="M88" i="13"/>
  <c r="L88" i="13"/>
  <c r="M87" i="13"/>
  <c r="M85" i="13"/>
  <c r="L87" i="13"/>
  <c r="M86" i="13"/>
  <c r="L86" i="13"/>
  <c r="L85" i="13"/>
  <c r="M73" i="13"/>
  <c r="L73" i="13"/>
  <c r="M71" i="13"/>
  <c r="M69" i="13"/>
  <c r="L71" i="13"/>
  <c r="M70" i="13"/>
  <c r="L70" i="13"/>
  <c r="L69" i="13"/>
  <c r="M64" i="13"/>
  <c r="L64" i="13"/>
  <c r="M63" i="13"/>
  <c r="L63" i="13"/>
  <c r="M61" i="13"/>
  <c r="L61" i="13"/>
  <c r="M47" i="13"/>
  <c r="M21" i="15" s="1"/>
  <c r="M45" i="13"/>
  <c r="M43" i="13"/>
  <c r="L45" i="13"/>
  <c r="M44" i="13"/>
  <c r="L44" i="13"/>
  <c r="L43" i="13"/>
  <c r="M11" i="13"/>
  <c r="L11" i="13"/>
  <c r="M37" i="13"/>
  <c r="L37" i="13"/>
  <c r="M21" i="13"/>
  <c r="L21" i="13"/>
  <c r="M19" i="13"/>
  <c r="M18" i="13"/>
  <c r="M17" i="13"/>
  <c r="L19" i="13"/>
  <c r="L18" i="13"/>
  <c r="L17" i="13"/>
  <c r="M36" i="12"/>
  <c r="L36" i="12"/>
  <c r="M35" i="12"/>
  <c r="L35" i="12"/>
  <c r="N8" i="12"/>
  <c r="N7" i="12"/>
  <c r="N21" i="12"/>
  <c r="N17" i="12"/>
  <c r="M23" i="12"/>
  <c r="L23" i="12"/>
  <c r="M21" i="12"/>
  <c r="L21" i="12"/>
  <c r="M20" i="12"/>
  <c r="L20" i="12"/>
  <c r="M18" i="12"/>
  <c r="L18" i="12"/>
  <c r="M17" i="12"/>
  <c r="L17" i="12"/>
  <c r="M13" i="12"/>
  <c r="L13" i="12"/>
  <c r="M12" i="12"/>
  <c r="L12" i="12"/>
  <c r="M10" i="12"/>
  <c r="L10" i="12"/>
  <c r="M9" i="12"/>
  <c r="L9" i="12"/>
  <c r="M8" i="12"/>
  <c r="L8" i="12"/>
  <c r="M7" i="12"/>
  <c r="L7" i="12"/>
  <c r="N121" i="10"/>
  <c r="N120" i="10"/>
  <c r="N119" i="10"/>
  <c r="N118" i="10"/>
  <c r="N117" i="10"/>
  <c r="N116" i="10"/>
  <c r="N115" i="10"/>
  <c r="M124" i="10"/>
  <c r="L124" i="10"/>
  <c r="M122" i="10"/>
  <c r="L122" i="10"/>
  <c r="M121" i="10"/>
  <c r="L121" i="10"/>
  <c r="M120" i="10"/>
  <c r="L120" i="10"/>
  <c r="M119" i="10"/>
  <c r="L119" i="10"/>
  <c r="M118" i="10"/>
  <c r="L118" i="10"/>
  <c r="M117" i="10"/>
  <c r="L117" i="10"/>
  <c r="M116" i="10"/>
  <c r="L116" i="10"/>
  <c r="M115" i="10"/>
  <c r="L115" i="10"/>
  <c r="N111" i="10"/>
  <c r="N110" i="10"/>
  <c r="N109" i="10"/>
  <c r="N108" i="10"/>
  <c r="N107" i="10"/>
  <c r="N106" i="10"/>
  <c r="N105" i="10"/>
  <c r="M112" i="10"/>
  <c r="L112" i="10"/>
  <c r="M111" i="10"/>
  <c r="L111" i="10"/>
  <c r="M110" i="10"/>
  <c r="L110" i="10"/>
  <c r="M109" i="10"/>
  <c r="L109" i="10"/>
  <c r="M108" i="10"/>
  <c r="L108" i="10"/>
  <c r="M107" i="10"/>
  <c r="L107" i="10"/>
  <c r="M106" i="10"/>
  <c r="L106" i="10"/>
  <c r="M105" i="10"/>
  <c r="L105" i="10"/>
  <c r="N89" i="10"/>
  <c r="N87" i="10"/>
  <c r="N85" i="10"/>
  <c r="N84" i="10"/>
  <c r="N83" i="10"/>
  <c r="M92" i="10"/>
  <c r="L92" i="10"/>
  <c r="M90" i="10"/>
  <c r="L90" i="10"/>
  <c r="M89" i="10"/>
  <c r="L89" i="10"/>
  <c r="M88" i="10"/>
  <c r="L88" i="10"/>
  <c r="M87" i="10"/>
  <c r="L87" i="10"/>
  <c r="M86" i="10"/>
  <c r="L86" i="10"/>
  <c r="M85" i="10"/>
  <c r="L85" i="10"/>
  <c r="M84" i="10"/>
  <c r="L84" i="10"/>
  <c r="M83" i="10"/>
  <c r="L83" i="10"/>
  <c r="N79" i="10"/>
  <c r="N78" i="10"/>
  <c r="N77" i="10"/>
  <c r="N76" i="10"/>
  <c r="N75" i="10"/>
  <c r="N74" i="10"/>
  <c r="N73" i="10"/>
  <c r="M80" i="10"/>
  <c r="L80" i="10"/>
  <c r="M79" i="10"/>
  <c r="L79" i="10"/>
  <c r="M78" i="10"/>
  <c r="L78" i="10"/>
  <c r="M77" i="10"/>
  <c r="L77" i="10"/>
  <c r="M76" i="10"/>
  <c r="L76" i="10"/>
  <c r="M75" i="10"/>
  <c r="L75" i="10"/>
  <c r="M74" i="10"/>
  <c r="L74" i="10"/>
  <c r="M73" i="10"/>
  <c r="L73" i="10"/>
  <c r="N70" i="10"/>
  <c r="N55" i="10"/>
  <c r="N54" i="10"/>
  <c r="N53" i="10"/>
  <c r="N51" i="10"/>
  <c r="N42" i="10"/>
  <c r="N41" i="10"/>
  <c r="N25" i="10"/>
  <c r="N24" i="10"/>
  <c r="N23" i="10"/>
  <c r="N22" i="10"/>
  <c r="N20" i="10"/>
  <c r="N19" i="10"/>
  <c r="N15" i="10"/>
  <c r="N14" i="10"/>
  <c r="N13" i="10"/>
  <c r="N12" i="10"/>
  <c r="N11" i="10"/>
  <c r="N10" i="10"/>
  <c r="N9" i="10"/>
  <c r="M57" i="10"/>
  <c r="L57" i="10"/>
  <c r="M55" i="10"/>
  <c r="L55" i="10"/>
  <c r="M54" i="10"/>
  <c r="L54" i="10"/>
  <c r="M53" i="10"/>
  <c r="L53" i="10"/>
  <c r="M52" i="10"/>
  <c r="L52" i="10"/>
  <c r="M51" i="10"/>
  <c r="L51" i="10"/>
  <c r="M48" i="10"/>
  <c r="L48" i="10"/>
  <c r="L47" i="13" s="1"/>
  <c r="M47" i="10"/>
  <c r="L47" i="10"/>
  <c r="M46" i="10"/>
  <c r="L46" i="10"/>
  <c r="M45" i="10"/>
  <c r="M11" i="12" s="1"/>
  <c r="M14" i="12" s="1"/>
  <c r="L45" i="10"/>
  <c r="M44" i="10"/>
  <c r="L44" i="10"/>
  <c r="M43" i="10"/>
  <c r="L43" i="10"/>
  <c r="M42" i="10"/>
  <c r="L42" i="10"/>
  <c r="M41" i="10"/>
  <c r="L41" i="10"/>
  <c r="M25" i="10"/>
  <c r="L25" i="10"/>
  <c r="M24" i="10"/>
  <c r="L24" i="10"/>
  <c r="M23" i="10"/>
  <c r="L23" i="10"/>
  <c r="M22" i="10"/>
  <c r="L22" i="10"/>
  <c r="M20" i="10"/>
  <c r="L20" i="10"/>
  <c r="M19" i="10"/>
  <c r="L19" i="10"/>
  <c r="M16" i="10"/>
  <c r="L16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O96" i="24"/>
  <c r="N96" i="24"/>
  <c r="O95" i="24"/>
  <c r="N95" i="24"/>
  <c r="O94" i="24"/>
  <c r="N94" i="24"/>
  <c r="O93" i="24"/>
  <c r="N93" i="24"/>
  <c r="O92" i="24"/>
  <c r="N92" i="24"/>
  <c r="O91" i="24"/>
  <c r="N91" i="24"/>
  <c r="O90" i="24"/>
  <c r="N90" i="24"/>
  <c r="AH12" i="8"/>
  <c r="AH13" i="8"/>
  <c r="AJ12" i="8"/>
  <c r="AJ13" i="8"/>
  <c r="AK12" i="8"/>
  <c r="AK13" i="8"/>
  <c r="AL12" i="8"/>
  <c r="AL13" i="8"/>
  <c r="O89" i="24"/>
  <c r="N89" i="24"/>
  <c r="O88" i="24"/>
  <c r="N88" i="24"/>
  <c r="O86" i="24"/>
  <c r="N86" i="24"/>
  <c r="O85" i="24"/>
  <c r="N85" i="24"/>
  <c r="O84" i="24"/>
  <c r="N84" i="24"/>
  <c r="O82" i="24"/>
  <c r="N82" i="24"/>
  <c r="O81" i="24"/>
  <c r="N81" i="24"/>
  <c r="O80" i="24"/>
  <c r="N80" i="24"/>
  <c r="O79" i="24"/>
  <c r="N79" i="24"/>
  <c r="O73" i="24"/>
  <c r="N73" i="24"/>
  <c r="O72" i="24"/>
  <c r="N72" i="24"/>
  <c r="O71" i="24"/>
  <c r="N71" i="24"/>
  <c r="O70" i="24"/>
  <c r="N70" i="24"/>
  <c r="O69" i="24"/>
  <c r="N69" i="24"/>
  <c r="O68" i="24"/>
  <c r="N68" i="24"/>
  <c r="O67" i="24"/>
  <c r="N67" i="24"/>
  <c r="O66" i="24"/>
  <c r="N66" i="24"/>
  <c r="O65" i="24"/>
  <c r="N65" i="24"/>
  <c r="O63" i="24"/>
  <c r="N63" i="24"/>
  <c r="O62" i="24"/>
  <c r="N62" i="24"/>
  <c r="O61" i="24"/>
  <c r="N61" i="24"/>
  <c r="O59" i="24"/>
  <c r="N59" i="24"/>
  <c r="O58" i="24"/>
  <c r="O33" i="24"/>
  <c r="O41" i="24" s="1"/>
  <c r="N33" i="24"/>
  <c r="N41" i="24" s="1"/>
  <c r="M33" i="24"/>
  <c r="L33" i="24"/>
  <c r="K33" i="24"/>
  <c r="H33" i="24"/>
  <c r="G33" i="24"/>
  <c r="O7" i="24"/>
  <c r="O15" i="24" s="1"/>
  <c r="N7" i="24"/>
  <c r="N15" i="24" s="1"/>
  <c r="M7" i="24"/>
  <c r="L7" i="24"/>
  <c r="K7" i="24"/>
  <c r="J7" i="24"/>
  <c r="I7" i="24"/>
  <c r="H7" i="24"/>
  <c r="G7" i="24"/>
  <c r="N58" i="24"/>
  <c r="O57" i="24"/>
  <c r="N57" i="24"/>
  <c r="O56" i="24"/>
  <c r="N56" i="24"/>
  <c r="O46" i="24"/>
  <c r="N46" i="24"/>
  <c r="O44" i="24"/>
  <c r="N44" i="24"/>
  <c r="O43" i="24"/>
  <c r="N43" i="24"/>
  <c r="O42" i="24"/>
  <c r="N42" i="24"/>
  <c r="O40" i="24"/>
  <c r="N40" i="24"/>
  <c r="O37" i="24"/>
  <c r="N37" i="24"/>
  <c r="O36" i="24"/>
  <c r="N36" i="24"/>
  <c r="O32" i="24"/>
  <c r="N32" i="24"/>
  <c r="O31" i="24"/>
  <c r="N31" i="24"/>
  <c r="O19" i="24"/>
  <c r="N19" i="24"/>
  <c r="O18" i="24"/>
  <c r="N18" i="24"/>
  <c r="L28" i="11"/>
  <c r="K28" i="11"/>
  <c r="L27" i="11"/>
  <c r="K27" i="11"/>
  <c r="L26" i="11"/>
  <c r="K26" i="11"/>
  <c r="L25" i="11"/>
  <c r="K25" i="11"/>
  <c r="L24" i="11"/>
  <c r="K24" i="11"/>
  <c r="L23" i="11"/>
  <c r="K23" i="11"/>
  <c r="L19" i="11"/>
  <c r="K21" i="11"/>
  <c r="K20" i="11"/>
  <c r="K19" i="11"/>
  <c r="M18" i="11"/>
  <c r="L16" i="11"/>
  <c r="L15" i="11"/>
  <c r="L14" i="11"/>
  <c r="K16" i="11"/>
  <c r="K15" i="11"/>
  <c r="K14" i="11"/>
  <c r="M13" i="11"/>
  <c r="L11" i="11"/>
  <c r="L10" i="11"/>
  <c r="L9" i="11"/>
  <c r="K11" i="11"/>
  <c r="K10" i="11"/>
  <c r="K9" i="11"/>
  <c r="M8" i="11"/>
  <c r="L6" i="11"/>
  <c r="L5" i="11"/>
  <c r="L4" i="11"/>
  <c r="K6" i="11"/>
  <c r="K5" i="11"/>
  <c r="K4" i="11"/>
  <c r="M3" i="11"/>
  <c r="O17" i="24"/>
  <c r="N17" i="24"/>
  <c r="F12" i="8"/>
  <c r="G12" i="8"/>
  <c r="M25" i="14" s="1"/>
  <c r="H12" i="8"/>
  <c r="O16" i="24" s="1"/>
  <c r="M21" i="10" s="1"/>
  <c r="O14" i="24"/>
  <c r="N14" i="24"/>
  <c r="O11" i="24"/>
  <c r="N11" i="24"/>
  <c r="O10" i="24"/>
  <c r="N10" i="24"/>
  <c r="O6" i="24"/>
  <c r="O5" i="24"/>
  <c r="N5" i="24"/>
  <c r="M8" i="21" l="1"/>
  <c r="M26" i="10"/>
  <c r="M28" i="10" s="1"/>
  <c r="M19" i="12"/>
  <c r="M13" i="21"/>
  <c r="M13" i="23" s="1"/>
  <c r="M27" i="14"/>
  <c r="M23" i="16"/>
  <c r="M25" i="16" s="1"/>
  <c r="N45" i="10"/>
  <c r="M45" i="14"/>
  <c r="L45" i="14"/>
  <c r="L11" i="16" s="1"/>
  <c r="L21" i="15"/>
  <c r="L11" i="12"/>
  <c r="O38" i="24"/>
  <c r="O34" i="24"/>
  <c r="N34" i="24"/>
  <c r="N38" i="24" s="1"/>
  <c r="O8" i="24"/>
  <c r="O12" i="24" s="1"/>
  <c r="L20" i="11"/>
  <c r="L21" i="11" s="1"/>
  <c r="M6" i="21" l="1"/>
  <c r="M9" i="21" s="1"/>
  <c r="M33" i="12"/>
  <c r="M7" i="14"/>
  <c r="M11" i="14" s="1"/>
  <c r="M14" i="14" s="1"/>
  <c r="M29" i="14" s="1"/>
  <c r="M9" i="13"/>
  <c r="M12" i="21"/>
  <c r="M14" i="21" s="1"/>
  <c r="M8" i="23"/>
  <c r="M12" i="23" s="1"/>
  <c r="M14" i="23" s="1"/>
  <c r="L14" i="12"/>
  <c r="N11" i="12"/>
  <c r="M11" i="16"/>
  <c r="O45" i="24"/>
  <c r="N45" i="24"/>
  <c r="O20" i="24"/>
  <c r="O21" i="24" s="1"/>
  <c r="O25" i="24" s="1"/>
  <c r="M16" i="21" l="1"/>
  <c r="O48" i="24"/>
  <c r="O49" i="24" s="1"/>
  <c r="M56" i="10"/>
  <c r="N48" i="24"/>
  <c r="N49" i="24" s="1"/>
  <c r="L56" i="10"/>
  <c r="N8" i="24"/>
  <c r="N12" i="24" s="1"/>
  <c r="N6" i="24"/>
  <c r="M58" i="10" l="1"/>
  <c r="M60" i="10" s="1"/>
  <c r="M22" i="12"/>
  <c r="M24" i="12" s="1"/>
  <c r="M26" i="12" s="1"/>
  <c r="L22" i="12"/>
  <c r="L58" i="10"/>
  <c r="L60" i="10" s="1"/>
  <c r="N20" i="24"/>
  <c r="R10" i="1"/>
  <c r="Q10" i="1"/>
  <c r="P10" i="1"/>
  <c r="O10" i="1"/>
  <c r="R5" i="1"/>
  <c r="Q5" i="1"/>
  <c r="P5" i="1"/>
  <c r="O5" i="1"/>
  <c r="M21" i="21" l="1"/>
  <c r="M35" i="13"/>
  <c r="M9" i="15" s="1"/>
  <c r="M34" i="12"/>
  <c r="M37" i="12" s="1"/>
  <c r="M38" i="12" s="1"/>
  <c r="M39" i="14"/>
  <c r="L21" i="21"/>
  <c r="L35" i="13"/>
  <c r="L39" i="14"/>
  <c r="L34" i="12"/>
  <c r="C29" i="11"/>
  <c r="C28" i="11"/>
  <c r="D57" i="14"/>
  <c r="D25" i="14"/>
  <c r="M24" i="21" l="1"/>
  <c r="M31" i="21" s="1"/>
  <c r="M6" i="23"/>
  <c r="M9" i="23" s="1"/>
  <c r="M16" i="23" s="1"/>
  <c r="M5" i="16"/>
  <c r="M43" i="14"/>
  <c r="L43" i="14"/>
  <c r="L24" i="21"/>
  <c r="L31" i="21" s="1"/>
  <c r="M9" i="16" l="1"/>
  <c r="M12" i="16" s="1"/>
  <c r="M27" i="16" s="1"/>
  <c r="M46" i="14"/>
  <c r="M61" i="14" s="1"/>
  <c r="L46" i="14"/>
  <c r="L61" i="14" s="1"/>
  <c r="D12" i="12"/>
  <c r="N12" i="12" s="1"/>
  <c r="E121" i="10"/>
  <c r="F121" i="10"/>
  <c r="G121" i="10"/>
  <c r="H121" i="10"/>
  <c r="H23" i="12" s="1"/>
  <c r="I121" i="10"/>
  <c r="J121" i="10"/>
  <c r="K121" i="10"/>
  <c r="K111" i="10"/>
  <c r="J111" i="10"/>
  <c r="I111" i="10"/>
  <c r="H111" i="10"/>
  <c r="G111" i="10"/>
  <c r="F111" i="10"/>
  <c r="E111" i="10"/>
  <c r="K110" i="10"/>
  <c r="J110" i="10"/>
  <c r="I110" i="10"/>
  <c r="H110" i="10"/>
  <c r="G110" i="10"/>
  <c r="F110" i="10"/>
  <c r="E110" i="10"/>
  <c r="K89" i="10"/>
  <c r="J89" i="10"/>
  <c r="I89" i="10"/>
  <c r="H89" i="10"/>
  <c r="G89" i="10"/>
  <c r="F89" i="10"/>
  <c r="E89" i="10"/>
  <c r="K79" i="10"/>
  <c r="J79" i="10"/>
  <c r="I79" i="10"/>
  <c r="H79" i="10"/>
  <c r="H13" i="12" s="1"/>
  <c r="G79" i="10"/>
  <c r="F79" i="10"/>
  <c r="E79" i="10"/>
  <c r="K78" i="10"/>
  <c r="J78" i="10"/>
  <c r="I78" i="10"/>
  <c r="H78" i="10"/>
  <c r="G78" i="10"/>
  <c r="F78" i="10"/>
  <c r="E78" i="10"/>
  <c r="K57" i="10"/>
  <c r="J57" i="10"/>
  <c r="I57" i="10"/>
  <c r="H57" i="10"/>
  <c r="G57" i="10"/>
  <c r="F57" i="10"/>
  <c r="E57" i="10"/>
  <c r="K47" i="10"/>
  <c r="J47" i="10"/>
  <c r="I47" i="10"/>
  <c r="H47" i="10"/>
  <c r="G47" i="10"/>
  <c r="F47" i="10"/>
  <c r="E47" i="10"/>
  <c r="K46" i="10"/>
  <c r="J46" i="10"/>
  <c r="I46" i="10"/>
  <c r="H46" i="10"/>
  <c r="G46" i="10"/>
  <c r="F46" i="10"/>
  <c r="E46" i="10"/>
  <c r="D46" i="10"/>
  <c r="N46" i="10" s="1"/>
  <c r="K25" i="10"/>
  <c r="K23" i="12" s="1"/>
  <c r="J25" i="10"/>
  <c r="J23" i="12" s="1"/>
  <c r="I25" i="10"/>
  <c r="I23" i="12" s="1"/>
  <c r="H25" i="10"/>
  <c r="G25" i="10"/>
  <c r="G23" i="12" s="1"/>
  <c r="F25" i="10"/>
  <c r="F23" i="12" s="1"/>
  <c r="E25" i="10"/>
  <c r="E23" i="12" s="1"/>
  <c r="D25" i="10"/>
  <c r="K15" i="10"/>
  <c r="J15" i="10"/>
  <c r="J13" i="12" s="1"/>
  <c r="I15" i="10"/>
  <c r="I13" i="12" s="1"/>
  <c r="H15" i="10"/>
  <c r="G15" i="10"/>
  <c r="F15" i="10"/>
  <c r="F13" i="12" s="1"/>
  <c r="E15" i="10"/>
  <c r="E13" i="12" s="1"/>
  <c r="D15" i="10"/>
  <c r="K14" i="10"/>
  <c r="J14" i="10"/>
  <c r="J12" i="12" s="1"/>
  <c r="I14" i="10"/>
  <c r="I12" i="12" s="1"/>
  <c r="H14" i="10"/>
  <c r="H12" i="12" s="1"/>
  <c r="G14" i="10"/>
  <c r="F14" i="10"/>
  <c r="F12" i="12" s="1"/>
  <c r="E14" i="10"/>
  <c r="E12" i="12" s="1"/>
  <c r="D14" i="10"/>
  <c r="M92" i="24"/>
  <c r="L92" i="24"/>
  <c r="K92" i="24"/>
  <c r="J92" i="24"/>
  <c r="I92" i="24"/>
  <c r="H92" i="24"/>
  <c r="G92" i="24"/>
  <c r="M69" i="24"/>
  <c r="L69" i="24"/>
  <c r="K69" i="24"/>
  <c r="J69" i="24"/>
  <c r="I69" i="24"/>
  <c r="H69" i="24"/>
  <c r="G69" i="24"/>
  <c r="M44" i="24"/>
  <c r="L44" i="24"/>
  <c r="K44" i="24"/>
  <c r="J44" i="24"/>
  <c r="I44" i="24"/>
  <c r="H44" i="24"/>
  <c r="G44" i="24"/>
  <c r="F44" i="24"/>
  <c r="M19" i="24"/>
  <c r="L19" i="24"/>
  <c r="K19" i="24"/>
  <c r="J19" i="24"/>
  <c r="I19" i="24"/>
  <c r="H19" i="24"/>
  <c r="G19" i="24"/>
  <c r="F19" i="24"/>
  <c r="M86" i="24"/>
  <c r="L86" i="24"/>
  <c r="K86" i="24"/>
  <c r="J86" i="24"/>
  <c r="I86" i="24"/>
  <c r="H86" i="24"/>
  <c r="G86" i="24"/>
  <c r="M63" i="24"/>
  <c r="L63" i="24"/>
  <c r="K63" i="24"/>
  <c r="J63" i="24"/>
  <c r="I63" i="24"/>
  <c r="H63" i="24"/>
  <c r="G63" i="24"/>
  <c r="M94" i="24"/>
  <c r="L94" i="24"/>
  <c r="K94" i="24"/>
  <c r="J94" i="24"/>
  <c r="I94" i="24"/>
  <c r="H94" i="24"/>
  <c r="G94" i="24"/>
  <c r="M84" i="24"/>
  <c r="M85" i="24" s="1"/>
  <c r="L84" i="24"/>
  <c r="L85" i="24" s="1"/>
  <c r="K84" i="24"/>
  <c r="K85" i="24" s="1"/>
  <c r="J84" i="24"/>
  <c r="J85" i="24" s="1"/>
  <c r="I84" i="24"/>
  <c r="I85" i="24" s="1"/>
  <c r="H84" i="24"/>
  <c r="H85" i="24" s="1"/>
  <c r="G84" i="24"/>
  <c r="G85" i="24" s="1"/>
  <c r="M71" i="24"/>
  <c r="L71" i="24"/>
  <c r="K71" i="24"/>
  <c r="J71" i="24"/>
  <c r="I71" i="24"/>
  <c r="H71" i="24"/>
  <c r="G71" i="24"/>
  <c r="M61" i="24"/>
  <c r="M62" i="24" s="1"/>
  <c r="L61" i="24"/>
  <c r="L62" i="24" s="1"/>
  <c r="K61" i="24"/>
  <c r="K62" i="24" s="1"/>
  <c r="J61" i="24"/>
  <c r="J62" i="24" s="1"/>
  <c r="I61" i="24"/>
  <c r="I62" i="24" s="1"/>
  <c r="H61" i="24"/>
  <c r="H62" i="24" s="1"/>
  <c r="G61" i="24"/>
  <c r="G62" i="24" s="1"/>
  <c r="F62" i="24"/>
  <c r="C5" i="11"/>
  <c r="F18" i="24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M36" i="24"/>
  <c r="M37" i="24" s="1"/>
  <c r="L36" i="24"/>
  <c r="L37" i="24" s="1"/>
  <c r="K36" i="24"/>
  <c r="K37" i="24" s="1"/>
  <c r="J36" i="24"/>
  <c r="J37" i="24" s="1"/>
  <c r="I36" i="24"/>
  <c r="I37" i="24" s="1"/>
  <c r="H36" i="24"/>
  <c r="H37" i="24" s="1"/>
  <c r="G36" i="24"/>
  <c r="G37" i="24" s="1"/>
  <c r="F37" i="24"/>
  <c r="D47" i="10" s="1"/>
  <c r="N47" i="10" s="1"/>
  <c r="M10" i="24"/>
  <c r="M17" i="24" s="1"/>
  <c r="L10" i="24"/>
  <c r="L17" i="24" s="1"/>
  <c r="K10" i="24"/>
  <c r="K11" i="24" s="1"/>
  <c r="J10" i="24"/>
  <c r="J17" i="24" s="1"/>
  <c r="I10" i="24"/>
  <c r="I17" i="24" s="1"/>
  <c r="H10" i="24"/>
  <c r="H17" i="24" s="1"/>
  <c r="G10" i="24"/>
  <c r="G17" i="24" s="1"/>
  <c r="F10" i="24"/>
  <c r="F17" i="24" s="1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D13" i="12" l="1"/>
  <c r="N13" i="12" s="1"/>
  <c r="G12" i="12"/>
  <c r="K12" i="12"/>
  <c r="G13" i="12"/>
  <c r="K13" i="12"/>
  <c r="K46" i="24"/>
  <c r="G46" i="24"/>
  <c r="H46" i="24"/>
  <c r="L46" i="24"/>
  <c r="G11" i="24"/>
  <c r="M46" i="24"/>
  <c r="I46" i="24"/>
  <c r="J46" i="24"/>
  <c r="H11" i="24"/>
  <c r="F46" i="24"/>
  <c r="D57" i="10" s="1"/>
  <c r="N57" i="10" s="1"/>
  <c r="F11" i="24"/>
  <c r="I11" i="24"/>
  <c r="K17" i="24"/>
  <c r="L11" i="24"/>
  <c r="J11" i="24"/>
  <c r="M11" i="24"/>
  <c r="D23" i="12" l="1"/>
  <c r="N23" i="12" s="1"/>
  <c r="E24" i="11"/>
  <c r="F24" i="11" s="1"/>
  <c r="G24" i="11" s="1"/>
  <c r="H24" i="11" s="1"/>
  <c r="I24" i="11" s="1"/>
  <c r="J24" i="11" s="1"/>
  <c r="D24" i="11"/>
  <c r="C23" i="11"/>
  <c r="D57" i="21" l="1"/>
  <c r="D51" i="21"/>
  <c r="D43" i="21"/>
  <c r="D42" i="21"/>
  <c r="D37" i="21"/>
  <c r="D20" i="15"/>
  <c r="E6" i="15"/>
  <c r="F6" i="15"/>
  <c r="G6" i="15"/>
  <c r="J6" i="15"/>
  <c r="K6" i="15"/>
  <c r="E22" i="16"/>
  <c r="F22" i="16"/>
  <c r="G22" i="16"/>
  <c r="H22" i="16"/>
  <c r="I22" i="16"/>
  <c r="J22" i="16"/>
  <c r="K22" i="16"/>
  <c r="F21" i="16"/>
  <c r="G21" i="16"/>
  <c r="H21" i="16"/>
  <c r="I21" i="16"/>
  <c r="J21" i="16"/>
  <c r="K21" i="16"/>
  <c r="D21" i="16"/>
  <c r="E16" i="16"/>
  <c r="F16" i="16"/>
  <c r="G16" i="16"/>
  <c r="H16" i="16"/>
  <c r="I16" i="16"/>
  <c r="J16" i="16"/>
  <c r="K16" i="16"/>
  <c r="D23" i="16"/>
  <c r="D22" i="16"/>
  <c r="D89" i="13"/>
  <c r="E118" i="14"/>
  <c r="E89" i="13" s="1"/>
  <c r="K114" i="14"/>
  <c r="J114" i="14"/>
  <c r="I114" i="14"/>
  <c r="H114" i="14"/>
  <c r="G114" i="14"/>
  <c r="F114" i="14"/>
  <c r="E114" i="14"/>
  <c r="D114" i="14"/>
  <c r="D113" i="14"/>
  <c r="D105" i="14"/>
  <c r="D102" i="14"/>
  <c r="E94" i="13"/>
  <c r="D98" i="13"/>
  <c r="D95" i="13"/>
  <c r="D94" i="13"/>
  <c r="D96" i="13" s="1"/>
  <c r="H83" i="13"/>
  <c r="D83" i="13"/>
  <c r="D64" i="13"/>
  <c r="E87" i="14"/>
  <c r="E21" i="16" s="1"/>
  <c r="D82" i="14"/>
  <c r="K83" i="14"/>
  <c r="J83" i="14"/>
  <c r="I83" i="14"/>
  <c r="H83" i="14"/>
  <c r="G83" i="14"/>
  <c r="F83" i="14"/>
  <c r="E83" i="14"/>
  <c r="D83" i="14"/>
  <c r="D71" i="14"/>
  <c r="E69" i="13"/>
  <c r="D70" i="13"/>
  <c r="D69" i="13"/>
  <c r="D71" i="13" s="1"/>
  <c r="H58" i="13"/>
  <c r="D58" i="13"/>
  <c r="C126" i="10"/>
  <c r="D120" i="10"/>
  <c r="D119" i="10"/>
  <c r="D118" i="10"/>
  <c r="D117" i="10"/>
  <c r="D116" i="10"/>
  <c r="D86" i="13" s="1"/>
  <c r="D87" i="13" s="1"/>
  <c r="E85" i="13" s="1"/>
  <c r="D115" i="10"/>
  <c r="C112" i="10"/>
  <c r="D109" i="10"/>
  <c r="D108" i="10"/>
  <c r="D107" i="10"/>
  <c r="D106" i="10"/>
  <c r="D105" i="10"/>
  <c r="N102" i="10"/>
  <c r="I81" i="24"/>
  <c r="G107" i="10" s="1"/>
  <c r="M81" i="24"/>
  <c r="K107" i="10" s="1"/>
  <c r="L81" i="24"/>
  <c r="J107" i="10" s="1"/>
  <c r="K81" i="24"/>
  <c r="I107" i="10" s="1"/>
  <c r="J81" i="24"/>
  <c r="H107" i="10" s="1"/>
  <c r="H81" i="24"/>
  <c r="F107" i="10" s="1"/>
  <c r="E64" i="13" l="1"/>
  <c r="F64" i="13" s="1"/>
  <c r="G64" i="13" s="1"/>
  <c r="H64" i="13" s="1"/>
  <c r="I64" i="13" s="1"/>
  <c r="J64" i="13" s="1"/>
  <c r="K64" i="13" s="1"/>
  <c r="D122" i="10"/>
  <c r="D112" i="10"/>
  <c r="D44" i="21"/>
  <c r="I83" i="13"/>
  <c r="I58" i="13"/>
  <c r="D124" i="10" l="1"/>
  <c r="M58" i="24"/>
  <c r="M66" i="24" s="1"/>
  <c r="L58" i="24"/>
  <c r="J75" i="10" s="1"/>
  <c r="J84" i="10" s="1"/>
  <c r="K58" i="24"/>
  <c r="J58" i="24"/>
  <c r="J66" i="24" s="1"/>
  <c r="I58" i="24"/>
  <c r="H58" i="24"/>
  <c r="F75" i="10" s="1"/>
  <c r="F84" i="10" s="1"/>
  <c r="D85" i="10"/>
  <c r="G75" i="10"/>
  <c r="I75" i="10"/>
  <c r="I84" i="10" s="1"/>
  <c r="K75" i="10"/>
  <c r="K84" i="10" s="1"/>
  <c r="F73" i="10"/>
  <c r="G73" i="10"/>
  <c r="H73" i="10"/>
  <c r="D87" i="10"/>
  <c r="D52" i="21" s="1"/>
  <c r="D54" i="21" s="1"/>
  <c r="D86" i="10"/>
  <c r="N86" i="10" s="1"/>
  <c r="D84" i="10"/>
  <c r="D83" i="10"/>
  <c r="C80" i="10"/>
  <c r="D77" i="10"/>
  <c r="D74" i="10"/>
  <c r="M79" i="24"/>
  <c r="L79" i="24"/>
  <c r="J105" i="10" s="1"/>
  <c r="K79" i="24"/>
  <c r="J79" i="24"/>
  <c r="I79" i="24"/>
  <c r="H79" i="24"/>
  <c r="G79" i="24"/>
  <c r="L59" i="24"/>
  <c r="J76" i="10" s="1"/>
  <c r="K59" i="24"/>
  <c r="I76" i="10" s="1"/>
  <c r="I66" i="24"/>
  <c r="M56" i="24"/>
  <c r="M65" i="24" s="1"/>
  <c r="L56" i="24"/>
  <c r="L57" i="24" s="1"/>
  <c r="J74" i="10" s="1"/>
  <c r="K56" i="24"/>
  <c r="I73" i="10" s="1"/>
  <c r="J56" i="24"/>
  <c r="J65" i="24" s="1"/>
  <c r="I56" i="24"/>
  <c r="I65" i="24" s="1"/>
  <c r="H56" i="24"/>
  <c r="G56" i="24"/>
  <c r="E73" i="10" s="1"/>
  <c r="K119" i="10"/>
  <c r="J119" i="10"/>
  <c r="I119" i="10"/>
  <c r="H119" i="10"/>
  <c r="G119" i="10"/>
  <c r="F119" i="10"/>
  <c r="E119" i="10"/>
  <c r="F91" i="24"/>
  <c r="E89" i="24"/>
  <c r="M89" i="24"/>
  <c r="K116" i="10" s="1"/>
  <c r="L89" i="24"/>
  <c r="J116" i="10" s="1"/>
  <c r="K89" i="24"/>
  <c r="I116" i="10" s="1"/>
  <c r="J89" i="24"/>
  <c r="H116" i="10" s="1"/>
  <c r="I89" i="24"/>
  <c r="G116" i="10" s="1"/>
  <c r="H89" i="24"/>
  <c r="F116" i="10" s="1"/>
  <c r="G81" i="24"/>
  <c r="F81" i="24"/>
  <c r="F89" i="24" s="1"/>
  <c r="F79" i="24"/>
  <c r="F80" i="24" s="1"/>
  <c r="G58" i="24"/>
  <c r="G66" i="24" s="1"/>
  <c r="K87" i="10"/>
  <c r="J87" i="10"/>
  <c r="I87" i="10"/>
  <c r="H87" i="10"/>
  <c r="G87" i="10"/>
  <c r="F87" i="10"/>
  <c r="E87" i="10"/>
  <c r="D76" i="10"/>
  <c r="F68" i="24"/>
  <c r="D75" i="10" s="1"/>
  <c r="E66" i="24"/>
  <c r="F58" i="24"/>
  <c r="F59" i="24" s="1"/>
  <c r="F56" i="24"/>
  <c r="F65" i="24" s="1"/>
  <c r="AJ19" i="8"/>
  <c r="AL19" i="8" s="1"/>
  <c r="M19" i="11"/>
  <c r="M14" i="11"/>
  <c r="AB12" i="9"/>
  <c r="AD11" i="9"/>
  <c r="AC11" i="9"/>
  <c r="AD10" i="9"/>
  <c r="AD9" i="9"/>
  <c r="AD8" i="9"/>
  <c r="AD7" i="9"/>
  <c r="AD6" i="9"/>
  <c r="AD5" i="9"/>
  <c r="AD4" i="9"/>
  <c r="AD3" i="9"/>
  <c r="AC3" i="9"/>
  <c r="AD107" i="9"/>
  <c r="AC106" i="9"/>
  <c r="AE106" i="9" s="1"/>
  <c r="AC105" i="9"/>
  <c r="AE105" i="9" s="1"/>
  <c r="AC104" i="9"/>
  <c r="AE104" i="9" s="1"/>
  <c r="AC103" i="9"/>
  <c r="AE103" i="9" s="1"/>
  <c r="AC102" i="9"/>
  <c r="AE102" i="9" s="1"/>
  <c r="AE101" i="9"/>
  <c r="AC101" i="9"/>
  <c r="AC100" i="9"/>
  <c r="AE100" i="9" s="1"/>
  <c r="AC99" i="9"/>
  <c r="AE99" i="9" s="1"/>
  <c r="AC98" i="9"/>
  <c r="AE98" i="9" s="1"/>
  <c r="AE97" i="9"/>
  <c r="AC97" i="9"/>
  <c r="AC96" i="9"/>
  <c r="AE96" i="9" s="1"/>
  <c r="AC95" i="9"/>
  <c r="AE95" i="9" s="1"/>
  <c r="AC94" i="9"/>
  <c r="AE94" i="9" s="1"/>
  <c r="AC93" i="9"/>
  <c r="AE93" i="9" s="1"/>
  <c r="AC92" i="9"/>
  <c r="AE92" i="9" s="1"/>
  <c r="AE91" i="9"/>
  <c r="AC91" i="9"/>
  <c r="AC90" i="9"/>
  <c r="AE90" i="9" s="1"/>
  <c r="AE89" i="9"/>
  <c r="AC89" i="9"/>
  <c r="AC88" i="9"/>
  <c r="AE88" i="9" s="1"/>
  <c r="AC87" i="9"/>
  <c r="AE87" i="9" s="1"/>
  <c r="AC86" i="9"/>
  <c r="AE86" i="9" s="1"/>
  <c r="AC85" i="9"/>
  <c r="AE85" i="9" s="1"/>
  <c r="AC84" i="9"/>
  <c r="AE84" i="9" s="1"/>
  <c r="AE83" i="9"/>
  <c r="AC83" i="9"/>
  <c r="AC82" i="9"/>
  <c r="AE82" i="9" s="1"/>
  <c r="AC81" i="9"/>
  <c r="AE81" i="9" s="1"/>
  <c r="AC80" i="9"/>
  <c r="AE80" i="9" s="1"/>
  <c r="AC79" i="9"/>
  <c r="AE79" i="9" s="1"/>
  <c r="AC78" i="9"/>
  <c r="AE78" i="9" s="1"/>
  <c r="AC77" i="9"/>
  <c r="AE77" i="9" s="1"/>
  <c r="AC76" i="9"/>
  <c r="AE76" i="9" s="1"/>
  <c r="AE75" i="9"/>
  <c r="AC75" i="9"/>
  <c r="AC74" i="9"/>
  <c r="AE74" i="9" s="1"/>
  <c r="AC73" i="9"/>
  <c r="AE73" i="9" s="1"/>
  <c r="AC72" i="9"/>
  <c r="AE72" i="9" s="1"/>
  <c r="AC71" i="9"/>
  <c r="AE71" i="9" s="1"/>
  <c r="AC70" i="9"/>
  <c r="AE70" i="9" s="1"/>
  <c r="AE69" i="9"/>
  <c r="AC69" i="9"/>
  <c r="AC68" i="9"/>
  <c r="AE68" i="9" s="1"/>
  <c r="AC67" i="9"/>
  <c r="AE67" i="9" s="1"/>
  <c r="AC66" i="9"/>
  <c r="AE66" i="9" s="1"/>
  <c r="AE65" i="9"/>
  <c r="AC65" i="9"/>
  <c r="AC64" i="9"/>
  <c r="AE64" i="9" s="1"/>
  <c r="AC63" i="9"/>
  <c r="AE63" i="9" s="1"/>
  <c r="AC62" i="9"/>
  <c r="AE62" i="9" s="1"/>
  <c r="AC61" i="9"/>
  <c r="AE61" i="9" s="1"/>
  <c r="AC60" i="9"/>
  <c r="AE60" i="9" s="1"/>
  <c r="AE59" i="9"/>
  <c r="AC59" i="9"/>
  <c r="AC58" i="9"/>
  <c r="AE58" i="9" s="1"/>
  <c r="AE57" i="9"/>
  <c r="AC57" i="9"/>
  <c r="AC56" i="9"/>
  <c r="AE56" i="9" s="1"/>
  <c r="AC55" i="9"/>
  <c r="AE55" i="9" s="1"/>
  <c r="AC54" i="9"/>
  <c r="AE54" i="9" s="1"/>
  <c r="AC53" i="9"/>
  <c r="AE53" i="9" s="1"/>
  <c r="AC52" i="9"/>
  <c r="AE52" i="9" s="1"/>
  <c r="AE51" i="9"/>
  <c r="AC51" i="9"/>
  <c r="AC50" i="9"/>
  <c r="AE50" i="9" s="1"/>
  <c r="AC49" i="9"/>
  <c r="AE49" i="9" s="1"/>
  <c r="AC48" i="9"/>
  <c r="AE48" i="9" s="1"/>
  <c r="AC47" i="9"/>
  <c r="AE47" i="9" s="1"/>
  <c r="AC46" i="9"/>
  <c r="AE46" i="9" s="1"/>
  <c r="AC45" i="9"/>
  <c r="AE45" i="9" s="1"/>
  <c r="AC44" i="9"/>
  <c r="AE44" i="9" s="1"/>
  <c r="AE43" i="9"/>
  <c r="AC43" i="9"/>
  <c r="AC42" i="9"/>
  <c r="AE42" i="9" s="1"/>
  <c r="AC41" i="9"/>
  <c r="AE41" i="9" s="1"/>
  <c r="AC40" i="9"/>
  <c r="AE40" i="9" s="1"/>
  <c r="AC39" i="9"/>
  <c r="AE39" i="9" s="1"/>
  <c r="AC38" i="9"/>
  <c r="AE38" i="9" s="1"/>
  <c r="AE37" i="9"/>
  <c r="AC37" i="9"/>
  <c r="AC36" i="9"/>
  <c r="AE36" i="9" s="1"/>
  <c r="AC35" i="9"/>
  <c r="AE35" i="9" s="1"/>
  <c r="AC34" i="9"/>
  <c r="AE34" i="9" s="1"/>
  <c r="AE33" i="9"/>
  <c r="AC33" i="9"/>
  <c r="AC32" i="9"/>
  <c r="AE32" i="9" s="1"/>
  <c r="AC31" i="9"/>
  <c r="AE31" i="9" s="1"/>
  <c r="AC30" i="9"/>
  <c r="AE30" i="9" s="1"/>
  <c r="AC29" i="9"/>
  <c r="AE29" i="9" s="1"/>
  <c r="AC28" i="9"/>
  <c r="AE28" i="9" s="1"/>
  <c r="AE27" i="9"/>
  <c r="AC27" i="9"/>
  <c r="AC26" i="9"/>
  <c r="AE26" i="9" s="1"/>
  <c r="AE25" i="9"/>
  <c r="AC25" i="9"/>
  <c r="AC24" i="9"/>
  <c r="AE24" i="9" s="1"/>
  <c r="Y24" i="9"/>
  <c r="Y25" i="9" s="1"/>
  <c r="Y26" i="9" s="1"/>
  <c r="Y27" i="9" s="1"/>
  <c r="Y28" i="9" s="1"/>
  <c r="Y29" i="9" s="1"/>
  <c r="Y30" i="9" s="1"/>
  <c r="Y31" i="9" s="1"/>
  <c r="Y32" i="9" s="1"/>
  <c r="Y33" i="9" s="1"/>
  <c r="Y34" i="9" s="1"/>
  <c r="Y35" i="9" s="1"/>
  <c r="Y36" i="9" s="1"/>
  <c r="Y37" i="9" s="1"/>
  <c r="Y38" i="9" s="1"/>
  <c r="Y39" i="9" s="1"/>
  <c r="Y40" i="9" s="1"/>
  <c r="Y41" i="9" s="1"/>
  <c r="Y42" i="9" s="1"/>
  <c r="Y43" i="9" s="1"/>
  <c r="Y44" i="9" s="1"/>
  <c r="Y45" i="9" s="1"/>
  <c r="Y46" i="9" s="1"/>
  <c r="Y47" i="9" s="1"/>
  <c r="Y48" i="9" s="1"/>
  <c r="Y49" i="9" s="1"/>
  <c r="Y50" i="9" s="1"/>
  <c r="Y51" i="9" s="1"/>
  <c r="Y52" i="9" s="1"/>
  <c r="Y53" i="9" s="1"/>
  <c r="Y54" i="9" s="1"/>
  <c r="Y55" i="9" s="1"/>
  <c r="Y56" i="9" s="1"/>
  <c r="Y57" i="9" s="1"/>
  <c r="Y58" i="9" s="1"/>
  <c r="Y59" i="9" s="1"/>
  <c r="Y60" i="9" s="1"/>
  <c r="Y61" i="9" s="1"/>
  <c r="Y62" i="9" s="1"/>
  <c r="Y63" i="9" s="1"/>
  <c r="Y64" i="9" s="1"/>
  <c r="Y65" i="9" s="1"/>
  <c r="Y66" i="9" s="1"/>
  <c r="Y67" i="9" s="1"/>
  <c r="Y68" i="9" s="1"/>
  <c r="Y69" i="9" s="1"/>
  <c r="Y70" i="9" s="1"/>
  <c r="Y71" i="9" s="1"/>
  <c r="Y72" i="9" s="1"/>
  <c r="Y73" i="9" s="1"/>
  <c r="Y74" i="9" s="1"/>
  <c r="Y75" i="9" s="1"/>
  <c r="Y76" i="9" s="1"/>
  <c r="Y77" i="9" s="1"/>
  <c r="Y78" i="9" s="1"/>
  <c r="Y79" i="9" s="1"/>
  <c r="Y80" i="9" s="1"/>
  <c r="Y81" i="9" s="1"/>
  <c r="Y82" i="9" s="1"/>
  <c r="Y83" i="9" s="1"/>
  <c r="Y84" i="9" s="1"/>
  <c r="Y85" i="9" s="1"/>
  <c r="Y86" i="9" s="1"/>
  <c r="Y87" i="9" s="1"/>
  <c r="Y88" i="9" s="1"/>
  <c r="Y89" i="9" s="1"/>
  <c r="Y90" i="9" s="1"/>
  <c r="Y91" i="9" s="1"/>
  <c r="Y92" i="9" s="1"/>
  <c r="Y93" i="9" s="1"/>
  <c r="Y94" i="9" s="1"/>
  <c r="Y95" i="9" s="1"/>
  <c r="Y96" i="9" s="1"/>
  <c r="Y97" i="9" s="1"/>
  <c r="Y98" i="9" s="1"/>
  <c r="Y99" i="9" s="1"/>
  <c r="Y100" i="9" s="1"/>
  <c r="Y101" i="9" s="1"/>
  <c r="Y102" i="9" s="1"/>
  <c r="Y103" i="9" s="1"/>
  <c r="Y104" i="9" s="1"/>
  <c r="Y105" i="9" s="1"/>
  <c r="Y106" i="9" s="1"/>
  <c r="AE23" i="9"/>
  <c r="AC23" i="9"/>
  <c r="U3" i="9"/>
  <c r="V107" i="9"/>
  <c r="U106" i="9"/>
  <c r="W106" i="9" s="1"/>
  <c r="U105" i="9"/>
  <c r="W105" i="9" s="1"/>
  <c r="U104" i="9"/>
  <c r="W104" i="9" s="1"/>
  <c r="U103" i="9"/>
  <c r="W103" i="9" s="1"/>
  <c r="U102" i="9"/>
  <c r="W102" i="9" s="1"/>
  <c r="U101" i="9"/>
  <c r="W101" i="9" s="1"/>
  <c r="U100" i="9"/>
  <c r="W100" i="9" s="1"/>
  <c r="U99" i="9"/>
  <c r="W99" i="9" s="1"/>
  <c r="U98" i="9"/>
  <c r="W98" i="9" s="1"/>
  <c r="U97" i="9"/>
  <c r="W97" i="9" s="1"/>
  <c r="U96" i="9"/>
  <c r="W96" i="9" s="1"/>
  <c r="U95" i="9"/>
  <c r="W95" i="9" s="1"/>
  <c r="U94" i="9"/>
  <c r="W94" i="9" s="1"/>
  <c r="U93" i="9"/>
  <c r="W93" i="9" s="1"/>
  <c r="U92" i="9"/>
  <c r="W92" i="9" s="1"/>
  <c r="U91" i="9"/>
  <c r="W91" i="9" s="1"/>
  <c r="U90" i="9"/>
  <c r="W90" i="9" s="1"/>
  <c r="U89" i="9"/>
  <c r="W89" i="9" s="1"/>
  <c r="U88" i="9"/>
  <c r="W88" i="9" s="1"/>
  <c r="U87" i="9"/>
  <c r="W87" i="9" s="1"/>
  <c r="U86" i="9"/>
  <c r="W86" i="9" s="1"/>
  <c r="U85" i="9"/>
  <c r="W85" i="9" s="1"/>
  <c r="U84" i="9"/>
  <c r="U9" i="9" s="1"/>
  <c r="U83" i="9"/>
  <c r="W83" i="9" s="1"/>
  <c r="U82" i="9"/>
  <c r="W82" i="9" s="1"/>
  <c r="U81" i="9"/>
  <c r="W81" i="9" s="1"/>
  <c r="U80" i="9"/>
  <c r="W80" i="9" s="1"/>
  <c r="U79" i="9"/>
  <c r="W79" i="9" s="1"/>
  <c r="U78" i="9"/>
  <c r="W78" i="9" s="1"/>
  <c r="U77" i="9"/>
  <c r="W77" i="9" s="1"/>
  <c r="U76" i="9"/>
  <c r="W76" i="9" s="1"/>
  <c r="U75" i="9"/>
  <c r="W75" i="9" s="1"/>
  <c r="U74" i="9"/>
  <c r="W74" i="9" s="1"/>
  <c r="U73" i="9"/>
  <c r="W73" i="9" s="1"/>
  <c r="U72" i="9"/>
  <c r="W72" i="9" s="1"/>
  <c r="U71" i="9"/>
  <c r="W71" i="9" s="1"/>
  <c r="U70" i="9"/>
  <c r="W70" i="9" s="1"/>
  <c r="U69" i="9"/>
  <c r="W69" i="9" s="1"/>
  <c r="U68" i="9"/>
  <c r="W68" i="9" s="1"/>
  <c r="U67" i="9"/>
  <c r="W67" i="9" s="1"/>
  <c r="U66" i="9"/>
  <c r="W66" i="9" s="1"/>
  <c r="U65" i="9"/>
  <c r="W65" i="9" s="1"/>
  <c r="U64" i="9"/>
  <c r="W64" i="9" s="1"/>
  <c r="U63" i="9"/>
  <c r="W63" i="9" s="1"/>
  <c r="U62" i="9"/>
  <c r="W62" i="9" s="1"/>
  <c r="U61" i="9"/>
  <c r="W61" i="9" s="1"/>
  <c r="U60" i="9"/>
  <c r="W60" i="9" s="1"/>
  <c r="U59" i="9"/>
  <c r="W59" i="9" s="1"/>
  <c r="U58" i="9"/>
  <c r="W58" i="9" s="1"/>
  <c r="U57" i="9"/>
  <c r="W57" i="9" s="1"/>
  <c r="U56" i="9"/>
  <c r="W56" i="9" s="1"/>
  <c r="U55" i="9"/>
  <c r="W55" i="9" s="1"/>
  <c r="U54" i="9"/>
  <c r="W54" i="9" s="1"/>
  <c r="U53" i="9"/>
  <c r="W53" i="9" s="1"/>
  <c r="U52" i="9"/>
  <c r="W52" i="9" s="1"/>
  <c r="U51" i="9"/>
  <c r="W51" i="9" s="1"/>
  <c r="U50" i="9"/>
  <c r="W50" i="9" s="1"/>
  <c r="U49" i="9"/>
  <c r="W49" i="9" s="1"/>
  <c r="U48" i="9"/>
  <c r="W48" i="9" s="1"/>
  <c r="U47" i="9"/>
  <c r="W47" i="9" s="1"/>
  <c r="U46" i="9"/>
  <c r="W46" i="9" s="1"/>
  <c r="U45" i="9"/>
  <c r="W45" i="9" s="1"/>
  <c r="U44" i="9"/>
  <c r="W44" i="9" s="1"/>
  <c r="U43" i="9"/>
  <c r="W43" i="9" s="1"/>
  <c r="U42" i="9"/>
  <c r="W42" i="9" s="1"/>
  <c r="U41" i="9"/>
  <c r="W41" i="9" s="1"/>
  <c r="U40" i="9"/>
  <c r="W40" i="9" s="1"/>
  <c r="U39" i="9"/>
  <c r="W39" i="9" s="1"/>
  <c r="U38" i="9"/>
  <c r="W38" i="9" s="1"/>
  <c r="U37" i="9"/>
  <c r="W37" i="9" s="1"/>
  <c r="U36" i="9"/>
  <c r="W36" i="9" s="1"/>
  <c r="U35" i="9"/>
  <c r="W35" i="9" s="1"/>
  <c r="U34" i="9"/>
  <c r="W34" i="9" s="1"/>
  <c r="U33" i="9"/>
  <c r="W33" i="9" s="1"/>
  <c r="U32" i="9"/>
  <c r="W32" i="9" s="1"/>
  <c r="U31" i="9"/>
  <c r="W31" i="9" s="1"/>
  <c r="U30" i="9"/>
  <c r="W30" i="9" s="1"/>
  <c r="U29" i="9"/>
  <c r="W29" i="9" s="1"/>
  <c r="U28" i="9"/>
  <c r="W28" i="9" s="1"/>
  <c r="U27" i="9"/>
  <c r="W27" i="9" s="1"/>
  <c r="U26" i="9"/>
  <c r="W26" i="9" s="1"/>
  <c r="U25" i="9"/>
  <c r="W25" i="9" s="1"/>
  <c r="U24" i="9"/>
  <c r="W24" i="9" s="1"/>
  <c r="Q24" i="9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Q51" i="9" s="1"/>
  <c r="Q52" i="9" s="1"/>
  <c r="Q53" i="9" s="1"/>
  <c r="Q54" i="9" s="1"/>
  <c r="Q55" i="9" s="1"/>
  <c r="Q56" i="9" s="1"/>
  <c r="Q57" i="9" s="1"/>
  <c r="Q58" i="9" s="1"/>
  <c r="Q59" i="9" s="1"/>
  <c r="Q60" i="9" s="1"/>
  <c r="Q61" i="9" s="1"/>
  <c r="Q62" i="9" s="1"/>
  <c r="Q63" i="9" s="1"/>
  <c r="Q64" i="9" s="1"/>
  <c r="Q65" i="9" s="1"/>
  <c r="Q66" i="9" s="1"/>
  <c r="Q67" i="9" s="1"/>
  <c r="Q68" i="9" s="1"/>
  <c r="Q69" i="9" s="1"/>
  <c r="Q70" i="9" s="1"/>
  <c r="Q71" i="9" s="1"/>
  <c r="Q72" i="9" s="1"/>
  <c r="Q73" i="9" s="1"/>
  <c r="Q74" i="9" s="1"/>
  <c r="Q75" i="9" s="1"/>
  <c r="Q76" i="9" s="1"/>
  <c r="Q77" i="9" s="1"/>
  <c r="Q78" i="9" s="1"/>
  <c r="Q79" i="9" s="1"/>
  <c r="Q80" i="9" s="1"/>
  <c r="Q81" i="9" s="1"/>
  <c r="Q82" i="9" s="1"/>
  <c r="Q83" i="9" s="1"/>
  <c r="Q84" i="9" s="1"/>
  <c r="Q85" i="9" s="1"/>
  <c r="Q86" i="9" s="1"/>
  <c r="Q87" i="9" s="1"/>
  <c r="Q88" i="9" s="1"/>
  <c r="Q89" i="9" s="1"/>
  <c r="Q90" i="9" s="1"/>
  <c r="Q91" i="9" s="1"/>
  <c r="Q92" i="9" s="1"/>
  <c r="Q93" i="9" s="1"/>
  <c r="Q94" i="9" s="1"/>
  <c r="Q95" i="9" s="1"/>
  <c r="Q96" i="9" s="1"/>
  <c r="Q97" i="9" s="1"/>
  <c r="Q98" i="9" s="1"/>
  <c r="Q99" i="9" s="1"/>
  <c r="Q100" i="9" s="1"/>
  <c r="Q101" i="9" s="1"/>
  <c r="Q102" i="9" s="1"/>
  <c r="Q103" i="9" s="1"/>
  <c r="Q104" i="9" s="1"/>
  <c r="Q105" i="9" s="1"/>
  <c r="Q106" i="9" s="1"/>
  <c r="U23" i="9"/>
  <c r="W23" i="9" s="1"/>
  <c r="T12" i="9"/>
  <c r="V11" i="9"/>
  <c r="U11" i="9"/>
  <c r="V10" i="9"/>
  <c r="V9" i="9"/>
  <c r="V8" i="9"/>
  <c r="V7" i="9"/>
  <c r="V6" i="9"/>
  <c r="V5" i="9"/>
  <c r="V4" i="9"/>
  <c r="V3" i="9"/>
  <c r="D104" i="14" l="1"/>
  <c r="D106" i="14" s="1"/>
  <c r="D109" i="14" s="1"/>
  <c r="D36" i="12"/>
  <c r="H83" i="10"/>
  <c r="F83" i="10"/>
  <c r="G83" i="10"/>
  <c r="I83" i="10"/>
  <c r="E83" i="10"/>
  <c r="L88" i="24"/>
  <c r="J115" i="10" s="1"/>
  <c r="E75" i="10"/>
  <c r="E84" i="10" s="1"/>
  <c r="H66" i="24"/>
  <c r="J73" i="10"/>
  <c r="AC7" i="9"/>
  <c r="AE7" i="9" s="1"/>
  <c r="J83" i="24" s="1"/>
  <c r="H109" i="10" s="1"/>
  <c r="K73" i="10"/>
  <c r="U4" i="9"/>
  <c r="U5" i="9"/>
  <c r="U6" i="9"/>
  <c r="U7" i="9"/>
  <c r="AC8" i="9"/>
  <c r="AE8" i="9" s="1"/>
  <c r="K83" i="24" s="1"/>
  <c r="I109" i="10" s="1"/>
  <c r="AC9" i="9"/>
  <c r="AE9" i="9" s="1"/>
  <c r="L83" i="24" s="1"/>
  <c r="J109" i="10" s="1"/>
  <c r="G80" i="24"/>
  <c r="E106" i="10" s="1"/>
  <c r="E105" i="10"/>
  <c r="AD12" i="9"/>
  <c r="AC4" i="9"/>
  <c r="AE4" i="9" s="1"/>
  <c r="G83" i="24" s="1"/>
  <c r="E109" i="10" s="1"/>
  <c r="W84" i="9"/>
  <c r="W107" i="9" s="1"/>
  <c r="H88" i="24"/>
  <c r="F115" i="10" s="1"/>
  <c r="F105" i="10"/>
  <c r="U8" i="9"/>
  <c r="U10" i="9"/>
  <c r="AC10" i="9"/>
  <c r="AE10" i="9" s="1"/>
  <c r="M83" i="24" s="1"/>
  <c r="K109" i="10" s="1"/>
  <c r="I80" i="24"/>
  <c r="G106" i="10" s="1"/>
  <c r="G105" i="10"/>
  <c r="G89" i="24"/>
  <c r="E116" i="10" s="1"/>
  <c r="E107" i="10"/>
  <c r="J88" i="24"/>
  <c r="H115" i="10" s="1"/>
  <c r="H105" i="10"/>
  <c r="K80" i="24"/>
  <c r="I106" i="10" s="1"/>
  <c r="I105" i="10"/>
  <c r="AC5" i="9"/>
  <c r="AE5" i="9" s="1"/>
  <c r="H83" i="24" s="1"/>
  <c r="F109" i="10" s="1"/>
  <c r="M80" i="24"/>
  <c r="K106" i="10" s="1"/>
  <c r="K105" i="10"/>
  <c r="AC6" i="9"/>
  <c r="AE6" i="9" s="1"/>
  <c r="I83" i="24" s="1"/>
  <c r="G109" i="10" s="1"/>
  <c r="D88" i="10"/>
  <c r="F88" i="24"/>
  <c r="F95" i="24"/>
  <c r="D73" i="13"/>
  <c r="D36" i="21"/>
  <c r="D39" i="21" s="1"/>
  <c r="D46" i="21" s="1"/>
  <c r="H75" i="10"/>
  <c r="H84" i="10" s="1"/>
  <c r="G84" i="10"/>
  <c r="C94" i="10"/>
  <c r="J80" i="24"/>
  <c r="H106" i="10" s="1"/>
  <c r="J59" i="24"/>
  <c r="H76" i="10" s="1"/>
  <c r="L80" i="24"/>
  <c r="J106" i="10" s="1"/>
  <c r="I82" i="24"/>
  <c r="G108" i="10" s="1"/>
  <c r="M82" i="24"/>
  <c r="F82" i="24"/>
  <c r="F86" i="24" s="1"/>
  <c r="J82" i="24"/>
  <c r="H108" i="10" s="1"/>
  <c r="G88" i="24"/>
  <c r="E115" i="10" s="1"/>
  <c r="K88" i="24"/>
  <c r="I115" i="10" s="1"/>
  <c r="H80" i="24"/>
  <c r="F106" i="10" s="1"/>
  <c r="G82" i="24"/>
  <c r="K82" i="24"/>
  <c r="H82" i="24"/>
  <c r="L82" i="24"/>
  <c r="I88" i="24"/>
  <c r="G115" i="10" s="1"/>
  <c r="M88" i="24"/>
  <c r="K115" i="10" s="1"/>
  <c r="F66" i="24"/>
  <c r="D73" i="10" s="1"/>
  <c r="G65" i="24"/>
  <c r="H59" i="24"/>
  <c r="F76" i="10" s="1"/>
  <c r="H65" i="24"/>
  <c r="I57" i="24"/>
  <c r="G74" i="10" s="1"/>
  <c r="M57" i="24"/>
  <c r="K74" i="10" s="1"/>
  <c r="I59" i="24"/>
  <c r="G76" i="10" s="1"/>
  <c r="M59" i="24"/>
  <c r="K76" i="10" s="1"/>
  <c r="L66" i="24"/>
  <c r="K65" i="24"/>
  <c r="L65" i="24"/>
  <c r="K66" i="24"/>
  <c r="F57" i="24"/>
  <c r="F63" i="24" s="1"/>
  <c r="J57" i="24"/>
  <c r="H74" i="10" s="1"/>
  <c r="G57" i="24"/>
  <c r="E74" i="10" s="1"/>
  <c r="K57" i="24"/>
  <c r="G59" i="24"/>
  <c r="E76" i="10" s="1"/>
  <c r="H57" i="24"/>
  <c r="F74" i="10" s="1"/>
  <c r="AE3" i="9"/>
  <c r="AE107" i="9"/>
  <c r="AC107" i="9"/>
  <c r="V12" i="9"/>
  <c r="U107" i="9"/>
  <c r="D90" i="10" l="1"/>
  <c r="D73" i="14" s="1"/>
  <c r="N88" i="10"/>
  <c r="G112" i="10"/>
  <c r="H112" i="10"/>
  <c r="H98" i="13" s="1"/>
  <c r="K83" i="10"/>
  <c r="J83" i="10"/>
  <c r="G98" i="13"/>
  <c r="AE12" i="9"/>
  <c r="F96" i="24"/>
  <c r="K108" i="10"/>
  <c r="I93" i="24"/>
  <c r="G120" i="10" s="1"/>
  <c r="AC12" i="9"/>
  <c r="D80" i="10"/>
  <c r="D92" i="10" s="1"/>
  <c r="D35" i="12" s="1"/>
  <c r="H93" i="24"/>
  <c r="F120" i="10" s="1"/>
  <c r="F108" i="10"/>
  <c r="D74" i="14"/>
  <c r="D75" i="14" s="1"/>
  <c r="D61" i="13"/>
  <c r="D62" i="13" s="1"/>
  <c r="E60" i="13" s="1"/>
  <c r="J108" i="10"/>
  <c r="K93" i="24"/>
  <c r="I120" i="10" s="1"/>
  <c r="I108" i="10"/>
  <c r="I112" i="10" s="1"/>
  <c r="I74" i="10"/>
  <c r="G93" i="24"/>
  <c r="E120" i="10" s="1"/>
  <c r="E108" i="10"/>
  <c r="E112" i="10" s="1"/>
  <c r="J93" i="24"/>
  <c r="H120" i="10" s="1"/>
  <c r="L93" i="24"/>
  <c r="J120" i="10" s="1"/>
  <c r="M93" i="24"/>
  <c r="K120" i="10" s="1"/>
  <c r="F72" i="24"/>
  <c r="F73" i="24" s="1"/>
  <c r="J112" i="10" l="1"/>
  <c r="J98" i="13" s="1"/>
  <c r="I98" i="13"/>
  <c r="K112" i="10"/>
  <c r="K98" i="13" s="1"/>
  <c r="F112" i="10"/>
  <c r="F98" i="13" s="1"/>
  <c r="G108" i="14" s="1"/>
  <c r="H108" i="14"/>
  <c r="N112" i="10"/>
  <c r="I108" i="14"/>
  <c r="K55" i="10"/>
  <c r="J55" i="10"/>
  <c r="I55" i="10"/>
  <c r="H55" i="10"/>
  <c r="G55" i="10"/>
  <c r="F55" i="10"/>
  <c r="E55" i="10"/>
  <c r="D55" i="10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20" i="8"/>
  <c r="E41" i="24"/>
  <c r="M41" i="24"/>
  <c r="K52" i="10" s="1"/>
  <c r="J43" i="10"/>
  <c r="I43" i="10"/>
  <c r="J41" i="24"/>
  <c r="H52" i="10" s="1"/>
  <c r="I41" i="24"/>
  <c r="G52" i="10" s="1"/>
  <c r="F43" i="10"/>
  <c r="E43" i="10"/>
  <c r="F33" i="24"/>
  <c r="F41" i="24" s="1"/>
  <c r="D52" i="10" s="1"/>
  <c r="M31" i="24"/>
  <c r="L31" i="24"/>
  <c r="K31" i="24"/>
  <c r="J31" i="24"/>
  <c r="I31" i="24"/>
  <c r="H31" i="24"/>
  <c r="G31" i="24"/>
  <c r="F31" i="24"/>
  <c r="C10" i="11"/>
  <c r="F43" i="24" s="1"/>
  <c r="D54" i="10" s="1"/>
  <c r="N107" i="9"/>
  <c r="I24" i="9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I90" i="9" s="1"/>
  <c r="I91" i="9" s="1"/>
  <c r="I92" i="9" s="1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O106" i="9"/>
  <c r="W10" i="9"/>
  <c r="M60" i="24" s="1"/>
  <c r="W9" i="9"/>
  <c r="L60" i="24" s="1"/>
  <c r="W8" i="9"/>
  <c r="K60" i="24" s="1"/>
  <c r="W7" i="9"/>
  <c r="J60" i="24" s="1"/>
  <c r="W6" i="9"/>
  <c r="I60" i="24" s="1"/>
  <c r="W5" i="9"/>
  <c r="H60" i="24" s="1"/>
  <c r="W4" i="9"/>
  <c r="G60" i="24" s="1"/>
  <c r="G79" i="9"/>
  <c r="G63" i="9"/>
  <c r="G59" i="9"/>
  <c r="G55" i="9"/>
  <c r="G51" i="9"/>
  <c r="G67" i="9"/>
  <c r="F5" i="9"/>
  <c r="G106" i="9"/>
  <c r="G105" i="9"/>
  <c r="G104" i="9"/>
  <c r="G103" i="9"/>
  <c r="G102" i="9"/>
  <c r="G101" i="9"/>
  <c r="G100" i="9"/>
  <c r="G99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0" i="9"/>
  <c r="G78" i="9"/>
  <c r="G77" i="9"/>
  <c r="G76" i="9"/>
  <c r="G75" i="9"/>
  <c r="G74" i="9"/>
  <c r="G73" i="9"/>
  <c r="E8" i="9"/>
  <c r="G71" i="9"/>
  <c r="G70" i="9"/>
  <c r="G69" i="9"/>
  <c r="G68" i="9"/>
  <c r="G64" i="9"/>
  <c r="G62" i="9"/>
  <c r="G61" i="9"/>
  <c r="G58" i="9"/>
  <c r="G57" i="9"/>
  <c r="G56" i="9"/>
  <c r="G54" i="9"/>
  <c r="G53" i="9"/>
  <c r="G52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1" i="9"/>
  <c r="G30" i="9"/>
  <c r="G29" i="9"/>
  <c r="G28" i="9"/>
  <c r="G27" i="9"/>
  <c r="G26" i="9"/>
  <c r="G25" i="9"/>
  <c r="E4" i="9"/>
  <c r="E3" i="9"/>
  <c r="N52" i="10" l="1"/>
  <c r="J108" i="14"/>
  <c r="K108" i="14"/>
  <c r="J40" i="24"/>
  <c r="H51" i="10" s="1"/>
  <c r="K41" i="10"/>
  <c r="H40" i="24"/>
  <c r="F51" i="10" s="1"/>
  <c r="G41" i="10"/>
  <c r="L40" i="24"/>
  <c r="J51" i="10" s="1"/>
  <c r="F40" i="24"/>
  <c r="D51" i="10" s="1"/>
  <c r="K32" i="24"/>
  <c r="I42" i="10" s="1"/>
  <c r="G32" i="24"/>
  <c r="E42" i="10" s="1"/>
  <c r="C25" i="11"/>
  <c r="F9" i="9"/>
  <c r="H77" i="10"/>
  <c r="J70" i="24"/>
  <c r="H88" i="10" s="1"/>
  <c r="G77" i="10"/>
  <c r="I70" i="24"/>
  <c r="G88" i="10" s="1"/>
  <c r="K77" i="10"/>
  <c r="M70" i="24"/>
  <c r="K88" i="10" s="1"/>
  <c r="F8" i="9"/>
  <c r="F77" i="10"/>
  <c r="H70" i="24"/>
  <c r="F88" i="10" s="1"/>
  <c r="J77" i="10"/>
  <c r="L70" i="24"/>
  <c r="J88" i="10" s="1"/>
  <c r="F7" i="9"/>
  <c r="E7" i="9"/>
  <c r="E10" i="9"/>
  <c r="E98" i="13"/>
  <c r="G32" i="9"/>
  <c r="G33" i="9"/>
  <c r="G49" i="9"/>
  <c r="G65" i="9"/>
  <c r="G81" i="9"/>
  <c r="G97" i="9"/>
  <c r="F4" i="9"/>
  <c r="E6" i="9"/>
  <c r="G34" i="9"/>
  <c r="G50" i="9"/>
  <c r="G66" i="9"/>
  <c r="G82" i="9"/>
  <c r="G98" i="9"/>
  <c r="E77" i="10"/>
  <c r="E80" i="10" s="1"/>
  <c r="G70" i="24"/>
  <c r="E88" i="10" s="1"/>
  <c r="I77" i="10"/>
  <c r="K70" i="24"/>
  <c r="I88" i="10" s="1"/>
  <c r="F107" i="9"/>
  <c r="F6" i="9"/>
  <c r="F10" i="9"/>
  <c r="H32" i="24"/>
  <c r="F42" i="10" s="1"/>
  <c r="L32" i="24"/>
  <c r="J42" i="10" s="1"/>
  <c r="H34" i="24"/>
  <c r="F44" i="10" s="1"/>
  <c r="L34" i="24"/>
  <c r="J44" i="10" s="1"/>
  <c r="G41" i="24"/>
  <c r="E52" i="10" s="1"/>
  <c r="K41" i="24"/>
  <c r="I52" i="10" s="1"/>
  <c r="G40" i="24"/>
  <c r="E51" i="10" s="1"/>
  <c r="K40" i="24"/>
  <c r="I51" i="10" s="1"/>
  <c r="J41" i="10"/>
  <c r="F41" i="10"/>
  <c r="D43" i="10"/>
  <c r="H43" i="10"/>
  <c r="I32" i="24"/>
  <c r="G42" i="10" s="1"/>
  <c r="M32" i="24"/>
  <c r="K42" i="10" s="1"/>
  <c r="I34" i="24"/>
  <c r="G44" i="10" s="1"/>
  <c r="M34" i="24"/>
  <c r="K44" i="10" s="1"/>
  <c r="H41" i="24"/>
  <c r="F52" i="10" s="1"/>
  <c r="L41" i="24"/>
  <c r="J52" i="10" s="1"/>
  <c r="I41" i="10"/>
  <c r="E41" i="10"/>
  <c r="K43" i="10"/>
  <c r="G43" i="10"/>
  <c r="F32" i="24"/>
  <c r="D42" i="10" s="1"/>
  <c r="J32" i="24"/>
  <c r="H42" i="10" s="1"/>
  <c r="F34" i="24"/>
  <c r="D44" i="10" s="1"/>
  <c r="J34" i="24"/>
  <c r="H44" i="10" s="1"/>
  <c r="I40" i="24"/>
  <c r="G51" i="10" s="1"/>
  <c r="M40" i="24"/>
  <c r="K51" i="10" s="1"/>
  <c r="D41" i="10"/>
  <c r="H41" i="10"/>
  <c r="G34" i="24"/>
  <c r="E44" i="10" s="1"/>
  <c r="K34" i="24"/>
  <c r="I44" i="10" s="1"/>
  <c r="E9" i="9"/>
  <c r="E107" i="9"/>
  <c r="E13" i="9" s="1"/>
  <c r="G24" i="9"/>
  <c r="G48" i="9"/>
  <c r="G60" i="9"/>
  <c r="G72" i="9"/>
  <c r="G96" i="9"/>
  <c r="E5" i="9"/>
  <c r="U12" i="9"/>
  <c r="W3" i="9"/>
  <c r="W12" i="9" s="1"/>
  <c r="F3" i="9"/>
  <c r="M3" i="9"/>
  <c r="M107" i="9"/>
  <c r="O104" i="9"/>
  <c r="O103" i="9"/>
  <c r="N44" i="10" l="1"/>
  <c r="N43" i="10"/>
  <c r="K80" i="10"/>
  <c r="K73" i="13" s="1"/>
  <c r="J80" i="10"/>
  <c r="J73" i="13" s="1"/>
  <c r="G80" i="10"/>
  <c r="G73" i="13" s="1"/>
  <c r="I80" i="10"/>
  <c r="I73" i="13" s="1"/>
  <c r="J77" i="14" s="1"/>
  <c r="F80" i="10"/>
  <c r="F73" i="13" s="1"/>
  <c r="G77" i="14" s="1"/>
  <c r="H80" i="10"/>
  <c r="H73" i="13" s="1"/>
  <c r="N80" i="10"/>
  <c r="F108" i="14"/>
  <c r="E108" i="14"/>
  <c r="C26" i="11"/>
  <c r="C27" i="11"/>
  <c r="O105" i="9"/>
  <c r="C11" i="12"/>
  <c r="C10" i="12"/>
  <c r="C9" i="12"/>
  <c r="C8" i="12"/>
  <c r="C7" i="12"/>
  <c r="C20" i="12"/>
  <c r="M5" i="1"/>
  <c r="I77" i="14" l="1"/>
  <c r="K77" i="14"/>
  <c r="H77" i="14"/>
  <c r="E73" i="13"/>
  <c r="N38" i="10"/>
  <c r="N6" i="10"/>
  <c r="I17" i="16"/>
  <c r="K17" i="16"/>
  <c r="J17" i="16"/>
  <c r="H17" i="16"/>
  <c r="G17" i="16"/>
  <c r="F17" i="16"/>
  <c r="E17" i="16"/>
  <c r="D8" i="15"/>
  <c r="K51" i="14"/>
  <c r="J51" i="14"/>
  <c r="I51" i="14"/>
  <c r="H51" i="14"/>
  <c r="G51" i="14"/>
  <c r="F51" i="14"/>
  <c r="E51" i="14"/>
  <c r="D51" i="14"/>
  <c r="D43" i="13"/>
  <c r="D17" i="13"/>
  <c r="D17" i="15" s="1"/>
  <c r="C17" i="12"/>
  <c r="E15" i="24"/>
  <c r="E23" i="24" s="1"/>
  <c r="L8" i="24"/>
  <c r="J12" i="10" s="1"/>
  <c r="J10" i="12" s="1"/>
  <c r="J8" i="24"/>
  <c r="H12" i="10" s="1"/>
  <c r="H10" i="12" s="1"/>
  <c r="H8" i="24"/>
  <c r="F12" i="10" s="1"/>
  <c r="F10" i="12" s="1"/>
  <c r="F7" i="24"/>
  <c r="D5" i="24"/>
  <c r="F5" i="24" s="1"/>
  <c r="C6" i="11"/>
  <c r="D4" i="11" s="1"/>
  <c r="D44" i="13"/>
  <c r="D18" i="13"/>
  <c r="N10" i="8"/>
  <c r="N3" i="8"/>
  <c r="N4" i="8"/>
  <c r="N5" i="8"/>
  <c r="N6" i="8"/>
  <c r="N7" i="8"/>
  <c r="N8" i="8"/>
  <c r="N9" i="8"/>
  <c r="D10" i="8"/>
  <c r="D18" i="15" l="1"/>
  <c r="F77" i="14"/>
  <c r="E77" i="14"/>
  <c r="J5" i="24"/>
  <c r="J6" i="24" s="1"/>
  <c r="H10" i="10" s="1"/>
  <c r="H8" i="12" s="1"/>
  <c r="M5" i="24"/>
  <c r="M14" i="24" s="1"/>
  <c r="I5" i="24"/>
  <c r="L5" i="24"/>
  <c r="L14" i="24" s="1"/>
  <c r="H5" i="24"/>
  <c r="H14" i="24" s="1"/>
  <c r="K5" i="24"/>
  <c r="G5" i="24"/>
  <c r="F6" i="24"/>
  <c r="D10" i="10" s="1"/>
  <c r="D8" i="12" s="1"/>
  <c r="F8" i="24"/>
  <c r="D12" i="10" s="1"/>
  <c r="D10" i="12" s="1"/>
  <c r="N13" i="8"/>
  <c r="K9" i="10"/>
  <c r="M6" i="24"/>
  <c r="G15" i="24"/>
  <c r="K15" i="24"/>
  <c r="D9" i="10"/>
  <c r="D11" i="10"/>
  <c r="D9" i="12" s="1"/>
  <c r="H11" i="10"/>
  <c r="H9" i="12" s="1"/>
  <c r="G23" i="10"/>
  <c r="G21" i="12" s="1"/>
  <c r="D19" i="13"/>
  <c r="D5" i="11"/>
  <c r="G18" i="24" s="1"/>
  <c r="G8" i="24"/>
  <c r="E12" i="10" s="1"/>
  <c r="E10" i="12" s="1"/>
  <c r="K8" i="24"/>
  <c r="I12" i="10" s="1"/>
  <c r="I10" i="12" s="1"/>
  <c r="H15" i="24"/>
  <c r="L15" i="24"/>
  <c r="E11" i="10"/>
  <c r="E9" i="12" s="1"/>
  <c r="I11" i="10"/>
  <c r="I9" i="12" s="1"/>
  <c r="I23" i="10"/>
  <c r="I21" i="12" s="1"/>
  <c r="C11" i="11"/>
  <c r="D9" i="11" s="1"/>
  <c r="D23" i="11" s="1"/>
  <c r="F14" i="24"/>
  <c r="I15" i="24"/>
  <c r="M15" i="24"/>
  <c r="F11" i="10"/>
  <c r="F9" i="12" s="1"/>
  <c r="J11" i="10"/>
  <c r="J9" i="12" s="1"/>
  <c r="E23" i="10"/>
  <c r="E21" i="12" s="1"/>
  <c r="J23" i="10"/>
  <c r="J21" i="12" s="1"/>
  <c r="I8" i="24"/>
  <c r="G12" i="10" s="1"/>
  <c r="G10" i="12" s="1"/>
  <c r="N10" i="12" s="1"/>
  <c r="M8" i="24"/>
  <c r="K12" i="10" s="1"/>
  <c r="K10" i="12" s="1"/>
  <c r="D23" i="10"/>
  <c r="D21" i="12" s="1"/>
  <c r="H23" i="10"/>
  <c r="H21" i="12" s="1"/>
  <c r="F15" i="24"/>
  <c r="J15" i="24"/>
  <c r="C52" i="10"/>
  <c r="C20" i="10"/>
  <c r="G11" i="10"/>
  <c r="G9" i="12" s="1"/>
  <c r="K11" i="10"/>
  <c r="K9" i="12" s="1"/>
  <c r="F23" i="10"/>
  <c r="F21" i="12" s="1"/>
  <c r="K23" i="10"/>
  <c r="K21" i="12" s="1"/>
  <c r="D45" i="13"/>
  <c r="N9" i="12" l="1"/>
  <c r="K7" i="12"/>
  <c r="D7" i="12"/>
  <c r="J9" i="10"/>
  <c r="J14" i="24"/>
  <c r="H19" i="10" s="1"/>
  <c r="L6" i="24"/>
  <c r="H9" i="10"/>
  <c r="D6" i="11"/>
  <c r="E4" i="11" s="1"/>
  <c r="F9" i="10"/>
  <c r="H6" i="24"/>
  <c r="F10" i="10" s="1"/>
  <c r="F8" i="12" s="1"/>
  <c r="D19" i="15"/>
  <c r="E5" i="11"/>
  <c r="H18" i="24" s="1"/>
  <c r="G20" i="10"/>
  <c r="G18" i="12" s="1"/>
  <c r="C18" i="12"/>
  <c r="C30" i="10"/>
  <c r="D22" i="10"/>
  <c r="D20" i="12" s="1"/>
  <c r="N20" i="12" s="1"/>
  <c r="G14" i="24"/>
  <c r="E9" i="10"/>
  <c r="G6" i="24"/>
  <c r="I20" i="10"/>
  <c r="I18" i="12" s="1"/>
  <c r="G9" i="10"/>
  <c r="I6" i="24"/>
  <c r="I14" i="24"/>
  <c r="E43" i="13"/>
  <c r="C62" i="10"/>
  <c r="D19" i="10"/>
  <c r="J10" i="10"/>
  <c r="J8" i="12" s="1"/>
  <c r="J20" i="10"/>
  <c r="J18" i="12" s="1"/>
  <c r="E18" i="13"/>
  <c r="E20" i="10"/>
  <c r="E18" i="12" s="1"/>
  <c r="H20" i="10"/>
  <c r="H18" i="12" s="1"/>
  <c r="K20" i="10"/>
  <c r="K18" i="12" s="1"/>
  <c r="K14" i="24"/>
  <c r="I9" i="10"/>
  <c r="K6" i="24"/>
  <c r="F20" i="10"/>
  <c r="F18" i="12" s="1"/>
  <c r="E17" i="13"/>
  <c r="J19" i="10"/>
  <c r="K19" i="10"/>
  <c r="D20" i="10"/>
  <c r="D18" i="12" s="1"/>
  <c r="D10" i="11"/>
  <c r="F19" i="10"/>
  <c r="K10" i="10"/>
  <c r="K8" i="12" s="1"/>
  <c r="D3" i="8"/>
  <c r="K20" i="8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82" i="8" s="1"/>
  <c r="K83" i="8" s="1"/>
  <c r="K84" i="8" s="1"/>
  <c r="K85" i="8" s="1"/>
  <c r="K86" i="8" s="1"/>
  <c r="K87" i="8" s="1"/>
  <c r="K88" i="8" s="1"/>
  <c r="K89" i="8" s="1"/>
  <c r="K90" i="8" s="1"/>
  <c r="K91" i="8" s="1"/>
  <c r="K92" i="8" s="1"/>
  <c r="K93" i="8" s="1"/>
  <c r="K94" i="8" s="1"/>
  <c r="K95" i="8" s="1"/>
  <c r="N18" i="12" l="1"/>
  <c r="D17" i="12"/>
  <c r="H7" i="12"/>
  <c r="J7" i="12"/>
  <c r="E7" i="12"/>
  <c r="K17" i="12"/>
  <c r="I7" i="12"/>
  <c r="J17" i="12"/>
  <c r="F7" i="12"/>
  <c r="G7" i="12"/>
  <c r="H17" i="12"/>
  <c r="F17" i="12"/>
  <c r="E17" i="15"/>
  <c r="E22" i="10"/>
  <c r="G43" i="24"/>
  <c r="D11" i="11"/>
  <c r="E9" i="11" s="1"/>
  <c r="E10" i="11" s="1"/>
  <c r="E19" i="13"/>
  <c r="E19" i="10"/>
  <c r="D22" i="21"/>
  <c r="D41" i="14"/>
  <c r="E44" i="13"/>
  <c r="E45" i="13" s="1"/>
  <c r="G19" i="10"/>
  <c r="E10" i="10"/>
  <c r="E8" i="12" s="1"/>
  <c r="C28" i="12"/>
  <c r="I19" i="10"/>
  <c r="E9" i="14"/>
  <c r="G10" i="10"/>
  <c r="G8" i="12" s="1"/>
  <c r="F18" i="13"/>
  <c r="I10" i="10"/>
  <c r="I8" i="12" s="1"/>
  <c r="D7" i="21"/>
  <c r="D9" i="14"/>
  <c r="E6" i="11"/>
  <c r="F4" i="11" s="1"/>
  <c r="G17" i="12" l="1"/>
  <c r="I17" i="12"/>
  <c r="P17" i="12" s="1"/>
  <c r="E17" i="12"/>
  <c r="E54" i="10"/>
  <c r="E22" i="21" s="1"/>
  <c r="D7" i="16"/>
  <c r="D7" i="23"/>
  <c r="F44" i="13"/>
  <c r="F22" i="10"/>
  <c r="H43" i="24"/>
  <c r="F5" i="11"/>
  <c r="I18" i="24" s="1"/>
  <c r="F43" i="13"/>
  <c r="E11" i="11"/>
  <c r="F9" i="11" s="1"/>
  <c r="F9" i="14"/>
  <c r="E7" i="21"/>
  <c r="E41" i="14"/>
  <c r="F17" i="13"/>
  <c r="L9" i="22"/>
  <c r="K9" i="22"/>
  <c r="J9" i="22"/>
  <c r="J10" i="22" s="1"/>
  <c r="I9" i="22"/>
  <c r="I10" i="22" s="1"/>
  <c r="H9" i="22"/>
  <c r="G9" i="22"/>
  <c r="F9" i="22"/>
  <c r="L8" i="22"/>
  <c r="K8" i="22"/>
  <c r="J8" i="22"/>
  <c r="I8" i="22"/>
  <c r="H8" i="22"/>
  <c r="G8" i="22"/>
  <c r="G10" i="22" s="1"/>
  <c r="F8" i="22"/>
  <c r="E9" i="22"/>
  <c r="E8" i="22"/>
  <c r="E10" i="22" s="1"/>
  <c r="L24" i="22"/>
  <c r="K24" i="22"/>
  <c r="J24" i="22"/>
  <c r="I24" i="22"/>
  <c r="H24" i="22"/>
  <c r="G24" i="22"/>
  <c r="F24" i="22"/>
  <c r="E24" i="22"/>
  <c r="D24" i="22"/>
  <c r="L17" i="22"/>
  <c r="K17" i="22"/>
  <c r="J17" i="22"/>
  <c r="I17" i="22"/>
  <c r="H17" i="22"/>
  <c r="G17" i="22"/>
  <c r="G5" i="22" s="1"/>
  <c r="F17" i="22"/>
  <c r="F5" i="22" s="1"/>
  <c r="E17" i="22"/>
  <c r="E5" i="22" s="1"/>
  <c r="D17" i="22"/>
  <c r="F26" i="20"/>
  <c r="F15" i="20"/>
  <c r="F10" i="20"/>
  <c r="F12" i="20" s="1"/>
  <c r="E10" i="20"/>
  <c r="E12" i="20" s="1"/>
  <c r="E13" i="20" s="1"/>
  <c r="E25" i="19"/>
  <c r="E5" i="19"/>
  <c r="C3" i="19"/>
  <c r="Q17" i="12" l="1"/>
  <c r="F54" i="10"/>
  <c r="F22" i="21" s="1"/>
  <c r="F6" i="11"/>
  <c r="G4" i="11" s="1"/>
  <c r="K5" i="22"/>
  <c r="J5" i="22"/>
  <c r="H10" i="22"/>
  <c r="K10" i="22"/>
  <c r="L10" i="22"/>
  <c r="F10" i="22"/>
  <c r="I5" i="22"/>
  <c r="F45" i="13"/>
  <c r="G43" i="13" s="1"/>
  <c r="F13" i="20"/>
  <c r="F14" i="20"/>
  <c r="F16" i="20" s="1"/>
  <c r="F18" i="20" s="1"/>
  <c r="F23" i="20" s="1"/>
  <c r="F32" i="20" s="1"/>
  <c r="G5" i="11"/>
  <c r="J18" i="24" s="1"/>
  <c r="E14" i="20"/>
  <c r="E16" i="20" s="1"/>
  <c r="E18" i="20" s="1"/>
  <c r="E23" i="20" s="1"/>
  <c r="E32" i="20" s="1"/>
  <c r="F19" i="13"/>
  <c r="E6" i="19"/>
  <c r="E7" i="19" s="1"/>
  <c r="E10" i="19" s="1"/>
  <c r="E13" i="19" s="1"/>
  <c r="E19" i="19" s="1"/>
  <c r="E26" i="19" s="1"/>
  <c r="H5" i="22"/>
  <c r="F7" i="21"/>
  <c r="F10" i="11"/>
  <c r="G18" i="13"/>
  <c r="F5" i="1"/>
  <c r="G4" i="1"/>
  <c r="H4" i="1" s="1"/>
  <c r="H5" i="1" s="1"/>
  <c r="M8" i="9"/>
  <c r="M7" i="9"/>
  <c r="M6" i="9"/>
  <c r="M5" i="9"/>
  <c r="F41" i="14" l="1"/>
  <c r="G5" i="1"/>
  <c r="G22" i="10"/>
  <c r="I43" i="24"/>
  <c r="M13" i="9"/>
  <c r="M4" i="9"/>
  <c r="M9" i="9"/>
  <c r="M10" i="9"/>
  <c r="G9" i="14"/>
  <c r="H18" i="13"/>
  <c r="G44" i="13"/>
  <c r="G45" i="13" s="1"/>
  <c r="G6" i="11"/>
  <c r="H4" i="11" s="1"/>
  <c r="F11" i="11"/>
  <c r="G9" i="11" s="1"/>
  <c r="G17" i="13"/>
  <c r="D4" i="1"/>
  <c r="D38" i="13"/>
  <c r="E38" i="13" s="1"/>
  <c r="F38" i="13" s="1"/>
  <c r="G38" i="13" s="1"/>
  <c r="H38" i="13" s="1"/>
  <c r="I38" i="13" s="1"/>
  <c r="J38" i="13" s="1"/>
  <c r="K38" i="13" s="1"/>
  <c r="H32" i="13"/>
  <c r="I32" i="13" s="1"/>
  <c r="D32" i="13"/>
  <c r="K19" i="14"/>
  <c r="J19" i="14"/>
  <c r="I19" i="14"/>
  <c r="H19" i="14"/>
  <c r="H6" i="13"/>
  <c r="G19" i="14"/>
  <c r="F19" i="14"/>
  <c r="E19" i="14"/>
  <c r="D12" i="13"/>
  <c r="D18" i="14"/>
  <c r="D16" i="16" s="1"/>
  <c r="D6" i="13"/>
  <c r="G54" i="10" l="1"/>
  <c r="G22" i="21" s="1"/>
  <c r="I6" i="13"/>
  <c r="I6" i="15" s="1"/>
  <c r="H6" i="15"/>
  <c r="D6" i="15"/>
  <c r="L4" i="1"/>
  <c r="L5" i="1" s="1"/>
  <c r="J4" i="1"/>
  <c r="J5" i="1" s="1"/>
  <c r="D5" i="1"/>
  <c r="D12" i="15"/>
  <c r="H43" i="13"/>
  <c r="H5" i="11"/>
  <c r="K18" i="24" s="1"/>
  <c r="H9" i="14"/>
  <c r="D19" i="14"/>
  <c r="D17" i="16"/>
  <c r="G10" i="11"/>
  <c r="G19" i="13"/>
  <c r="G7" i="21"/>
  <c r="E12" i="13"/>
  <c r="E12" i="15" s="1"/>
  <c r="G41" i="14" l="1"/>
  <c r="J43" i="24"/>
  <c r="H22" i="10"/>
  <c r="G11" i="11"/>
  <c r="H9" i="11" s="1"/>
  <c r="I18" i="13"/>
  <c r="H6" i="11"/>
  <c r="I4" i="11" s="1"/>
  <c r="H17" i="13"/>
  <c r="H44" i="13"/>
  <c r="F12" i="13"/>
  <c r="F12" i="15" s="1"/>
  <c r="H54" i="10" l="1"/>
  <c r="H22" i="21" s="1"/>
  <c r="H10" i="11"/>
  <c r="H11" i="11" s="1"/>
  <c r="I9" i="11" s="1"/>
  <c r="H7" i="21"/>
  <c r="I22" i="10"/>
  <c r="I9" i="14"/>
  <c r="H19" i="13"/>
  <c r="H45" i="13"/>
  <c r="I5" i="11"/>
  <c r="L18" i="24" s="1"/>
  <c r="G12" i="13"/>
  <c r="G12" i="15" s="1"/>
  <c r="K43" i="24" l="1"/>
  <c r="I54" i="10" s="1"/>
  <c r="I41" i="14" s="1"/>
  <c r="I44" i="13"/>
  <c r="H41" i="14"/>
  <c r="I7" i="21"/>
  <c r="I17" i="13"/>
  <c r="J18" i="13"/>
  <c r="J9" i="14"/>
  <c r="I6" i="11"/>
  <c r="J4" i="11" s="1"/>
  <c r="I43" i="13"/>
  <c r="I45" i="13" s="1"/>
  <c r="I10" i="11"/>
  <c r="I11" i="11" s="1"/>
  <c r="J9" i="11" s="1"/>
  <c r="H12" i="13"/>
  <c r="H12" i="15" s="1"/>
  <c r="I22" i="21" l="1"/>
  <c r="J44" i="13"/>
  <c r="L43" i="24"/>
  <c r="J22" i="10"/>
  <c r="J43" i="13"/>
  <c r="J10" i="11"/>
  <c r="J5" i="11"/>
  <c r="M18" i="24" s="1"/>
  <c r="I19" i="13"/>
  <c r="I12" i="13"/>
  <c r="I12" i="15" s="1"/>
  <c r="J54" i="10" l="1"/>
  <c r="J41" i="14" s="1"/>
  <c r="J6" i="11"/>
  <c r="J45" i="13"/>
  <c r="K43" i="13" s="1"/>
  <c r="K45" i="13" s="1"/>
  <c r="M43" i="24"/>
  <c r="K44" i="13"/>
  <c r="M10" i="11"/>
  <c r="J11" i="11"/>
  <c r="J7" i="21"/>
  <c r="J17" i="13"/>
  <c r="K18" i="13"/>
  <c r="M5" i="11"/>
  <c r="J12" i="13"/>
  <c r="J12" i="15" s="1"/>
  <c r="J22" i="21" l="1"/>
  <c r="K54" i="10"/>
  <c r="J19" i="13"/>
  <c r="K9" i="14"/>
  <c r="K22" i="10"/>
  <c r="K12" i="13"/>
  <c r="K12" i="15" s="1"/>
  <c r="K7" i="21" l="1"/>
  <c r="K22" i="21"/>
  <c r="K41" i="14"/>
  <c r="K17" i="13"/>
  <c r="K19" i="13" l="1"/>
  <c r="C48" i="10"/>
  <c r="M9" i="11"/>
  <c r="M11" i="11" s="1"/>
  <c r="M4" i="11"/>
  <c r="M6" i="11" s="1"/>
  <c r="L12" i="9"/>
  <c r="N11" i="9"/>
  <c r="M11" i="9"/>
  <c r="F11" i="9"/>
  <c r="E11" i="9"/>
  <c r="D12" i="9"/>
  <c r="E12" i="9" l="1"/>
  <c r="D20" i="11"/>
  <c r="D15" i="11"/>
  <c r="M12" i="9"/>
  <c r="AK11" i="8"/>
  <c r="AK3" i="8"/>
  <c r="AH11" i="8"/>
  <c r="AH10" i="8"/>
  <c r="AH9" i="8"/>
  <c r="AH8" i="8"/>
  <c r="AH7" i="8"/>
  <c r="AH6" i="8"/>
  <c r="AH5" i="8"/>
  <c r="AH4" i="8"/>
  <c r="AH3" i="8"/>
  <c r="AI3" i="8"/>
  <c r="AA11" i="8"/>
  <c r="AA3" i="8"/>
  <c r="Y3" i="8"/>
  <c r="X11" i="8"/>
  <c r="X10" i="8"/>
  <c r="X9" i="8"/>
  <c r="X8" i="8"/>
  <c r="X7" i="8"/>
  <c r="X6" i="8"/>
  <c r="X5" i="8"/>
  <c r="X4" i="8"/>
  <c r="X3" i="8"/>
  <c r="Q3" i="8"/>
  <c r="H11" i="8"/>
  <c r="N16" i="24" s="1"/>
  <c r="F11" i="8"/>
  <c r="G11" i="8"/>
  <c r="G3" i="8"/>
  <c r="D9" i="8"/>
  <c r="D8" i="8"/>
  <c r="D7" i="8"/>
  <c r="D6" i="8"/>
  <c r="D5" i="8"/>
  <c r="D4" i="8"/>
  <c r="O100" i="9"/>
  <c r="O92" i="9"/>
  <c r="O88" i="9"/>
  <c r="O80" i="9"/>
  <c r="O76" i="9"/>
  <c r="O68" i="9"/>
  <c r="O64" i="9"/>
  <c r="O56" i="9"/>
  <c r="O52" i="9"/>
  <c r="O44" i="9"/>
  <c r="O40" i="9"/>
  <c r="O32" i="9"/>
  <c r="O28" i="9"/>
  <c r="O102" i="9"/>
  <c r="O101" i="9"/>
  <c r="O99" i="9"/>
  <c r="O98" i="9"/>
  <c r="O97" i="9"/>
  <c r="O95" i="9"/>
  <c r="O94" i="9"/>
  <c r="O93" i="9"/>
  <c r="O91" i="9"/>
  <c r="O90" i="9"/>
  <c r="O89" i="9"/>
  <c r="O87" i="9"/>
  <c r="O86" i="9"/>
  <c r="O85" i="9"/>
  <c r="O83" i="9"/>
  <c r="O82" i="9"/>
  <c r="O81" i="9"/>
  <c r="O79" i="9"/>
  <c r="O78" i="9"/>
  <c r="O77" i="9"/>
  <c r="O75" i="9"/>
  <c r="O74" i="9"/>
  <c r="O73" i="9"/>
  <c r="O71" i="9"/>
  <c r="O70" i="9"/>
  <c r="O69" i="9"/>
  <c r="O67" i="9"/>
  <c r="O66" i="9"/>
  <c r="O65" i="9"/>
  <c r="O63" i="9"/>
  <c r="O62" i="9"/>
  <c r="O61" i="9"/>
  <c r="O59" i="9"/>
  <c r="O58" i="9"/>
  <c r="O57" i="9"/>
  <c r="O55" i="9"/>
  <c r="O54" i="9"/>
  <c r="O53" i="9"/>
  <c r="O51" i="9"/>
  <c r="O50" i="9"/>
  <c r="O49" i="9"/>
  <c r="O47" i="9"/>
  <c r="O46" i="9"/>
  <c r="O45" i="9"/>
  <c r="O43" i="9"/>
  <c r="O42" i="9"/>
  <c r="O41" i="9"/>
  <c r="O39" i="9"/>
  <c r="O38" i="9"/>
  <c r="O37" i="9"/>
  <c r="O35" i="9"/>
  <c r="O34" i="9"/>
  <c r="O33" i="9"/>
  <c r="O31" i="9"/>
  <c r="O30" i="9"/>
  <c r="O29" i="9"/>
  <c r="O27" i="9"/>
  <c r="O26" i="9"/>
  <c r="O25" i="9"/>
  <c r="O23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J20" i="8"/>
  <c r="Z19" i="8"/>
  <c r="AE20" i="8"/>
  <c r="AE21" i="8" s="1"/>
  <c r="AE22" i="8" s="1"/>
  <c r="AE23" i="8" s="1"/>
  <c r="AE24" i="8" s="1"/>
  <c r="AE25" i="8" s="1"/>
  <c r="AE26" i="8" s="1"/>
  <c r="AE27" i="8" s="1"/>
  <c r="AE28" i="8" s="1"/>
  <c r="AE29" i="8" s="1"/>
  <c r="AE30" i="8" s="1"/>
  <c r="AE31" i="8" s="1"/>
  <c r="AE32" i="8" s="1"/>
  <c r="AE33" i="8" s="1"/>
  <c r="AE34" i="8" s="1"/>
  <c r="AE35" i="8" s="1"/>
  <c r="AE36" i="8" s="1"/>
  <c r="AE37" i="8" s="1"/>
  <c r="AE38" i="8" s="1"/>
  <c r="AE39" i="8" s="1"/>
  <c r="AE40" i="8" s="1"/>
  <c r="AE41" i="8" s="1"/>
  <c r="AE42" i="8" s="1"/>
  <c r="AE43" i="8" s="1"/>
  <c r="AE44" i="8" s="1"/>
  <c r="AE45" i="8" s="1"/>
  <c r="AE46" i="8" s="1"/>
  <c r="AE47" i="8" s="1"/>
  <c r="AE48" i="8" s="1"/>
  <c r="AE49" i="8" s="1"/>
  <c r="AE50" i="8" s="1"/>
  <c r="AE51" i="8" s="1"/>
  <c r="AE52" i="8" s="1"/>
  <c r="AE53" i="8" s="1"/>
  <c r="AE54" i="8" s="1"/>
  <c r="AE55" i="8" s="1"/>
  <c r="AE56" i="8" s="1"/>
  <c r="AE57" i="8" s="1"/>
  <c r="AE58" i="8" s="1"/>
  <c r="AE59" i="8" s="1"/>
  <c r="AE60" i="8" s="1"/>
  <c r="AE61" i="8" s="1"/>
  <c r="AE62" i="8" s="1"/>
  <c r="AE63" i="8" s="1"/>
  <c r="AE64" i="8" s="1"/>
  <c r="AE65" i="8" s="1"/>
  <c r="AE66" i="8" s="1"/>
  <c r="AE67" i="8" s="1"/>
  <c r="AE68" i="8" s="1"/>
  <c r="AE69" i="8" s="1"/>
  <c r="AE70" i="8" s="1"/>
  <c r="AE71" i="8" s="1"/>
  <c r="AE72" i="8" s="1"/>
  <c r="AE73" i="8" s="1"/>
  <c r="AE74" i="8" s="1"/>
  <c r="AE75" i="8" s="1"/>
  <c r="AE76" i="8" s="1"/>
  <c r="AE77" i="8" s="1"/>
  <c r="AE78" i="8" s="1"/>
  <c r="AE79" i="8" s="1"/>
  <c r="AE80" i="8" s="1"/>
  <c r="AE81" i="8" s="1"/>
  <c r="AE82" i="8" s="1"/>
  <c r="AE83" i="8" s="1"/>
  <c r="AE84" i="8" s="1"/>
  <c r="AE85" i="8" s="1"/>
  <c r="AE86" i="8" s="1"/>
  <c r="AE87" i="8" s="1"/>
  <c r="AE88" i="8" s="1"/>
  <c r="AE89" i="8" s="1"/>
  <c r="AE90" i="8" s="1"/>
  <c r="AE91" i="8" s="1"/>
  <c r="AE92" i="8" s="1"/>
  <c r="AE93" i="8" s="1"/>
  <c r="AE94" i="8" s="1"/>
  <c r="U20" i="8"/>
  <c r="U21" i="8" s="1"/>
  <c r="U22" i="8" s="1"/>
  <c r="U23" i="8" s="1"/>
  <c r="U24" i="8" s="1"/>
  <c r="U25" i="8" s="1"/>
  <c r="U26" i="8" s="1"/>
  <c r="U27" i="8" s="1"/>
  <c r="U28" i="8" s="1"/>
  <c r="U29" i="8" s="1"/>
  <c r="U30" i="8" s="1"/>
  <c r="U31" i="8" s="1"/>
  <c r="U32" i="8" s="1"/>
  <c r="U33" i="8" s="1"/>
  <c r="U34" i="8" s="1"/>
  <c r="U35" i="8" s="1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U48" i="8" s="1"/>
  <c r="U49" i="8" s="1"/>
  <c r="U50" i="8" s="1"/>
  <c r="U51" i="8" s="1"/>
  <c r="U52" i="8" s="1"/>
  <c r="U53" i="8" s="1"/>
  <c r="U54" i="8" s="1"/>
  <c r="U55" i="8" s="1"/>
  <c r="U56" i="8" s="1"/>
  <c r="U57" i="8" s="1"/>
  <c r="U58" i="8" s="1"/>
  <c r="U59" i="8" s="1"/>
  <c r="U60" i="8" s="1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U73" i="8" s="1"/>
  <c r="U74" i="8" s="1"/>
  <c r="U75" i="8" s="1"/>
  <c r="U76" i="8" s="1"/>
  <c r="U77" i="8" s="1"/>
  <c r="U78" i="8" s="1"/>
  <c r="U79" i="8" s="1"/>
  <c r="U80" i="8" s="1"/>
  <c r="U81" i="8" s="1"/>
  <c r="U82" i="8" s="1"/>
  <c r="U83" i="8" s="1"/>
  <c r="U84" i="8" s="1"/>
  <c r="U85" i="8" s="1"/>
  <c r="U86" i="8" s="1"/>
  <c r="U87" i="8" s="1"/>
  <c r="U88" i="8" s="1"/>
  <c r="U89" i="8" s="1"/>
  <c r="U90" i="8" s="1"/>
  <c r="U91" i="8" s="1"/>
  <c r="U92" i="8" s="1"/>
  <c r="U93" i="8" s="1"/>
  <c r="U94" i="8" s="1"/>
  <c r="E24" i="7"/>
  <c r="N14" i="2"/>
  <c r="M14" i="2"/>
  <c r="L14" i="2"/>
  <c r="K14" i="2"/>
  <c r="J14" i="2"/>
  <c r="I14" i="2"/>
  <c r="H14" i="2"/>
  <c r="G14" i="2"/>
  <c r="F14" i="2"/>
  <c r="E14" i="2"/>
  <c r="D14" i="2"/>
  <c r="C14" i="2"/>
  <c r="AO11" i="8" l="1"/>
  <c r="K30" i="15" s="1"/>
  <c r="L25" i="14"/>
  <c r="L21" i="10"/>
  <c r="N21" i="24"/>
  <c r="N25" i="24" s="1"/>
  <c r="E70" i="13"/>
  <c r="G68" i="24"/>
  <c r="E86" i="10" s="1"/>
  <c r="D25" i="11"/>
  <c r="E95" i="13"/>
  <c r="E96" i="13" s="1"/>
  <c r="F94" i="13" s="1"/>
  <c r="G91" i="24"/>
  <c r="E118" i="10" s="1"/>
  <c r="AO3" i="8"/>
  <c r="AL20" i="8"/>
  <c r="N5" i="9"/>
  <c r="O5" i="9" s="1"/>
  <c r="H35" i="24" s="1"/>
  <c r="H38" i="24" s="1"/>
  <c r="N9" i="9"/>
  <c r="O9" i="9" s="1"/>
  <c r="L35" i="24" s="1"/>
  <c r="L38" i="24" s="1"/>
  <c r="N4" i="9"/>
  <c r="O4" i="9" s="1"/>
  <c r="G35" i="24" s="1"/>
  <c r="G38" i="24" s="1"/>
  <c r="N8" i="9"/>
  <c r="O8" i="9" s="1"/>
  <c r="K35" i="24" s="1"/>
  <c r="K38" i="24" s="1"/>
  <c r="N3" i="9"/>
  <c r="O3" i="9" s="1"/>
  <c r="F35" i="24" s="1"/>
  <c r="F38" i="24" s="1"/>
  <c r="N13" i="9"/>
  <c r="N7" i="9"/>
  <c r="O7" i="9" s="1"/>
  <c r="J35" i="24" s="1"/>
  <c r="J38" i="24" s="1"/>
  <c r="N6" i="9"/>
  <c r="O6" i="9" s="1"/>
  <c r="I35" i="24" s="1"/>
  <c r="I38" i="24" s="1"/>
  <c r="N10" i="9"/>
  <c r="O10" i="9" s="1"/>
  <c r="M35" i="24" s="1"/>
  <c r="M38" i="24" s="1"/>
  <c r="P19" i="8"/>
  <c r="D28" i="21"/>
  <c r="D13" i="23" s="1"/>
  <c r="X13" i="8"/>
  <c r="D13" i="8"/>
  <c r="O36" i="9"/>
  <c r="O84" i="9"/>
  <c r="O24" i="9"/>
  <c r="O72" i="9"/>
  <c r="O60" i="9"/>
  <c r="O48" i="9"/>
  <c r="O96" i="9"/>
  <c r="O9" i="12"/>
  <c r="O19" i="12"/>
  <c r="O7" i="12"/>
  <c r="D21" i="11"/>
  <c r="E19" i="11" s="1"/>
  <c r="E20" i="11" s="1"/>
  <c r="D16" i="11"/>
  <c r="E14" i="11" s="1"/>
  <c r="O18" i="12"/>
  <c r="O8" i="12"/>
  <c r="M14" i="9"/>
  <c r="E14" i="9"/>
  <c r="AB19" i="8"/>
  <c r="H16" i="6"/>
  <c r="I15" i="6"/>
  <c r="H15" i="6"/>
  <c r="G15" i="6"/>
  <c r="F15" i="6"/>
  <c r="C15" i="6"/>
  <c r="D15" i="6"/>
  <c r="E15" i="6"/>
  <c r="B15" i="6"/>
  <c r="I10" i="6"/>
  <c r="B8" i="6"/>
  <c r="Z8" i="2"/>
  <c r="Y8" i="2"/>
  <c r="Y14" i="2" s="1"/>
  <c r="X8" i="2"/>
  <c r="W8" i="2"/>
  <c r="W14" i="2" s="1"/>
  <c r="V8" i="2"/>
  <c r="U8" i="2"/>
  <c r="U14" i="2" s="1"/>
  <c r="T8" i="2"/>
  <c r="S8" i="2"/>
  <c r="S14" i="2" s="1"/>
  <c r="R8" i="2"/>
  <c r="Q8" i="2"/>
  <c r="Q14" i="2" s="1"/>
  <c r="P8" i="2"/>
  <c r="O8" i="2"/>
  <c r="O14" i="2" s="1"/>
  <c r="CH6" i="4"/>
  <c r="CH7" i="4" s="1"/>
  <c r="CH8" i="4" s="1"/>
  <c r="CH10" i="2" s="1"/>
  <c r="CG6" i="4"/>
  <c r="CG7" i="4" s="1"/>
  <c r="CG8" i="4" s="1"/>
  <c r="CG10" i="2" s="1"/>
  <c r="CF6" i="4"/>
  <c r="CF7" i="4" s="1"/>
  <c r="CF8" i="4" s="1"/>
  <c r="CF10" i="2" s="1"/>
  <c r="CE6" i="4"/>
  <c r="CE7" i="4" s="1"/>
  <c r="CE8" i="4" s="1"/>
  <c r="CE10" i="2" s="1"/>
  <c r="CD6" i="4"/>
  <c r="CD7" i="4" s="1"/>
  <c r="CD8" i="4" s="1"/>
  <c r="CD10" i="2" s="1"/>
  <c r="CC6" i="4"/>
  <c r="CC7" i="4" s="1"/>
  <c r="CC8" i="4" s="1"/>
  <c r="CC10" i="2" s="1"/>
  <c r="CB6" i="4"/>
  <c r="CA6" i="4"/>
  <c r="CA7" i="4" s="1"/>
  <c r="CA8" i="4" s="1"/>
  <c r="CA10" i="2" s="1"/>
  <c r="BZ6" i="4"/>
  <c r="BZ7" i="4" s="1"/>
  <c r="BZ8" i="4" s="1"/>
  <c r="BZ10" i="2" s="1"/>
  <c r="BY6" i="4"/>
  <c r="BY7" i="4" s="1"/>
  <c r="BY8" i="4" s="1"/>
  <c r="BY10" i="2" s="1"/>
  <c r="BX6" i="4"/>
  <c r="BX7" i="4" s="1"/>
  <c r="BX8" i="4" s="1"/>
  <c r="BX10" i="2" s="1"/>
  <c r="BW6" i="4"/>
  <c r="BW7" i="4" s="1"/>
  <c r="BW8" i="4" s="1"/>
  <c r="BW10" i="2" s="1"/>
  <c r="BV6" i="4"/>
  <c r="BV7" i="4" s="1"/>
  <c r="BV8" i="4" s="1"/>
  <c r="BV10" i="2" s="1"/>
  <c r="BU6" i="4"/>
  <c r="BU7" i="4" s="1"/>
  <c r="BU8" i="4" s="1"/>
  <c r="BU10" i="2" s="1"/>
  <c r="BT6" i="4"/>
  <c r="BT7" i="4" s="1"/>
  <c r="BT8" i="4" s="1"/>
  <c r="BT10" i="2" s="1"/>
  <c r="BS6" i="4"/>
  <c r="BS7" i="4" s="1"/>
  <c r="BS8" i="4" s="1"/>
  <c r="BS10" i="2" s="1"/>
  <c r="BR6" i="4"/>
  <c r="BR7" i="4" s="1"/>
  <c r="BR8" i="4" s="1"/>
  <c r="BR10" i="2" s="1"/>
  <c r="BQ6" i="4"/>
  <c r="BQ7" i="4" s="1"/>
  <c r="BQ8" i="4" s="1"/>
  <c r="BQ10" i="2" s="1"/>
  <c r="BP6" i="4"/>
  <c r="BP7" i="4" s="1"/>
  <c r="BP8" i="4" s="1"/>
  <c r="BP10" i="2" s="1"/>
  <c r="BO6" i="4"/>
  <c r="BO7" i="4" s="1"/>
  <c r="BO8" i="4" s="1"/>
  <c r="BO10" i="2" s="1"/>
  <c r="BN6" i="4"/>
  <c r="BN7" i="4" s="1"/>
  <c r="BN8" i="4" s="1"/>
  <c r="BN10" i="2" s="1"/>
  <c r="BM6" i="4"/>
  <c r="BM7" i="4" s="1"/>
  <c r="BM8" i="4" s="1"/>
  <c r="BM10" i="2" s="1"/>
  <c r="BL6" i="4"/>
  <c r="BK6" i="4"/>
  <c r="BK7" i="4" s="1"/>
  <c r="BK8" i="4" s="1"/>
  <c r="BK10" i="2" s="1"/>
  <c r="BJ6" i="4"/>
  <c r="BJ7" i="4" s="1"/>
  <c r="BJ8" i="4" s="1"/>
  <c r="BJ10" i="2" s="1"/>
  <c r="BI6" i="4"/>
  <c r="BI7" i="4" s="1"/>
  <c r="BI8" i="4" s="1"/>
  <c r="BI10" i="2" s="1"/>
  <c r="BH6" i="4"/>
  <c r="BH7" i="4" s="1"/>
  <c r="BH8" i="4" s="1"/>
  <c r="BH10" i="2" s="1"/>
  <c r="BG6" i="4"/>
  <c r="BG7" i="4" s="1"/>
  <c r="BG8" i="4" s="1"/>
  <c r="BG10" i="2" s="1"/>
  <c r="BF6" i="4"/>
  <c r="BF7" i="4" s="1"/>
  <c r="BF8" i="4" s="1"/>
  <c r="BF10" i="2" s="1"/>
  <c r="BE6" i="4"/>
  <c r="BE7" i="4" s="1"/>
  <c r="BE8" i="4" s="1"/>
  <c r="BE10" i="2" s="1"/>
  <c r="BD6" i="4"/>
  <c r="BD7" i="4" s="1"/>
  <c r="BD8" i="4" s="1"/>
  <c r="BD10" i="2" s="1"/>
  <c r="BC6" i="4"/>
  <c r="BC7" i="4" s="1"/>
  <c r="BC8" i="4" s="1"/>
  <c r="BC10" i="2" s="1"/>
  <c r="BB6" i="4"/>
  <c r="BB7" i="4" s="1"/>
  <c r="BB8" i="4" s="1"/>
  <c r="BB10" i="2" s="1"/>
  <c r="BA6" i="4"/>
  <c r="BA7" i="4" s="1"/>
  <c r="BA8" i="4" s="1"/>
  <c r="BA10" i="2" s="1"/>
  <c r="AZ6" i="4"/>
  <c r="AZ7" i="4" s="1"/>
  <c r="AZ8" i="4" s="1"/>
  <c r="AZ10" i="2" s="1"/>
  <c r="AY6" i="4"/>
  <c r="AY7" i="4" s="1"/>
  <c r="AY8" i="4" s="1"/>
  <c r="AY10" i="2" s="1"/>
  <c r="AX6" i="4"/>
  <c r="AX7" i="4" s="1"/>
  <c r="AX8" i="4" s="1"/>
  <c r="AX10" i="2" s="1"/>
  <c r="AW6" i="4"/>
  <c r="AW7" i="4" s="1"/>
  <c r="AW8" i="4" s="1"/>
  <c r="AW10" i="2" s="1"/>
  <c r="AV6" i="4"/>
  <c r="AU6" i="4"/>
  <c r="AU7" i="4" s="1"/>
  <c r="AU8" i="4" s="1"/>
  <c r="AU10" i="2" s="1"/>
  <c r="AT6" i="4"/>
  <c r="AT7" i="4" s="1"/>
  <c r="AT8" i="4" s="1"/>
  <c r="AT10" i="2" s="1"/>
  <c r="AS6" i="4"/>
  <c r="AS7" i="4" s="1"/>
  <c r="AS8" i="4" s="1"/>
  <c r="AS10" i="2" s="1"/>
  <c r="AR6" i="4"/>
  <c r="AR7" i="4" s="1"/>
  <c r="AR8" i="4" s="1"/>
  <c r="AR10" i="2" s="1"/>
  <c r="AQ6" i="4"/>
  <c r="AQ7" i="4" s="1"/>
  <c r="AQ8" i="4" s="1"/>
  <c r="AQ10" i="2" s="1"/>
  <c r="AP6" i="4"/>
  <c r="AP7" i="4" s="1"/>
  <c r="AP8" i="4" s="1"/>
  <c r="AP10" i="2" s="1"/>
  <c r="AO6" i="4"/>
  <c r="AO7" i="4" s="1"/>
  <c r="AO8" i="4" s="1"/>
  <c r="AO10" i="2" s="1"/>
  <c r="AN6" i="4"/>
  <c r="AN7" i="4" s="1"/>
  <c r="AN8" i="4" s="1"/>
  <c r="AN10" i="2" s="1"/>
  <c r="AM6" i="4"/>
  <c r="AM7" i="4" s="1"/>
  <c r="AM8" i="4" s="1"/>
  <c r="AM10" i="2" s="1"/>
  <c r="AL6" i="4"/>
  <c r="AL7" i="4" s="1"/>
  <c r="AL8" i="4" s="1"/>
  <c r="AL10" i="2" s="1"/>
  <c r="AK6" i="4"/>
  <c r="AK7" i="4" s="1"/>
  <c r="AK8" i="4" s="1"/>
  <c r="AK10" i="2" s="1"/>
  <c r="AJ6" i="4"/>
  <c r="AJ7" i="4" s="1"/>
  <c r="AJ8" i="4" s="1"/>
  <c r="AJ10" i="2" s="1"/>
  <c r="AI6" i="4"/>
  <c r="AI7" i="4" s="1"/>
  <c r="AI8" i="4" s="1"/>
  <c r="AI10" i="2" s="1"/>
  <c r="AH6" i="4"/>
  <c r="AH7" i="4" s="1"/>
  <c r="AH8" i="4" s="1"/>
  <c r="AH10" i="2" s="1"/>
  <c r="AG6" i="4"/>
  <c r="AG7" i="4" s="1"/>
  <c r="AG8" i="4" s="1"/>
  <c r="AG10" i="2" s="1"/>
  <c r="AF6" i="4"/>
  <c r="AE6" i="4"/>
  <c r="AE7" i="4" s="1"/>
  <c r="AE8" i="4" s="1"/>
  <c r="AE10" i="2" s="1"/>
  <c r="AD6" i="4"/>
  <c r="AD7" i="4" s="1"/>
  <c r="AD8" i="4" s="1"/>
  <c r="AD10" i="2" s="1"/>
  <c r="AC6" i="4"/>
  <c r="AC7" i="4" s="1"/>
  <c r="AC8" i="4" s="1"/>
  <c r="AC10" i="2" s="1"/>
  <c r="AB6" i="4"/>
  <c r="AB7" i="4" s="1"/>
  <c r="AB8" i="4" s="1"/>
  <c r="AB10" i="2" s="1"/>
  <c r="AA6" i="4"/>
  <c r="AA7" i="4" s="1"/>
  <c r="AA8" i="4" s="1"/>
  <c r="AA10" i="2" s="1"/>
  <c r="Z6" i="4"/>
  <c r="Z7" i="4" s="1"/>
  <c r="Z8" i="4" s="1"/>
  <c r="Z10" i="2" s="1"/>
  <c r="Y6" i="4"/>
  <c r="Y7" i="4" s="1"/>
  <c r="Y8" i="4" s="1"/>
  <c r="Y10" i="2" s="1"/>
  <c r="X6" i="4"/>
  <c r="X7" i="4" s="1"/>
  <c r="X8" i="4" s="1"/>
  <c r="X10" i="2" s="1"/>
  <c r="W6" i="4"/>
  <c r="W7" i="4" s="1"/>
  <c r="W8" i="4" s="1"/>
  <c r="W10" i="2" s="1"/>
  <c r="V6" i="4"/>
  <c r="V7" i="4" s="1"/>
  <c r="V8" i="4" s="1"/>
  <c r="V10" i="2" s="1"/>
  <c r="U6" i="4"/>
  <c r="U7" i="4" s="1"/>
  <c r="U8" i="4" s="1"/>
  <c r="U10" i="2" s="1"/>
  <c r="T6" i="4"/>
  <c r="T7" i="4" s="1"/>
  <c r="T8" i="4" s="1"/>
  <c r="T10" i="2" s="1"/>
  <c r="S6" i="4"/>
  <c r="S7" i="4" s="1"/>
  <c r="S8" i="4" s="1"/>
  <c r="S10" i="2" s="1"/>
  <c r="R6" i="4"/>
  <c r="R7" i="4" s="1"/>
  <c r="R8" i="4" s="1"/>
  <c r="R10" i="2" s="1"/>
  <c r="Q6" i="4"/>
  <c r="Q7" i="4" s="1"/>
  <c r="Q8" i="4" s="1"/>
  <c r="Q10" i="2" s="1"/>
  <c r="P6" i="4"/>
  <c r="O6" i="4"/>
  <c r="O7" i="4" s="1"/>
  <c r="O8" i="4" s="1"/>
  <c r="O10" i="2" s="1"/>
  <c r="N6" i="4"/>
  <c r="N7" i="4" s="1"/>
  <c r="N8" i="4" s="1"/>
  <c r="N10" i="2" s="1"/>
  <c r="M6" i="4"/>
  <c r="M7" i="4" s="1"/>
  <c r="M8" i="4" s="1"/>
  <c r="M10" i="2" s="1"/>
  <c r="L6" i="4"/>
  <c r="L7" i="4" s="1"/>
  <c r="L8" i="4" s="1"/>
  <c r="L10" i="2" s="1"/>
  <c r="K6" i="4"/>
  <c r="K7" i="4" s="1"/>
  <c r="K8" i="4" s="1"/>
  <c r="K10" i="2" s="1"/>
  <c r="J6" i="4"/>
  <c r="J7" i="4" s="1"/>
  <c r="J8" i="4" s="1"/>
  <c r="J10" i="2" s="1"/>
  <c r="I6" i="4"/>
  <c r="I7" i="4" s="1"/>
  <c r="I8" i="4" s="1"/>
  <c r="I10" i="2" s="1"/>
  <c r="H6" i="4"/>
  <c r="H7" i="4" s="1"/>
  <c r="H8" i="4" s="1"/>
  <c r="H10" i="2" s="1"/>
  <c r="G6" i="4"/>
  <c r="G7" i="4" s="1"/>
  <c r="G8" i="4" s="1"/>
  <c r="G10" i="2" s="1"/>
  <c r="F6" i="4"/>
  <c r="F7" i="4" s="1"/>
  <c r="F8" i="4" s="1"/>
  <c r="F10" i="2" s="1"/>
  <c r="E6" i="4"/>
  <c r="E7" i="4" s="1"/>
  <c r="E8" i="4" s="1"/>
  <c r="E10" i="2" s="1"/>
  <c r="D6" i="4"/>
  <c r="D7" i="4" s="1"/>
  <c r="D8" i="4" s="1"/>
  <c r="D10" i="2" s="1"/>
  <c r="C6" i="4"/>
  <c r="C7" i="4" s="1"/>
  <c r="BV16" i="2"/>
  <c r="BU16" i="2"/>
  <c r="BT16" i="2"/>
  <c r="BS16" i="2"/>
  <c r="BR16" i="2"/>
  <c r="BQ16" i="2"/>
  <c r="BP16" i="2"/>
  <c r="BO16" i="2"/>
  <c r="BN16" i="2"/>
  <c r="BM16" i="2"/>
  <c r="BL16" i="2"/>
  <c r="BK16" i="2"/>
  <c r="G16" i="6" s="1"/>
  <c r="BJ16" i="2"/>
  <c r="BI16" i="2"/>
  <c r="BH16" i="2"/>
  <c r="BG16" i="2"/>
  <c r="BF16" i="2"/>
  <c r="BE16" i="2"/>
  <c r="BD16" i="2"/>
  <c r="BC16" i="2"/>
  <c r="BB16" i="2"/>
  <c r="BA16" i="2"/>
  <c r="AZ16" i="2"/>
  <c r="AY16" i="2"/>
  <c r="F16" i="6" s="1"/>
  <c r="AX16" i="2"/>
  <c r="AW16" i="2"/>
  <c r="AV16" i="2"/>
  <c r="AU16" i="2"/>
  <c r="AT16" i="2"/>
  <c r="AS16" i="2"/>
  <c r="AR16" i="2"/>
  <c r="AQ16" i="2"/>
  <c r="AP16" i="2"/>
  <c r="AO16" i="2"/>
  <c r="AN16" i="2"/>
  <c r="AM16" i="2"/>
  <c r="E16" i="6" s="1"/>
  <c r="AL16" i="2"/>
  <c r="AK16" i="2"/>
  <c r="AJ16" i="2"/>
  <c r="AI16" i="2"/>
  <c r="AH16" i="2"/>
  <c r="AG16" i="2"/>
  <c r="AF16" i="2"/>
  <c r="AE16" i="2"/>
  <c r="AD16" i="2"/>
  <c r="AC16" i="2"/>
  <c r="AB16" i="2"/>
  <c r="AA16" i="2"/>
  <c r="D16" i="6" s="1"/>
  <c r="Z16" i="2"/>
  <c r="Y16" i="2"/>
  <c r="X16" i="2"/>
  <c r="W16" i="2"/>
  <c r="V16" i="2"/>
  <c r="U16" i="2"/>
  <c r="T16" i="2"/>
  <c r="S16" i="2"/>
  <c r="R16" i="2"/>
  <c r="Q16" i="2"/>
  <c r="P16" i="2"/>
  <c r="O16" i="2"/>
  <c r="C16" i="6" s="1"/>
  <c r="N16" i="2"/>
  <c r="M16" i="2"/>
  <c r="L16" i="2"/>
  <c r="K16" i="2"/>
  <c r="J16" i="2"/>
  <c r="I16" i="2"/>
  <c r="H16" i="2"/>
  <c r="G16" i="2"/>
  <c r="F16" i="2"/>
  <c r="E16" i="2"/>
  <c r="D16" i="2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BK2" i="2" s="1"/>
  <c r="BL2" i="2" s="1"/>
  <c r="BM2" i="2" s="1"/>
  <c r="BN2" i="2" s="1"/>
  <c r="BO2" i="2" s="1"/>
  <c r="BP2" i="2" s="1"/>
  <c r="BQ2" i="2" s="1"/>
  <c r="BR2" i="2" s="1"/>
  <c r="BS2" i="2" s="1"/>
  <c r="BT2" i="2" s="1"/>
  <c r="BU2" i="2" s="1"/>
  <c r="BV2" i="2" s="1"/>
  <c r="BW2" i="2" s="1"/>
  <c r="BX2" i="2" s="1"/>
  <c r="BY2" i="2" s="1"/>
  <c r="BZ2" i="2" s="1"/>
  <c r="CA2" i="2" s="1"/>
  <c r="CB2" i="2" s="1"/>
  <c r="CC2" i="2" s="1"/>
  <c r="CD2" i="2" s="1"/>
  <c r="CE2" i="2" s="1"/>
  <c r="CF2" i="2" s="1"/>
  <c r="CG2" i="2" s="1"/>
  <c r="CH2" i="2" s="1"/>
  <c r="CI2" i="2" s="1"/>
  <c r="CJ2" i="2" s="1"/>
  <c r="CK2" i="2" s="1"/>
  <c r="CL2" i="2" s="1"/>
  <c r="CM2" i="2" s="1"/>
  <c r="CN2" i="2" s="1"/>
  <c r="G3" i="5"/>
  <c r="G5" i="5" s="1"/>
  <c r="F3" i="5"/>
  <c r="E3" i="5"/>
  <c r="D3" i="5"/>
  <c r="C3" i="5"/>
  <c r="C4" i="5" s="1"/>
  <c r="D2" i="5" s="1"/>
  <c r="B3" i="5"/>
  <c r="B4" i="5" s="1"/>
  <c r="C16" i="2"/>
  <c r="B16" i="6" s="1"/>
  <c r="CO15" i="2"/>
  <c r="CH3" i="4"/>
  <c r="CG3" i="4"/>
  <c r="CF3" i="4"/>
  <c r="CE3" i="4"/>
  <c r="CD3" i="4"/>
  <c r="CC3" i="4"/>
  <c r="CB3" i="4"/>
  <c r="CA3" i="4"/>
  <c r="BZ3" i="4"/>
  <c r="BY3" i="4"/>
  <c r="BX3" i="4"/>
  <c r="BW3" i="4"/>
  <c r="BV3" i="4"/>
  <c r="BU3" i="4"/>
  <c r="BT3" i="4"/>
  <c r="BS3" i="4"/>
  <c r="BR3" i="4"/>
  <c r="BQ3" i="4"/>
  <c r="BP3" i="4"/>
  <c r="BO3" i="4"/>
  <c r="BN3" i="4"/>
  <c r="BM3" i="4"/>
  <c r="BL3" i="4"/>
  <c r="BK3" i="4"/>
  <c r="BJ3" i="4"/>
  <c r="BI3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BF1" i="4" s="1"/>
  <c r="BG1" i="4" s="1"/>
  <c r="BH1" i="4" s="1"/>
  <c r="BI1" i="4" s="1"/>
  <c r="BJ1" i="4" s="1"/>
  <c r="BK1" i="4" s="1"/>
  <c r="BL1" i="4" s="1"/>
  <c r="BM1" i="4" s="1"/>
  <c r="BN1" i="4" s="1"/>
  <c r="BO1" i="4" s="1"/>
  <c r="BP1" i="4" s="1"/>
  <c r="BQ1" i="4" s="1"/>
  <c r="BR1" i="4" s="1"/>
  <c r="BS1" i="4" s="1"/>
  <c r="BT1" i="4" s="1"/>
  <c r="BU1" i="4" s="1"/>
  <c r="BV1" i="4" s="1"/>
  <c r="BW1" i="4" s="1"/>
  <c r="BX1" i="4" s="1"/>
  <c r="BY1" i="4" s="1"/>
  <c r="BZ1" i="4" s="1"/>
  <c r="CA1" i="4" s="1"/>
  <c r="CB1" i="4" s="1"/>
  <c r="CC1" i="4" s="1"/>
  <c r="CD1" i="4" s="1"/>
  <c r="CE1" i="4" s="1"/>
  <c r="CF1" i="4" s="1"/>
  <c r="CG1" i="4" s="1"/>
  <c r="CH1" i="4" s="1"/>
  <c r="C4" i="4"/>
  <c r="D2" i="4" s="1"/>
  <c r="Y9" i="2"/>
  <c r="W9" i="2"/>
  <c r="U9" i="2"/>
  <c r="S9" i="2"/>
  <c r="Q9" i="2"/>
  <c r="N9" i="2"/>
  <c r="M9" i="2"/>
  <c r="L9" i="2"/>
  <c r="K9" i="2"/>
  <c r="J9" i="2"/>
  <c r="I9" i="2"/>
  <c r="H9" i="2"/>
  <c r="G9" i="2"/>
  <c r="F9" i="2"/>
  <c r="E9" i="2"/>
  <c r="M7" i="2"/>
  <c r="F7" i="2"/>
  <c r="E7" i="2"/>
  <c r="N6" i="2"/>
  <c r="O6" i="2" s="1"/>
  <c r="M6" i="2"/>
  <c r="M13" i="2" s="1"/>
  <c r="L6" i="2"/>
  <c r="L7" i="2" s="1"/>
  <c r="K6" i="2"/>
  <c r="K7" i="2" s="1"/>
  <c r="J6" i="2"/>
  <c r="J13" i="2" s="1"/>
  <c r="I6" i="2"/>
  <c r="I13" i="2" s="1"/>
  <c r="H6" i="2"/>
  <c r="H7" i="2" s="1"/>
  <c r="G6" i="2"/>
  <c r="G7" i="2" s="1"/>
  <c r="F6" i="2"/>
  <c r="F13" i="2" s="1"/>
  <c r="E6" i="2"/>
  <c r="E13" i="2" s="1"/>
  <c r="D9" i="2"/>
  <c r="D6" i="2"/>
  <c r="D7" i="2" s="1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C5" i="3"/>
  <c r="E5" i="3" s="1"/>
  <c r="F5" i="3" s="1"/>
  <c r="B6" i="3" s="1"/>
  <c r="C6" i="3" s="1"/>
  <c r="E6" i="3" s="1"/>
  <c r="C9" i="2"/>
  <c r="B9" i="6" s="1"/>
  <c r="C6" i="2"/>
  <c r="C13" i="2" s="1"/>
  <c r="C9" i="1"/>
  <c r="D9" i="1" s="1"/>
  <c r="L9" i="1" s="1"/>
  <c r="C5" i="1"/>
  <c r="C8" i="1" s="1"/>
  <c r="L8" i="21" l="1"/>
  <c r="L26" i="10"/>
  <c r="L28" i="10" s="1"/>
  <c r="L19" i="12"/>
  <c r="L24" i="12" s="1"/>
  <c r="L26" i="12" s="1"/>
  <c r="L13" i="21"/>
  <c r="L13" i="23" s="1"/>
  <c r="L23" i="16"/>
  <c r="D8" i="1"/>
  <c r="C10" i="1"/>
  <c r="P8" i="4"/>
  <c r="P10" i="2" s="1"/>
  <c r="AF8" i="4"/>
  <c r="AF10" i="2" s="1"/>
  <c r="D10" i="6" s="1"/>
  <c r="AV8" i="4"/>
  <c r="AV10" i="2" s="1"/>
  <c r="E10" i="6" s="1"/>
  <c r="BL8" i="4"/>
  <c r="BL10" i="2" s="1"/>
  <c r="G10" i="6" s="1"/>
  <c r="C10" i="6"/>
  <c r="F10" i="6"/>
  <c r="B5" i="5"/>
  <c r="E15" i="11"/>
  <c r="E23" i="11"/>
  <c r="C5" i="5"/>
  <c r="P7" i="4"/>
  <c r="AF7" i="4"/>
  <c r="AV7" i="4"/>
  <c r="BL7" i="4"/>
  <c r="CB7" i="4"/>
  <c r="CI7" i="4" s="1"/>
  <c r="X9" i="2"/>
  <c r="X14" i="2"/>
  <c r="N13" i="2"/>
  <c r="F95" i="13"/>
  <c r="F96" i="13" s="1"/>
  <c r="G94" i="13" s="1"/>
  <c r="H91" i="24"/>
  <c r="F118" i="10" s="1"/>
  <c r="C8" i="6"/>
  <c r="O13" i="2"/>
  <c r="AA8" i="2"/>
  <c r="Z14" i="2"/>
  <c r="B6" i="6"/>
  <c r="D13" i="2"/>
  <c r="P9" i="2"/>
  <c r="P14" i="2"/>
  <c r="O107" i="9"/>
  <c r="O13" i="9" s="1"/>
  <c r="G13" i="2"/>
  <c r="I7" i="2"/>
  <c r="I11" i="2" s="1"/>
  <c r="R9" i="2"/>
  <c r="R14" i="2"/>
  <c r="H13" i="2"/>
  <c r="E104" i="14"/>
  <c r="E52" i="21"/>
  <c r="J7" i="2"/>
  <c r="J11" i="2" s="1"/>
  <c r="CO16" i="2"/>
  <c r="T9" i="2"/>
  <c r="T14" i="2"/>
  <c r="D26" i="11"/>
  <c r="D28" i="11" s="1"/>
  <c r="D27" i="11"/>
  <c r="N7" i="2"/>
  <c r="K13" i="2"/>
  <c r="B13" i="6" s="1"/>
  <c r="E37" i="21"/>
  <c r="E73" i="14"/>
  <c r="E20" i="12"/>
  <c r="V9" i="2"/>
  <c r="V14" i="2"/>
  <c r="L13" i="2"/>
  <c r="E71" i="13"/>
  <c r="F69" i="13" s="1"/>
  <c r="E18" i="15"/>
  <c r="E19" i="15" s="1"/>
  <c r="R19" i="8"/>
  <c r="S19" i="8" s="1"/>
  <c r="O20" i="8" s="1"/>
  <c r="P20" i="8" s="1"/>
  <c r="R20" i="8" s="1"/>
  <c r="AM20" i="8"/>
  <c r="AI21" i="8" s="1"/>
  <c r="M45" i="24"/>
  <c r="K45" i="10"/>
  <c r="K48" i="10" s="1"/>
  <c r="F45" i="24"/>
  <c r="D45" i="10"/>
  <c r="D48" i="10" s="1"/>
  <c r="F45" i="10"/>
  <c r="F48" i="10" s="1"/>
  <c r="H45" i="24"/>
  <c r="I45" i="24"/>
  <c r="G45" i="10"/>
  <c r="G48" i="10" s="1"/>
  <c r="I45" i="10"/>
  <c r="I48" i="10" s="1"/>
  <c r="K45" i="24"/>
  <c r="J45" i="24"/>
  <c r="H45" i="10"/>
  <c r="H48" i="10" s="1"/>
  <c r="E45" i="10"/>
  <c r="E48" i="10" s="1"/>
  <c r="G45" i="24"/>
  <c r="J45" i="10"/>
  <c r="J48" i="10" s="1"/>
  <c r="L45" i="24"/>
  <c r="G4" i="9"/>
  <c r="G9" i="24" s="1"/>
  <c r="G12" i="24" s="1"/>
  <c r="G5" i="9"/>
  <c r="H9" i="24" s="1"/>
  <c r="H12" i="24" s="1"/>
  <c r="G10" i="9"/>
  <c r="M9" i="24" s="1"/>
  <c r="M12" i="24" s="1"/>
  <c r="G6" i="9"/>
  <c r="I9" i="24" s="1"/>
  <c r="I12" i="24" s="1"/>
  <c r="G7" i="9"/>
  <c r="J9" i="24" s="1"/>
  <c r="J12" i="24" s="1"/>
  <c r="G23" i="9"/>
  <c r="G107" i="9" s="1"/>
  <c r="F13" i="9"/>
  <c r="N12" i="9"/>
  <c r="N14" i="9" s="1"/>
  <c r="G8" i="9"/>
  <c r="K9" i="24" s="1"/>
  <c r="K12" i="24" s="1"/>
  <c r="G9" i="9"/>
  <c r="L9" i="24" s="1"/>
  <c r="L12" i="24" s="1"/>
  <c r="O17" i="12"/>
  <c r="O10" i="12"/>
  <c r="E21" i="11"/>
  <c r="F19" i="11" s="1"/>
  <c r="F20" i="11" s="1"/>
  <c r="E16" i="11"/>
  <c r="F14" i="11" s="1"/>
  <c r="AC19" i="8"/>
  <c r="Y20" i="8" s="1"/>
  <c r="Z20" i="8" s="1"/>
  <c r="J16" i="6"/>
  <c r="J15" i="6"/>
  <c r="O7" i="2"/>
  <c r="P6" i="2"/>
  <c r="C17" i="2"/>
  <c r="C7" i="2"/>
  <c r="G11" i="2"/>
  <c r="Z9" i="2"/>
  <c r="O9" i="2"/>
  <c r="N11" i="2"/>
  <c r="D11" i="2"/>
  <c r="H11" i="2"/>
  <c r="L11" i="2"/>
  <c r="F11" i="2"/>
  <c r="E11" i="2"/>
  <c r="M11" i="2"/>
  <c r="K11" i="2"/>
  <c r="CI6" i="4"/>
  <c r="C8" i="4"/>
  <c r="C10" i="2" s="1"/>
  <c r="D5" i="5"/>
  <c r="D4" i="5"/>
  <c r="E2" i="5" s="1"/>
  <c r="H5" i="5"/>
  <c r="F5" i="5"/>
  <c r="E5" i="5"/>
  <c r="D4" i="4"/>
  <c r="E2" i="4" s="1"/>
  <c r="F6" i="3"/>
  <c r="B7" i="3" s="1"/>
  <c r="C7" i="3" s="1"/>
  <c r="E7" i="3" s="1"/>
  <c r="L6" i="21" l="1"/>
  <c r="L33" i="12"/>
  <c r="L37" i="12" s="1"/>
  <c r="L38" i="12" s="1"/>
  <c r="L7" i="14"/>
  <c r="L9" i="13"/>
  <c r="L9" i="15" s="1"/>
  <c r="L8" i="23"/>
  <c r="L12" i="23" s="1"/>
  <c r="L14" i="23" s="1"/>
  <c r="L12" i="21"/>
  <c r="L14" i="21" s="1"/>
  <c r="D29" i="11"/>
  <c r="AB8" i="2"/>
  <c r="AA14" i="2"/>
  <c r="F52" i="21"/>
  <c r="F104" i="14"/>
  <c r="CB8" i="4"/>
  <c r="CB10" i="2" s="1"/>
  <c r="H10" i="6" s="1"/>
  <c r="C9" i="6"/>
  <c r="E7" i="23"/>
  <c r="AA9" i="2"/>
  <c r="F17" i="15"/>
  <c r="B10" i="6"/>
  <c r="C14" i="6"/>
  <c r="Q6" i="2"/>
  <c r="P13" i="2"/>
  <c r="B7" i="6"/>
  <c r="F15" i="11"/>
  <c r="F23" i="11"/>
  <c r="E7" i="16"/>
  <c r="G95" i="13"/>
  <c r="G96" i="13" s="1"/>
  <c r="H94" i="13" s="1"/>
  <c r="I91" i="24"/>
  <c r="G118" i="10" s="1"/>
  <c r="P7" i="2"/>
  <c r="P11" i="2" s="1"/>
  <c r="F70" i="13"/>
  <c r="F18" i="15" s="1"/>
  <c r="H68" i="24"/>
  <c r="F86" i="10" s="1"/>
  <c r="E25" i="11"/>
  <c r="E27" i="11" s="1"/>
  <c r="L8" i="1"/>
  <c r="D10" i="1"/>
  <c r="AJ21" i="8"/>
  <c r="E56" i="10"/>
  <c r="F56" i="10"/>
  <c r="K56" i="10"/>
  <c r="J56" i="10"/>
  <c r="I56" i="10"/>
  <c r="H56" i="10"/>
  <c r="G56" i="10"/>
  <c r="D56" i="10"/>
  <c r="G13" i="9"/>
  <c r="K47" i="13"/>
  <c r="K13" i="10"/>
  <c r="I47" i="13"/>
  <c r="I13" i="10"/>
  <c r="G47" i="13"/>
  <c r="G13" i="10"/>
  <c r="J47" i="13"/>
  <c r="J13" i="10"/>
  <c r="F47" i="13"/>
  <c r="F13" i="10"/>
  <c r="E47" i="13"/>
  <c r="E13" i="10"/>
  <c r="H47" i="13"/>
  <c r="H13" i="10"/>
  <c r="S20" i="8"/>
  <c r="O21" i="8" s="1"/>
  <c r="AJ3" i="8"/>
  <c r="C117" i="10" s="1"/>
  <c r="O12" i="9"/>
  <c r="O14" i="9" s="1"/>
  <c r="F12" i="9"/>
  <c r="F14" i="9" s="1"/>
  <c r="G3" i="9"/>
  <c r="F9" i="24" s="1"/>
  <c r="F12" i="24" s="1"/>
  <c r="F21" i="11"/>
  <c r="G19" i="11" s="1"/>
  <c r="G20" i="11" s="1"/>
  <c r="O11" i="2"/>
  <c r="D17" i="2"/>
  <c r="D19" i="2" s="1"/>
  <c r="C11" i="2"/>
  <c r="CI8" i="4"/>
  <c r="E4" i="5"/>
  <c r="F2" i="5" s="1"/>
  <c r="F4" i="5" s="1"/>
  <c r="G2" i="5" s="1"/>
  <c r="G4" i="5" s="1"/>
  <c r="H2" i="5" s="1"/>
  <c r="H4" i="5" s="1"/>
  <c r="E4" i="4"/>
  <c r="F2" i="4" s="1"/>
  <c r="F7" i="3"/>
  <c r="B8" i="3" s="1"/>
  <c r="L9" i="21" l="1"/>
  <c r="L16" i="21" s="1"/>
  <c r="L6" i="23"/>
  <c r="L9" i="23" s="1"/>
  <c r="L16" i="23" s="1"/>
  <c r="L5" i="16"/>
  <c r="N56" i="10"/>
  <c r="F71" i="13"/>
  <c r="G69" i="13" s="1"/>
  <c r="G17" i="15" s="1"/>
  <c r="G19" i="15" s="1"/>
  <c r="F11" i="12"/>
  <c r="F14" i="12" s="1"/>
  <c r="F16" i="10"/>
  <c r="J11" i="12"/>
  <c r="J14" i="12" s="1"/>
  <c r="J16" i="10"/>
  <c r="J21" i="13" s="1"/>
  <c r="J21" i="15" s="1"/>
  <c r="I11" i="12"/>
  <c r="I14" i="12" s="1"/>
  <c r="I16" i="10"/>
  <c r="I21" i="13" s="1"/>
  <c r="I21" i="15" s="1"/>
  <c r="K11" i="12"/>
  <c r="K14" i="12" s="1"/>
  <c r="K16" i="10"/>
  <c r="K21" i="13" s="1"/>
  <c r="K21" i="15" s="1"/>
  <c r="E11" i="12"/>
  <c r="E14" i="12" s="1"/>
  <c r="E16" i="10"/>
  <c r="E21" i="13" s="1"/>
  <c r="E21" i="15" s="1"/>
  <c r="G11" i="12"/>
  <c r="G14" i="12" s="1"/>
  <c r="G16" i="10"/>
  <c r="G21" i="13" s="1"/>
  <c r="G21" i="15" s="1"/>
  <c r="H11" i="12"/>
  <c r="H14" i="12" s="1"/>
  <c r="H16" i="10"/>
  <c r="H21" i="13" s="1"/>
  <c r="H21" i="15" s="1"/>
  <c r="F16" i="11"/>
  <c r="G14" i="11" s="1"/>
  <c r="G70" i="13"/>
  <c r="G18" i="15" s="1"/>
  <c r="I68" i="24"/>
  <c r="G86" i="10" s="1"/>
  <c r="F25" i="11"/>
  <c r="F27" i="11" s="1"/>
  <c r="R6" i="2"/>
  <c r="Q13" i="2"/>
  <c r="G104" i="14"/>
  <c r="G52" i="21"/>
  <c r="C127" i="10"/>
  <c r="C122" i="10"/>
  <c r="M10" i="1"/>
  <c r="L10" i="1"/>
  <c r="AC8" i="2"/>
  <c r="AB14" i="2"/>
  <c r="AB9" i="2"/>
  <c r="C19" i="2"/>
  <c r="B11" i="6"/>
  <c r="F37" i="21"/>
  <c r="F7" i="23" s="1"/>
  <c r="F73" i="14"/>
  <c r="F7" i="16" s="1"/>
  <c r="F20" i="12"/>
  <c r="E26" i="11"/>
  <c r="J10" i="6"/>
  <c r="H95" i="13"/>
  <c r="H96" i="13" s="1"/>
  <c r="I94" i="13" s="1"/>
  <c r="J91" i="24"/>
  <c r="H118" i="10" s="1"/>
  <c r="CO10" i="2"/>
  <c r="Q7" i="2"/>
  <c r="F19" i="15"/>
  <c r="D121" i="14"/>
  <c r="D122" i="14" s="1"/>
  <c r="D124" i="14" s="1"/>
  <c r="D127" i="14" s="1"/>
  <c r="E90" i="24"/>
  <c r="E95" i="24" s="1"/>
  <c r="AL21" i="8"/>
  <c r="M20" i="24"/>
  <c r="L20" i="24"/>
  <c r="K20" i="24"/>
  <c r="J20" i="24"/>
  <c r="I20" i="24"/>
  <c r="H20" i="24"/>
  <c r="G20" i="24"/>
  <c r="I45" i="14"/>
  <c r="J45" i="14"/>
  <c r="F45" i="14"/>
  <c r="H45" i="14"/>
  <c r="F20" i="24"/>
  <c r="D13" i="10"/>
  <c r="F21" i="13"/>
  <c r="F21" i="15" s="1"/>
  <c r="G45" i="14"/>
  <c r="K45" i="14"/>
  <c r="P21" i="8"/>
  <c r="G12" i="9"/>
  <c r="G14" i="9" s="1"/>
  <c r="G21" i="11"/>
  <c r="H19" i="11" s="1"/>
  <c r="H20" i="11" s="1"/>
  <c r="AB20" i="8"/>
  <c r="F19" i="8"/>
  <c r="E17" i="2"/>
  <c r="E19" i="2" s="1"/>
  <c r="F4" i="4"/>
  <c r="G2" i="4" s="1"/>
  <c r="G4" i="4" s="1"/>
  <c r="H2" i="4" s="1"/>
  <c r="C8" i="3"/>
  <c r="E8" i="3" s="1"/>
  <c r="G71" i="13" l="1"/>
  <c r="H69" i="13" s="1"/>
  <c r="H17" i="15" s="1"/>
  <c r="F26" i="11"/>
  <c r="F28" i="11" s="1"/>
  <c r="F29" i="11" s="1"/>
  <c r="E28" i="11"/>
  <c r="E29" i="11" s="1"/>
  <c r="D11" i="12"/>
  <c r="D14" i="12" s="1"/>
  <c r="D16" i="10"/>
  <c r="E24" i="10"/>
  <c r="E22" i="12" s="1"/>
  <c r="H24" i="10"/>
  <c r="H22" i="12" s="1"/>
  <c r="I24" i="10"/>
  <c r="I22" i="12" s="1"/>
  <c r="G24" i="10"/>
  <c r="G22" i="12" s="1"/>
  <c r="J24" i="10"/>
  <c r="J22" i="12" s="1"/>
  <c r="F24" i="10"/>
  <c r="F22" i="12" s="1"/>
  <c r="K24" i="10"/>
  <c r="K22" i="12" s="1"/>
  <c r="S6" i="2"/>
  <c r="R13" i="2"/>
  <c r="R7" i="2"/>
  <c r="R11" i="2" s="1"/>
  <c r="I95" i="13"/>
  <c r="I96" i="13" s="1"/>
  <c r="J94" i="13" s="1"/>
  <c r="K91" i="24"/>
  <c r="I118" i="10" s="1"/>
  <c r="G73" i="14"/>
  <c r="G7" i="16" s="1"/>
  <c r="G37" i="21"/>
  <c r="G7" i="23" s="1"/>
  <c r="G20" i="12"/>
  <c r="G23" i="11"/>
  <c r="G15" i="11"/>
  <c r="AD8" i="2"/>
  <c r="AC14" i="2"/>
  <c r="AC9" i="2"/>
  <c r="Q11" i="2"/>
  <c r="H52" i="21"/>
  <c r="H104" i="14"/>
  <c r="C128" i="10"/>
  <c r="C129" i="10" s="1"/>
  <c r="E42" i="24"/>
  <c r="AP19" i="8"/>
  <c r="AM21" i="8"/>
  <c r="AI22" i="8" s="1"/>
  <c r="E126" i="14"/>
  <c r="D99" i="13"/>
  <c r="D101" i="13" s="1"/>
  <c r="K13" i="14"/>
  <c r="K11" i="16" s="1"/>
  <c r="N48" i="10"/>
  <c r="F13" i="14"/>
  <c r="F11" i="16" s="1"/>
  <c r="H13" i="14"/>
  <c r="H11" i="16" s="1"/>
  <c r="G13" i="14"/>
  <c r="G11" i="16" s="1"/>
  <c r="N16" i="10"/>
  <c r="I13" i="14"/>
  <c r="I11" i="16" s="1"/>
  <c r="D24" i="10"/>
  <c r="D22" i="12" s="1"/>
  <c r="J13" i="14"/>
  <c r="J11" i="16" s="1"/>
  <c r="R21" i="8"/>
  <c r="S21" i="8" s="1"/>
  <c r="O22" i="8" s="1"/>
  <c r="H19" i="8"/>
  <c r="I19" i="8" s="1"/>
  <c r="E20" i="8" s="1"/>
  <c r="F20" i="8" s="1"/>
  <c r="H21" i="11"/>
  <c r="I19" i="11" s="1"/>
  <c r="I20" i="11" s="1"/>
  <c r="AC20" i="8"/>
  <c r="Y21" i="8" s="1"/>
  <c r="Z21" i="8" s="1"/>
  <c r="F17" i="2"/>
  <c r="F19" i="2" s="1"/>
  <c r="H4" i="4"/>
  <c r="I2" i="4" s="1"/>
  <c r="F8" i="3"/>
  <c r="B9" i="3" s="1"/>
  <c r="C9" i="3" s="1"/>
  <c r="N22" i="12" l="1"/>
  <c r="T6" i="2"/>
  <c r="S13" i="2"/>
  <c r="S7" i="2"/>
  <c r="S11" i="2" s="1"/>
  <c r="J95" i="13"/>
  <c r="J96" i="13" s="1"/>
  <c r="K94" i="13" s="1"/>
  <c r="L91" i="24"/>
  <c r="J118" i="10" s="1"/>
  <c r="AE8" i="2"/>
  <c r="AD14" i="2"/>
  <c r="AD9" i="2"/>
  <c r="H70" i="13"/>
  <c r="J68" i="24"/>
  <c r="H86" i="10" s="1"/>
  <c r="G25" i="11"/>
  <c r="G26" i="11" s="1"/>
  <c r="G28" i="11" s="1"/>
  <c r="G16" i="11"/>
  <c r="H14" i="11" s="1"/>
  <c r="I104" i="14"/>
  <c r="I52" i="21"/>
  <c r="H20" i="8"/>
  <c r="I20" i="8" s="1"/>
  <c r="E21" i="8" s="1"/>
  <c r="F21" i="8" s="1"/>
  <c r="E16" i="24" s="1"/>
  <c r="AP20" i="8"/>
  <c r="AJ22" i="8"/>
  <c r="E48" i="24"/>
  <c r="N14" i="12"/>
  <c r="D47" i="13"/>
  <c r="D21" i="13"/>
  <c r="P22" i="8"/>
  <c r="O11" i="12"/>
  <c r="O14" i="12" s="1"/>
  <c r="I21" i="11"/>
  <c r="J19" i="11" s="1"/>
  <c r="J20" i="11" s="1"/>
  <c r="G17" i="2"/>
  <c r="G19" i="2" s="1"/>
  <c r="I4" i="4"/>
  <c r="J2" i="4" s="1"/>
  <c r="E9" i="3"/>
  <c r="F9" i="3" s="1"/>
  <c r="B10" i="3" s="1"/>
  <c r="G27" i="11" l="1"/>
  <c r="G29" i="11" s="1"/>
  <c r="H73" i="14"/>
  <c r="H7" i="16" s="1"/>
  <c r="H37" i="21"/>
  <c r="H7" i="23" s="1"/>
  <c r="H20" i="12"/>
  <c r="J52" i="21"/>
  <c r="J104" i="14"/>
  <c r="U6" i="2"/>
  <c r="T13" i="2"/>
  <c r="T7" i="2"/>
  <c r="T11" i="2" s="1"/>
  <c r="H18" i="15"/>
  <c r="H19" i="15" s="1"/>
  <c r="H71" i="13"/>
  <c r="I69" i="13" s="1"/>
  <c r="H23" i="11"/>
  <c r="H15" i="11"/>
  <c r="AF8" i="2"/>
  <c r="AE14" i="2"/>
  <c r="AE9" i="2"/>
  <c r="K95" i="13"/>
  <c r="K96" i="13" s="1"/>
  <c r="M91" i="24"/>
  <c r="K118" i="10" s="1"/>
  <c r="D21" i="15"/>
  <c r="H21" i="8"/>
  <c r="I21" i="8" s="1"/>
  <c r="E22" i="8" s="1"/>
  <c r="F22" i="8" s="1"/>
  <c r="AP21" i="8"/>
  <c r="AL22" i="8"/>
  <c r="D45" i="14"/>
  <c r="E45" i="14"/>
  <c r="D13" i="14"/>
  <c r="E13" i="14"/>
  <c r="R22" i="8"/>
  <c r="S22" i="8" s="1"/>
  <c r="O23" i="8" s="1"/>
  <c r="P3" i="8"/>
  <c r="F42" i="24" s="1"/>
  <c r="F48" i="24" s="1"/>
  <c r="C53" i="10"/>
  <c r="C21" i="10"/>
  <c r="O13" i="1" s="1"/>
  <c r="O14" i="1" s="1"/>
  <c r="O18" i="1" s="1"/>
  <c r="E24" i="24"/>
  <c r="E21" i="24"/>
  <c r="J21" i="11"/>
  <c r="AB21" i="8"/>
  <c r="H17" i="2"/>
  <c r="H19" i="2" s="1"/>
  <c r="J4" i="4"/>
  <c r="K2" i="4" s="1"/>
  <c r="C10" i="3"/>
  <c r="E10" i="3" s="1"/>
  <c r="V6" i="2" l="1"/>
  <c r="U13" i="2"/>
  <c r="U7" i="2"/>
  <c r="U11" i="2" s="1"/>
  <c r="K52" i="21"/>
  <c r="K104" i="14"/>
  <c r="AG8" i="2"/>
  <c r="AF14" i="2"/>
  <c r="AF9" i="2"/>
  <c r="E11" i="16"/>
  <c r="H16" i="11"/>
  <c r="I14" i="11" s="1"/>
  <c r="I70" i="13"/>
  <c r="I18" i="15" s="1"/>
  <c r="K68" i="24"/>
  <c r="I86" i="10" s="1"/>
  <c r="H25" i="11"/>
  <c r="H26" i="11" s="1"/>
  <c r="H28" i="11" s="1"/>
  <c r="D11" i="16"/>
  <c r="I17" i="15"/>
  <c r="H22" i="8"/>
  <c r="AP22" i="8"/>
  <c r="D53" i="10"/>
  <c r="D58" i="10" s="1"/>
  <c r="F49" i="24"/>
  <c r="AL3" i="8"/>
  <c r="AM3" i="8" s="1"/>
  <c r="AM22" i="8"/>
  <c r="AI23" i="8" s="1"/>
  <c r="E25" i="24"/>
  <c r="P23" i="8"/>
  <c r="C31" i="10"/>
  <c r="C19" i="12"/>
  <c r="C24" i="12" s="1"/>
  <c r="C26" i="10"/>
  <c r="R3" i="8"/>
  <c r="S3" i="8" s="1"/>
  <c r="C63" i="10"/>
  <c r="C58" i="10"/>
  <c r="AC21" i="8"/>
  <c r="Y22" i="8" s="1"/>
  <c r="Z22" i="8" s="1"/>
  <c r="I17" i="2"/>
  <c r="I19" i="2" s="1"/>
  <c r="K4" i="4"/>
  <c r="L2" i="4" s="1"/>
  <c r="F10" i="3"/>
  <c r="B11" i="3" s="1"/>
  <c r="C11" i="3" s="1"/>
  <c r="C64" i="10" l="1"/>
  <c r="P13" i="1"/>
  <c r="P14" i="1" s="1"/>
  <c r="P18" i="1" s="1"/>
  <c r="I23" i="11"/>
  <c r="I15" i="11"/>
  <c r="I73" i="14"/>
  <c r="I7" i="16" s="1"/>
  <c r="I37" i="21"/>
  <c r="I7" i="23" s="1"/>
  <c r="I20" i="12"/>
  <c r="I19" i="15"/>
  <c r="H27" i="11"/>
  <c r="H29" i="11" s="1"/>
  <c r="I71" i="13"/>
  <c r="J69" i="13" s="1"/>
  <c r="AH8" i="2"/>
  <c r="AG14" i="2"/>
  <c r="AG9" i="2"/>
  <c r="W6" i="2"/>
  <c r="V13" i="2"/>
  <c r="V7" i="2"/>
  <c r="V11" i="2" s="1"/>
  <c r="AI4" i="8"/>
  <c r="D88" i="13"/>
  <c r="D91" i="13" s="1"/>
  <c r="AJ23" i="8"/>
  <c r="AL23" i="8" s="1"/>
  <c r="Z3" i="8"/>
  <c r="C65" i="10"/>
  <c r="R23" i="8"/>
  <c r="D37" i="13"/>
  <c r="O4" i="8"/>
  <c r="C29" i="12"/>
  <c r="C30" i="12" s="1"/>
  <c r="C31" i="12" s="1"/>
  <c r="C32" i="10"/>
  <c r="C33" i="10" s="1"/>
  <c r="M20" i="11"/>
  <c r="M21" i="11" s="1"/>
  <c r="I22" i="8"/>
  <c r="E23" i="8" s="1"/>
  <c r="J17" i="2"/>
  <c r="J19" i="2" s="1"/>
  <c r="L4" i="4"/>
  <c r="M2" i="4" s="1"/>
  <c r="E11" i="3"/>
  <c r="F11" i="3" s="1"/>
  <c r="B12" i="3" s="1"/>
  <c r="C12" i="3" s="1"/>
  <c r="X6" i="2" l="1"/>
  <c r="W13" i="2"/>
  <c r="W7" i="2"/>
  <c r="W11" i="2" s="1"/>
  <c r="AI8" i="2"/>
  <c r="AH14" i="2"/>
  <c r="AH9" i="2"/>
  <c r="J17" i="15"/>
  <c r="I16" i="11"/>
  <c r="J14" i="11" s="1"/>
  <c r="J70" i="13"/>
  <c r="J18" i="15" s="1"/>
  <c r="L68" i="24"/>
  <c r="J86" i="10" s="1"/>
  <c r="I25" i="11"/>
  <c r="I26" i="11" s="1"/>
  <c r="I28" i="11" s="1"/>
  <c r="D90" i="14"/>
  <c r="D91" i="14" s="1"/>
  <c r="E67" i="24"/>
  <c r="AM23" i="8"/>
  <c r="AI24" i="8" s="1"/>
  <c r="S23" i="8"/>
  <c r="O24" i="8" s="1"/>
  <c r="F23" i="8"/>
  <c r="O36" i="12"/>
  <c r="AB22" i="8"/>
  <c r="K17" i="2"/>
  <c r="K19" i="2" s="1"/>
  <c r="M4" i="4"/>
  <c r="N2" i="4" s="1"/>
  <c r="E12" i="3"/>
  <c r="F12" i="3"/>
  <c r="B13" i="3" s="1"/>
  <c r="C13" i="3" s="1"/>
  <c r="AP23" i="8" l="1"/>
  <c r="F3" i="8"/>
  <c r="I27" i="11"/>
  <c r="I29" i="11" s="1"/>
  <c r="J23" i="11"/>
  <c r="J15" i="11"/>
  <c r="J71" i="13"/>
  <c r="K69" i="13" s="1"/>
  <c r="J73" i="14"/>
  <c r="J7" i="16" s="1"/>
  <c r="J37" i="21"/>
  <c r="J7" i="23" s="1"/>
  <c r="J20" i="12"/>
  <c r="AJ8" i="2"/>
  <c r="AI14" i="2"/>
  <c r="AI9" i="2"/>
  <c r="J19" i="15"/>
  <c r="Y6" i="2"/>
  <c r="X13" i="2"/>
  <c r="X7" i="2"/>
  <c r="X11" i="2" s="1"/>
  <c r="AJ24" i="8"/>
  <c r="AL24" i="8" s="1"/>
  <c r="E72" i="24"/>
  <c r="C85" i="10"/>
  <c r="P24" i="8"/>
  <c r="AC22" i="8"/>
  <c r="Y23" i="8" s="1"/>
  <c r="Z23" i="8" s="1"/>
  <c r="AB23" i="8" s="1"/>
  <c r="AB3" i="8"/>
  <c r="AC3" i="8" s="1"/>
  <c r="H23" i="8"/>
  <c r="D23" i="21"/>
  <c r="D27" i="21" s="1"/>
  <c r="D29" i="21" s="1"/>
  <c r="D42" i="14"/>
  <c r="D58" i="14" s="1"/>
  <c r="D59" i="14" s="1"/>
  <c r="D60" i="10"/>
  <c r="D34" i="12" s="1"/>
  <c r="O35" i="12"/>
  <c r="L17" i="2"/>
  <c r="L19" i="2" s="1"/>
  <c r="N4" i="4"/>
  <c r="O2" i="4" s="1"/>
  <c r="E13" i="3"/>
  <c r="F13" i="3" s="1"/>
  <c r="B14" i="3" s="1"/>
  <c r="C14" i="3" s="1"/>
  <c r="F16" i="24" l="1"/>
  <c r="AK8" i="2"/>
  <c r="AJ14" i="2"/>
  <c r="AJ9" i="2"/>
  <c r="K17" i="15"/>
  <c r="Z6" i="2"/>
  <c r="Y13" i="2"/>
  <c r="Y7" i="2"/>
  <c r="Y11" i="2" s="1"/>
  <c r="J16" i="11"/>
  <c r="K70" i="13"/>
  <c r="K18" i="15" s="1"/>
  <c r="M68" i="24"/>
  <c r="K86" i="10" s="1"/>
  <c r="J25" i="11"/>
  <c r="J26" i="11" s="1"/>
  <c r="J28" i="11" s="1"/>
  <c r="M15" i="11"/>
  <c r="M16" i="11" s="1"/>
  <c r="Y4" i="8"/>
  <c r="D63" i="13"/>
  <c r="D66" i="13" s="1"/>
  <c r="AM24" i="8"/>
  <c r="AI25" i="8" s="1"/>
  <c r="C95" i="10"/>
  <c r="C90" i="10"/>
  <c r="R24" i="8"/>
  <c r="AC23" i="8"/>
  <c r="Y24" i="8" s="1"/>
  <c r="Z24" i="8" s="1"/>
  <c r="AB24" i="8" s="1"/>
  <c r="D21" i="21"/>
  <c r="D24" i="21" s="1"/>
  <c r="D31" i="21" s="1"/>
  <c r="D35" i="13"/>
  <c r="D36" i="13" s="1"/>
  <c r="D39" i="14"/>
  <c r="D43" i="14" s="1"/>
  <c r="D46" i="14" s="1"/>
  <c r="D61" i="14" s="1"/>
  <c r="D64" i="14" s="1"/>
  <c r="I23" i="8"/>
  <c r="E24" i="8" s="1"/>
  <c r="B14" i="6"/>
  <c r="M17" i="2"/>
  <c r="M19" i="2" s="1"/>
  <c r="O4" i="4"/>
  <c r="P2" i="4" s="1"/>
  <c r="E14" i="3"/>
  <c r="F14" i="3" s="1"/>
  <c r="B15" i="3" s="1"/>
  <c r="C15" i="3" s="1"/>
  <c r="F21" i="24" l="1"/>
  <c r="F25" i="24" s="1"/>
  <c r="D21" i="10"/>
  <c r="F24" i="8"/>
  <c r="K71" i="13"/>
  <c r="J27" i="11"/>
  <c r="J29" i="11" s="1"/>
  <c r="K19" i="15"/>
  <c r="C96" i="10"/>
  <c r="C97" i="10" s="1"/>
  <c r="C133" i="10"/>
  <c r="AL8" i="2"/>
  <c r="AK14" i="2"/>
  <c r="AK9" i="2"/>
  <c r="AA6" i="2"/>
  <c r="Z13" i="2"/>
  <c r="C13" i="6" s="1"/>
  <c r="C6" i="6"/>
  <c r="Z7" i="2"/>
  <c r="C7" i="6" s="1"/>
  <c r="Z11" i="2"/>
  <c r="C11" i="6" s="1"/>
  <c r="K37" i="21"/>
  <c r="K7" i="23" s="1"/>
  <c r="K73" i="14"/>
  <c r="K7" i="16" s="1"/>
  <c r="K20" i="12"/>
  <c r="AJ25" i="8"/>
  <c r="AL25" i="8" s="1"/>
  <c r="AK84" i="8"/>
  <c r="AK72" i="8"/>
  <c r="AK64" i="8"/>
  <c r="AK56" i="8"/>
  <c r="AK52" i="8"/>
  <c r="AK44" i="8"/>
  <c r="AK40" i="8"/>
  <c r="AK32" i="8"/>
  <c r="AK28" i="8"/>
  <c r="AK95" i="8"/>
  <c r="AK91" i="8"/>
  <c r="AK87" i="8"/>
  <c r="AK83" i="8"/>
  <c r="AK79" i="8"/>
  <c r="AK75" i="8"/>
  <c r="AK71" i="8"/>
  <c r="AK67" i="8"/>
  <c r="AK63" i="8"/>
  <c r="AK59" i="8"/>
  <c r="AK55" i="8"/>
  <c r="AK51" i="8"/>
  <c r="AK47" i="8"/>
  <c r="AK43" i="8"/>
  <c r="AK39" i="8"/>
  <c r="AK35" i="8"/>
  <c r="AK31" i="8"/>
  <c r="AK27" i="8"/>
  <c r="AK82" i="8"/>
  <c r="AK62" i="8"/>
  <c r="AK54" i="8"/>
  <c r="AK50" i="8"/>
  <c r="AK42" i="8"/>
  <c r="AK34" i="8"/>
  <c r="AK30" i="8"/>
  <c r="AK94" i="8"/>
  <c r="AK90" i="8"/>
  <c r="AK86" i="8"/>
  <c r="AK78" i="8"/>
  <c r="AK74" i="8"/>
  <c r="AK70" i="8"/>
  <c r="AK66" i="8"/>
  <c r="AK58" i="8"/>
  <c r="AK46" i="8"/>
  <c r="AK38" i="8"/>
  <c r="AK26" i="8"/>
  <c r="AK93" i="8"/>
  <c r="AK89" i="8"/>
  <c r="AK85" i="8"/>
  <c r="AK81" i="8"/>
  <c r="AK77" i="8"/>
  <c r="AK73" i="8"/>
  <c r="AK69" i="8"/>
  <c r="AK65" i="8"/>
  <c r="AK61" i="8"/>
  <c r="AK57" i="8"/>
  <c r="AK53" i="8"/>
  <c r="AK49" i="8"/>
  <c r="AK45" i="8"/>
  <c r="AK41" i="8"/>
  <c r="AK37" i="8"/>
  <c r="AK33" i="8"/>
  <c r="AK29" i="8"/>
  <c r="AK25" i="8"/>
  <c r="AK96" i="8"/>
  <c r="AK92" i="8"/>
  <c r="AK88" i="8"/>
  <c r="AK80" i="8"/>
  <c r="AK76" i="8"/>
  <c r="AK68" i="8"/>
  <c r="AK60" i="8"/>
  <c r="AK48" i="8"/>
  <c r="AK36" i="8"/>
  <c r="E63" i="14"/>
  <c r="D48" i="13"/>
  <c r="D50" i="13" s="1"/>
  <c r="E34" i="13"/>
  <c r="D40" i="13"/>
  <c r="S24" i="8"/>
  <c r="O25" i="8" s="1"/>
  <c r="O20" i="12"/>
  <c r="O24" i="12" s="1"/>
  <c r="O26" i="12" s="1"/>
  <c r="AC24" i="8"/>
  <c r="Y25" i="8" s="1"/>
  <c r="B17" i="6"/>
  <c r="B19" i="6" s="1"/>
  <c r="N17" i="2"/>
  <c r="N19" i="2" s="1"/>
  <c r="P4" i="4"/>
  <c r="Q2" i="4" s="1"/>
  <c r="E15" i="3"/>
  <c r="F15" i="3" s="1"/>
  <c r="B16" i="3" s="1"/>
  <c r="C16" i="3" s="1"/>
  <c r="H24" i="8" l="1"/>
  <c r="I24" i="8" s="1"/>
  <c r="E25" i="8" s="1"/>
  <c r="AP24" i="8"/>
  <c r="D26" i="10"/>
  <c r="D28" i="10" s="1"/>
  <c r="D8" i="21"/>
  <c r="D19" i="12"/>
  <c r="D10" i="14"/>
  <c r="AM25" i="8"/>
  <c r="AI26" i="8" s="1"/>
  <c r="AJ26" i="8" s="1"/>
  <c r="AL26" i="8" s="1"/>
  <c r="AM26" i="8" s="1"/>
  <c r="AI27" i="8" s="1"/>
  <c r="C17" i="6"/>
  <c r="C19" i="6" s="1"/>
  <c r="AA13" i="2"/>
  <c r="AB6" i="2"/>
  <c r="AA7" i="2"/>
  <c r="AM8" i="2"/>
  <c r="AL14" i="2"/>
  <c r="D14" i="6" s="1"/>
  <c r="D8" i="6"/>
  <c r="AL9" i="2"/>
  <c r="D9" i="6" s="1"/>
  <c r="Q94" i="8"/>
  <c r="Q82" i="8"/>
  <c r="Q62" i="8"/>
  <c r="Q46" i="8"/>
  <c r="Q26" i="8"/>
  <c r="Q68" i="8"/>
  <c r="Q93" i="8"/>
  <c r="Q89" i="8"/>
  <c r="Q85" i="8"/>
  <c r="Q81" i="8"/>
  <c r="Q77" i="8"/>
  <c r="Q73" i="8"/>
  <c r="Q69" i="8"/>
  <c r="Q65" i="8"/>
  <c r="Q61" i="8"/>
  <c r="Q57" i="8"/>
  <c r="Q53" i="8"/>
  <c r="Q49" i="8"/>
  <c r="Q45" i="8"/>
  <c r="Q41" i="8"/>
  <c r="Q37" i="8"/>
  <c r="Q33" i="8"/>
  <c r="Q29" i="8"/>
  <c r="Q25" i="8"/>
  <c r="Q96" i="8"/>
  <c r="Q92" i="8"/>
  <c r="Q88" i="8"/>
  <c r="Q84" i="8"/>
  <c r="Q80" i="8"/>
  <c r="Q72" i="8"/>
  <c r="Q64" i="8"/>
  <c r="Q56" i="8"/>
  <c r="Q48" i="8"/>
  <c r="Q40" i="8"/>
  <c r="Q32" i="8"/>
  <c r="Q95" i="8"/>
  <c r="Q91" i="8"/>
  <c r="Q87" i="8"/>
  <c r="Q83" i="8"/>
  <c r="Q79" i="8"/>
  <c r="Q75" i="8"/>
  <c r="Q71" i="8"/>
  <c r="Q67" i="8"/>
  <c r="Q63" i="8"/>
  <c r="Q59" i="8"/>
  <c r="Q55" i="8"/>
  <c r="Q51" i="8"/>
  <c r="Q47" i="8"/>
  <c r="Q43" i="8"/>
  <c r="Q39" i="8"/>
  <c r="Q35" i="8"/>
  <c r="Q31" i="8"/>
  <c r="Q27" i="8"/>
  <c r="Q90" i="8"/>
  <c r="Q86" i="8"/>
  <c r="Q78" i="8"/>
  <c r="Q74" i="8"/>
  <c r="Q70" i="8"/>
  <c r="Q66" i="8"/>
  <c r="Q58" i="8"/>
  <c r="Q54" i="8"/>
  <c r="Q50" i="8"/>
  <c r="Q42" i="8"/>
  <c r="Q38" i="8"/>
  <c r="Q34" i="8"/>
  <c r="D59" i="21" s="1"/>
  <c r="D61" i="21" s="1"/>
  <c r="Q30" i="8"/>
  <c r="Q76" i="8"/>
  <c r="Q60" i="8"/>
  <c r="Q52" i="8"/>
  <c r="Q44" i="8"/>
  <c r="Q36" i="8"/>
  <c r="Q28" i="8"/>
  <c r="AK97" i="8"/>
  <c r="AJ27" i="8"/>
  <c r="AL27" i="8" s="1"/>
  <c r="Z25" i="8"/>
  <c r="AA94" i="8"/>
  <c r="AA90" i="8"/>
  <c r="AA86" i="8"/>
  <c r="AA82" i="8"/>
  <c r="AA78" i="8"/>
  <c r="AA74" i="8"/>
  <c r="AA70" i="8"/>
  <c r="AA66" i="8"/>
  <c r="AA62" i="8"/>
  <c r="AA58" i="8"/>
  <c r="AA54" i="8"/>
  <c r="AA50" i="8"/>
  <c r="AA46" i="8"/>
  <c r="AA42" i="8"/>
  <c r="AA38" i="8"/>
  <c r="AA34" i="8"/>
  <c r="AA30" i="8"/>
  <c r="AA26" i="8"/>
  <c r="AA84" i="8"/>
  <c r="AA72" i="8"/>
  <c r="AA64" i="8"/>
  <c r="AA56" i="8"/>
  <c r="AA48" i="8"/>
  <c r="AA40" i="8"/>
  <c r="AA32" i="8"/>
  <c r="AA83" i="8"/>
  <c r="AA75" i="8"/>
  <c r="AA67" i="8"/>
  <c r="AA59" i="8"/>
  <c r="AA47" i="8"/>
  <c r="AA39" i="8"/>
  <c r="AA31" i="8"/>
  <c r="AA93" i="8"/>
  <c r="AA89" i="8"/>
  <c r="AA85" i="8"/>
  <c r="AA81" i="8"/>
  <c r="AA77" i="8"/>
  <c r="AA73" i="8"/>
  <c r="AA69" i="8"/>
  <c r="AA65" i="8"/>
  <c r="AA61" i="8"/>
  <c r="AA57" i="8"/>
  <c r="AA53" i="8"/>
  <c r="AA49" i="8"/>
  <c r="AA45" i="8"/>
  <c r="AA41" i="8"/>
  <c r="AA37" i="8"/>
  <c r="AA33" i="8"/>
  <c r="AA29" i="8"/>
  <c r="AA25" i="8"/>
  <c r="AA96" i="8"/>
  <c r="AA92" i="8"/>
  <c r="AA88" i="8"/>
  <c r="AA80" i="8"/>
  <c r="AA76" i="8"/>
  <c r="AA68" i="8"/>
  <c r="AA60" i="8"/>
  <c r="AA52" i="8"/>
  <c r="AA44" i="8"/>
  <c r="AA36" i="8"/>
  <c r="AA28" i="8"/>
  <c r="AA95" i="8"/>
  <c r="AA91" i="8"/>
  <c r="AA87" i="8"/>
  <c r="AA79" i="8"/>
  <c r="AA71" i="8"/>
  <c r="AA63" i="8"/>
  <c r="AA55" i="8"/>
  <c r="AA51" i="8"/>
  <c r="AA43" i="8"/>
  <c r="AA35" i="8"/>
  <c r="AA27" i="8"/>
  <c r="D52" i="13"/>
  <c r="P25" i="8"/>
  <c r="AB25" i="8"/>
  <c r="AA8" i="8"/>
  <c r="I89" i="14" s="1"/>
  <c r="O17" i="2"/>
  <c r="O19" i="2" s="1"/>
  <c r="Q4" i="4"/>
  <c r="R2" i="4" s="1"/>
  <c r="E16" i="3"/>
  <c r="F16" i="3" s="1"/>
  <c r="B17" i="3" s="1"/>
  <c r="C17" i="3" s="1"/>
  <c r="G95" i="8" l="1"/>
  <c r="G91" i="8"/>
  <c r="G87" i="8"/>
  <c r="G83" i="8"/>
  <c r="G79" i="8"/>
  <c r="G75" i="8"/>
  <c r="G71" i="8"/>
  <c r="G67" i="8"/>
  <c r="G63" i="8"/>
  <c r="G59" i="8"/>
  <c r="G55" i="8"/>
  <c r="G51" i="8"/>
  <c r="G47" i="8"/>
  <c r="G43" i="8"/>
  <c r="G39" i="8"/>
  <c r="G35" i="8"/>
  <c r="G31" i="8"/>
  <c r="G27" i="8"/>
  <c r="G94" i="8"/>
  <c r="G90" i="8"/>
  <c r="G86" i="8"/>
  <c r="G82" i="8"/>
  <c r="G78" i="8"/>
  <c r="G74" i="8"/>
  <c r="G70" i="8"/>
  <c r="G66" i="8"/>
  <c r="G62" i="8"/>
  <c r="G58" i="8"/>
  <c r="G54" i="8"/>
  <c r="G50" i="8"/>
  <c r="G46" i="8"/>
  <c r="G42" i="8"/>
  <c r="G38" i="8"/>
  <c r="G34" i="8"/>
  <c r="G30" i="8"/>
  <c r="G26" i="8"/>
  <c r="G93" i="8"/>
  <c r="G89" i="8"/>
  <c r="G85" i="8"/>
  <c r="G81" i="8"/>
  <c r="G77" i="8"/>
  <c r="G73" i="8"/>
  <c r="G69" i="8"/>
  <c r="G65" i="8"/>
  <c r="G61" i="8"/>
  <c r="G57" i="8"/>
  <c r="G53" i="8"/>
  <c r="G49" i="8"/>
  <c r="G45" i="8"/>
  <c r="G41" i="8"/>
  <c r="G37" i="8"/>
  <c r="G33" i="8"/>
  <c r="G29" i="8"/>
  <c r="G25" i="8"/>
  <c r="G96" i="8"/>
  <c r="G10" i="8" s="1"/>
  <c r="K25" i="14" s="1"/>
  <c r="K13" i="21" s="1"/>
  <c r="G92" i="8"/>
  <c r="G88" i="8"/>
  <c r="G84" i="8"/>
  <c r="G9" i="8" s="1"/>
  <c r="J25" i="14" s="1"/>
  <c r="J13" i="21" s="1"/>
  <c r="G80" i="8"/>
  <c r="G76" i="8"/>
  <c r="G72" i="8"/>
  <c r="G68" i="8"/>
  <c r="G64" i="8"/>
  <c r="G60" i="8"/>
  <c r="G56" i="8"/>
  <c r="G52" i="8"/>
  <c r="G48" i="8"/>
  <c r="G44" i="8"/>
  <c r="G40" i="8"/>
  <c r="G36" i="8"/>
  <c r="G5" i="8" s="1"/>
  <c r="F25" i="14" s="1"/>
  <c r="F13" i="21" s="1"/>
  <c r="G32" i="8"/>
  <c r="G28" i="8"/>
  <c r="F25" i="8"/>
  <c r="H25" i="8" s="1"/>
  <c r="I25" i="8" s="1"/>
  <c r="E26" i="8" s="1"/>
  <c r="F26" i="8" s="1"/>
  <c r="H26" i="8" s="1"/>
  <c r="D8" i="16"/>
  <c r="D26" i="14"/>
  <c r="D33" i="12"/>
  <c r="D37" i="12" s="1"/>
  <c r="D7" i="14"/>
  <c r="D9" i="13"/>
  <c r="D6" i="21"/>
  <c r="D24" i="12"/>
  <c r="D26" i="12" s="1"/>
  <c r="D38" i="12" s="1"/>
  <c r="D8" i="23"/>
  <c r="D12" i="23" s="1"/>
  <c r="D14" i="23" s="1"/>
  <c r="D12" i="21"/>
  <c r="D14" i="21" s="1"/>
  <c r="AN8" i="2"/>
  <c r="AM14" i="2"/>
  <c r="AM9" i="2"/>
  <c r="AB13" i="2"/>
  <c r="AC6" i="2"/>
  <c r="AB7" i="2"/>
  <c r="AB11" i="2" s="1"/>
  <c r="AA11" i="2"/>
  <c r="AM27" i="8"/>
  <c r="AI28" i="8" s="1"/>
  <c r="AJ28" i="8" s="1"/>
  <c r="AL28" i="8" s="1"/>
  <c r="AM28" i="8" s="1"/>
  <c r="AI29" i="8" s="1"/>
  <c r="I43" i="21"/>
  <c r="AA97" i="8"/>
  <c r="AA10" i="8"/>
  <c r="K89" i="14" s="1"/>
  <c r="AA6" i="8"/>
  <c r="G89" i="14" s="1"/>
  <c r="AA9" i="8"/>
  <c r="J89" i="14" s="1"/>
  <c r="R25" i="8"/>
  <c r="S25" i="8" s="1"/>
  <c r="O26" i="8" s="1"/>
  <c r="AA7" i="8"/>
  <c r="H89" i="14" s="1"/>
  <c r="AA4" i="8"/>
  <c r="E89" i="14" s="1"/>
  <c r="AA5" i="8"/>
  <c r="F89" i="14" s="1"/>
  <c r="AC25" i="8"/>
  <c r="Y26" i="8" s="1"/>
  <c r="Z26" i="8" s="1"/>
  <c r="P17" i="2"/>
  <c r="P19" i="2" s="1"/>
  <c r="R4" i="4"/>
  <c r="S2" i="4" s="1"/>
  <c r="E17" i="3"/>
  <c r="F17" i="3" s="1"/>
  <c r="B18" i="3" s="1"/>
  <c r="C18" i="3" s="1"/>
  <c r="G8" i="8" l="1"/>
  <c r="I25" i="14" s="1"/>
  <c r="I13" i="21" s="1"/>
  <c r="D9" i="15"/>
  <c r="D10" i="15" s="1"/>
  <c r="E8" i="15" s="1"/>
  <c r="D10" i="13"/>
  <c r="E8" i="13" s="1"/>
  <c r="AP25" i="8"/>
  <c r="G7" i="8"/>
  <c r="H25" i="14" s="1"/>
  <c r="H13" i="21" s="1"/>
  <c r="D11" i="14"/>
  <c r="D5" i="16"/>
  <c r="D9" i="21"/>
  <c r="D16" i="21" s="1"/>
  <c r="D6" i="23"/>
  <c r="D9" i="23" s="1"/>
  <c r="D16" i="23" s="1"/>
  <c r="D24" i="16"/>
  <c r="D25" i="16" s="1"/>
  <c r="D27" i="14"/>
  <c r="G6" i="8"/>
  <c r="G25" i="14" s="1"/>
  <c r="G13" i="21" s="1"/>
  <c r="G97" i="8"/>
  <c r="G14" i="8" s="1"/>
  <c r="G4" i="8"/>
  <c r="AC13" i="2"/>
  <c r="AD6" i="2"/>
  <c r="AC7" i="2"/>
  <c r="AC11" i="2" s="1"/>
  <c r="AO8" i="2"/>
  <c r="AN14" i="2"/>
  <c r="AN9" i="2"/>
  <c r="E43" i="21"/>
  <c r="K43" i="21"/>
  <c r="AJ29" i="8"/>
  <c r="AL29" i="8" s="1"/>
  <c r="F43" i="21"/>
  <c r="J43" i="21"/>
  <c r="G43" i="21"/>
  <c r="H43" i="21"/>
  <c r="P26" i="8"/>
  <c r="AP26" i="8" s="1"/>
  <c r="AA13" i="8"/>
  <c r="I26" i="8"/>
  <c r="E27" i="8" s="1"/>
  <c r="AB26" i="8"/>
  <c r="Q17" i="2"/>
  <c r="Q19" i="2" s="1"/>
  <c r="S4" i="4"/>
  <c r="T2" i="4" s="1"/>
  <c r="E18" i="3"/>
  <c r="F18" i="3" s="1"/>
  <c r="B19" i="3" s="1"/>
  <c r="C19" i="3" s="1"/>
  <c r="D9" i="16" l="1"/>
  <c r="D12" i="16" s="1"/>
  <c r="D27" i="16" s="1"/>
  <c r="D30" i="16" s="1"/>
  <c r="D14" i="14"/>
  <c r="D29" i="14" s="1"/>
  <c r="D32" i="14" s="1"/>
  <c r="G13" i="8"/>
  <c r="G15" i="8" s="1"/>
  <c r="E25" i="14"/>
  <c r="E13" i="21" s="1"/>
  <c r="AP8" i="2"/>
  <c r="AO14" i="2"/>
  <c r="AO9" i="2"/>
  <c r="AD13" i="2"/>
  <c r="AE6" i="2"/>
  <c r="AD7" i="2"/>
  <c r="AM29" i="8"/>
  <c r="AI30" i="8" s="1"/>
  <c r="F27" i="8"/>
  <c r="R26" i="8"/>
  <c r="AC26" i="8"/>
  <c r="Y27" i="8" s="1"/>
  <c r="Z27" i="8" s="1"/>
  <c r="R17" i="2"/>
  <c r="R19" i="2" s="1"/>
  <c r="T4" i="4"/>
  <c r="U2" i="4" s="1"/>
  <c r="E19" i="3"/>
  <c r="F19" i="3" s="1"/>
  <c r="B20" i="3" s="1"/>
  <c r="C20" i="3" s="1"/>
  <c r="D131" i="14" l="1"/>
  <c r="E29" i="16"/>
  <c r="E31" i="14"/>
  <c r="D22" i="13"/>
  <c r="D24" i="13" s="1"/>
  <c r="D66" i="14"/>
  <c r="AD11" i="2"/>
  <c r="AQ8" i="2"/>
  <c r="AP14" i="2"/>
  <c r="AP9" i="2"/>
  <c r="AE13" i="2"/>
  <c r="AF6" i="2"/>
  <c r="AE7" i="2"/>
  <c r="AE11" i="2" s="1"/>
  <c r="AJ30" i="8"/>
  <c r="AL30" i="8" s="1"/>
  <c r="S26" i="8"/>
  <c r="O27" i="8" s="1"/>
  <c r="H27" i="8"/>
  <c r="AB27" i="8"/>
  <c r="S17" i="2"/>
  <c r="S19" i="2" s="1"/>
  <c r="U4" i="4"/>
  <c r="V2" i="4" s="1"/>
  <c r="E20" i="3"/>
  <c r="F20" i="3" s="1"/>
  <c r="B21" i="3" s="1"/>
  <c r="C21" i="3" s="1"/>
  <c r="AF13" i="2" l="1"/>
  <c r="AG6" i="2"/>
  <c r="AF7" i="2"/>
  <c r="AF11" i="2" s="1"/>
  <c r="AR8" i="2"/>
  <c r="AQ14" i="2"/>
  <c r="AQ9" i="2"/>
  <c r="AM30" i="8"/>
  <c r="AI31" i="8" s="1"/>
  <c r="AJ31" i="8" s="1"/>
  <c r="AL31" i="8" s="1"/>
  <c r="AM31" i="8" s="1"/>
  <c r="AI32" i="8" s="1"/>
  <c r="AJ32" i="8" s="1"/>
  <c r="AL32" i="8" s="1"/>
  <c r="I27" i="8"/>
  <c r="E28" i="8" s="1"/>
  <c r="F28" i="8" s="1"/>
  <c r="P27" i="8"/>
  <c r="AP27" i="8" s="1"/>
  <c r="AC27" i="8"/>
  <c r="Y28" i="8" s="1"/>
  <c r="T17" i="2"/>
  <c r="T19" i="2" s="1"/>
  <c r="V4" i="4"/>
  <c r="W2" i="4" s="1"/>
  <c r="E21" i="3"/>
  <c r="F21" i="3" s="1"/>
  <c r="B22" i="3" s="1"/>
  <c r="C22" i="3" s="1"/>
  <c r="AS8" i="2" l="1"/>
  <c r="AR14" i="2"/>
  <c r="AR9" i="2"/>
  <c r="AG13" i="2"/>
  <c r="AH6" i="2"/>
  <c r="AG7" i="2"/>
  <c r="AG11" i="2" s="1"/>
  <c r="AM32" i="8"/>
  <c r="AI33" i="8" s="1"/>
  <c r="AJ33" i="8" s="1"/>
  <c r="AL33" i="8" s="1"/>
  <c r="AM33" i="8" s="1"/>
  <c r="AI34" i="8" s="1"/>
  <c r="R27" i="8"/>
  <c r="H28" i="8"/>
  <c r="Z28" i="8"/>
  <c r="AB28" i="8" s="1"/>
  <c r="AC28" i="8" s="1"/>
  <c r="Y29" i="8" s="1"/>
  <c r="Z29" i="8" s="1"/>
  <c r="U17" i="2"/>
  <c r="U19" i="2" s="1"/>
  <c r="W4" i="4"/>
  <c r="X2" i="4" s="1"/>
  <c r="E22" i="3"/>
  <c r="F22" i="3" s="1"/>
  <c r="B23" i="3" s="1"/>
  <c r="AH13" i="2" l="1"/>
  <c r="AI6" i="2"/>
  <c r="AH7" i="2"/>
  <c r="AH11" i="2" s="1"/>
  <c r="AT8" i="2"/>
  <c r="AS14" i="2"/>
  <c r="AS9" i="2"/>
  <c r="AJ34" i="8"/>
  <c r="AL34" i="8" s="1"/>
  <c r="AM34" i="8" s="1"/>
  <c r="AI35" i="8" s="1"/>
  <c r="I28" i="8"/>
  <c r="E29" i="8" s="1"/>
  <c r="F29" i="8" s="1"/>
  <c r="S27" i="8"/>
  <c r="O28" i="8" s="1"/>
  <c r="AB29" i="8"/>
  <c r="V17" i="2"/>
  <c r="V19" i="2" s="1"/>
  <c r="X4" i="4"/>
  <c r="Y2" i="4" s="1"/>
  <c r="C23" i="3"/>
  <c r="E23" i="3" s="1"/>
  <c r="AU8" i="2" l="1"/>
  <c r="AT14" i="2"/>
  <c r="AT9" i="2"/>
  <c r="AI13" i="2"/>
  <c r="AJ6" i="2"/>
  <c r="AI7" i="2"/>
  <c r="AI11" i="2" s="1"/>
  <c r="H29" i="8"/>
  <c r="I29" i="8" s="1"/>
  <c r="E30" i="8" s="1"/>
  <c r="AJ35" i="8"/>
  <c r="AL35" i="8" s="1"/>
  <c r="P28" i="8"/>
  <c r="AC29" i="8"/>
  <c r="Y30" i="8" s="1"/>
  <c r="Z30" i="8" s="1"/>
  <c r="W17" i="2"/>
  <c r="W19" i="2" s="1"/>
  <c r="Y4" i="4"/>
  <c r="Z2" i="4" s="1"/>
  <c r="F23" i="3"/>
  <c r="B24" i="3" s="1"/>
  <c r="C24" i="3"/>
  <c r="AJ13" i="2" l="1"/>
  <c r="AK6" i="2"/>
  <c r="AJ7" i="2"/>
  <c r="AJ11" i="2" s="1"/>
  <c r="AV8" i="2"/>
  <c r="AU14" i="2"/>
  <c r="AU9" i="2"/>
  <c r="R28" i="8"/>
  <c r="AP28" i="8"/>
  <c r="AM35" i="8"/>
  <c r="AI36" i="8" s="1"/>
  <c r="S28" i="8"/>
  <c r="O29" i="8" s="1"/>
  <c r="F30" i="8"/>
  <c r="AB30" i="8"/>
  <c r="X17" i="2"/>
  <c r="X19" i="2" s="1"/>
  <c r="Z4" i="4"/>
  <c r="AA2" i="4" s="1"/>
  <c r="E24" i="3"/>
  <c r="F24" i="3" s="1"/>
  <c r="B25" i="3" s="1"/>
  <c r="C25" i="3" s="1"/>
  <c r="AW8" i="2" l="1"/>
  <c r="AV14" i="2"/>
  <c r="AV9" i="2"/>
  <c r="AK13" i="2"/>
  <c r="AK7" i="2"/>
  <c r="AK11" i="2" s="1"/>
  <c r="AL6" i="2"/>
  <c r="H30" i="8"/>
  <c r="I30" i="8" s="1"/>
  <c r="E31" i="8" s="1"/>
  <c r="F31" i="8" s="1"/>
  <c r="AJ36" i="8"/>
  <c r="AL36" i="8" s="1"/>
  <c r="AM36" i="8" s="1"/>
  <c r="AI37" i="8" s="1"/>
  <c r="P29" i="8"/>
  <c r="AC30" i="8"/>
  <c r="Y31" i="8" s="1"/>
  <c r="Y17" i="2"/>
  <c r="Y19" i="2" s="1"/>
  <c r="AA4" i="4"/>
  <c r="AB2" i="4" s="1"/>
  <c r="E25" i="3"/>
  <c r="F25" i="3" s="1"/>
  <c r="B26" i="3" s="1"/>
  <c r="AL13" i="2" l="1"/>
  <c r="D13" i="6" s="1"/>
  <c r="AL7" i="2"/>
  <c r="D7" i="6" s="1"/>
  <c r="AL11" i="2"/>
  <c r="D11" i="6" s="1"/>
  <c r="AM6" i="2"/>
  <c r="D6" i="6"/>
  <c r="AX8" i="2"/>
  <c r="AW14" i="2"/>
  <c r="AW9" i="2"/>
  <c r="R29" i="8"/>
  <c r="S29" i="8" s="1"/>
  <c r="O30" i="8" s="1"/>
  <c r="AP29" i="8"/>
  <c r="H31" i="8"/>
  <c r="I31" i="8" s="1"/>
  <c r="E32" i="8" s="1"/>
  <c r="AJ37" i="8"/>
  <c r="AL37" i="8" s="1"/>
  <c r="Z31" i="8"/>
  <c r="AB31" i="8" s="1"/>
  <c r="AC31" i="8" s="1"/>
  <c r="Y32" i="8" s="1"/>
  <c r="Z32" i="8" s="1"/>
  <c r="Z17" i="2"/>
  <c r="Z19" i="2" s="1"/>
  <c r="AB4" i="4"/>
  <c r="AC2" i="4" s="1"/>
  <c r="C26" i="3"/>
  <c r="E26" i="3" s="1"/>
  <c r="AY8" i="2" l="1"/>
  <c r="AX14" i="2"/>
  <c r="E14" i="6" s="1"/>
  <c r="AX9" i="2"/>
  <c r="E9" i="6" s="1"/>
  <c r="E8" i="6"/>
  <c r="AM13" i="2"/>
  <c r="AN6" i="2"/>
  <c r="AM7" i="2"/>
  <c r="AM11" i="2"/>
  <c r="D17" i="6"/>
  <c r="D19" i="6" s="1"/>
  <c r="AM37" i="8"/>
  <c r="AI38" i="8" s="1"/>
  <c r="P30" i="8"/>
  <c r="F32" i="8"/>
  <c r="AB32" i="8"/>
  <c r="AA17" i="2"/>
  <c r="AA19" i="2" s="1"/>
  <c r="AC4" i="4"/>
  <c r="AD2" i="4" s="1"/>
  <c r="F26" i="3"/>
  <c r="B27" i="3" s="1"/>
  <c r="AN13" i="2" l="1"/>
  <c r="AO6" i="2"/>
  <c r="AN7" i="2"/>
  <c r="AY14" i="2"/>
  <c r="AZ8" i="2"/>
  <c r="AY9" i="2"/>
  <c r="H32" i="8"/>
  <c r="I32" i="8" s="1"/>
  <c r="E33" i="8" s="1"/>
  <c r="R30" i="8"/>
  <c r="S30" i="8" s="1"/>
  <c r="O31" i="8" s="1"/>
  <c r="AP30" i="8"/>
  <c r="AJ38" i="8"/>
  <c r="AL38" i="8" s="1"/>
  <c r="AC32" i="8"/>
  <c r="Y33" i="8" s="1"/>
  <c r="Z33" i="8" s="1"/>
  <c r="AB17" i="2"/>
  <c r="AB19" i="2" s="1"/>
  <c r="AD4" i="4"/>
  <c r="AE2" i="4" s="1"/>
  <c r="C27" i="3"/>
  <c r="E27" i="3" s="1"/>
  <c r="AZ14" i="2" l="1"/>
  <c r="BA8" i="2"/>
  <c r="AZ9" i="2"/>
  <c r="AN11" i="2"/>
  <c r="AO13" i="2"/>
  <c r="AP6" i="2"/>
  <c r="AO7" i="2"/>
  <c r="AM38" i="8"/>
  <c r="AI39" i="8" s="1"/>
  <c r="P31" i="8"/>
  <c r="F33" i="8"/>
  <c r="AB33" i="8"/>
  <c r="AC17" i="2"/>
  <c r="AC19" i="2" s="1"/>
  <c r="AE4" i="4"/>
  <c r="AF2" i="4" s="1"/>
  <c r="F27" i="3"/>
  <c r="B28" i="3" s="1"/>
  <c r="AO11" i="2" l="1"/>
  <c r="AP13" i="2"/>
  <c r="AP7" i="2"/>
  <c r="AP11" i="2" s="1"/>
  <c r="AQ6" i="2"/>
  <c r="BA14" i="2"/>
  <c r="BB8" i="2"/>
  <c r="BA9" i="2"/>
  <c r="R31" i="8"/>
  <c r="S31" i="8" s="1"/>
  <c r="O32" i="8" s="1"/>
  <c r="P32" i="8" s="1"/>
  <c r="AP32" i="8" s="1"/>
  <c r="AP31" i="8"/>
  <c r="H33" i="8"/>
  <c r="I33" i="8" s="1"/>
  <c r="E34" i="8" s="1"/>
  <c r="AJ39" i="8"/>
  <c r="AL39" i="8" s="1"/>
  <c r="AC33" i="8"/>
  <c r="Y34" i="8" s="1"/>
  <c r="AD17" i="2"/>
  <c r="AD19" i="2" s="1"/>
  <c r="AF4" i="4"/>
  <c r="AG2" i="4" s="1"/>
  <c r="C28" i="3"/>
  <c r="E28" i="3" s="1"/>
  <c r="AQ13" i="2" l="1"/>
  <c r="AR6" i="2"/>
  <c r="AQ7" i="2"/>
  <c r="AQ11" i="2"/>
  <c r="BB14" i="2"/>
  <c r="BB9" i="2"/>
  <c r="BC8" i="2"/>
  <c r="AM39" i="8"/>
  <c r="AI40" i="8" s="1"/>
  <c r="R32" i="8"/>
  <c r="S32" i="8"/>
  <c r="O33" i="8" s="1"/>
  <c r="F34" i="8"/>
  <c r="Z34" i="8"/>
  <c r="AB34" i="8" s="1"/>
  <c r="AE17" i="2"/>
  <c r="AE19" i="2" s="1"/>
  <c r="AG4" i="4"/>
  <c r="AH2" i="4" s="1"/>
  <c r="F28" i="3"/>
  <c r="B29" i="3" s="1"/>
  <c r="BC14" i="2" l="1"/>
  <c r="BD8" i="2"/>
  <c r="BC9" i="2"/>
  <c r="AR13" i="2"/>
  <c r="AS6" i="2"/>
  <c r="AR7" i="2"/>
  <c r="AR11" i="2" s="1"/>
  <c r="H34" i="8"/>
  <c r="I34" i="8" s="1"/>
  <c r="E35" i="8" s="1"/>
  <c r="AJ40" i="8"/>
  <c r="AL40" i="8" s="1"/>
  <c r="AM40" i="8" s="1"/>
  <c r="AI41" i="8" s="1"/>
  <c r="P33" i="8"/>
  <c r="AC34" i="8"/>
  <c r="Y35" i="8" s="1"/>
  <c r="Z35" i="8" s="1"/>
  <c r="AF17" i="2"/>
  <c r="AF19" i="2" s="1"/>
  <c r="AH4" i="4"/>
  <c r="AI2" i="4" s="1"/>
  <c r="C29" i="3"/>
  <c r="E29" i="3" s="1"/>
  <c r="AS13" i="2" l="1"/>
  <c r="AS7" i="2"/>
  <c r="AS11" i="2"/>
  <c r="AT6" i="2"/>
  <c r="BD14" i="2"/>
  <c r="BE8" i="2"/>
  <c r="BD9" i="2"/>
  <c r="R33" i="8"/>
  <c r="AP33" i="8"/>
  <c r="AJ41" i="8"/>
  <c r="AL41" i="8" s="1"/>
  <c r="S33" i="8"/>
  <c r="O34" i="8" s="1"/>
  <c r="AB35" i="8"/>
  <c r="F35" i="8"/>
  <c r="AC35" i="8"/>
  <c r="Y36" i="8" s="1"/>
  <c r="AG17" i="2"/>
  <c r="AG19" i="2" s="1"/>
  <c r="AI4" i="4"/>
  <c r="AJ2" i="4" s="1"/>
  <c r="F29" i="3"/>
  <c r="B30" i="3" s="1"/>
  <c r="BE14" i="2" l="1"/>
  <c r="BF8" i="2"/>
  <c r="BE9" i="2"/>
  <c r="AT13" i="2"/>
  <c r="AU6" i="2"/>
  <c r="AT7" i="2"/>
  <c r="AT11" i="2" s="1"/>
  <c r="AM41" i="8"/>
  <c r="AI42" i="8" s="1"/>
  <c r="P34" i="8"/>
  <c r="H35" i="8"/>
  <c r="I35" i="8" s="1"/>
  <c r="E36" i="8" s="1"/>
  <c r="Z36" i="8"/>
  <c r="AH17" i="2"/>
  <c r="AH19" i="2" s="1"/>
  <c r="AJ4" i="4"/>
  <c r="AK2" i="4" s="1"/>
  <c r="C30" i="3"/>
  <c r="E30" i="3" s="1"/>
  <c r="AU13" i="2" l="1"/>
  <c r="AU7" i="2"/>
  <c r="AU11" i="2"/>
  <c r="AV6" i="2"/>
  <c r="BF14" i="2"/>
  <c r="BF9" i="2"/>
  <c r="BG8" i="2"/>
  <c r="R34" i="8"/>
  <c r="AP34" i="8"/>
  <c r="AJ42" i="8"/>
  <c r="AL42" i="8" s="1"/>
  <c r="AM42" i="8" s="1"/>
  <c r="AI43" i="8" s="1"/>
  <c r="S34" i="8"/>
  <c r="O35" i="8" s="1"/>
  <c r="AB36" i="8"/>
  <c r="AC36" i="8" s="1"/>
  <c r="Y37" i="8" s="1"/>
  <c r="Z37" i="8" s="1"/>
  <c r="AB37" i="8" s="1"/>
  <c r="F36" i="8"/>
  <c r="AI17" i="2"/>
  <c r="AI19" i="2" s="1"/>
  <c r="AK4" i="4"/>
  <c r="AL2" i="4" s="1"/>
  <c r="F30" i="3"/>
  <c r="B31" i="3" s="1"/>
  <c r="BG14" i="2" l="1"/>
  <c r="BH8" i="2"/>
  <c r="BG9" i="2"/>
  <c r="AV13" i="2"/>
  <c r="AW6" i="2"/>
  <c r="AV7" i="2"/>
  <c r="AV11" i="2" s="1"/>
  <c r="AJ43" i="8"/>
  <c r="AL43" i="8" s="1"/>
  <c r="P35" i="8"/>
  <c r="H36" i="8"/>
  <c r="AC37" i="8"/>
  <c r="Y38" i="8" s="1"/>
  <c r="AJ17" i="2"/>
  <c r="AJ19" i="2" s="1"/>
  <c r="AL4" i="4"/>
  <c r="AM2" i="4" s="1"/>
  <c r="C31" i="3"/>
  <c r="E31" i="3" s="1"/>
  <c r="AW13" i="2" l="1"/>
  <c r="AW7" i="2"/>
  <c r="AW11" i="2" s="1"/>
  <c r="AX6" i="2"/>
  <c r="BH14" i="2"/>
  <c r="BH9" i="2"/>
  <c r="BI8" i="2"/>
  <c r="R35" i="8"/>
  <c r="AP35" i="8"/>
  <c r="AM43" i="8"/>
  <c r="AI44" i="8" s="1"/>
  <c r="S35" i="8"/>
  <c r="O36" i="8" s="1"/>
  <c r="P36" i="8" s="1"/>
  <c r="I36" i="8"/>
  <c r="E37" i="8" s="1"/>
  <c r="Z38" i="8"/>
  <c r="AK17" i="2"/>
  <c r="AK19" i="2" s="1"/>
  <c r="AM4" i="4"/>
  <c r="AN2" i="4" s="1"/>
  <c r="F31" i="3"/>
  <c r="B32" i="3" s="1"/>
  <c r="BI14" i="2" l="1"/>
  <c r="BI9" i="2"/>
  <c r="BJ8" i="2"/>
  <c r="AX13" i="2"/>
  <c r="E13" i="6" s="1"/>
  <c r="AX7" i="2"/>
  <c r="AY6" i="2"/>
  <c r="E6" i="6"/>
  <c r="R36" i="8"/>
  <c r="S36" i="8" s="1"/>
  <c r="O37" i="8" s="1"/>
  <c r="AP36" i="8"/>
  <c r="AJ44" i="8"/>
  <c r="AL44" i="8" s="1"/>
  <c r="AM44" i="8" s="1"/>
  <c r="AI45" i="8" s="1"/>
  <c r="AB38" i="8"/>
  <c r="AC38" i="8" s="1"/>
  <c r="Y39" i="8" s="1"/>
  <c r="F37" i="8"/>
  <c r="AL17" i="2"/>
  <c r="AL19" i="2" s="1"/>
  <c r="AN4" i="4"/>
  <c r="AO2" i="4" s="1"/>
  <c r="C32" i="3"/>
  <c r="E32" i="3" s="1"/>
  <c r="E17" i="6" l="1"/>
  <c r="AY13" i="2"/>
  <c r="AY7" i="2"/>
  <c r="AZ6" i="2"/>
  <c r="AX11" i="2"/>
  <c r="E11" i="6" s="1"/>
  <c r="E7" i="6"/>
  <c r="BJ14" i="2"/>
  <c r="F14" i="6" s="1"/>
  <c r="BK8" i="2"/>
  <c r="BJ9" i="2"/>
  <c r="F9" i="6" s="1"/>
  <c r="F8" i="6"/>
  <c r="AJ45" i="8"/>
  <c r="AL45" i="8" s="1"/>
  <c r="AM45" i="8" s="1"/>
  <c r="AI46" i="8" s="1"/>
  <c r="P37" i="8"/>
  <c r="AP37" i="8" s="1"/>
  <c r="H37" i="8"/>
  <c r="Z39" i="8"/>
  <c r="AM17" i="2"/>
  <c r="AM19" i="2" s="1"/>
  <c r="AO4" i="4"/>
  <c r="AP2" i="4" s="1"/>
  <c r="F32" i="3"/>
  <c r="B33" i="3" s="1"/>
  <c r="BK14" i="2" l="1"/>
  <c r="BL8" i="2"/>
  <c r="BK9" i="2"/>
  <c r="AZ13" i="2"/>
  <c r="BA6" i="2"/>
  <c r="AZ7" i="2"/>
  <c r="AZ11" i="2"/>
  <c r="AY11" i="2"/>
  <c r="E19" i="6"/>
  <c r="AJ46" i="8"/>
  <c r="AL46" i="8" s="1"/>
  <c r="AM46" i="8" s="1"/>
  <c r="AI47" i="8" s="1"/>
  <c r="R37" i="8"/>
  <c r="S37" i="8" s="1"/>
  <c r="O38" i="8" s="1"/>
  <c r="AB39" i="8"/>
  <c r="I37" i="8"/>
  <c r="E38" i="8" s="1"/>
  <c r="AC39" i="8"/>
  <c r="Y40" i="8" s="1"/>
  <c r="AN17" i="2"/>
  <c r="AN19" i="2" s="1"/>
  <c r="AP4" i="4"/>
  <c r="AQ2" i="4" s="1"/>
  <c r="C33" i="3"/>
  <c r="E33" i="3" s="1"/>
  <c r="BA13" i="2" l="1"/>
  <c r="BB6" i="2"/>
  <c r="BA7" i="2"/>
  <c r="BL14" i="2"/>
  <c r="BM8" i="2"/>
  <c r="BL9" i="2"/>
  <c r="AJ47" i="8"/>
  <c r="AL47" i="8" s="1"/>
  <c r="AM47" i="8" s="1"/>
  <c r="AI48" i="8" s="1"/>
  <c r="AJ48" i="8" s="1"/>
  <c r="AL48" i="8" s="1"/>
  <c r="P38" i="8"/>
  <c r="R38" i="8" s="1"/>
  <c r="S38" i="8" s="1"/>
  <c r="O39" i="8" s="1"/>
  <c r="F38" i="8"/>
  <c r="Z40" i="8"/>
  <c r="AB40" i="8" s="1"/>
  <c r="AO17" i="2"/>
  <c r="AO19" i="2" s="1"/>
  <c r="AQ4" i="4"/>
  <c r="AR2" i="4" s="1"/>
  <c r="F33" i="3"/>
  <c r="B34" i="3" s="1"/>
  <c r="BM14" i="2" l="1"/>
  <c r="BN8" i="2"/>
  <c r="BM9" i="2"/>
  <c r="BA11" i="2"/>
  <c r="BB13" i="2"/>
  <c r="BC6" i="2"/>
  <c r="BB7" i="2"/>
  <c r="BB11" i="2"/>
  <c r="AP38" i="8"/>
  <c r="AM48" i="8"/>
  <c r="AI49" i="8" s="1"/>
  <c r="P39" i="8"/>
  <c r="R39" i="8" s="1"/>
  <c r="S39" i="8" s="1"/>
  <c r="O40" i="8" s="1"/>
  <c r="H38" i="8"/>
  <c r="I38" i="8" s="1"/>
  <c r="E39" i="8" s="1"/>
  <c r="AC40" i="8"/>
  <c r="Y41" i="8" s="1"/>
  <c r="AP17" i="2"/>
  <c r="AP19" i="2" s="1"/>
  <c r="AR4" i="4"/>
  <c r="AS2" i="4" s="1"/>
  <c r="C34" i="3"/>
  <c r="E34" i="3" s="1"/>
  <c r="BN14" i="2" l="1"/>
  <c r="BN9" i="2"/>
  <c r="BO8" i="2"/>
  <c r="BC13" i="2"/>
  <c r="BC7" i="2"/>
  <c r="BC11" i="2"/>
  <c r="BD6" i="2"/>
  <c r="AJ49" i="8"/>
  <c r="AL49" i="8" s="1"/>
  <c r="F39" i="8"/>
  <c r="AP39" i="8" s="1"/>
  <c r="P40" i="8"/>
  <c r="R40" i="8" s="1"/>
  <c r="Z41" i="8"/>
  <c r="AB41" i="8" s="1"/>
  <c r="AQ17" i="2"/>
  <c r="AQ19" i="2" s="1"/>
  <c r="AS4" i="4"/>
  <c r="AT2" i="4" s="1"/>
  <c r="F34" i="3"/>
  <c r="B35" i="3" s="1"/>
  <c r="BD13" i="2" l="1"/>
  <c r="BE6" i="2"/>
  <c r="BD7" i="2"/>
  <c r="BD11" i="2"/>
  <c r="BO14" i="2"/>
  <c r="BP8" i="2"/>
  <c r="BO9" i="2"/>
  <c r="AM49" i="8"/>
  <c r="AI50" i="8" s="1"/>
  <c r="AJ50" i="8" s="1"/>
  <c r="AL50" i="8" s="1"/>
  <c r="S40" i="8"/>
  <c r="O41" i="8" s="1"/>
  <c r="H39" i="8"/>
  <c r="I39" i="8" s="1"/>
  <c r="E40" i="8" s="1"/>
  <c r="AC41" i="8"/>
  <c r="Y42" i="8" s="1"/>
  <c r="Z42" i="8" s="1"/>
  <c r="AB42" i="8" s="1"/>
  <c r="AR17" i="2"/>
  <c r="AR19" i="2" s="1"/>
  <c r="AT4" i="4"/>
  <c r="AU2" i="4" s="1"/>
  <c r="C35" i="3"/>
  <c r="E35" i="3" s="1"/>
  <c r="BP14" i="2" l="1"/>
  <c r="BP9" i="2"/>
  <c r="BQ8" i="2"/>
  <c r="BE13" i="2"/>
  <c r="BE7" i="2"/>
  <c r="BE11" i="2"/>
  <c r="BF6" i="2"/>
  <c r="AM50" i="8"/>
  <c r="AI51" i="8" s="1"/>
  <c r="AJ51" i="8" s="1"/>
  <c r="AL51" i="8" s="1"/>
  <c r="P41" i="8"/>
  <c r="R41" i="8" s="1"/>
  <c r="F40" i="8"/>
  <c r="AC42" i="8"/>
  <c r="Y43" i="8" s="1"/>
  <c r="Z43" i="8" s="1"/>
  <c r="AB43" i="8" s="1"/>
  <c r="AS17" i="2"/>
  <c r="AS19" i="2" s="1"/>
  <c r="AU4" i="4"/>
  <c r="AV2" i="4" s="1"/>
  <c r="F35" i="3"/>
  <c r="B36" i="3" s="1"/>
  <c r="BF13" i="2" l="1"/>
  <c r="BF7" i="2"/>
  <c r="BF11" i="2" s="1"/>
  <c r="BG6" i="2"/>
  <c r="BQ14" i="2"/>
  <c r="BQ9" i="2"/>
  <c r="BR8" i="2"/>
  <c r="H40" i="8"/>
  <c r="AP40" i="8"/>
  <c r="AM51" i="8"/>
  <c r="AI52" i="8" s="1"/>
  <c r="S41" i="8"/>
  <c r="O42" i="8" s="1"/>
  <c r="P42" i="8" s="1"/>
  <c r="R42" i="8" s="1"/>
  <c r="I40" i="8"/>
  <c r="E41" i="8" s="1"/>
  <c r="AC43" i="8"/>
  <c r="Y44" i="8" s="1"/>
  <c r="Z44" i="8" s="1"/>
  <c r="AB44" i="8" s="1"/>
  <c r="AC44" i="8" s="1"/>
  <c r="Y45" i="8" s="1"/>
  <c r="AT17" i="2"/>
  <c r="AT19" i="2" s="1"/>
  <c r="AV4" i="4"/>
  <c r="AW2" i="4" s="1"/>
  <c r="C36" i="3"/>
  <c r="E36" i="3" s="1"/>
  <c r="BR14" i="2" l="1"/>
  <c r="BR9" i="2"/>
  <c r="BS8" i="2"/>
  <c r="BG13" i="2"/>
  <c r="BH6" i="2"/>
  <c r="BG7" i="2"/>
  <c r="BG11" i="2" s="1"/>
  <c r="AJ52" i="8"/>
  <c r="AL52" i="8" s="1"/>
  <c r="S42" i="8"/>
  <c r="O43" i="8" s="1"/>
  <c r="F41" i="8"/>
  <c r="Z45" i="8"/>
  <c r="AB45" i="8" s="1"/>
  <c r="AU17" i="2"/>
  <c r="AU19" i="2" s="1"/>
  <c r="AW4" i="4"/>
  <c r="AX2" i="4" s="1"/>
  <c r="F36" i="3"/>
  <c r="B37" i="3" s="1"/>
  <c r="BS14" i="2" l="1"/>
  <c r="BT8" i="2"/>
  <c r="BS9" i="2"/>
  <c r="BH13" i="2"/>
  <c r="BI6" i="2"/>
  <c r="BH7" i="2"/>
  <c r="BH11" i="2" s="1"/>
  <c r="H41" i="8"/>
  <c r="AP41" i="8"/>
  <c r="AM52" i="8"/>
  <c r="AI53" i="8" s="1"/>
  <c r="P43" i="8"/>
  <c r="R43" i="8" s="1"/>
  <c r="I41" i="8"/>
  <c r="E42" i="8" s="1"/>
  <c r="AC45" i="8"/>
  <c r="Y46" i="8" s="1"/>
  <c r="AV17" i="2"/>
  <c r="AV19" i="2" s="1"/>
  <c r="AX4" i="4"/>
  <c r="AY2" i="4" s="1"/>
  <c r="C37" i="3"/>
  <c r="E37" i="3" s="1"/>
  <c r="BI13" i="2" l="1"/>
  <c r="BI7" i="2"/>
  <c r="BI11" i="2" s="1"/>
  <c r="BJ6" i="2"/>
  <c r="BT14" i="2"/>
  <c r="BU8" i="2"/>
  <c r="BT9" i="2"/>
  <c r="AJ53" i="8"/>
  <c r="AL53" i="8" s="1"/>
  <c r="S43" i="8"/>
  <c r="O44" i="8" s="1"/>
  <c r="P44" i="8" s="1"/>
  <c r="R44" i="8" s="1"/>
  <c r="F42" i="8"/>
  <c r="Z46" i="8"/>
  <c r="AB46" i="8" s="1"/>
  <c r="AW17" i="2"/>
  <c r="AW19" i="2" s="1"/>
  <c r="AY4" i="4"/>
  <c r="AZ2" i="4" s="1"/>
  <c r="F37" i="3"/>
  <c r="B38" i="3" s="1"/>
  <c r="BU14" i="2" l="1"/>
  <c r="BV8" i="2"/>
  <c r="BU9" i="2"/>
  <c r="BJ13" i="2"/>
  <c r="F13" i="6" s="1"/>
  <c r="F17" i="6" s="1"/>
  <c r="BJ7" i="2"/>
  <c r="F7" i="6" s="1"/>
  <c r="BK6" i="2"/>
  <c r="BJ11" i="2"/>
  <c r="F11" i="6" s="1"/>
  <c r="F6" i="6"/>
  <c r="H42" i="8"/>
  <c r="AP42" i="8"/>
  <c r="AM53" i="8"/>
  <c r="AI54" i="8" s="1"/>
  <c r="S44" i="8"/>
  <c r="O45" i="8" s="1"/>
  <c r="I42" i="8"/>
  <c r="E43" i="8" s="1"/>
  <c r="AC46" i="8"/>
  <c r="Y47" i="8" s="1"/>
  <c r="AX17" i="2"/>
  <c r="AX19" i="2" s="1"/>
  <c r="AZ4" i="4"/>
  <c r="BA2" i="4" s="1"/>
  <c r="C38" i="3"/>
  <c r="E38" i="3" s="1"/>
  <c r="BK13" i="2" l="1"/>
  <c r="BL6" i="2"/>
  <c r="BK7" i="2"/>
  <c r="F19" i="6"/>
  <c r="BV14" i="2"/>
  <c r="G14" i="6" s="1"/>
  <c r="BW8" i="2"/>
  <c r="BV9" i="2"/>
  <c r="G9" i="6" s="1"/>
  <c r="G8" i="6"/>
  <c r="AJ54" i="8"/>
  <c r="AL54" i="8" s="1"/>
  <c r="AM54" i="8" s="1"/>
  <c r="AI55" i="8" s="1"/>
  <c r="P45" i="8"/>
  <c r="R45" i="8" s="1"/>
  <c r="F43" i="8"/>
  <c r="Z47" i="8"/>
  <c r="AY17" i="2"/>
  <c r="AY19" i="2" s="1"/>
  <c r="BA4" i="4"/>
  <c r="BB2" i="4" s="1"/>
  <c r="F38" i="3"/>
  <c r="B39" i="3" s="1"/>
  <c r="BW14" i="2" l="1"/>
  <c r="BW9" i="2"/>
  <c r="BX8" i="2"/>
  <c r="BK11" i="2"/>
  <c r="BL13" i="2"/>
  <c r="BL7" i="2"/>
  <c r="BL11" i="2" s="1"/>
  <c r="BM6" i="2"/>
  <c r="H43" i="8"/>
  <c r="I43" i="8" s="1"/>
  <c r="E44" i="8" s="1"/>
  <c r="AP43" i="8"/>
  <c r="AJ55" i="8"/>
  <c r="AL55" i="8" s="1"/>
  <c r="AM55" i="8" s="1"/>
  <c r="AI56" i="8" s="1"/>
  <c r="S45" i="8"/>
  <c r="O46" i="8" s="1"/>
  <c r="AB47" i="8"/>
  <c r="AC47" i="8" s="1"/>
  <c r="Y48" i="8" s="1"/>
  <c r="Z48" i="8" s="1"/>
  <c r="AZ17" i="2"/>
  <c r="AZ19" i="2" s="1"/>
  <c r="BB4" i="4"/>
  <c r="BC2" i="4" s="1"/>
  <c r="C39" i="3"/>
  <c r="E39" i="3" s="1"/>
  <c r="BM13" i="2" l="1"/>
  <c r="BN6" i="2"/>
  <c r="BM7" i="2"/>
  <c r="BM11" i="2" s="1"/>
  <c r="BX14" i="2"/>
  <c r="BY8" i="2"/>
  <c r="BX9" i="2"/>
  <c r="AJ56" i="8"/>
  <c r="AL56" i="8" s="1"/>
  <c r="AM56" i="8" s="1"/>
  <c r="AI57" i="8" s="1"/>
  <c r="P46" i="8"/>
  <c r="R46" i="8" s="1"/>
  <c r="F44" i="8"/>
  <c r="AB48" i="8"/>
  <c r="BA17" i="2"/>
  <c r="BA19" i="2" s="1"/>
  <c r="BC4" i="4"/>
  <c r="BD2" i="4" s="1"/>
  <c r="F39" i="3"/>
  <c r="B40" i="3" s="1"/>
  <c r="BY14" i="2" l="1"/>
  <c r="BZ8" i="2"/>
  <c r="BY9" i="2"/>
  <c r="BN13" i="2"/>
  <c r="BN7" i="2"/>
  <c r="BO6" i="2"/>
  <c r="H44" i="8"/>
  <c r="I44" i="8" s="1"/>
  <c r="E45" i="8" s="1"/>
  <c r="AP44" i="8"/>
  <c r="AJ57" i="8"/>
  <c r="AL57" i="8" s="1"/>
  <c r="AM57" i="8" s="1"/>
  <c r="AI58" i="8" s="1"/>
  <c r="S46" i="8"/>
  <c r="O47" i="8" s="1"/>
  <c r="P47" i="8" s="1"/>
  <c r="R47" i="8" s="1"/>
  <c r="AC48" i="8"/>
  <c r="Y49" i="8" s="1"/>
  <c r="BB17" i="2"/>
  <c r="BB19" i="2" s="1"/>
  <c r="BD4" i="4"/>
  <c r="BE2" i="4" s="1"/>
  <c r="C40" i="3"/>
  <c r="E40" i="3" s="1"/>
  <c r="BO13" i="2" l="1"/>
  <c r="BP6" i="2"/>
  <c r="BO7" i="2"/>
  <c r="BO11" i="2"/>
  <c r="BN11" i="2"/>
  <c r="BZ14" i="2"/>
  <c r="CA8" i="2"/>
  <c r="BZ9" i="2"/>
  <c r="AJ58" i="8"/>
  <c r="AL58" i="8" s="1"/>
  <c r="AM58" i="8" s="1"/>
  <c r="AI59" i="8" s="1"/>
  <c r="F45" i="8"/>
  <c r="S47" i="8"/>
  <c r="O48" i="8" s="1"/>
  <c r="Z49" i="8"/>
  <c r="BC17" i="2"/>
  <c r="BC19" i="2" s="1"/>
  <c r="BE4" i="4"/>
  <c r="BF2" i="4" s="1"/>
  <c r="F40" i="3"/>
  <c r="B41" i="3" s="1"/>
  <c r="BP13" i="2" l="1"/>
  <c r="BQ6" i="2"/>
  <c r="BP7" i="2"/>
  <c r="CA14" i="2"/>
  <c r="CB8" i="2"/>
  <c r="CA9" i="2"/>
  <c r="H45" i="8"/>
  <c r="I45" i="8" s="1"/>
  <c r="E46" i="8" s="1"/>
  <c r="F46" i="8" s="1"/>
  <c r="AP45" i="8"/>
  <c r="AJ59" i="8"/>
  <c r="AL59" i="8" s="1"/>
  <c r="AM59" i="8" s="1"/>
  <c r="AI60" i="8" s="1"/>
  <c r="AB49" i="8"/>
  <c r="P48" i="8"/>
  <c r="BD17" i="2"/>
  <c r="BD19" i="2" s="1"/>
  <c r="BF4" i="4"/>
  <c r="BG2" i="4" s="1"/>
  <c r="C41" i="3"/>
  <c r="E41" i="3" s="1"/>
  <c r="BP11" i="2" l="1"/>
  <c r="CB14" i="2"/>
  <c r="CC8" i="2"/>
  <c r="CB9" i="2"/>
  <c r="BQ13" i="2"/>
  <c r="BQ7" i="2"/>
  <c r="BQ11" i="2" s="1"/>
  <c r="BR6" i="2"/>
  <c r="H46" i="8"/>
  <c r="I46" i="8" s="1"/>
  <c r="E47" i="8" s="1"/>
  <c r="F47" i="8" s="1"/>
  <c r="AP47" i="8" s="1"/>
  <c r="AP46" i="8"/>
  <c r="AJ60" i="8"/>
  <c r="AL60" i="8" s="1"/>
  <c r="AM60" i="8" s="1"/>
  <c r="AI61" i="8" s="1"/>
  <c r="AC49" i="8"/>
  <c r="Y50" i="8" s="1"/>
  <c r="R48" i="8"/>
  <c r="BE17" i="2"/>
  <c r="BE19" i="2" s="1"/>
  <c r="BG4" i="4"/>
  <c r="BH2" i="4" s="1"/>
  <c r="F41" i="3"/>
  <c r="B42" i="3" s="1"/>
  <c r="BR13" i="2" l="1"/>
  <c r="BS6" i="2"/>
  <c r="BR7" i="2"/>
  <c r="BR11" i="2" s="1"/>
  <c r="CC14" i="2"/>
  <c r="CC9" i="2"/>
  <c r="CD8" i="2"/>
  <c r="AJ61" i="8"/>
  <c r="AL61" i="8" s="1"/>
  <c r="H47" i="8"/>
  <c r="I47" i="8" s="1"/>
  <c r="E48" i="8" s="1"/>
  <c r="Z50" i="8"/>
  <c r="S48" i="8"/>
  <c r="O49" i="8" s="1"/>
  <c r="BF17" i="2"/>
  <c r="BF19" i="2" s="1"/>
  <c r="BH4" i="4"/>
  <c r="BI2" i="4" s="1"/>
  <c r="C42" i="3"/>
  <c r="E42" i="3" s="1"/>
  <c r="CD14" i="2" l="1"/>
  <c r="CE8" i="2"/>
  <c r="CD9" i="2"/>
  <c r="BS13" i="2"/>
  <c r="BT6" i="2"/>
  <c r="BS7" i="2"/>
  <c r="BS11" i="2" s="1"/>
  <c r="AM61" i="8"/>
  <c r="AI62" i="8" s="1"/>
  <c r="AJ62" i="8" s="1"/>
  <c r="AL62" i="8" s="1"/>
  <c r="AM62" i="8" s="1"/>
  <c r="AI63" i="8" s="1"/>
  <c r="F48" i="8"/>
  <c r="AP48" i="8" s="1"/>
  <c r="P49" i="8"/>
  <c r="AB50" i="8"/>
  <c r="AC50" i="8" s="1"/>
  <c r="Y51" i="8" s="1"/>
  <c r="Z51" i="8" s="1"/>
  <c r="AB51" i="8" s="1"/>
  <c r="AC51" i="8" s="1"/>
  <c r="Y52" i="8" s="1"/>
  <c r="Z52" i="8" s="1"/>
  <c r="AB52" i="8" s="1"/>
  <c r="AC52" i="8" s="1"/>
  <c r="Y53" i="8" s="1"/>
  <c r="Z53" i="8" s="1"/>
  <c r="AB53" i="8" s="1"/>
  <c r="AC53" i="8" s="1"/>
  <c r="Y54" i="8" s="1"/>
  <c r="Z54" i="8" s="1"/>
  <c r="BG17" i="2"/>
  <c r="BG19" i="2" s="1"/>
  <c r="BI4" i="4"/>
  <c r="BJ2" i="4" s="1"/>
  <c r="F42" i="3"/>
  <c r="B43" i="3" s="1"/>
  <c r="CE14" i="2" l="1"/>
  <c r="CE9" i="2"/>
  <c r="CF8" i="2"/>
  <c r="BT13" i="2"/>
  <c r="BU6" i="2"/>
  <c r="BT7" i="2"/>
  <c r="BT11" i="2"/>
  <c r="AJ63" i="8"/>
  <c r="AL63" i="8" s="1"/>
  <c r="R49" i="8"/>
  <c r="H48" i="8"/>
  <c r="AB54" i="8"/>
  <c r="AC54" i="8" s="1"/>
  <c r="Y55" i="8" s="1"/>
  <c r="Z55" i="8" s="1"/>
  <c r="BH17" i="2"/>
  <c r="BH19" i="2" s="1"/>
  <c r="BJ4" i="4"/>
  <c r="BK2" i="4" s="1"/>
  <c r="C43" i="3"/>
  <c r="E43" i="3" s="1"/>
  <c r="BU13" i="2" l="1"/>
  <c r="BV6" i="2"/>
  <c r="BU7" i="2"/>
  <c r="BU11" i="2" s="1"/>
  <c r="CF14" i="2"/>
  <c r="CF9" i="2"/>
  <c r="CG8" i="2"/>
  <c r="AM63" i="8"/>
  <c r="AI64" i="8" s="1"/>
  <c r="AJ64" i="8" s="1"/>
  <c r="AL64" i="8" s="1"/>
  <c r="S49" i="8"/>
  <c r="O50" i="8" s="1"/>
  <c r="I48" i="8"/>
  <c r="E49" i="8" s="1"/>
  <c r="BI17" i="2"/>
  <c r="BI19" i="2" s="1"/>
  <c r="BK4" i="4"/>
  <c r="BL2" i="4" s="1"/>
  <c r="F43" i="3"/>
  <c r="B44" i="3" s="1"/>
  <c r="CG14" i="2" l="1"/>
  <c r="CG9" i="2"/>
  <c r="CH8" i="2"/>
  <c r="BV13" i="2"/>
  <c r="G13" i="6" s="1"/>
  <c r="G17" i="6" s="1"/>
  <c r="BV7" i="2"/>
  <c r="G7" i="6" s="1"/>
  <c r="BW6" i="2"/>
  <c r="G6" i="6"/>
  <c r="AM64" i="8"/>
  <c r="AI65" i="8" s="1"/>
  <c r="AJ65" i="8" s="1"/>
  <c r="AL65" i="8" s="1"/>
  <c r="AM65" i="8" s="1"/>
  <c r="AI66" i="8" s="1"/>
  <c r="F49" i="8"/>
  <c r="AP49" i="8" s="1"/>
  <c r="P50" i="8"/>
  <c r="AB55" i="8"/>
  <c r="AC55" i="8" s="1"/>
  <c r="Y56" i="8" s="1"/>
  <c r="Z56" i="8" s="1"/>
  <c r="BJ17" i="2"/>
  <c r="BJ19" i="2" s="1"/>
  <c r="BL4" i="4"/>
  <c r="BM2" i="4" s="1"/>
  <c r="C44" i="3"/>
  <c r="E44" i="3" s="1"/>
  <c r="BW13" i="2" l="1"/>
  <c r="BW7" i="2"/>
  <c r="BX6" i="2"/>
  <c r="BW11" i="2"/>
  <c r="BV11" i="2"/>
  <c r="G11" i="6" s="1"/>
  <c r="CH14" i="2"/>
  <c r="H14" i="6" s="1"/>
  <c r="CH9" i="2"/>
  <c r="H9" i="6" s="1"/>
  <c r="CI8" i="2"/>
  <c r="H8" i="6"/>
  <c r="G19" i="6"/>
  <c r="AJ66" i="8"/>
  <c r="AL66" i="8" s="1"/>
  <c r="AM66" i="8" s="1"/>
  <c r="AI67" i="8" s="1"/>
  <c r="R50" i="8"/>
  <c r="H49" i="8"/>
  <c r="AB56" i="8"/>
  <c r="BK17" i="2"/>
  <c r="BK19" i="2" s="1"/>
  <c r="BM4" i="4"/>
  <c r="BN2" i="4" s="1"/>
  <c r="F44" i="3"/>
  <c r="B45" i="3" s="1"/>
  <c r="CI14" i="2" l="1"/>
  <c r="CI9" i="2"/>
  <c r="CJ8" i="2"/>
  <c r="BX13" i="2"/>
  <c r="BX7" i="2"/>
  <c r="BY6" i="2"/>
  <c r="BX11" i="2"/>
  <c r="AJ67" i="8"/>
  <c r="AL67" i="8" s="1"/>
  <c r="AM67" i="8" s="1"/>
  <c r="AI68" i="8" s="1"/>
  <c r="S50" i="8"/>
  <c r="O51" i="8" s="1"/>
  <c r="I49" i="8"/>
  <c r="E50" i="8" s="1"/>
  <c r="AC56" i="8"/>
  <c r="Y57" i="8" s="1"/>
  <c r="BL17" i="2"/>
  <c r="BL19" i="2" s="1"/>
  <c r="BN4" i="4"/>
  <c r="BO2" i="4" s="1"/>
  <c r="C45" i="3"/>
  <c r="E45" i="3" s="1"/>
  <c r="BY13" i="2" l="1"/>
  <c r="BZ6" i="2"/>
  <c r="BY7" i="2"/>
  <c r="CJ14" i="2"/>
  <c r="CK8" i="2"/>
  <c r="CJ9" i="2"/>
  <c r="AJ68" i="8"/>
  <c r="AL68" i="8" s="1"/>
  <c r="AM68" i="8" s="1"/>
  <c r="AI69" i="8" s="1"/>
  <c r="P51" i="8"/>
  <c r="F50" i="8"/>
  <c r="AP50" i="8" s="1"/>
  <c r="Z57" i="8"/>
  <c r="AB57" i="8" s="1"/>
  <c r="AC57" i="8" s="1"/>
  <c r="Y58" i="8" s="1"/>
  <c r="BM17" i="2"/>
  <c r="BM19" i="2" s="1"/>
  <c r="BO4" i="4"/>
  <c r="BP2" i="4" s="1"/>
  <c r="F45" i="3"/>
  <c r="B46" i="3" s="1"/>
  <c r="CK14" i="2" l="1"/>
  <c r="CK9" i="2"/>
  <c r="CL8" i="2"/>
  <c r="BZ13" i="2"/>
  <c r="CA6" i="2"/>
  <c r="BZ7" i="2"/>
  <c r="BZ11" i="2"/>
  <c r="BY11" i="2"/>
  <c r="AJ69" i="8"/>
  <c r="AL69" i="8" s="1"/>
  <c r="AM69" i="8" s="1"/>
  <c r="AI70" i="8" s="1"/>
  <c r="H50" i="8"/>
  <c r="I50" i="8" s="1"/>
  <c r="E51" i="8" s="1"/>
  <c r="R51" i="8"/>
  <c r="S51" i="8" s="1"/>
  <c r="O52" i="8" s="1"/>
  <c r="Z58" i="8"/>
  <c r="AB58" i="8" s="1"/>
  <c r="AC58" i="8" s="1"/>
  <c r="Y59" i="8" s="1"/>
  <c r="Z59" i="8" s="1"/>
  <c r="BN17" i="2"/>
  <c r="BN19" i="2" s="1"/>
  <c r="BP4" i="4"/>
  <c r="BQ2" i="4" s="1"/>
  <c r="C46" i="3"/>
  <c r="E46" i="3" s="1"/>
  <c r="CA13" i="2" l="1"/>
  <c r="CB6" i="2"/>
  <c r="CA7" i="2"/>
  <c r="CA11" i="2"/>
  <c r="CL14" i="2"/>
  <c r="CL9" i="2"/>
  <c r="CM8" i="2"/>
  <c r="AJ70" i="8"/>
  <c r="AL70" i="8" s="1"/>
  <c r="AM70" i="8" s="1"/>
  <c r="AI71" i="8" s="1"/>
  <c r="P52" i="8"/>
  <c r="R52" i="8" s="1"/>
  <c r="F51" i="8"/>
  <c r="AP51" i="8" s="1"/>
  <c r="AB59" i="8"/>
  <c r="BO17" i="2"/>
  <c r="BO19" i="2" s="1"/>
  <c r="BQ4" i="4"/>
  <c r="BR2" i="4" s="1"/>
  <c r="F46" i="3"/>
  <c r="B47" i="3" s="1"/>
  <c r="CM14" i="2" l="1"/>
  <c r="CN8" i="2"/>
  <c r="CM9" i="2"/>
  <c r="CB13" i="2"/>
  <c r="CC6" i="2"/>
  <c r="CB7" i="2"/>
  <c r="CB11" i="2" s="1"/>
  <c r="AJ71" i="8"/>
  <c r="AL71" i="8" s="1"/>
  <c r="S52" i="8"/>
  <c r="O53" i="8" s="1"/>
  <c r="H51" i="8"/>
  <c r="I51" i="8" s="1"/>
  <c r="E52" i="8" s="1"/>
  <c r="AC59" i="8"/>
  <c r="Y60" i="8" s="1"/>
  <c r="Z60" i="8" s="1"/>
  <c r="BP17" i="2"/>
  <c r="BP19" i="2" s="1"/>
  <c r="BR4" i="4"/>
  <c r="BS2" i="4" s="1"/>
  <c r="C47" i="3"/>
  <c r="E47" i="3" s="1"/>
  <c r="CC13" i="2" l="1"/>
  <c r="CD6" i="2"/>
  <c r="CC7" i="2"/>
  <c r="CC11" i="2" s="1"/>
  <c r="CN14" i="2"/>
  <c r="CN9" i="2"/>
  <c r="CO9" i="2" s="1"/>
  <c r="CO8" i="2"/>
  <c r="I8" i="6"/>
  <c r="J8" i="6" s="1"/>
  <c r="I14" i="6"/>
  <c r="J14" i="6" s="1"/>
  <c r="AM71" i="8"/>
  <c r="AI72" i="8" s="1"/>
  <c r="AJ72" i="8" s="1"/>
  <c r="AL72" i="8" s="1"/>
  <c r="AM72" i="8" s="1"/>
  <c r="AI73" i="8" s="1"/>
  <c r="P53" i="8"/>
  <c r="R53" i="8" s="1"/>
  <c r="F52" i="8"/>
  <c r="AB60" i="8"/>
  <c r="BQ17" i="2"/>
  <c r="BQ19" i="2" s="1"/>
  <c r="BS4" i="4"/>
  <c r="BT2" i="4" s="1"/>
  <c r="F47" i="3"/>
  <c r="B48" i="3" s="1"/>
  <c r="I9" i="6" l="1"/>
  <c r="J9" i="6" s="1"/>
  <c r="CD13" i="2"/>
  <c r="CD7" i="2"/>
  <c r="CD11" i="2" s="1"/>
  <c r="CE6" i="2"/>
  <c r="H52" i="8"/>
  <c r="AP52" i="8"/>
  <c r="AJ73" i="8"/>
  <c r="AL73" i="8" s="1"/>
  <c r="S53" i="8"/>
  <c r="O54" i="8" s="1"/>
  <c r="P54" i="8" s="1"/>
  <c r="R54" i="8" s="1"/>
  <c r="I52" i="8"/>
  <c r="E53" i="8" s="1"/>
  <c r="AC60" i="8"/>
  <c r="Y61" i="8" s="1"/>
  <c r="Z61" i="8" s="1"/>
  <c r="BR17" i="2"/>
  <c r="BR19" i="2" s="1"/>
  <c r="BT4" i="4"/>
  <c r="BU2" i="4" s="1"/>
  <c r="C48" i="3"/>
  <c r="E48" i="3" s="1"/>
  <c r="CE13" i="2" l="1"/>
  <c r="CE7" i="2"/>
  <c r="CE11" i="2" s="1"/>
  <c r="CF6" i="2"/>
  <c r="AM73" i="8"/>
  <c r="AI74" i="8" s="1"/>
  <c r="S54" i="8"/>
  <c r="O55" i="8" s="1"/>
  <c r="P55" i="8" s="1"/>
  <c r="R55" i="8" s="1"/>
  <c r="F53" i="8"/>
  <c r="AB61" i="8"/>
  <c r="BS17" i="2"/>
  <c r="BS19" i="2" s="1"/>
  <c r="BU4" i="4"/>
  <c r="BV2" i="4" s="1"/>
  <c r="F48" i="3"/>
  <c r="B49" i="3" s="1"/>
  <c r="CF13" i="2" l="1"/>
  <c r="CF7" i="2"/>
  <c r="CG6" i="2"/>
  <c r="CF11" i="2"/>
  <c r="H53" i="8"/>
  <c r="AP53" i="8"/>
  <c r="AJ74" i="8"/>
  <c r="AL74" i="8" s="1"/>
  <c r="S55" i="8"/>
  <c r="O56" i="8" s="1"/>
  <c r="P56" i="8" s="1"/>
  <c r="R56" i="8" s="1"/>
  <c r="I53" i="8"/>
  <c r="E54" i="8" s="1"/>
  <c r="F54" i="8" s="1"/>
  <c r="AC61" i="8"/>
  <c r="Y62" i="8" s="1"/>
  <c r="BT17" i="2"/>
  <c r="BT19" i="2" s="1"/>
  <c r="BV4" i="4"/>
  <c r="BW2" i="4" s="1"/>
  <c r="C49" i="3"/>
  <c r="E49" i="3" s="1"/>
  <c r="CG13" i="2" l="1"/>
  <c r="CG7" i="2"/>
  <c r="CH6" i="2"/>
  <c r="CG11" i="2"/>
  <c r="H54" i="8"/>
  <c r="AP54" i="8"/>
  <c r="AM74" i="8"/>
  <c r="AI75" i="8" s="1"/>
  <c r="S56" i="8"/>
  <c r="O57" i="8" s="1"/>
  <c r="P57" i="8" s="1"/>
  <c r="R57" i="8" s="1"/>
  <c r="I54" i="8"/>
  <c r="E55" i="8" s="1"/>
  <c r="Z62" i="8"/>
  <c r="BU17" i="2"/>
  <c r="BU19" i="2" s="1"/>
  <c r="BW4" i="4"/>
  <c r="BX2" i="4" s="1"/>
  <c r="F49" i="3"/>
  <c r="B50" i="3" s="1"/>
  <c r="CH13" i="2" l="1"/>
  <c r="H13" i="6" s="1"/>
  <c r="H17" i="6" s="1"/>
  <c r="CI6" i="2"/>
  <c r="CH7" i="2"/>
  <c r="H7" i="6" s="1"/>
  <c r="H6" i="6"/>
  <c r="AJ75" i="8"/>
  <c r="AL75" i="8" s="1"/>
  <c r="AM75" i="8" s="1"/>
  <c r="AI76" i="8" s="1"/>
  <c r="S57" i="8"/>
  <c r="O58" i="8" s="1"/>
  <c r="P58" i="8" s="1"/>
  <c r="R58" i="8" s="1"/>
  <c r="F55" i="8"/>
  <c r="AB62" i="8"/>
  <c r="AC62" i="8" s="1"/>
  <c r="Y63" i="8" s="1"/>
  <c r="Z63" i="8" s="1"/>
  <c r="AB63" i="8" s="1"/>
  <c r="BV17" i="2"/>
  <c r="BV19" i="2" s="1"/>
  <c r="BX4" i="4"/>
  <c r="BY2" i="4" s="1"/>
  <c r="C50" i="3"/>
  <c r="E50" i="3" s="1"/>
  <c r="CH11" i="2" l="1"/>
  <c r="H11" i="6" s="1"/>
  <c r="CI13" i="2"/>
  <c r="CI7" i="2"/>
  <c r="CI11" i="2"/>
  <c r="CJ6" i="2"/>
  <c r="S58" i="8"/>
  <c r="O59" i="8" s="1"/>
  <c r="H19" i="6"/>
  <c r="H55" i="8"/>
  <c r="I55" i="8" s="1"/>
  <c r="E56" i="8" s="1"/>
  <c r="AP55" i="8"/>
  <c r="AJ76" i="8"/>
  <c r="AL76" i="8" s="1"/>
  <c r="P59" i="8"/>
  <c r="AC63" i="8"/>
  <c r="Y64" i="8" s="1"/>
  <c r="Z64" i="8" s="1"/>
  <c r="BW17" i="2"/>
  <c r="BW19" i="2" s="1"/>
  <c r="BY4" i="4"/>
  <c r="BZ2" i="4" s="1"/>
  <c r="F50" i="3"/>
  <c r="B51" i="3" s="1"/>
  <c r="CJ13" i="2" l="1"/>
  <c r="CJ7" i="2"/>
  <c r="CJ11" i="2" s="1"/>
  <c r="CK6" i="2"/>
  <c r="AM76" i="8"/>
  <c r="AI77" i="8" s="1"/>
  <c r="F56" i="8"/>
  <c r="R59" i="8"/>
  <c r="AB64" i="8"/>
  <c r="BX17" i="2"/>
  <c r="BX19" i="2" s="1"/>
  <c r="BZ4" i="4"/>
  <c r="CA2" i="4" s="1"/>
  <c r="C51" i="3"/>
  <c r="E51" i="3" s="1"/>
  <c r="CK13" i="2" l="1"/>
  <c r="CK7" i="2"/>
  <c r="CK11" i="2" s="1"/>
  <c r="CL6" i="2"/>
  <c r="H56" i="8"/>
  <c r="I56" i="8" s="1"/>
  <c r="E57" i="8" s="1"/>
  <c r="AP56" i="8"/>
  <c r="AJ77" i="8"/>
  <c r="AL77" i="8" s="1"/>
  <c r="AM77" i="8" s="1"/>
  <c r="AI78" i="8" s="1"/>
  <c r="S59" i="8"/>
  <c r="O60" i="8" s="1"/>
  <c r="AC64" i="8"/>
  <c r="Y65" i="8" s="1"/>
  <c r="Z65" i="8" s="1"/>
  <c r="BY17" i="2"/>
  <c r="BY19" i="2" s="1"/>
  <c r="CA4" i="4"/>
  <c r="CB2" i="4" s="1"/>
  <c r="F51" i="3"/>
  <c r="B52" i="3" s="1"/>
  <c r="CL13" i="2" l="1"/>
  <c r="CM6" i="2"/>
  <c r="CL7" i="2"/>
  <c r="CL11" i="2"/>
  <c r="AJ78" i="8"/>
  <c r="AL78" i="8" s="1"/>
  <c r="AM78" i="8" s="1"/>
  <c r="AI79" i="8" s="1"/>
  <c r="F57" i="8"/>
  <c r="P60" i="8"/>
  <c r="AB65" i="8"/>
  <c r="BZ17" i="2"/>
  <c r="BZ19" i="2" s="1"/>
  <c r="CB4" i="4"/>
  <c r="CC2" i="4" s="1"/>
  <c r="C52" i="3"/>
  <c r="E52" i="3" s="1"/>
  <c r="CM13" i="2" l="1"/>
  <c r="CM7" i="2"/>
  <c r="CM11" i="2"/>
  <c r="CN6" i="2"/>
  <c r="CO6" i="2"/>
  <c r="H57" i="8"/>
  <c r="AP57" i="8"/>
  <c r="AJ79" i="8"/>
  <c r="AL79" i="8" s="1"/>
  <c r="AM79" i="8" s="1"/>
  <c r="AI80" i="8" s="1"/>
  <c r="R60" i="8"/>
  <c r="I57" i="8"/>
  <c r="E58" i="8" s="1"/>
  <c r="AC65" i="8"/>
  <c r="Y66" i="8" s="1"/>
  <c r="Z66" i="8" s="1"/>
  <c r="CA17" i="2"/>
  <c r="CA19" i="2" s="1"/>
  <c r="CC4" i="4"/>
  <c r="CD2" i="4" s="1"/>
  <c r="F52" i="3"/>
  <c r="B53" i="3" s="1"/>
  <c r="CN13" i="2" l="1"/>
  <c r="CO13" i="2" s="1"/>
  <c r="CN7" i="2"/>
  <c r="CO7" i="2" s="1"/>
  <c r="CO11" i="2" s="1"/>
  <c r="I6" i="6"/>
  <c r="J6" i="6" s="1"/>
  <c r="I7" i="6"/>
  <c r="J7" i="6" s="1"/>
  <c r="I13" i="6"/>
  <c r="AJ80" i="8"/>
  <c r="AL80" i="8" s="1"/>
  <c r="AM80" i="8" s="1"/>
  <c r="AI81" i="8" s="1"/>
  <c r="F58" i="8"/>
  <c r="S60" i="8"/>
  <c r="O61" i="8" s="1"/>
  <c r="AB66" i="8"/>
  <c r="CB17" i="2"/>
  <c r="CB19" i="2" s="1"/>
  <c r="CD4" i="4"/>
  <c r="CE2" i="4" s="1"/>
  <c r="C53" i="3"/>
  <c r="E53" i="3" s="1"/>
  <c r="I17" i="6" l="1"/>
  <c r="J13" i="6"/>
  <c r="J17" i="6" s="1"/>
  <c r="CN11" i="2"/>
  <c r="I11" i="6" s="1"/>
  <c r="J11" i="6" s="1"/>
  <c r="H58" i="8"/>
  <c r="I58" i="8" s="1"/>
  <c r="E59" i="8" s="1"/>
  <c r="AP58" i="8"/>
  <c r="AJ81" i="8"/>
  <c r="AL81" i="8" s="1"/>
  <c r="AM81" i="8" s="1"/>
  <c r="AI82" i="8" s="1"/>
  <c r="P61" i="8"/>
  <c r="AC66" i="8"/>
  <c r="Y67" i="8" s="1"/>
  <c r="CC17" i="2"/>
  <c r="CC19" i="2" s="1"/>
  <c r="CE4" i="4"/>
  <c r="CF2" i="4" s="1"/>
  <c r="F53" i="3"/>
  <c r="B54" i="3" s="1"/>
  <c r="J19" i="6" l="1"/>
  <c r="I19" i="6"/>
  <c r="AJ82" i="8"/>
  <c r="AL82" i="8" s="1"/>
  <c r="AM82" i="8" s="1"/>
  <c r="AI83" i="8" s="1"/>
  <c r="F59" i="8"/>
  <c r="AP59" i="8" s="1"/>
  <c r="AJ4" i="8"/>
  <c r="AJ5" i="8"/>
  <c r="AJ6" i="8"/>
  <c r="AJ7" i="8"/>
  <c r="AJ8" i="8"/>
  <c r="R61" i="8"/>
  <c r="Z67" i="8"/>
  <c r="AB67" i="8" s="1"/>
  <c r="CD17" i="2"/>
  <c r="CD19" i="2" s="1"/>
  <c r="CF4" i="4"/>
  <c r="CG2" i="4" s="1"/>
  <c r="C54" i="3"/>
  <c r="E54" i="3" s="1"/>
  <c r="F121" i="14" l="1"/>
  <c r="H90" i="24"/>
  <c r="H95" i="24" s="1"/>
  <c r="I121" i="14"/>
  <c r="K90" i="24"/>
  <c r="K95" i="24" s="1"/>
  <c r="E121" i="14"/>
  <c r="G90" i="24"/>
  <c r="G95" i="24" s="1"/>
  <c r="H121" i="14"/>
  <c r="J90" i="24"/>
  <c r="J95" i="24" s="1"/>
  <c r="G121" i="14"/>
  <c r="I90" i="24"/>
  <c r="I95" i="24" s="1"/>
  <c r="AJ83" i="8"/>
  <c r="AL83" i="8" s="1"/>
  <c r="H59" i="8"/>
  <c r="AL4" i="8"/>
  <c r="AL5" i="8"/>
  <c r="AL6" i="8"/>
  <c r="AL7" i="8"/>
  <c r="AL8" i="8"/>
  <c r="S61" i="8"/>
  <c r="O62" i="8" s="1"/>
  <c r="AC67" i="8"/>
  <c r="Y68" i="8" s="1"/>
  <c r="Z68" i="8" s="1"/>
  <c r="AB68" i="8" s="1"/>
  <c r="CE17" i="2"/>
  <c r="CE19" i="2" s="1"/>
  <c r="CG4" i="4"/>
  <c r="CH2" i="4" s="1"/>
  <c r="CH4" i="4" s="1"/>
  <c r="F54" i="3"/>
  <c r="B55" i="3" s="1"/>
  <c r="H117" i="10" l="1"/>
  <c r="H122" i="10" s="1"/>
  <c r="J96" i="24"/>
  <c r="K96" i="24"/>
  <c r="I117" i="10"/>
  <c r="I122" i="10" s="1"/>
  <c r="G117" i="10"/>
  <c r="G122" i="10" s="1"/>
  <c r="I96" i="24"/>
  <c r="E117" i="10"/>
  <c r="E122" i="10" s="1"/>
  <c r="G96" i="24"/>
  <c r="F117" i="10"/>
  <c r="F122" i="10" s="1"/>
  <c r="H96" i="24"/>
  <c r="AM83" i="8"/>
  <c r="AI84" i="8" s="1"/>
  <c r="I59" i="8"/>
  <c r="E60" i="8" s="1"/>
  <c r="P62" i="8"/>
  <c r="AC68" i="8"/>
  <c r="Y69" i="8" s="1"/>
  <c r="Z69" i="8" s="1"/>
  <c r="CF17" i="2"/>
  <c r="CF19" i="2" s="1"/>
  <c r="C55" i="3"/>
  <c r="E55" i="3" s="1"/>
  <c r="I53" i="21" l="1"/>
  <c r="I57" i="21" s="1"/>
  <c r="I105" i="14"/>
  <c r="I124" i="10"/>
  <c r="I36" i="12" s="1"/>
  <c r="E53" i="21"/>
  <c r="E57" i="21" s="1"/>
  <c r="E105" i="14"/>
  <c r="E124" i="10"/>
  <c r="E36" i="12" s="1"/>
  <c r="F105" i="14"/>
  <c r="F53" i="21"/>
  <c r="F57" i="21" s="1"/>
  <c r="F124" i="10"/>
  <c r="F36" i="12" s="1"/>
  <c r="G105" i="14"/>
  <c r="G53" i="21"/>
  <c r="G57" i="21" s="1"/>
  <c r="G124" i="10"/>
  <c r="G36" i="12" s="1"/>
  <c r="H53" i="21"/>
  <c r="H57" i="21" s="1"/>
  <c r="H105" i="14"/>
  <c r="H124" i="10"/>
  <c r="H36" i="12" s="1"/>
  <c r="AJ84" i="8"/>
  <c r="AL84" i="8" s="1"/>
  <c r="R62" i="8"/>
  <c r="S62" i="8" s="1"/>
  <c r="O63" i="8" s="1"/>
  <c r="F60" i="8"/>
  <c r="AP60" i="8" s="1"/>
  <c r="AB69" i="8"/>
  <c r="CG17" i="2"/>
  <c r="CG19" i="2" s="1"/>
  <c r="CI3" i="4"/>
  <c r="F55" i="3"/>
  <c r="B56" i="3" s="1"/>
  <c r="H102" i="14" l="1"/>
  <c r="H106" i="14" s="1"/>
  <c r="H109" i="14" s="1"/>
  <c r="H86" i="13"/>
  <c r="H51" i="21"/>
  <c r="H54" i="21" s="1"/>
  <c r="I102" i="14"/>
  <c r="I106" i="14" s="1"/>
  <c r="I109" i="14" s="1"/>
  <c r="I86" i="13"/>
  <c r="I51" i="21"/>
  <c r="I54" i="21" s="1"/>
  <c r="F51" i="21"/>
  <c r="F54" i="21" s="1"/>
  <c r="F102" i="14"/>
  <c r="F106" i="14" s="1"/>
  <c r="F109" i="14" s="1"/>
  <c r="F86" i="13"/>
  <c r="E102" i="14"/>
  <c r="E106" i="14" s="1"/>
  <c r="E109" i="14" s="1"/>
  <c r="E86" i="13"/>
  <c r="E87" i="13" s="1"/>
  <c r="E51" i="21"/>
  <c r="E54" i="21" s="1"/>
  <c r="G86" i="13"/>
  <c r="G51" i="21"/>
  <c r="G54" i="21" s="1"/>
  <c r="G102" i="14"/>
  <c r="G106" i="14" s="1"/>
  <c r="G109" i="14" s="1"/>
  <c r="AM84" i="8"/>
  <c r="AI85" i="8" s="1"/>
  <c r="P63" i="8"/>
  <c r="H60" i="8"/>
  <c r="AC69" i="8"/>
  <c r="Y70" i="8" s="1"/>
  <c r="Z70" i="8" s="1"/>
  <c r="CH17" i="2"/>
  <c r="CH19" i="2" s="1"/>
  <c r="C56" i="3"/>
  <c r="E56" i="3" s="1"/>
  <c r="F85" i="13" l="1"/>
  <c r="F87" i="13" s="1"/>
  <c r="AJ85" i="8"/>
  <c r="AL85" i="8" s="1"/>
  <c r="AM85" i="8" s="1"/>
  <c r="AI86" i="8" s="1"/>
  <c r="I60" i="8"/>
  <c r="E61" i="8" s="1"/>
  <c r="R63" i="8"/>
  <c r="S63" i="8" s="1"/>
  <c r="O64" i="8" s="1"/>
  <c r="AB70" i="8"/>
  <c r="CI17" i="2"/>
  <c r="CI19" i="2" s="1"/>
  <c r="F56" i="3"/>
  <c r="B57" i="3" s="1"/>
  <c r="G85" i="13" l="1"/>
  <c r="G87" i="13" s="1"/>
  <c r="AJ86" i="8"/>
  <c r="AL86" i="8" s="1"/>
  <c r="AM86" i="8" s="1"/>
  <c r="AI87" i="8" s="1"/>
  <c r="P64" i="8"/>
  <c r="R64" i="8" s="1"/>
  <c r="F61" i="8"/>
  <c r="AP61" i="8" s="1"/>
  <c r="AC70" i="8"/>
  <c r="Y71" i="8" s="1"/>
  <c r="Z71" i="8" s="1"/>
  <c r="CJ17" i="2"/>
  <c r="CJ19" i="2" s="1"/>
  <c r="C57" i="3"/>
  <c r="E57" i="3" s="1"/>
  <c r="H85" i="13" l="1"/>
  <c r="H87" i="13" s="1"/>
  <c r="AJ87" i="8"/>
  <c r="AL87" i="8" s="1"/>
  <c r="H61" i="8"/>
  <c r="I61" i="8" s="1"/>
  <c r="E62" i="8" s="1"/>
  <c r="S64" i="8"/>
  <c r="O65" i="8" s="1"/>
  <c r="AB71" i="8"/>
  <c r="CK17" i="2"/>
  <c r="CK19" i="2" s="1"/>
  <c r="F57" i="3"/>
  <c r="B58" i="3" s="1"/>
  <c r="I85" i="13" l="1"/>
  <c r="I87" i="13" s="1"/>
  <c r="AM87" i="8"/>
  <c r="AI88" i="8" s="1"/>
  <c r="P65" i="8"/>
  <c r="R65" i="8" s="1"/>
  <c r="F62" i="8"/>
  <c r="AP62" i="8" s="1"/>
  <c r="AC71" i="8"/>
  <c r="Y72" i="8" s="1"/>
  <c r="Z72" i="8" s="1"/>
  <c r="CL17" i="2"/>
  <c r="CL19" i="2" s="1"/>
  <c r="C58" i="3"/>
  <c r="E58" i="3" s="1"/>
  <c r="J85" i="13" l="1"/>
  <c r="AJ88" i="8"/>
  <c r="AL88" i="8" s="1"/>
  <c r="S65" i="8"/>
  <c r="O66" i="8" s="1"/>
  <c r="H62" i="8"/>
  <c r="AB72" i="8"/>
  <c r="CM17" i="2"/>
  <c r="CM19" i="2" s="1"/>
  <c r="F58" i="3"/>
  <c r="B59" i="3" s="1"/>
  <c r="AM88" i="8" l="1"/>
  <c r="AI89" i="8" s="1"/>
  <c r="I62" i="8"/>
  <c r="E63" i="8" s="1"/>
  <c r="P66" i="8"/>
  <c r="R66" i="8" s="1"/>
  <c r="AC72" i="8"/>
  <c r="Y73" i="8" s="1"/>
  <c r="Z73" i="8" s="1"/>
  <c r="CN17" i="2"/>
  <c r="CN19" i="2" s="1"/>
  <c r="CO20" i="2" s="1"/>
  <c r="CO14" i="2"/>
  <c r="CO17" i="2" s="1"/>
  <c r="CO19" i="2" s="1"/>
  <c r="C59" i="3"/>
  <c r="E59" i="3" s="1"/>
  <c r="AJ89" i="8" l="1"/>
  <c r="AL89" i="8" s="1"/>
  <c r="S66" i="8"/>
  <c r="O67" i="8" s="1"/>
  <c r="F63" i="8"/>
  <c r="AP63" i="8" s="1"/>
  <c r="AB73" i="8"/>
  <c r="CO21" i="2"/>
  <c r="F59" i="3"/>
  <c r="B60" i="3" s="1"/>
  <c r="AM89" i="8" l="1"/>
  <c r="AI90" i="8" s="1"/>
  <c r="H63" i="8"/>
  <c r="I63" i="8" s="1"/>
  <c r="E64" i="8" s="1"/>
  <c r="P67" i="8"/>
  <c r="R67" i="8" s="1"/>
  <c r="AC73" i="8"/>
  <c r="Y74" i="8" s="1"/>
  <c r="Z74" i="8" s="1"/>
  <c r="C60" i="3"/>
  <c r="E60" i="3" s="1"/>
  <c r="AJ90" i="8" l="1"/>
  <c r="AL90" i="8" s="1"/>
  <c r="S67" i="8"/>
  <c r="O68" i="8" s="1"/>
  <c r="F64" i="8"/>
  <c r="AB74" i="8"/>
  <c r="F60" i="3"/>
  <c r="B61" i="3" s="1"/>
  <c r="H64" i="8" l="1"/>
  <c r="AP64" i="8"/>
  <c r="AM90" i="8"/>
  <c r="AI91" i="8" s="1"/>
  <c r="P68" i="8"/>
  <c r="R68" i="8" s="1"/>
  <c r="I64" i="8"/>
  <c r="E65" i="8" s="1"/>
  <c r="AC74" i="8"/>
  <c r="Y75" i="8" s="1"/>
  <c r="Z75" i="8" s="1"/>
  <c r="C61" i="3"/>
  <c r="E61" i="3" s="1"/>
  <c r="S68" i="8" l="1"/>
  <c r="O69" i="8" s="1"/>
  <c r="P69" i="8" s="1"/>
  <c r="R69" i="8" s="1"/>
  <c r="AJ91" i="8"/>
  <c r="AL91" i="8" s="1"/>
  <c r="F65" i="8"/>
  <c r="AB75" i="8"/>
  <c r="F61" i="3"/>
  <c r="B62" i="3" s="1"/>
  <c r="H65" i="8" l="1"/>
  <c r="AP65" i="8"/>
  <c r="AM91" i="8"/>
  <c r="AI92" i="8" s="1"/>
  <c r="S69" i="8"/>
  <c r="O70" i="8" s="1"/>
  <c r="I65" i="8"/>
  <c r="E66" i="8" s="1"/>
  <c r="AC75" i="8"/>
  <c r="Y76" i="8" s="1"/>
  <c r="Z76" i="8" s="1"/>
  <c r="C62" i="3"/>
  <c r="E62" i="3" s="1"/>
  <c r="AJ92" i="8" l="1"/>
  <c r="AL92" i="8" s="1"/>
  <c r="P70" i="8"/>
  <c r="R70" i="8" s="1"/>
  <c r="F66" i="8"/>
  <c r="AB76" i="8"/>
  <c r="F62" i="3"/>
  <c r="B63" i="3" s="1"/>
  <c r="H66" i="8" l="1"/>
  <c r="I66" i="8" s="1"/>
  <c r="E67" i="8" s="1"/>
  <c r="AP66" i="8"/>
  <c r="AM92" i="8"/>
  <c r="AI93" i="8" s="1"/>
  <c r="S70" i="8"/>
  <c r="O71" i="8" s="1"/>
  <c r="P71" i="8" s="1"/>
  <c r="AC76" i="8"/>
  <c r="Y77" i="8" s="1"/>
  <c r="Z77" i="8" s="1"/>
  <c r="C63" i="3"/>
  <c r="E63" i="3" s="1"/>
  <c r="AJ93" i="8" l="1"/>
  <c r="AL93" i="8" s="1"/>
  <c r="AM93" i="8" s="1"/>
  <c r="AI94" i="8" s="1"/>
  <c r="AK4" i="8"/>
  <c r="E120" i="14" s="1"/>
  <c r="AK5" i="8"/>
  <c r="F120" i="14" s="1"/>
  <c r="AK6" i="8"/>
  <c r="G120" i="14" s="1"/>
  <c r="AK7" i="8"/>
  <c r="H120" i="14" s="1"/>
  <c r="AK8" i="8"/>
  <c r="I120" i="14" s="1"/>
  <c r="AK9" i="8"/>
  <c r="J120" i="14" s="1"/>
  <c r="AJ9" i="8"/>
  <c r="F67" i="8"/>
  <c r="R71" i="8"/>
  <c r="AJ11" i="8"/>
  <c r="AB77" i="8"/>
  <c r="F63" i="3"/>
  <c r="B64" i="3" s="1"/>
  <c r="J121" i="14" l="1"/>
  <c r="L90" i="24"/>
  <c r="L95" i="24" s="1"/>
  <c r="G58" i="21"/>
  <c r="G59" i="21" s="1"/>
  <c r="G61" i="21" s="1"/>
  <c r="G122" i="14"/>
  <c r="G124" i="14" s="1"/>
  <c r="J122" i="14"/>
  <c r="J58" i="21"/>
  <c r="F122" i="14"/>
  <c r="F124" i="14" s="1"/>
  <c r="F58" i="21"/>
  <c r="F59" i="21" s="1"/>
  <c r="F61" i="21" s="1"/>
  <c r="E58" i="21"/>
  <c r="E59" i="21" s="1"/>
  <c r="E61" i="21" s="1"/>
  <c r="E122" i="14"/>
  <c r="E124" i="14" s="1"/>
  <c r="E127" i="14" s="1"/>
  <c r="I58" i="21"/>
  <c r="I59" i="21" s="1"/>
  <c r="I61" i="21" s="1"/>
  <c r="I122" i="14"/>
  <c r="I124" i="14" s="1"/>
  <c r="H67" i="8"/>
  <c r="I67" i="8" s="1"/>
  <c r="E68" i="8" s="1"/>
  <c r="AP67" i="8"/>
  <c r="H58" i="21"/>
  <c r="H59" i="21" s="1"/>
  <c r="H61" i="21" s="1"/>
  <c r="H122" i="14"/>
  <c r="H124" i="14" s="1"/>
  <c r="AJ94" i="8"/>
  <c r="AM4" i="8"/>
  <c r="AL9" i="8"/>
  <c r="S71" i="8"/>
  <c r="O72" i="8" s="1"/>
  <c r="AL11" i="8"/>
  <c r="AC77" i="8"/>
  <c r="Y78" i="8" s="1"/>
  <c r="Z78" i="8" s="1"/>
  <c r="C64" i="3"/>
  <c r="E64" i="3" s="1"/>
  <c r="AI5" i="8" l="1"/>
  <c r="AM5" i="8" s="1"/>
  <c r="E88" i="13"/>
  <c r="E91" i="13" s="1"/>
  <c r="F126" i="14"/>
  <c r="F127" i="14" s="1"/>
  <c r="E99" i="13"/>
  <c r="E101" i="13" s="1"/>
  <c r="L96" i="24"/>
  <c r="J117" i="10"/>
  <c r="J122" i="10" s="1"/>
  <c r="AK10" i="8"/>
  <c r="AL94" i="8"/>
  <c r="F68" i="8"/>
  <c r="P72" i="8"/>
  <c r="AB78" i="8"/>
  <c r="F64" i="3"/>
  <c r="B65" i="3" s="1"/>
  <c r="H68" i="8" l="1"/>
  <c r="AP68" i="8"/>
  <c r="G126" i="14"/>
  <c r="G127" i="14" s="1"/>
  <c r="F99" i="13"/>
  <c r="F101" i="13" s="1"/>
  <c r="J105" i="14"/>
  <c r="J53" i="21"/>
  <c r="J57" i="21" s="1"/>
  <c r="J59" i="21" s="1"/>
  <c r="J124" i="10"/>
  <c r="J36" i="12" s="1"/>
  <c r="AI6" i="8"/>
  <c r="AM6" i="8" s="1"/>
  <c r="F88" i="13"/>
  <c r="F91" i="13" s="1"/>
  <c r="K120" i="14"/>
  <c r="AM94" i="8"/>
  <c r="AI95" i="8" s="1"/>
  <c r="I68" i="8"/>
  <c r="E69" i="8" s="1"/>
  <c r="R72" i="8"/>
  <c r="S72" i="8" s="1"/>
  <c r="O73" i="8" s="1"/>
  <c r="AC78" i="8"/>
  <c r="Y79" i="8" s="1"/>
  <c r="Z79" i="8" s="1"/>
  <c r="C65" i="3"/>
  <c r="E65" i="3" s="1"/>
  <c r="K58" i="21" l="1"/>
  <c r="J51" i="21"/>
  <c r="J54" i="21" s="1"/>
  <c r="J61" i="21" s="1"/>
  <c r="E62" i="21" s="1"/>
  <c r="J102" i="14"/>
  <c r="J106" i="14" s="1"/>
  <c r="J109" i="14" s="1"/>
  <c r="J124" i="14" s="1"/>
  <c r="J86" i="13"/>
  <c r="J87" i="13" s="1"/>
  <c r="H126" i="14"/>
  <c r="H127" i="14" s="1"/>
  <c r="G99" i="13"/>
  <c r="G101" i="13" s="1"/>
  <c r="AI7" i="8"/>
  <c r="AM7" i="8" s="1"/>
  <c r="G88" i="13"/>
  <c r="G91" i="13" s="1"/>
  <c r="AJ95" i="8"/>
  <c r="AL95" i="8" s="1"/>
  <c r="F69" i="8"/>
  <c r="P73" i="8"/>
  <c r="AB79" i="8"/>
  <c r="F65" i="3"/>
  <c r="B66" i="3" s="1"/>
  <c r="H69" i="8" l="1"/>
  <c r="I69" i="8" s="1"/>
  <c r="E70" i="8" s="1"/>
  <c r="AP69" i="8"/>
  <c r="AI8" i="8"/>
  <c r="AM8" i="8" s="1"/>
  <c r="H88" i="13"/>
  <c r="H91" i="13" s="1"/>
  <c r="I126" i="14"/>
  <c r="I127" i="14" s="1"/>
  <c r="H99" i="13"/>
  <c r="H101" i="13" s="1"/>
  <c r="K85" i="13"/>
  <c r="AM95" i="8"/>
  <c r="AI96" i="8" s="1"/>
  <c r="R73" i="8"/>
  <c r="AC79" i="8"/>
  <c r="Y80" i="8" s="1"/>
  <c r="Z80" i="8" s="1"/>
  <c r="C66" i="3"/>
  <c r="E66" i="3" s="1"/>
  <c r="AI9" i="8" l="1"/>
  <c r="AM9" i="8" s="1"/>
  <c r="I88" i="13"/>
  <c r="I91" i="13" s="1"/>
  <c r="J126" i="14"/>
  <c r="J127" i="14" s="1"/>
  <c r="I99" i="13"/>
  <c r="I101" i="13" s="1"/>
  <c r="AJ96" i="8"/>
  <c r="AJ97" i="8" s="1"/>
  <c r="F70" i="8"/>
  <c r="S73" i="8"/>
  <c r="O74" i="8" s="1"/>
  <c r="AB80" i="8"/>
  <c r="F66" i="3"/>
  <c r="B67" i="3" s="1"/>
  <c r="K126" i="14" l="1"/>
  <c r="J99" i="13"/>
  <c r="J101" i="13" s="1"/>
  <c r="H70" i="8"/>
  <c r="I70" i="8" s="1"/>
  <c r="E71" i="8" s="1"/>
  <c r="AP70" i="8"/>
  <c r="AI10" i="8"/>
  <c r="J88" i="13"/>
  <c r="J91" i="13" s="1"/>
  <c r="AL96" i="8"/>
  <c r="AL97" i="8" s="1"/>
  <c r="AJ10" i="8"/>
  <c r="P74" i="8"/>
  <c r="AC80" i="8"/>
  <c r="Y81" i="8" s="1"/>
  <c r="Z81" i="8" s="1"/>
  <c r="C67" i="3"/>
  <c r="E67" i="3" s="1"/>
  <c r="K121" i="14" l="1"/>
  <c r="K122" i="14" s="1"/>
  <c r="M90" i="24"/>
  <c r="M95" i="24" s="1"/>
  <c r="AL10" i="8"/>
  <c r="AM96" i="8"/>
  <c r="R74" i="8"/>
  <c r="S74" i="8" s="1"/>
  <c r="O75" i="8" s="1"/>
  <c r="F71" i="8"/>
  <c r="AP71" i="8" s="1"/>
  <c r="AB81" i="8"/>
  <c r="F67" i="3"/>
  <c r="B68" i="3" s="1"/>
  <c r="K117" i="10" l="1"/>
  <c r="K122" i="10" s="1"/>
  <c r="M96" i="24"/>
  <c r="AM10" i="8"/>
  <c r="H71" i="8"/>
  <c r="I71" i="8" s="1"/>
  <c r="E72" i="8" s="1"/>
  <c r="P75" i="8"/>
  <c r="AC81" i="8"/>
  <c r="Y82" i="8" s="1"/>
  <c r="Z82" i="8" s="1"/>
  <c r="C68" i="3"/>
  <c r="E68" i="3" s="1"/>
  <c r="AI11" i="8" l="1"/>
  <c r="AM11" i="8" s="1"/>
  <c r="K88" i="13"/>
  <c r="K105" i="14"/>
  <c r="K53" i="21"/>
  <c r="K57" i="21" s="1"/>
  <c r="K59" i="21" s="1"/>
  <c r="K124" i="10"/>
  <c r="K36" i="12" s="1"/>
  <c r="F72" i="8"/>
  <c r="AP72" i="8" s="1"/>
  <c r="R75" i="8"/>
  <c r="S75" i="8" s="1"/>
  <c r="O76" i="8" s="1"/>
  <c r="AB82" i="8"/>
  <c r="F68" i="3"/>
  <c r="B69" i="3" s="1"/>
  <c r="N122" i="10" l="1"/>
  <c r="N124" i="10" s="1"/>
  <c r="K86" i="13"/>
  <c r="K87" i="13" s="1"/>
  <c r="K91" i="13" s="1"/>
  <c r="K51" i="21"/>
  <c r="K54" i="21" s="1"/>
  <c r="K61" i="21" s="1"/>
  <c r="K102" i="14"/>
  <c r="K106" i="14" s="1"/>
  <c r="K109" i="14" s="1"/>
  <c r="K124" i="14" s="1"/>
  <c r="K127" i="14" s="1"/>
  <c r="K99" i="13" s="1"/>
  <c r="K101" i="13" s="1"/>
  <c r="P76" i="8"/>
  <c r="R76" i="8" s="1"/>
  <c r="H72" i="8"/>
  <c r="AC82" i="8"/>
  <c r="Y83" i="8" s="1"/>
  <c r="C69" i="3"/>
  <c r="E69" i="3" s="1"/>
  <c r="S76" i="8" l="1"/>
  <c r="O77" i="8" s="1"/>
  <c r="I72" i="8"/>
  <c r="E73" i="8" s="1"/>
  <c r="Z83" i="8"/>
  <c r="F69" i="3"/>
  <c r="B70" i="3" s="1"/>
  <c r="P77" i="8" l="1"/>
  <c r="R77" i="8" s="1"/>
  <c r="AB83" i="8"/>
  <c r="AC83" i="8" s="1"/>
  <c r="Y84" i="8" s="1"/>
  <c r="Z84" i="8" s="1"/>
  <c r="AB84" i="8" s="1"/>
  <c r="F73" i="8"/>
  <c r="AP73" i="8" s="1"/>
  <c r="C70" i="3"/>
  <c r="E70" i="3" s="1"/>
  <c r="S77" i="8" l="1"/>
  <c r="O78" i="8" s="1"/>
  <c r="P78" i="8" s="1"/>
  <c r="R78" i="8" s="1"/>
  <c r="H73" i="8"/>
  <c r="AC84" i="8"/>
  <c r="Y85" i="8" s="1"/>
  <c r="Z85" i="8" s="1"/>
  <c r="F70" i="3"/>
  <c r="B71" i="3" s="1"/>
  <c r="S78" i="8" l="1"/>
  <c r="O79" i="8" s="1"/>
  <c r="I73" i="8"/>
  <c r="E74" i="8" s="1"/>
  <c r="AB85" i="8"/>
  <c r="C71" i="3"/>
  <c r="E71" i="3" s="1"/>
  <c r="P79" i="8" l="1"/>
  <c r="R79" i="8" s="1"/>
  <c r="F74" i="8"/>
  <c r="AP74" i="8" s="1"/>
  <c r="AC85" i="8"/>
  <c r="Y86" i="8" s="1"/>
  <c r="Z86" i="8" s="1"/>
  <c r="F71" i="3"/>
  <c r="B72" i="3" s="1"/>
  <c r="S79" i="8" l="1"/>
  <c r="O80" i="8" s="1"/>
  <c r="P80" i="8" s="1"/>
  <c r="R80" i="8" s="1"/>
  <c r="H74" i="8"/>
  <c r="I74" i="8" s="1"/>
  <c r="E75" i="8" s="1"/>
  <c r="F75" i="8" s="1"/>
  <c r="AP75" i="8" s="1"/>
  <c r="AB86" i="8"/>
  <c r="C72" i="3"/>
  <c r="E72" i="3" s="1"/>
  <c r="S80" i="8" l="1"/>
  <c r="O81" i="8" s="1"/>
  <c r="AC86" i="8"/>
  <c r="Y87" i="8" s="1"/>
  <c r="F72" i="3"/>
  <c r="B73" i="3" s="1"/>
  <c r="P81" i="8" l="1"/>
  <c r="R81" i="8" s="1"/>
  <c r="H75" i="8"/>
  <c r="I75" i="8" s="1"/>
  <c r="E76" i="8" s="1"/>
  <c r="Z87" i="8"/>
  <c r="C73" i="3"/>
  <c r="E73" i="3" s="1"/>
  <c r="S81" i="8" l="1"/>
  <c r="O82" i="8" s="1"/>
  <c r="P82" i="8" s="1"/>
  <c r="R82" i="8" s="1"/>
  <c r="F76" i="8"/>
  <c r="AB87" i="8"/>
  <c r="AC87" i="8" s="1"/>
  <c r="Y88" i="8" s="1"/>
  <c r="Z88" i="8" s="1"/>
  <c r="AB88" i="8" s="1"/>
  <c r="F73" i="3"/>
  <c r="B74" i="3" s="1"/>
  <c r="S82" i="8" l="1"/>
  <c r="O83" i="8" s="1"/>
  <c r="P83" i="8" s="1"/>
  <c r="R83" i="8" s="1"/>
  <c r="H76" i="8"/>
  <c r="I76" i="8" s="1"/>
  <c r="E77" i="8" s="1"/>
  <c r="AP76" i="8"/>
  <c r="AC88" i="8"/>
  <c r="Y89" i="8" s="1"/>
  <c r="Z89" i="8" s="1"/>
  <c r="C74" i="3"/>
  <c r="E74" i="3" s="1"/>
  <c r="F77" i="8" l="1"/>
  <c r="S83" i="8"/>
  <c r="O84" i="8" s="1"/>
  <c r="AB89" i="8"/>
  <c r="F74" i="3"/>
  <c r="B75" i="3" s="1"/>
  <c r="H77" i="8" l="1"/>
  <c r="I77" i="8" s="1"/>
  <c r="E78" i="8" s="1"/>
  <c r="AP77" i="8"/>
  <c r="P84" i="8"/>
  <c r="AC89" i="8"/>
  <c r="Y90" i="8" s="1"/>
  <c r="Z90" i="8" s="1"/>
  <c r="C75" i="3"/>
  <c r="E75" i="3" s="1"/>
  <c r="R84" i="8" l="1"/>
  <c r="F78" i="8"/>
  <c r="AB90" i="8"/>
  <c r="F75" i="3"/>
  <c r="B76" i="3" s="1"/>
  <c r="H78" i="8" l="1"/>
  <c r="I78" i="8" s="1"/>
  <c r="E79" i="8" s="1"/>
  <c r="AP78" i="8"/>
  <c r="S84" i="8"/>
  <c r="O85" i="8" s="1"/>
  <c r="AC90" i="8"/>
  <c r="Y91" i="8" s="1"/>
  <c r="C76" i="3"/>
  <c r="E76" i="3" s="1"/>
  <c r="F79" i="8" l="1"/>
  <c r="P85" i="8"/>
  <c r="Z91" i="8"/>
  <c r="F76" i="3"/>
  <c r="B77" i="3" s="1"/>
  <c r="H79" i="8" l="1"/>
  <c r="AP79" i="8"/>
  <c r="I79" i="8"/>
  <c r="E80" i="8" s="1"/>
  <c r="R85" i="8"/>
  <c r="S85" i="8" s="1"/>
  <c r="O86" i="8" s="1"/>
  <c r="AB91" i="8"/>
  <c r="AC91" i="8" s="1"/>
  <c r="Y92" i="8" s="1"/>
  <c r="C77" i="3"/>
  <c r="E77" i="3" s="1"/>
  <c r="F80" i="8" l="1"/>
  <c r="P86" i="8"/>
  <c r="Z92" i="8"/>
  <c r="F77" i="3"/>
  <c r="B78" i="3" s="1"/>
  <c r="H80" i="8" l="1"/>
  <c r="I80" i="8" s="1"/>
  <c r="E81" i="8" s="1"/>
  <c r="AP80" i="8"/>
  <c r="R86" i="8"/>
  <c r="S86" i="8" s="1"/>
  <c r="O87" i="8" s="1"/>
  <c r="AB92" i="8"/>
  <c r="AC92" i="8" s="1"/>
  <c r="Y93" i="8" s="1"/>
  <c r="C78" i="3"/>
  <c r="E78" i="3" s="1"/>
  <c r="P87" i="8" l="1"/>
  <c r="F81" i="8"/>
  <c r="Z93" i="8"/>
  <c r="AB93" i="8" s="1"/>
  <c r="F78" i="3"/>
  <c r="B79" i="3" s="1"/>
  <c r="H81" i="8" l="1"/>
  <c r="I81" i="8" s="1"/>
  <c r="E82" i="8" s="1"/>
  <c r="AP81" i="8"/>
  <c r="R87" i="8"/>
  <c r="S87" i="8" s="1"/>
  <c r="O88" i="8" s="1"/>
  <c r="AC93" i="8"/>
  <c r="Y94" i="8" s="1"/>
  <c r="Z94" i="8" s="1"/>
  <c r="C79" i="3"/>
  <c r="E79" i="3" s="1"/>
  <c r="AB94" i="8" l="1"/>
  <c r="Z4" i="8"/>
  <c r="Z5" i="8"/>
  <c r="Z6" i="8"/>
  <c r="Z7" i="8"/>
  <c r="Z8" i="8"/>
  <c r="Z9" i="8"/>
  <c r="P88" i="8"/>
  <c r="R88" i="8" s="1"/>
  <c r="F82" i="8"/>
  <c r="AC94" i="8"/>
  <c r="Y95" i="8" s="1"/>
  <c r="F79" i="3"/>
  <c r="B80" i="3" s="1"/>
  <c r="G90" i="14" l="1"/>
  <c r="G91" i="14" s="1"/>
  <c r="I67" i="24"/>
  <c r="I72" i="24" s="1"/>
  <c r="J90" i="14"/>
  <c r="J91" i="14" s="1"/>
  <c r="L67" i="24"/>
  <c r="L72" i="24" s="1"/>
  <c r="F90" i="14"/>
  <c r="F91" i="14" s="1"/>
  <c r="H67" i="24"/>
  <c r="H72" i="24" s="1"/>
  <c r="I90" i="14"/>
  <c r="I91" i="14" s="1"/>
  <c r="K67" i="24"/>
  <c r="K72" i="24" s="1"/>
  <c r="E90" i="14"/>
  <c r="E91" i="14" s="1"/>
  <c r="G67" i="24"/>
  <c r="G72" i="24" s="1"/>
  <c r="H90" i="14"/>
  <c r="H91" i="14" s="1"/>
  <c r="J67" i="24"/>
  <c r="J72" i="24" s="1"/>
  <c r="Z95" i="8"/>
  <c r="AB95" i="8" s="1"/>
  <c r="H82" i="8"/>
  <c r="I82" i="8" s="1"/>
  <c r="E83" i="8" s="1"/>
  <c r="AP82" i="8"/>
  <c r="S88" i="8"/>
  <c r="O89" i="8" s="1"/>
  <c r="AB4" i="8"/>
  <c r="AC4" i="8" s="1"/>
  <c r="AB5" i="8"/>
  <c r="AB6" i="8"/>
  <c r="AB7" i="8"/>
  <c r="AB8" i="8"/>
  <c r="AB9" i="8"/>
  <c r="C80" i="3"/>
  <c r="E80" i="3" s="1"/>
  <c r="H85" i="10" l="1"/>
  <c r="H90" i="10" s="1"/>
  <c r="J73" i="24"/>
  <c r="I85" i="10"/>
  <c r="I90" i="10" s="1"/>
  <c r="K73" i="24"/>
  <c r="J85" i="10"/>
  <c r="J90" i="10" s="1"/>
  <c r="L73" i="24"/>
  <c r="E85" i="10"/>
  <c r="E90" i="10" s="1"/>
  <c r="G73" i="24"/>
  <c r="F85" i="10"/>
  <c r="F90" i="10" s="1"/>
  <c r="H73" i="24"/>
  <c r="G85" i="10"/>
  <c r="G90" i="10" s="1"/>
  <c r="I73" i="24"/>
  <c r="Y5" i="8"/>
  <c r="AC5" i="8" s="1"/>
  <c r="E63" i="13"/>
  <c r="AC95" i="8"/>
  <c r="Y96" i="8" s="1"/>
  <c r="P89" i="8"/>
  <c r="R89" i="8" s="1"/>
  <c r="F83" i="8"/>
  <c r="AP83" i="8" s="1"/>
  <c r="F80" i="3"/>
  <c r="B81" i="3" s="1"/>
  <c r="G38" i="21" l="1"/>
  <c r="G42" i="21" s="1"/>
  <c r="G44" i="21" s="1"/>
  <c r="G74" i="14"/>
  <c r="G92" i="10"/>
  <c r="G35" i="12" s="1"/>
  <c r="E38" i="21"/>
  <c r="E42" i="21" s="1"/>
  <c r="E44" i="21" s="1"/>
  <c r="E74" i="14"/>
  <c r="E92" i="10"/>
  <c r="E35" i="12" s="1"/>
  <c r="I38" i="21"/>
  <c r="I42" i="21" s="1"/>
  <c r="I44" i="21" s="1"/>
  <c r="I74" i="14"/>
  <c r="I92" i="10"/>
  <c r="I35" i="12" s="1"/>
  <c r="F38" i="21"/>
  <c r="F42" i="21" s="1"/>
  <c r="F44" i="21" s="1"/>
  <c r="F74" i="14"/>
  <c r="F92" i="10"/>
  <c r="F35" i="12" s="1"/>
  <c r="Y6" i="8"/>
  <c r="AC6" i="8" s="1"/>
  <c r="F63" i="13"/>
  <c r="J38" i="21"/>
  <c r="J42" i="21" s="1"/>
  <c r="J44" i="21" s="1"/>
  <c r="J74" i="14"/>
  <c r="J92" i="10"/>
  <c r="J35" i="12" s="1"/>
  <c r="H38" i="21"/>
  <c r="H42" i="21" s="1"/>
  <c r="H44" i="21" s="1"/>
  <c r="H74" i="14"/>
  <c r="H92" i="10"/>
  <c r="H35" i="12" s="1"/>
  <c r="Z96" i="8"/>
  <c r="S89" i="8"/>
  <c r="O90" i="8" s="1"/>
  <c r="P90" i="8" s="1"/>
  <c r="H83" i="8"/>
  <c r="C81" i="3"/>
  <c r="E81" i="3" s="1"/>
  <c r="E36" i="21" l="1"/>
  <c r="E39" i="21" s="1"/>
  <c r="E46" i="21" s="1"/>
  <c r="E71" i="14"/>
  <c r="E75" i="14" s="1"/>
  <c r="E61" i="13"/>
  <c r="E62" i="13" s="1"/>
  <c r="G36" i="21"/>
  <c r="G39" i="21" s="1"/>
  <c r="G46" i="21" s="1"/>
  <c r="G71" i="14"/>
  <c r="G75" i="14" s="1"/>
  <c r="G78" i="14" s="1"/>
  <c r="G93" i="14" s="1"/>
  <c r="G61" i="13"/>
  <c r="J61" i="13"/>
  <c r="J36" i="21"/>
  <c r="J39" i="21" s="1"/>
  <c r="J46" i="21" s="1"/>
  <c r="J71" i="14"/>
  <c r="J75" i="14" s="1"/>
  <c r="J78" i="14" s="1"/>
  <c r="J93" i="14" s="1"/>
  <c r="Y7" i="8"/>
  <c r="AC7" i="8" s="1"/>
  <c r="G63" i="13"/>
  <c r="I36" i="21"/>
  <c r="I39" i="21" s="1"/>
  <c r="I46" i="21" s="1"/>
  <c r="I71" i="14"/>
  <c r="I75" i="14" s="1"/>
  <c r="I78" i="14" s="1"/>
  <c r="I93" i="14" s="1"/>
  <c r="I61" i="13"/>
  <c r="H36" i="21"/>
  <c r="H39" i="21" s="1"/>
  <c r="H46" i="21" s="1"/>
  <c r="H71" i="14"/>
  <c r="H75" i="14" s="1"/>
  <c r="H78" i="14" s="1"/>
  <c r="H93" i="14" s="1"/>
  <c r="H61" i="13"/>
  <c r="F61" i="13"/>
  <c r="F36" i="21"/>
  <c r="F39" i="21" s="1"/>
  <c r="F46" i="21" s="1"/>
  <c r="F71" i="14"/>
  <c r="F75" i="14" s="1"/>
  <c r="F78" i="14" s="1"/>
  <c r="F93" i="14" s="1"/>
  <c r="AB96" i="8"/>
  <c r="AB97" i="8" s="1"/>
  <c r="Z97" i="8"/>
  <c r="R90" i="8"/>
  <c r="S90" i="8" s="1"/>
  <c r="O91" i="8" s="1"/>
  <c r="I83" i="8"/>
  <c r="E84" i="8" s="1"/>
  <c r="F81" i="3"/>
  <c r="B82" i="3" s="1"/>
  <c r="Y8" i="8" l="1"/>
  <c r="AC8" i="8" s="1"/>
  <c r="H63" i="13"/>
  <c r="F60" i="13"/>
  <c r="F62" i="13" s="1"/>
  <c r="E66" i="13"/>
  <c r="E47" i="21"/>
  <c r="AC96" i="8"/>
  <c r="P91" i="8"/>
  <c r="R91" i="8" s="1"/>
  <c r="F84" i="8"/>
  <c r="AP84" i="8" s="1"/>
  <c r="C82" i="3"/>
  <c r="E82" i="3" s="1"/>
  <c r="F66" i="13" l="1"/>
  <c r="G60" i="13"/>
  <c r="G62" i="13" s="1"/>
  <c r="Y9" i="8"/>
  <c r="AC9" i="8" s="1"/>
  <c r="I63" i="13"/>
  <c r="S91" i="8"/>
  <c r="O92" i="8" s="1"/>
  <c r="P92" i="8" s="1"/>
  <c r="R92" i="8" s="1"/>
  <c r="H84" i="8"/>
  <c r="I84" i="8" s="1"/>
  <c r="E85" i="8" s="1"/>
  <c r="F82" i="3"/>
  <c r="B83" i="3" s="1"/>
  <c r="Y10" i="8" l="1"/>
  <c r="J63" i="13"/>
  <c r="H60" i="13"/>
  <c r="H62" i="13" s="1"/>
  <c r="G66" i="13"/>
  <c r="S92" i="8"/>
  <c r="O93" i="8" s="1"/>
  <c r="F85" i="8"/>
  <c r="AP85" i="8" s="1"/>
  <c r="C83" i="3"/>
  <c r="E83" i="3" s="1"/>
  <c r="I60" i="13" l="1"/>
  <c r="I62" i="13" s="1"/>
  <c r="H66" i="13"/>
  <c r="P93" i="8"/>
  <c r="R93" i="8" s="1"/>
  <c r="H85" i="8"/>
  <c r="F83" i="3"/>
  <c r="B84" i="3" s="1"/>
  <c r="J60" i="13" l="1"/>
  <c r="J62" i="13" s="1"/>
  <c r="I66" i="13"/>
  <c r="S93" i="8"/>
  <c r="O94" i="8" s="1"/>
  <c r="I85" i="8"/>
  <c r="E86" i="8" s="1"/>
  <c r="C84" i="3"/>
  <c r="E84" i="3" s="1"/>
  <c r="J66" i="13" l="1"/>
  <c r="K60" i="13"/>
  <c r="P94" i="8"/>
  <c r="R94" i="8" s="1"/>
  <c r="F86" i="8"/>
  <c r="AP86" i="8" s="1"/>
  <c r="F84" i="3"/>
  <c r="B85" i="3" s="1"/>
  <c r="S94" i="8" l="1"/>
  <c r="O95" i="8" s="1"/>
  <c r="P95" i="8" s="1"/>
  <c r="Q10" i="8"/>
  <c r="AO10" i="8" s="1"/>
  <c r="J30" i="15" s="1"/>
  <c r="Q97" i="8"/>
  <c r="H86" i="8"/>
  <c r="I86" i="8" s="1"/>
  <c r="E87" i="8" s="1"/>
  <c r="C85" i="3"/>
  <c r="E85" i="3" s="1"/>
  <c r="Q14" i="8" l="1"/>
  <c r="Q4" i="8"/>
  <c r="Q5" i="8"/>
  <c r="AO5" i="8" s="1"/>
  <c r="E30" i="15" s="1"/>
  <c r="Q6" i="8"/>
  <c r="AO6" i="8" s="1"/>
  <c r="F30" i="15" s="1"/>
  <c r="Q7" i="8"/>
  <c r="AO7" i="8" s="1"/>
  <c r="G30" i="15" s="1"/>
  <c r="Q8" i="8"/>
  <c r="AO8" i="8" s="1"/>
  <c r="H30" i="15" s="1"/>
  <c r="Q9" i="8"/>
  <c r="AO9" i="8" s="1"/>
  <c r="I30" i="15" s="1"/>
  <c r="K57" i="14"/>
  <c r="K23" i="16" s="1"/>
  <c r="K28" i="21"/>
  <c r="K13" i="23" s="1"/>
  <c r="R95" i="8"/>
  <c r="F87" i="8"/>
  <c r="AP87" i="8" s="1"/>
  <c r="F85" i="3"/>
  <c r="B86" i="3" s="1"/>
  <c r="AO4" i="8" l="1"/>
  <c r="D30" i="15"/>
  <c r="G28" i="21"/>
  <c r="G13" i="23" s="1"/>
  <c r="G57" i="14"/>
  <c r="G23" i="16" s="1"/>
  <c r="J57" i="14"/>
  <c r="J23" i="16" s="1"/>
  <c r="J28" i="21"/>
  <c r="J13" i="23" s="1"/>
  <c r="F57" i="14"/>
  <c r="F23" i="16" s="1"/>
  <c r="F28" i="21"/>
  <c r="F13" i="23" s="1"/>
  <c r="Q13" i="8"/>
  <c r="Q15" i="8" s="1"/>
  <c r="E28" i="21"/>
  <c r="E13" i="23" s="1"/>
  <c r="E57" i="14"/>
  <c r="E23" i="16" s="1"/>
  <c r="I57" i="14"/>
  <c r="I23" i="16" s="1"/>
  <c r="I28" i="21"/>
  <c r="I13" i="23" s="1"/>
  <c r="H57" i="14"/>
  <c r="H23" i="16" s="1"/>
  <c r="H28" i="21"/>
  <c r="H13" i="23" s="1"/>
  <c r="S95" i="8"/>
  <c r="O96" i="8" s="1"/>
  <c r="H87" i="8"/>
  <c r="I87" i="8" s="1"/>
  <c r="E88" i="8" s="1"/>
  <c r="P4" i="8"/>
  <c r="G42" i="24" s="1"/>
  <c r="G48" i="24" s="1"/>
  <c r="P5" i="8"/>
  <c r="H42" i="24" s="1"/>
  <c r="H48" i="24" s="1"/>
  <c r="P6" i="8"/>
  <c r="I42" i="24" s="1"/>
  <c r="I48" i="24" s="1"/>
  <c r="P7" i="8"/>
  <c r="J42" i="24" s="1"/>
  <c r="J48" i="24" s="1"/>
  <c r="P8" i="8"/>
  <c r="K42" i="24" s="1"/>
  <c r="K48" i="24" s="1"/>
  <c r="P9" i="8"/>
  <c r="L42" i="24" s="1"/>
  <c r="L48" i="24" s="1"/>
  <c r="C86" i="3"/>
  <c r="E86" i="3" s="1"/>
  <c r="J53" i="10" l="1"/>
  <c r="J58" i="10" s="1"/>
  <c r="L49" i="24"/>
  <c r="G53" i="10"/>
  <c r="G58" i="10" s="1"/>
  <c r="I49" i="24"/>
  <c r="F53" i="10"/>
  <c r="F58" i="10" s="1"/>
  <c r="H49" i="24"/>
  <c r="I53" i="10"/>
  <c r="I58" i="10" s="1"/>
  <c r="K49" i="24"/>
  <c r="E53" i="10"/>
  <c r="E58" i="10" s="1"/>
  <c r="G49" i="24"/>
  <c r="P96" i="8"/>
  <c r="H53" i="10"/>
  <c r="H58" i="10" s="1"/>
  <c r="J49" i="24"/>
  <c r="R4" i="8"/>
  <c r="S4" i="8" s="1"/>
  <c r="R5" i="8"/>
  <c r="R6" i="8"/>
  <c r="R7" i="8"/>
  <c r="R8" i="8"/>
  <c r="R9" i="8"/>
  <c r="F88" i="8"/>
  <c r="F86" i="3"/>
  <c r="B87" i="3" s="1"/>
  <c r="R96" i="8" l="1"/>
  <c r="P97" i="8"/>
  <c r="P14" i="8" s="1"/>
  <c r="P10" i="8"/>
  <c r="H88" i="8"/>
  <c r="I88" i="8" s="1"/>
  <c r="E89" i="8" s="1"/>
  <c r="AP88" i="8"/>
  <c r="E37" i="13"/>
  <c r="O5" i="8"/>
  <c r="S5" i="8" s="1"/>
  <c r="C87" i="3"/>
  <c r="E87" i="3" s="1"/>
  <c r="M42" i="24" l="1"/>
  <c r="M48" i="24" s="1"/>
  <c r="P13" i="8"/>
  <c r="P15" i="8" s="1"/>
  <c r="R10" i="8"/>
  <c r="R13" i="8" s="1"/>
  <c r="R15" i="8" s="1"/>
  <c r="R97" i="8"/>
  <c r="R14" i="8" s="1"/>
  <c r="S96" i="8"/>
  <c r="F37" i="13"/>
  <c r="O6" i="8"/>
  <c r="S6" i="8" s="1"/>
  <c r="F89" i="8"/>
  <c r="F87" i="3"/>
  <c r="B88" i="3" s="1"/>
  <c r="K53" i="10" l="1"/>
  <c r="K58" i="10" s="1"/>
  <c r="M49" i="24"/>
  <c r="H89" i="8"/>
  <c r="I89" i="8" s="1"/>
  <c r="E90" i="8" s="1"/>
  <c r="AP89" i="8"/>
  <c r="G37" i="13"/>
  <c r="O7" i="8"/>
  <c r="S7" i="8" s="1"/>
  <c r="C88" i="3"/>
  <c r="E88" i="3" s="1"/>
  <c r="H37" i="13" l="1"/>
  <c r="O8" i="8"/>
  <c r="S8" i="8" s="1"/>
  <c r="F90" i="8"/>
  <c r="F88" i="3"/>
  <c r="B89" i="3" s="1"/>
  <c r="H90" i="8" l="1"/>
  <c r="AP90" i="8"/>
  <c r="I90" i="8"/>
  <c r="E91" i="8" s="1"/>
  <c r="I37" i="13"/>
  <c r="O9" i="8"/>
  <c r="S9" i="8" s="1"/>
  <c r="C89" i="3"/>
  <c r="E89" i="3" s="1"/>
  <c r="J37" i="13" l="1"/>
  <c r="O10" i="8"/>
  <c r="S10" i="8" s="1"/>
  <c r="K37" i="13" s="1"/>
  <c r="F91" i="8"/>
  <c r="F89" i="3"/>
  <c r="B90" i="3" s="1"/>
  <c r="H91" i="8" l="1"/>
  <c r="I91" i="8" s="1"/>
  <c r="E92" i="8" s="1"/>
  <c r="AP91" i="8"/>
  <c r="C90" i="3"/>
  <c r="E90" i="3" s="1"/>
  <c r="F92" i="8" l="1"/>
  <c r="Z10" i="8"/>
  <c r="F90" i="3"/>
  <c r="B91" i="3" s="1"/>
  <c r="K90" i="14" l="1"/>
  <c r="K91" i="14" s="1"/>
  <c r="M67" i="24"/>
  <c r="M72" i="24" s="1"/>
  <c r="H92" i="8"/>
  <c r="I92" i="8" s="1"/>
  <c r="E93" i="8" s="1"/>
  <c r="AP92" i="8"/>
  <c r="C91" i="3"/>
  <c r="E91" i="3" s="1"/>
  <c r="K85" i="10" l="1"/>
  <c r="K90" i="10" s="1"/>
  <c r="M73" i="24"/>
  <c r="F93" i="8"/>
  <c r="F91" i="3"/>
  <c r="B92" i="3" s="1"/>
  <c r="K38" i="21" l="1"/>
  <c r="K42" i="21" s="1"/>
  <c r="K44" i="21" s="1"/>
  <c r="K74" i="14"/>
  <c r="K92" i="10"/>
  <c r="K35" i="12" s="1"/>
  <c r="H93" i="8"/>
  <c r="I93" i="8" s="1"/>
  <c r="E94" i="8" s="1"/>
  <c r="AP93" i="8"/>
  <c r="Z11" i="8"/>
  <c r="Z13" i="8" s="1"/>
  <c r="C92" i="3"/>
  <c r="E92" i="3" s="1"/>
  <c r="N90" i="10" l="1"/>
  <c r="N92" i="10" s="1"/>
  <c r="F92" i="3"/>
  <c r="B93" i="3" s="1"/>
  <c r="K36" i="21"/>
  <c r="K39" i="21" s="1"/>
  <c r="K46" i="21" s="1"/>
  <c r="K71" i="14"/>
  <c r="K75" i="14" s="1"/>
  <c r="K78" i="14" s="1"/>
  <c r="K93" i="14" s="1"/>
  <c r="K61" i="13"/>
  <c r="K62" i="13" s="1"/>
  <c r="L60" i="13" s="1"/>
  <c r="L62" i="13" s="1"/>
  <c r="F94" i="8"/>
  <c r="AP94" i="8" s="1"/>
  <c r="AB10" i="8"/>
  <c r="AB11" i="8"/>
  <c r="C93" i="3"/>
  <c r="E93" i="3" s="1"/>
  <c r="M60" i="13" l="1"/>
  <c r="M62" i="13" s="1"/>
  <c r="M66" i="13" s="1"/>
  <c r="L66" i="13"/>
  <c r="F93" i="3"/>
  <c r="B94" i="3" s="1"/>
  <c r="F94" i="3" s="1"/>
  <c r="H94" i="8"/>
  <c r="AB13" i="8"/>
  <c r="AC10" i="8"/>
  <c r="C94" i="3"/>
  <c r="E94" i="3" s="1"/>
  <c r="Y11" i="8" l="1"/>
  <c r="AC11" i="8" s="1"/>
  <c r="AP11" i="8" s="1"/>
  <c r="K63" i="13"/>
  <c r="K66" i="13" s="1"/>
  <c r="F4" i="8"/>
  <c r="F5" i="8"/>
  <c r="H16" i="24" s="1"/>
  <c r="H21" i="24" s="1"/>
  <c r="F6" i="8"/>
  <c r="I16" i="24" s="1"/>
  <c r="I21" i="24" s="1"/>
  <c r="F7" i="8"/>
  <c r="J16" i="24" s="1"/>
  <c r="J21" i="24" s="1"/>
  <c r="F8" i="8"/>
  <c r="K16" i="24" s="1"/>
  <c r="K21" i="24" s="1"/>
  <c r="H3" i="8"/>
  <c r="H4" i="8"/>
  <c r="AQ4" i="8" s="1"/>
  <c r="H5" i="8"/>
  <c r="H6" i="8"/>
  <c r="H7" i="8"/>
  <c r="H8" i="8"/>
  <c r="AQ8" i="8" s="1"/>
  <c r="I94" i="8"/>
  <c r="E95" i="8" s="1"/>
  <c r="AQ3" i="8" l="1"/>
  <c r="AR3" i="8" s="1"/>
  <c r="G16" i="24"/>
  <c r="G21" i="24" s="1"/>
  <c r="H10" i="14"/>
  <c r="H26" i="14" s="1"/>
  <c r="AQ7" i="8"/>
  <c r="F26" i="14"/>
  <c r="F27" i="14" s="1"/>
  <c r="AQ5" i="8"/>
  <c r="G10" i="14"/>
  <c r="AQ6" i="8"/>
  <c r="F95" i="8"/>
  <c r="I3" i="8"/>
  <c r="AP3" i="8" s="1"/>
  <c r="G26" i="14"/>
  <c r="F10" i="14"/>
  <c r="I21" i="10"/>
  <c r="I26" i="10" s="1"/>
  <c r="K25" i="24"/>
  <c r="E10" i="14"/>
  <c r="I10" i="14"/>
  <c r="I26" i="14"/>
  <c r="H21" i="10"/>
  <c r="H26" i="10" s="1"/>
  <c r="J25" i="24"/>
  <c r="AP95" i="8" l="1"/>
  <c r="F9" i="8"/>
  <c r="H19" i="12"/>
  <c r="H24" i="12" s="1"/>
  <c r="H26" i="12" s="1"/>
  <c r="H28" i="10"/>
  <c r="H33" i="12" s="1"/>
  <c r="I19" i="12"/>
  <c r="I28" i="10"/>
  <c r="I33" i="12" s="1"/>
  <c r="H95" i="8"/>
  <c r="E21" i="10"/>
  <c r="G25" i="24"/>
  <c r="H23" i="21"/>
  <c r="H27" i="21" s="1"/>
  <c r="H29" i="21" s="1"/>
  <c r="H42" i="14"/>
  <c r="H8" i="16" s="1"/>
  <c r="H60" i="10"/>
  <c r="H34" i="12" s="1"/>
  <c r="G27" i="14"/>
  <c r="I23" i="21"/>
  <c r="I27" i="21" s="1"/>
  <c r="I29" i="21" s="1"/>
  <c r="I42" i="14"/>
  <c r="I58" i="14" s="1"/>
  <c r="I59" i="14" s="1"/>
  <c r="I60" i="10"/>
  <c r="I34" i="12" s="1"/>
  <c r="I27" i="14"/>
  <c r="I8" i="21"/>
  <c r="F21" i="10"/>
  <c r="F26" i="10" s="1"/>
  <c r="H25" i="24"/>
  <c r="J23" i="21"/>
  <c r="J27" i="21" s="1"/>
  <c r="J29" i="21" s="1"/>
  <c r="J42" i="14"/>
  <c r="J60" i="10"/>
  <c r="J34" i="12" s="1"/>
  <c r="D11" i="13"/>
  <c r="D11" i="15" s="1"/>
  <c r="D28" i="15" s="1"/>
  <c r="D29" i="15" s="1"/>
  <c r="E4" i="8"/>
  <c r="I4" i="8" s="1"/>
  <c r="AP4" i="8" s="1"/>
  <c r="H8" i="21"/>
  <c r="H8" i="23" s="1"/>
  <c r="E26" i="14"/>
  <c r="G21" i="10"/>
  <c r="G26" i="10" s="1"/>
  <c r="I25" i="24"/>
  <c r="H27" i="14"/>
  <c r="E26" i="10" l="1"/>
  <c r="L16" i="24"/>
  <c r="H37" i="12"/>
  <c r="H38" i="12" s="1"/>
  <c r="I37" i="12"/>
  <c r="I95" i="8"/>
  <c r="E96" i="8" s="1"/>
  <c r="H9" i="8"/>
  <c r="L21" i="24"/>
  <c r="L25" i="24" s="1"/>
  <c r="J21" i="10"/>
  <c r="I24" i="12"/>
  <c r="I26" i="12" s="1"/>
  <c r="I8" i="23"/>
  <c r="I12" i="23" s="1"/>
  <c r="I14" i="23" s="1"/>
  <c r="E19" i="12"/>
  <c r="F19" i="12"/>
  <c r="F24" i="12" s="1"/>
  <c r="F26" i="12" s="1"/>
  <c r="G19" i="12"/>
  <c r="G24" i="12" s="1"/>
  <c r="G26" i="12" s="1"/>
  <c r="I24" i="16"/>
  <c r="I25" i="16" s="1"/>
  <c r="I8" i="16"/>
  <c r="F96" i="8"/>
  <c r="AP96" i="8" s="1"/>
  <c r="G23" i="21"/>
  <c r="G27" i="21" s="1"/>
  <c r="G29" i="21" s="1"/>
  <c r="G42" i="14"/>
  <c r="G8" i="16" s="1"/>
  <c r="G60" i="10"/>
  <c r="G34" i="12" s="1"/>
  <c r="D14" i="15"/>
  <c r="D14" i="13"/>
  <c r="D104" i="13" s="1"/>
  <c r="H6" i="21"/>
  <c r="H9" i="13"/>
  <c r="H7" i="14"/>
  <c r="J21" i="21"/>
  <c r="J24" i="21" s="1"/>
  <c r="J31" i="21" s="1"/>
  <c r="J39" i="14"/>
  <c r="J43" i="14" s="1"/>
  <c r="J46" i="14" s="1"/>
  <c r="J35" i="13"/>
  <c r="F8" i="21"/>
  <c r="F28" i="10"/>
  <c r="F33" i="12" s="1"/>
  <c r="I12" i="21"/>
  <c r="I14" i="21" s="1"/>
  <c r="J58" i="14"/>
  <c r="F23" i="21"/>
  <c r="F27" i="21" s="1"/>
  <c r="F29" i="21" s="1"/>
  <c r="F42" i="14"/>
  <c r="F8" i="16" s="1"/>
  <c r="F60" i="10"/>
  <c r="F34" i="12" s="1"/>
  <c r="I21" i="21"/>
  <c r="I24" i="21" s="1"/>
  <c r="I31" i="21" s="1"/>
  <c r="I39" i="14"/>
  <c r="I43" i="14" s="1"/>
  <c r="I46" i="14" s="1"/>
  <c r="I61" i="14" s="1"/>
  <c r="I35" i="13"/>
  <c r="H21" i="21"/>
  <c r="H24" i="21" s="1"/>
  <c r="H31" i="21" s="1"/>
  <c r="H35" i="13"/>
  <c r="H39" i="14"/>
  <c r="H43" i="14" s="1"/>
  <c r="H46" i="14" s="1"/>
  <c r="E8" i="21"/>
  <c r="E28" i="10"/>
  <c r="E33" i="12" s="1"/>
  <c r="E27" i="14"/>
  <c r="G8" i="21"/>
  <c r="G28" i="10"/>
  <c r="G33" i="12" s="1"/>
  <c r="H12" i="21"/>
  <c r="H14" i="21" s="1"/>
  <c r="H12" i="23"/>
  <c r="H14" i="23" s="1"/>
  <c r="E11" i="13"/>
  <c r="E11" i="15" s="1"/>
  <c r="E28" i="15" s="1"/>
  <c r="E5" i="8"/>
  <c r="I5" i="8" s="1"/>
  <c r="AP5" i="8" s="1"/>
  <c r="I6" i="21"/>
  <c r="I7" i="14"/>
  <c r="I9" i="13"/>
  <c r="H58" i="14"/>
  <c r="H24" i="16" s="1"/>
  <c r="E23" i="21"/>
  <c r="E27" i="21" s="1"/>
  <c r="E29" i="21" s="1"/>
  <c r="E42" i="14"/>
  <c r="E8" i="16" s="1"/>
  <c r="E60" i="10"/>
  <c r="E34" i="12" s="1"/>
  <c r="I38" i="12" l="1"/>
  <c r="E24" i="12"/>
  <c r="G37" i="12"/>
  <c r="G38" i="12" s="1"/>
  <c r="F37" i="12"/>
  <c r="F38" i="12" s="1"/>
  <c r="E37" i="12"/>
  <c r="AQ9" i="8"/>
  <c r="J10" i="14"/>
  <c r="J26" i="10"/>
  <c r="J28" i="10" s="1"/>
  <c r="J33" i="12" s="1"/>
  <c r="J37" i="12" s="1"/>
  <c r="J8" i="21"/>
  <c r="J19" i="12"/>
  <c r="J24" i="12" s="1"/>
  <c r="J26" i="12" s="1"/>
  <c r="I6" i="23"/>
  <c r="I9" i="23" s="1"/>
  <c r="I16" i="23" s="1"/>
  <c r="G8" i="23"/>
  <c r="G12" i="23" s="1"/>
  <c r="G14" i="23" s="1"/>
  <c r="I9" i="15"/>
  <c r="I5" i="16"/>
  <c r="H9" i="15"/>
  <c r="H6" i="23"/>
  <c r="H9" i="23" s="1"/>
  <c r="H16" i="23" s="1"/>
  <c r="E8" i="23"/>
  <c r="F8" i="23"/>
  <c r="F12" i="23" s="1"/>
  <c r="F14" i="23" s="1"/>
  <c r="H5" i="16"/>
  <c r="H96" i="8"/>
  <c r="F97" i="8"/>
  <c r="F14" i="8" s="1"/>
  <c r="F10" i="8"/>
  <c r="E58" i="14"/>
  <c r="E24" i="16" s="1"/>
  <c r="I11" i="14"/>
  <c r="G12" i="21"/>
  <c r="G14" i="21" s="1"/>
  <c r="E6" i="21"/>
  <c r="E9" i="13"/>
  <c r="E7" i="14"/>
  <c r="F12" i="21"/>
  <c r="F14" i="21" s="1"/>
  <c r="H11" i="14"/>
  <c r="E21" i="21"/>
  <c r="E24" i="21" s="1"/>
  <c r="E31" i="21" s="1"/>
  <c r="E39" i="14"/>
  <c r="E43" i="14" s="1"/>
  <c r="E46" i="14" s="1"/>
  <c r="E35" i="13"/>
  <c r="E36" i="13" s="1"/>
  <c r="I9" i="21"/>
  <c r="I16" i="21" s="1"/>
  <c r="E26" i="12"/>
  <c r="E38" i="12" s="1"/>
  <c r="F21" i="21"/>
  <c r="F24" i="21" s="1"/>
  <c r="F31" i="21" s="1"/>
  <c r="F39" i="14"/>
  <c r="F43" i="14" s="1"/>
  <c r="F46" i="14" s="1"/>
  <c r="F35" i="13"/>
  <c r="J59" i="14"/>
  <c r="J61" i="14" s="1"/>
  <c r="G21" i="21"/>
  <c r="G24" i="21" s="1"/>
  <c r="G31" i="21" s="1"/>
  <c r="G35" i="13"/>
  <c r="G39" i="14"/>
  <c r="G43" i="14" s="1"/>
  <c r="G46" i="14" s="1"/>
  <c r="F11" i="13"/>
  <c r="F11" i="15" s="1"/>
  <c r="F28" i="15" s="1"/>
  <c r="E6" i="8"/>
  <c r="I6" i="8" s="1"/>
  <c r="AP6" i="8" s="1"/>
  <c r="G6" i="21"/>
  <c r="G9" i="13"/>
  <c r="G7" i="14"/>
  <c r="E12" i="21"/>
  <c r="E14" i="21" s="1"/>
  <c r="E12" i="23"/>
  <c r="E14" i="23" s="1"/>
  <c r="F58" i="14"/>
  <c r="F24" i="16" s="1"/>
  <c r="F6" i="21"/>
  <c r="F9" i="13"/>
  <c r="F7" i="14"/>
  <c r="H9" i="21"/>
  <c r="H16" i="21" s="1"/>
  <c r="G58" i="14"/>
  <c r="G24" i="16" s="1"/>
  <c r="H59" i="14"/>
  <c r="H61" i="14" s="1"/>
  <c r="H25" i="16"/>
  <c r="D124" i="13"/>
  <c r="D26" i="13"/>
  <c r="M16" i="24" l="1"/>
  <c r="M21" i="24" s="1"/>
  <c r="F13" i="8"/>
  <c r="G6" i="23"/>
  <c r="G9" i="23" s="1"/>
  <c r="G16" i="23" s="1"/>
  <c r="J38" i="12"/>
  <c r="J7" i="14"/>
  <c r="J6" i="21"/>
  <c r="J9" i="13"/>
  <c r="J9" i="15" s="1"/>
  <c r="J26" i="14"/>
  <c r="J8" i="16"/>
  <c r="J8" i="23"/>
  <c r="J12" i="23" s="1"/>
  <c r="J14" i="23" s="1"/>
  <c r="J12" i="21"/>
  <c r="J14" i="21" s="1"/>
  <c r="F6" i="23"/>
  <c r="F9" i="23" s="1"/>
  <c r="F16" i="23" s="1"/>
  <c r="F5" i="16"/>
  <c r="G9" i="15"/>
  <c r="E5" i="16"/>
  <c r="F9" i="15"/>
  <c r="G5" i="16"/>
  <c r="E9" i="15"/>
  <c r="E10" i="15" s="1"/>
  <c r="I14" i="14"/>
  <c r="I29" i="14" s="1"/>
  <c r="I9" i="16"/>
  <c r="I12" i="16" s="1"/>
  <c r="I27" i="16" s="1"/>
  <c r="H14" i="14"/>
  <c r="H29" i="14" s="1"/>
  <c r="H9" i="16"/>
  <c r="H12" i="16" s="1"/>
  <c r="H27" i="16" s="1"/>
  <c r="E6" i="23"/>
  <c r="E9" i="23" s="1"/>
  <c r="E16" i="23" s="1"/>
  <c r="F15" i="8"/>
  <c r="H97" i="8"/>
  <c r="H14" i="8" s="1"/>
  <c r="H10" i="8"/>
  <c r="I96" i="8"/>
  <c r="G9" i="21"/>
  <c r="G16" i="21" s="1"/>
  <c r="F34" i="13"/>
  <c r="F36" i="13" s="1"/>
  <c r="E40" i="13"/>
  <c r="E10" i="13"/>
  <c r="F9" i="21"/>
  <c r="F16" i="21" s="1"/>
  <c r="G11" i="13"/>
  <c r="G11" i="15" s="1"/>
  <c r="G28" i="15" s="1"/>
  <c r="E7" i="8"/>
  <c r="I7" i="8" s="1"/>
  <c r="AP7" i="8" s="1"/>
  <c r="E9" i="21"/>
  <c r="E16" i="21" s="1"/>
  <c r="G11" i="14"/>
  <c r="E32" i="21"/>
  <c r="G59" i="14"/>
  <c r="G61" i="14" s="1"/>
  <c r="G25" i="16"/>
  <c r="F11" i="14"/>
  <c r="F59" i="14"/>
  <c r="F61" i="14" s="1"/>
  <c r="F25" i="16"/>
  <c r="E11" i="14"/>
  <c r="E59" i="14"/>
  <c r="E61" i="14" s="1"/>
  <c r="E64" i="14" s="1"/>
  <c r="E25" i="16"/>
  <c r="AQ10" i="8" l="1"/>
  <c r="H13" i="8"/>
  <c r="J27" i="14"/>
  <c r="J24" i="16"/>
  <c r="J25" i="16" s="1"/>
  <c r="J9" i="21"/>
  <c r="J16" i="21" s="1"/>
  <c r="E17" i="21" s="1"/>
  <c r="J6" i="23"/>
  <c r="J9" i="23" s="1"/>
  <c r="J16" i="23" s="1"/>
  <c r="E17" i="23" s="1"/>
  <c r="J11" i="14"/>
  <c r="J5" i="16"/>
  <c r="G14" i="14"/>
  <c r="G29" i="14" s="1"/>
  <c r="G9" i="16"/>
  <c r="G12" i="16" s="1"/>
  <c r="G27" i="16" s="1"/>
  <c r="E14" i="14"/>
  <c r="E29" i="14" s="1"/>
  <c r="E32" i="14" s="1"/>
  <c r="E22" i="13" s="1"/>
  <c r="E9" i="16"/>
  <c r="E12" i="16" s="1"/>
  <c r="E27" i="16" s="1"/>
  <c r="E30" i="16" s="1"/>
  <c r="E131" i="14" s="1"/>
  <c r="F14" i="14"/>
  <c r="F29" i="14" s="1"/>
  <c r="F9" i="16"/>
  <c r="F12" i="16" s="1"/>
  <c r="F27" i="16" s="1"/>
  <c r="K10" i="14"/>
  <c r="H15" i="8"/>
  <c r="K21" i="10"/>
  <c r="M25" i="24"/>
  <c r="E48" i="13"/>
  <c r="E50" i="13" s="1"/>
  <c r="E52" i="13" s="1"/>
  <c r="F63" i="14"/>
  <c r="F64" i="14" s="1"/>
  <c r="F8" i="15"/>
  <c r="F10" i="15" s="1"/>
  <c r="E14" i="15"/>
  <c r="H11" i="13"/>
  <c r="H11" i="15" s="1"/>
  <c r="H28" i="15" s="1"/>
  <c r="E8" i="8"/>
  <c r="I8" i="8" s="1"/>
  <c r="AP8" i="8" s="1"/>
  <c r="F8" i="13"/>
  <c r="F10" i="13" s="1"/>
  <c r="E14" i="13"/>
  <c r="E104" i="13" s="1"/>
  <c r="F40" i="13"/>
  <c r="G34" i="13"/>
  <c r="G36" i="13" s="1"/>
  <c r="E66" i="14" l="1"/>
  <c r="K26" i="10"/>
  <c r="K28" i="10" s="1"/>
  <c r="K33" i="12" s="1"/>
  <c r="N21" i="10"/>
  <c r="N26" i="10" s="1"/>
  <c r="J9" i="16"/>
  <c r="J12" i="16" s="1"/>
  <c r="J27" i="16" s="1"/>
  <c r="J14" i="14"/>
  <c r="J29" i="14" s="1"/>
  <c r="K19" i="12"/>
  <c r="F31" i="14"/>
  <c r="F32" i="14" s="1"/>
  <c r="F66" i="14" s="1"/>
  <c r="F29" i="16"/>
  <c r="F30" i="16" s="1"/>
  <c r="F131" i="14" s="1"/>
  <c r="K23" i="21"/>
  <c r="K27" i="21" s="1"/>
  <c r="K29" i="21" s="1"/>
  <c r="K42" i="14"/>
  <c r="K58" i="14" s="1"/>
  <c r="K59" i="14" s="1"/>
  <c r="K60" i="10"/>
  <c r="K34" i="12" s="1"/>
  <c r="K8" i="21"/>
  <c r="K8" i="23" s="1"/>
  <c r="K26" i="14"/>
  <c r="F48" i="13"/>
  <c r="F50" i="13" s="1"/>
  <c r="F52" i="13" s="1"/>
  <c r="G63" i="14"/>
  <c r="G64" i="14" s="1"/>
  <c r="G8" i="13"/>
  <c r="G10" i="13" s="1"/>
  <c r="F14" i="13"/>
  <c r="F104" i="13" s="1"/>
  <c r="G40" i="13"/>
  <c r="H34" i="13"/>
  <c r="H36" i="13" s="1"/>
  <c r="I11" i="13"/>
  <c r="I11" i="15" s="1"/>
  <c r="I28" i="15" s="1"/>
  <c r="E9" i="8"/>
  <c r="I9" i="8" s="1"/>
  <c r="AP9" i="8" s="1"/>
  <c r="E24" i="13"/>
  <c r="E26" i="13" s="1"/>
  <c r="G8" i="15"/>
  <c r="G10" i="15" s="1"/>
  <c r="F14" i="15"/>
  <c r="E124" i="13"/>
  <c r="K24" i="12" l="1"/>
  <c r="N19" i="12"/>
  <c r="K37" i="12"/>
  <c r="N37" i="12" s="1"/>
  <c r="K24" i="16"/>
  <c r="K25" i="16" s="1"/>
  <c r="N58" i="10"/>
  <c r="N60" i="10" s="1"/>
  <c r="P26" i="12" s="1"/>
  <c r="N28" i="10"/>
  <c r="G31" i="14"/>
  <c r="G32" i="14" s="1"/>
  <c r="H31" i="14" s="1"/>
  <c r="H32" i="14" s="1"/>
  <c r="F22" i="13"/>
  <c r="F24" i="13" s="1"/>
  <c r="F26" i="13" s="1"/>
  <c r="K8" i="16"/>
  <c r="K6" i="21"/>
  <c r="K9" i="13"/>
  <c r="K7" i="14"/>
  <c r="K35" i="13"/>
  <c r="K39" i="14"/>
  <c r="K43" i="14" s="1"/>
  <c r="K46" i="14" s="1"/>
  <c r="K61" i="14" s="1"/>
  <c r="K21" i="21"/>
  <c r="K24" i="21" s="1"/>
  <c r="K31" i="21" s="1"/>
  <c r="K26" i="12"/>
  <c r="K27" i="14"/>
  <c r="K12" i="21"/>
  <c r="K14" i="21" s="1"/>
  <c r="K12" i="23"/>
  <c r="K14" i="23" s="1"/>
  <c r="G29" i="16"/>
  <c r="G30" i="16" s="1"/>
  <c r="G131" i="14" s="1"/>
  <c r="H8" i="15"/>
  <c r="H10" i="15" s="1"/>
  <c r="G14" i="15"/>
  <c r="I34" i="13"/>
  <c r="I36" i="13" s="1"/>
  <c r="H40" i="13"/>
  <c r="G48" i="13"/>
  <c r="G50" i="13" s="1"/>
  <c r="G52" i="13" s="1"/>
  <c r="H63" i="14"/>
  <c r="H64" i="14" s="1"/>
  <c r="J11" i="13"/>
  <c r="J11" i="15" s="1"/>
  <c r="J28" i="15" s="1"/>
  <c r="E10" i="8"/>
  <c r="I10" i="8" s="1"/>
  <c r="F124" i="13"/>
  <c r="H8" i="13"/>
  <c r="H10" i="13" s="1"/>
  <c r="G14" i="13"/>
  <c r="G104" i="13" s="1"/>
  <c r="K11" i="13" l="1"/>
  <c r="L10" i="14"/>
  <c r="K38" i="12"/>
  <c r="O37" i="12"/>
  <c r="N24" i="12"/>
  <c r="N26" i="12" s="1"/>
  <c r="N38" i="12" s="1"/>
  <c r="O38" i="12" s="1"/>
  <c r="G22" i="13"/>
  <c r="G24" i="13" s="1"/>
  <c r="G26" i="13" s="1"/>
  <c r="G66" i="14"/>
  <c r="K11" i="15"/>
  <c r="K28" i="15" s="1"/>
  <c r="AP10" i="8"/>
  <c r="K5" i="16"/>
  <c r="H66" i="14"/>
  <c r="K9" i="15"/>
  <c r="K6" i="23"/>
  <c r="K9" i="23" s="1"/>
  <c r="K16" i="23" s="1"/>
  <c r="K11" i="14"/>
  <c r="K9" i="21"/>
  <c r="K16" i="21" s="1"/>
  <c r="I63" i="14"/>
  <c r="I64" i="14" s="1"/>
  <c r="H48" i="13"/>
  <c r="H50" i="13" s="1"/>
  <c r="H52" i="13" s="1"/>
  <c r="I31" i="14"/>
  <c r="I32" i="14" s="1"/>
  <c r="H22" i="13"/>
  <c r="I8" i="15"/>
  <c r="I10" i="15" s="1"/>
  <c r="H14" i="15"/>
  <c r="G124" i="13"/>
  <c r="I8" i="13"/>
  <c r="I10" i="13" s="1"/>
  <c r="H14" i="13"/>
  <c r="H104" i="13" s="1"/>
  <c r="J34" i="13"/>
  <c r="J36" i="13" s="1"/>
  <c r="I40" i="13"/>
  <c r="H29" i="16"/>
  <c r="H30" i="16" s="1"/>
  <c r="H131" i="14" s="1"/>
  <c r="L8" i="16" l="1"/>
  <c r="L26" i="14"/>
  <c r="L11" i="14"/>
  <c r="I66" i="14"/>
  <c r="K14" i="14"/>
  <c r="K29" i="14" s="1"/>
  <c r="K9" i="16"/>
  <c r="K12" i="16" s="1"/>
  <c r="K27" i="16" s="1"/>
  <c r="I22" i="13"/>
  <c r="J31" i="14"/>
  <c r="J32" i="14" s="1"/>
  <c r="J40" i="13"/>
  <c r="K34" i="13"/>
  <c r="K36" i="13" s="1"/>
  <c r="H124" i="13"/>
  <c r="J8" i="15"/>
  <c r="J10" i="15" s="1"/>
  <c r="I14" i="15"/>
  <c r="I29" i="16"/>
  <c r="I30" i="16" s="1"/>
  <c r="I131" i="14" s="1"/>
  <c r="J8" i="13"/>
  <c r="J10" i="13" s="1"/>
  <c r="I14" i="13"/>
  <c r="I104" i="13" s="1"/>
  <c r="H24" i="13"/>
  <c r="H26" i="13" s="1"/>
  <c r="I48" i="13"/>
  <c r="I50" i="13" s="1"/>
  <c r="I52" i="13" s="1"/>
  <c r="J63" i="14"/>
  <c r="J64" i="14" s="1"/>
  <c r="L24" i="16" l="1"/>
  <c r="L25" i="16" s="1"/>
  <c r="L27" i="14"/>
  <c r="L14" i="14"/>
  <c r="L29" i="14" s="1"/>
  <c r="L9" i="16"/>
  <c r="L12" i="16" s="1"/>
  <c r="L27" i="16" s="1"/>
  <c r="K40" i="13"/>
  <c r="L34" i="13"/>
  <c r="L36" i="13" s="1"/>
  <c r="J66" i="14"/>
  <c r="J29" i="16"/>
  <c r="J30" i="16" s="1"/>
  <c r="J131" i="14" s="1"/>
  <c r="J22" i="13"/>
  <c r="K31" i="14"/>
  <c r="K32" i="14" s="1"/>
  <c r="L31" i="14" s="1"/>
  <c r="J48" i="13"/>
  <c r="J50" i="13" s="1"/>
  <c r="J52" i="13" s="1"/>
  <c r="K63" i="14"/>
  <c r="K64" i="14" s="1"/>
  <c r="I124" i="13"/>
  <c r="I24" i="13"/>
  <c r="I26" i="13" s="1"/>
  <c r="K8" i="13"/>
  <c r="K10" i="13" s="1"/>
  <c r="J14" i="13"/>
  <c r="J104" i="13" s="1"/>
  <c r="K8" i="15"/>
  <c r="K10" i="15" s="1"/>
  <c r="J14" i="15"/>
  <c r="L32" i="14" l="1"/>
  <c r="L22" i="13"/>
  <c r="L24" i="13" s="1"/>
  <c r="M31" i="14"/>
  <c r="M32" i="14" s="1"/>
  <c r="M22" i="13" s="1"/>
  <c r="M24" i="13" s="1"/>
  <c r="K48" i="13"/>
  <c r="K50" i="13" s="1"/>
  <c r="K52" i="13" s="1"/>
  <c r="L63" i="14"/>
  <c r="L64" i="14" s="1"/>
  <c r="M34" i="13"/>
  <c r="M36" i="13" s="1"/>
  <c r="M40" i="13" s="1"/>
  <c r="L40" i="13"/>
  <c r="K14" i="15"/>
  <c r="L8" i="15"/>
  <c r="L10" i="15" s="1"/>
  <c r="K14" i="13"/>
  <c r="K104" i="13" s="1"/>
  <c r="L8" i="13"/>
  <c r="L10" i="13" s="1"/>
  <c r="K22" i="13"/>
  <c r="K24" i="13" s="1"/>
  <c r="K66" i="14"/>
  <c r="J24" i="13"/>
  <c r="J26" i="13" s="1"/>
  <c r="J124" i="13"/>
  <c r="K29" i="16"/>
  <c r="K30" i="16" s="1"/>
  <c r="M8" i="13" l="1"/>
  <c r="M10" i="13" s="1"/>
  <c r="M14" i="13" s="1"/>
  <c r="L14" i="13"/>
  <c r="L104" i="13"/>
  <c r="L26" i="13"/>
  <c r="M26" i="13"/>
  <c r="M104" i="13"/>
  <c r="L14" i="15"/>
  <c r="M8" i="15"/>
  <c r="M10" i="15" s="1"/>
  <c r="M14" i="15" s="1"/>
  <c r="M63" i="14"/>
  <c r="M64" i="14" s="1"/>
  <c r="L66" i="14"/>
  <c r="L48" i="13"/>
  <c r="K131" i="14"/>
  <c r="L29" i="16"/>
  <c r="L30" i="16" s="1"/>
  <c r="K26" i="13"/>
  <c r="K124" i="13"/>
  <c r="E78" i="14"/>
  <c r="E93" i="14" s="1"/>
  <c r="D78" i="14"/>
  <c r="D93" i="14" s="1"/>
  <c r="D96" i="14" s="1"/>
  <c r="D129" i="14" s="1"/>
  <c r="D133" i="14" s="1"/>
  <c r="M48" i="13" l="1"/>
  <c r="M66" i="14"/>
  <c r="L131" i="14"/>
  <c r="M29" i="16"/>
  <c r="M30" i="16" s="1"/>
  <c r="L50" i="13"/>
  <c r="E95" i="14"/>
  <c r="E96" i="14" s="1"/>
  <c r="E129" i="14" s="1"/>
  <c r="E133" i="14" s="1"/>
  <c r="D74" i="13"/>
  <c r="M131" i="14" l="1"/>
  <c r="M50" i="13"/>
  <c r="D76" i="13"/>
  <c r="D22" i="15"/>
  <c r="F95" i="14"/>
  <c r="F96" i="14" s="1"/>
  <c r="F129" i="14" s="1"/>
  <c r="F133" i="14" s="1"/>
  <c r="E74" i="13"/>
  <c r="D24" i="15" l="1"/>
  <c r="D26" i="15" s="1"/>
  <c r="D33" i="16"/>
  <c r="D36" i="16" s="1"/>
  <c r="E76" i="13"/>
  <c r="E22" i="15"/>
  <c r="F74" i="13"/>
  <c r="G95" i="14"/>
  <c r="G96" i="14" s="1"/>
  <c r="G129" i="14" s="1"/>
  <c r="G133" i="14" s="1"/>
  <c r="E24" i="15" l="1"/>
  <c r="E26" i="15" s="1"/>
  <c r="E33" i="16"/>
  <c r="E36" i="16" s="1"/>
  <c r="F76" i="13"/>
  <c r="F22" i="15"/>
  <c r="H95" i="14"/>
  <c r="H96" i="14" s="1"/>
  <c r="H129" i="14" s="1"/>
  <c r="H133" i="14" s="1"/>
  <c r="G74" i="13"/>
  <c r="F24" i="15" l="1"/>
  <c r="F26" i="15" s="1"/>
  <c r="F33" i="16"/>
  <c r="F36" i="16" s="1"/>
  <c r="G76" i="13"/>
  <c r="G22" i="15"/>
  <c r="H74" i="13"/>
  <c r="I95" i="14"/>
  <c r="I96" i="14" s="1"/>
  <c r="I129" i="14" s="1"/>
  <c r="I133" i="14" s="1"/>
  <c r="G24" i="15" l="1"/>
  <c r="G26" i="15" s="1"/>
  <c r="G33" i="16"/>
  <c r="G36" i="16" s="1"/>
  <c r="H76" i="13"/>
  <c r="H22" i="15"/>
  <c r="I74" i="13"/>
  <c r="J95" i="14"/>
  <c r="J96" i="14" s="1"/>
  <c r="J129" i="14" s="1"/>
  <c r="J133" i="14" s="1"/>
  <c r="H24" i="15" l="1"/>
  <c r="H26" i="15" s="1"/>
  <c r="H33" i="16"/>
  <c r="H36" i="16" s="1"/>
  <c r="I76" i="13"/>
  <c r="I22" i="15"/>
  <c r="J74" i="13"/>
  <c r="K95" i="14"/>
  <c r="K96" i="14" s="1"/>
  <c r="L95" i="14" s="1"/>
  <c r="L96" i="14" s="1"/>
  <c r="L74" i="13" l="1"/>
  <c r="M95" i="14"/>
  <c r="M96" i="14" s="1"/>
  <c r="L129" i="14"/>
  <c r="L133" i="14" s="1"/>
  <c r="I24" i="15"/>
  <c r="I26" i="15" s="1"/>
  <c r="I33" i="16"/>
  <c r="I36" i="16" s="1"/>
  <c r="K74" i="13"/>
  <c r="K129" i="14"/>
  <c r="K133" i="14" s="1"/>
  <c r="J76" i="13"/>
  <c r="J22" i="15"/>
  <c r="M74" i="13" l="1"/>
  <c r="M129" i="14"/>
  <c r="M133" i="14" s="1"/>
  <c r="L76" i="13"/>
  <c r="L22" i="15"/>
  <c r="J24" i="15"/>
  <c r="J26" i="15" s="1"/>
  <c r="J33" i="16"/>
  <c r="J36" i="16" s="1"/>
  <c r="K76" i="13"/>
  <c r="K22" i="15"/>
  <c r="L33" i="16" l="1"/>
  <c r="L36" i="16" s="1"/>
  <c r="L24" i="15"/>
  <c r="L26" i="15" s="1"/>
  <c r="M76" i="13"/>
  <c r="M22" i="15"/>
  <c r="K24" i="15"/>
  <c r="K26" i="15" s="1"/>
  <c r="K33" i="16"/>
  <c r="K36" i="16" s="1"/>
  <c r="M33" i="16" l="1"/>
  <c r="M36" i="16" s="1"/>
  <c r="M24" i="15"/>
  <c r="M26" i="15" s="1"/>
</calcChain>
</file>

<file path=xl/sharedStrings.xml><?xml version="1.0" encoding="utf-8"?>
<sst xmlns="http://schemas.openxmlformats.org/spreadsheetml/2006/main" count="2253" uniqueCount="326">
  <si>
    <t>Application of Fund</t>
  </si>
  <si>
    <t>Rs.- Cr.</t>
  </si>
  <si>
    <t>Plant &amp; Machinery</t>
  </si>
  <si>
    <t>Pre-operative Expenses</t>
  </si>
  <si>
    <t>Sources of Fund</t>
  </si>
  <si>
    <t>total</t>
  </si>
  <si>
    <t>Bank Finance</t>
  </si>
  <si>
    <t>Own Fund</t>
  </si>
  <si>
    <t>Revenue from Operation</t>
  </si>
  <si>
    <t>Rent</t>
  </si>
  <si>
    <t>Per month (Rs.- Lakhs)</t>
  </si>
  <si>
    <t>Management Fee on Rent</t>
  </si>
  <si>
    <t>Manpower Supply</t>
  </si>
  <si>
    <t>Management Fee on Manpower</t>
  </si>
  <si>
    <t>Management Fee on Reimbursement</t>
  </si>
  <si>
    <t>Finance Cost</t>
  </si>
  <si>
    <t>Depreciation</t>
  </si>
  <si>
    <t>EMI Schedule</t>
  </si>
  <si>
    <t>Loan</t>
  </si>
  <si>
    <t>Interest</t>
  </si>
  <si>
    <t>Principal</t>
  </si>
  <si>
    <t>Closing</t>
  </si>
  <si>
    <t>Total Income</t>
  </si>
  <si>
    <t>Total Expenses</t>
  </si>
  <si>
    <t>Profit &amp; Loss</t>
  </si>
  <si>
    <t>Opening Capital</t>
  </si>
  <si>
    <t>Less: Reimbursement</t>
  </si>
  <si>
    <t>Closing Capital</t>
  </si>
  <si>
    <t>Cross</t>
  </si>
  <si>
    <t>Profit &amp; Loss Account</t>
  </si>
  <si>
    <t>S.N.</t>
  </si>
  <si>
    <t>Location</t>
  </si>
  <si>
    <t>No. of Location</t>
  </si>
  <si>
    <t>Particulars</t>
  </si>
  <si>
    <t>UOM</t>
  </si>
  <si>
    <t>QTY</t>
  </si>
  <si>
    <t>Nos.</t>
  </si>
  <si>
    <t>Sq. Ft.</t>
  </si>
  <si>
    <t>₹/sq ft per month</t>
  </si>
  <si>
    <t>%</t>
  </si>
  <si>
    <t>Caiptal Reimbursemennt</t>
  </si>
  <si>
    <t>years</t>
  </si>
  <si>
    <t>Rate of Interest on Capital Reimbursement</t>
  </si>
  <si>
    <t>Loan Tenure with 6 Months moratorium</t>
  </si>
  <si>
    <t>Pune</t>
  </si>
  <si>
    <t>Date of Commencement of Project</t>
  </si>
  <si>
    <t>Pre-operation Period</t>
  </si>
  <si>
    <t>(in months)</t>
  </si>
  <si>
    <t>Rate of Interest on Loan</t>
  </si>
  <si>
    <t>₹/per month</t>
  </si>
  <si>
    <t>Manpower Cost</t>
  </si>
  <si>
    <t>It is assumed that Rent will increased 5% per anum .</t>
  </si>
  <si>
    <t>It is assumed that manpower cost will increased by 7.5% per anum.</t>
  </si>
  <si>
    <t>Interest Repayment on Monthly basis.</t>
  </si>
  <si>
    <t>(i)</t>
  </si>
  <si>
    <t>(ii)</t>
  </si>
  <si>
    <t>A</t>
  </si>
  <si>
    <t>Location Details</t>
  </si>
  <si>
    <t>B</t>
  </si>
  <si>
    <t>Income &amp; Expenses Details</t>
  </si>
  <si>
    <t xml:space="preserve">Rate of Depreciation (WDV) </t>
  </si>
  <si>
    <t>C</t>
  </si>
  <si>
    <t>Comenecment of Project &amp; Pre-operation Period</t>
  </si>
  <si>
    <t>Manpower Cost during Pre-operation period</t>
  </si>
  <si>
    <t>D</t>
  </si>
  <si>
    <t>Inflation Assumptions</t>
  </si>
  <si>
    <t>E</t>
  </si>
  <si>
    <t>Other Assumptions</t>
  </si>
  <si>
    <t>PUNE</t>
  </si>
  <si>
    <t>Date</t>
  </si>
  <si>
    <t>Opening Balance</t>
  </si>
  <si>
    <t>Interest due</t>
  </si>
  <si>
    <t>Installment</t>
  </si>
  <si>
    <t>Interest Paid</t>
  </si>
  <si>
    <t>Closing Balance</t>
  </si>
  <si>
    <t>Rs. - Lakhs</t>
  </si>
  <si>
    <t>Days</t>
  </si>
  <si>
    <t>Total Capital Reimbursement</t>
  </si>
  <si>
    <t>Amount</t>
  </si>
  <si>
    <t>FY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</si>
  <si>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</si>
  <si>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</si>
  <si>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</si>
  <si>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</si>
  <si>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</si>
  <si>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</si>
  <si>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</si>
  <si>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</si>
  <si>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</si>
  <si>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NOIDA</t>
  </si>
  <si>
    <t>BANGLORE</t>
  </si>
  <si>
    <t>MUMBAI</t>
  </si>
  <si>
    <t>Projected Statement of Profit &amp; Loss</t>
  </si>
  <si>
    <t>FY 2024-25</t>
  </si>
  <si>
    <t>FY 2025-26</t>
  </si>
  <si>
    <t>FY 2026-27</t>
  </si>
  <si>
    <t>FY 2027-28</t>
  </si>
  <si>
    <t>FY 2028-29</t>
  </si>
  <si>
    <t>FY 2029-30</t>
  </si>
  <si>
    <t>FY 2030-31</t>
  </si>
  <si>
    <t>FY 2031-32</t>
  </si>
  <si>
    <t>pre-operation Period</t>
  </si>
  <si>
    <t>Post -Operation Period</t>
  </si>
  <si>
    <t>Months</t>
  </si>
  <si>
    <t>Total</t>
  </si>
  <si>
    <t>Location : PUNE</t>
  </si>
  <si>
    <t>Management Fee on Manpower Supply</t>
  </si>
  <si>
    <t>Capital Reimbursement including Management Fee</t>
  </si>
  <si>
    <t>Month</t>
  </si>
  <si>
    <t>Opening WDV</t>
  </si>
  <si>
    <t>Less: Depreciation</t>
  </si>
  <si>
    <t>Closing WDV</t>
  </si>
  <si>
    <t>Toatal</t>
  </si>
  <si>
    <t xml:space="preserve">Less: </t>
  </si>
  <si>
    <t>Interest Capitalised</t>
  </si>
  <si>
    <t>total Capitalised</t>
  </si>
  <si>
    <t>Charge to P&amp;L</t>
  </si>
  <si>
    <t>Expenses</t>
  </si>
  <si>
    <t>Profit before Tax</t>
  </si>
  <si>
    <t>Location : ALL</t>
  </si>
  <si>
    <t>Projected Statement Profit &amp; Loss</t>
  </si>
  <si>
    <t>Location :PUNE</t>
  </si>
  <si>
    <t>Liabilities</t>
  </si>
  <si>
    <t>Equity Share Capital</t>
  </si>
  <si>
    <t>Loan Account</t>
  </si>
  <si>
    <t>Assets</t>
  </si>
  <si>
    <t>Opening</t>
  </si>
  <si>
    <t>WDV</t>
  </si>
  <si>
    <t>Reserve &amp; Surplus</t>
  </si>
  <si>
    <t>Cash &amp; Bank Balance</t>
  </si>
  <si>
    <t>Cash Flow from Operating Activities</t>
  </si>
  <si>
    <t>Interest Cost</t>
  </si>
  <si>
    <t>Cash Flow before Working Capital Changes</t>
  </si>
  <si>
    <t>Sundry Debtor</t>
  </si>
  <si>
    <t>Cash Flow from Investing Activities</t>
  </si>
  <si>
    <t>Purchase of Fixed Assets</t>
  </si>
  <si>
    <t>CashFlow from Financing Activities</t>
  </si>
  <si>
    <t>Interest on LTB</t>
  </si>
  <si>
    <t>Cash Flow From Operation</t>
  </si>
  <si>
    <t>Opening Cash Balance</t>
  </si>
  <si>
    <t>Closing Cash Balance</t>
  </si>
  <si>
    <t>CRPL (HO)</t>
  </si>
  <si>
    <t>CRPL(HO)</t>
  </si>
  <si>
    <t xml:space="preserve"> 2024-25</t>
  </si>
  <si>
    <t xml:space="preserve"> 2025-26</t>
  </si>
  <si>
    <t xml:space="preserve"> 2026-27</t>
  </si>
  <si>
    <t xml:space="preserve"> 2027-28</t>
  </si>
  <si>
    <t xml:space="preserve"> 2030-31</t>
  </si>
  <si>
    <t>Long Term Borrowings/(Repaid)</t>
  </si>
  <si>
    <t>Cash Flow Statement</t>
  </si>
  <si>
    <t>Add: Profit/ (Loss) during the year</t>
  </si>
  <si>
    <t>Location :ALL</t>
  </si>
  <si>
    <t>Add: Profit/(Loss) during the year</t>
  </si>
  <si>
    <t>Loan A/C</t>
  </si>
  <si>
    <t>Add: Non- Cash Expenses/ Non- Operating Expenses/( Non-Operating Income)</t>
  </si>
  <si>
    <t xml:space="preserve">Add: Changes in Working Capital </t>
  </si>
  <si>
    <t>Rs.- Lakhs</t>
  </si>
  <si>
    <t>Assumption of the Project Cost</t>
  </si>
  <si>
    <t>ASSUMPTION</t>
  </si>
  <si>
    <t>Sheet Name</t>
  </si>
  <si>
    <t>Details of Project Cost</t>
  </si>
  <si>
    <t>Project Cost</t>
  </si>
  <si>
    <t>PL of Every Location</t>
  </si>
  <si>
    <t>Location - PL</t>
  </si>
  <si>
    <t>Consolidated PL</t>
  </si>
  <si>
    <t>BS of Every Location</t>
  </si>
  <si>
    <t>Location- BS</t>
  </si>
  <si>
    <t>Consolidated BS</t>
  </si>
  <si>
    <t>Conso- BS</t>
  </si>
  <si>
    <t>Conso- PL</t>
  </si>
  <si>
    <t>CFS of Every Location</t>
  </si>
  <si>
    <t>Location - CFS</t>
  </si>
  <si>
    <t>Consolidated CFS</t>
  </si>
  <si>
    <t>Conso- CFS</t>
  </si>
  <si>
    <t>DEPRECIATION SCHEDULE</t>
  </si>
  <si>
    <t>Depreciation Schedule</t>
  </si>
  <si>
    <t>CAPITAL REIMBURSEMENT SCHEDULE</t>
  </si>
  <si>
    <t>Capital Reimbursement Schedule</t>
  </si>
  <si>
    <t>Capitalization on Assets</t>
  </si>
  <si>
    <t>Revised Asset Costs</t>
  </si>
  <si>
    <t>Manpower Fee</t>
  </si>
  <si>
    <t>Transport</t>
  </si>
  <si>
    <t>Generator</t>
  </si>
  <si>
    <t>Travelling</t>
  </si>
  <si>
    <t>LT Panel &amp; Electricals</t>
  </si>
  <si>
    <t>Pallets</t>
  </si>
  <si>
    <t xml:space="preserve">Hand Pallet Truck </t>
  </si>
  <si>
    <t>Dock Leveller</t>
  </si>
  <si>
    <t>sub-total</t>
  </si>
  <si>
    <t xml:space="preserve">Repairs &amp; Renewals </t>
  </si>
  <si>
    <t>Description</t>
  </si>
  <si>
    <t>Supply &amp; Installation of Refrigeration System</t>
  </si>
  <si>
    <t>Supply &amp; Installation of Doors</t>
  </si>
  <si>
    <t>Supply &amp; Installation of Lighting</t>
  </si>
  <si>
    <t>Supply &amp; Installation - MCC Cable Tray</t>
  </si>
  <si>
    <t>Supply &amp; Installation - PUF Panels</t>
  </si>
  <si>
    <t>Supply &amp; Installation -Civil Works</t>
  </si>
  <si>
    <t>Supply &amp; Installation- Storage Solutions</t>
  </si>
  <si>
    <t>GST@18%</t>
  </si>
  <si>
    <t>Sectional Overhead Door, Dock Leveller,Dock Shelter</t>
  </si>
  <si>
    <t>Add : Transport Charges</t>
  </si>
  <si>
    <t>Hand Pallet Truck</t>
  </si>
  <si>
    <t>Interest During pre-operation period</t>
  </si>
  <si>
    <t>Salary &amp; Travelling Expenses during Pre-operation Period</t>
  </si>
  <si>
    <t>Miscellaneous Items</t>
  </si>
  <si>
    <t>Say</t>
  </si>
  <si>
    <t>Debt Service Coverage Ratio</t>
  </si>
  <si>
    <t>Add:</t>
  </si>
  <si>
    <t>Earnings before Depreciation, Interest &amp; Tax</t>
  </si>
  <si>
    <t>Debt Obligation</t>
  </si>
  <si>
    <t>Interest Payment</t>
  </si>
  <si>
    <t>Loan Repayment</t>
  </si>
  <si>
    <t>DSCR</t>
  </si>
  <si>
    <t>Average DSCR</t>
  </si>
  <si>
    <t>CRPL Infra (Private) Limited</t>
  </si>
  <si>
    <t>Sundry Debtors</t>
  </si>
  <si>
    <t>Working Capital Loan Requirement</t>
  </si>
  <si>
    <t>Margin Money</t>
  </si>
  <si>
    <t>Margin Money for Working Assets</t>
  </si>
  <si>
    <t>Administrative Expenses</t>
  </si>
  <si>
    <t>Repairs &amp; Maintenace Expenses</t>
  </si>
  <si>
    <t>Repairs &amp; Maintenance Expenses</t>
  </si>
  <si>
    <t>Admin Expenses</t>
  </si>
  <si>
    <t>List of Plant &amp; Machinery of each Location</t>
  </si>
  <si>
    <t>List of Plant &amp; Machinery</t>
  </si>
  <si>
    <t>Location DSCR</t>
  </si>
  <si>
    <t>Location- DSCR</t>
  </si>
  <si>
    <t>Conso DSCR</t>
  </si>
  <si>
    <t>Conso- DSCR</t>
  </si>
  <si>
    <t>Bhiwandi</t>
  </si>
  <si>
    <t>Area/Location</t>
  </si>
  <si>
    <t>Repairs &amp; Maintenance Expenses (on Value of Plant &amp; Machinery)</t>
  </si>
  <si>
    <t>Administrative Expenses (on Value of Sales)</t>
  </si>
  <si>
    <t>Date of Lease of Premises/Sorage Space</t>
  </si>
  <si>
    <t>BHIWANDI</t>
  </si>
  <si>
    <t xml:space="preserve">Basis </t>
  </si>
  <si>
    <t>4% on Rent</t>
  </si>
  <si>
    <t>10% on Supply</t>
  </si>
  <si>
    <t>Increment</t>
  </si>
  <si>
    <t>5%/Yr.</t>
  </si>
  <si>
    <t>7.5%/Yr</t>
  </si>
  <si>
    <t>As per Capital Reimbursement Schedule</t>
  </si>
  <si>
    <t xml:space="preserve">Per Month </t>
  </si>
  <si>
    <t>50,000 Sft @ Rs.25 per SqFt per month</t>
  </si>
  <si>
    <t>LS</t>
  </si>
  <si>
    <t>As per Loan Schedule</t>
  </si>
  <si>
    <t>As per Depreciation Schedule</t>
  </si>
  <si>
    <t>3 % on Sales value</t>
  </si>
  <si>
    <t>total income</t>
  </si>
  <si>
    <t>total expenses</t>
  </si>
  <si>
    <t>Less: capitalized</t>
  </si>
  <si>
    <t>IDC</t>
  </si>
  <si>
    <t>Charged to PL</t>
  </si>
  <si>
    <t>Location : BHIWANDI</t>
  </si>
  <si>
    <t>Location :BHIWANDI</t>
  </si>
  <si>
    <t>Closing Cash Balance (As per Balance - Sheet)</t>
  </si>
  <si>
    <t>Remarks</t>
  </si>
  <si>
    <t>Refer List of Plant &amp; Machinery for detail list of Plant &amp; Machinery</t>
  </si>
  <si>
    <t>Index</t>
  </si>
  <si>
    <t>INDEX</t>
  </si>
  <si>
    <t>Detailed Revenue &amp; Expenses</t>
  </si>
  <si>
    <t>LOAN SCHEDULE</t>
  </si>
  <si>
    <t>Loan Schedule</t>
  </si>
  <si>
    <t>Pallet Charges</t>
  </si>
  <si>
    <t>Milk Charges</t>
  </si>
  <si>
    <t>Partciulars</t>
  </si>
  <si>
    <t>(iii)</t>
  </si>
  <si>
    <t>Noida</t>
  </si>
  <si>
    <t>(iv)</t>
  </si>
  <si>
    <t>Faridabad</t>
  </si>
  <si>
    <t>FARIDABAD</t>
  </si>
  <si>
    <t>Location :Noida</t>
  </si>
  <si>
    <t>Location : Bhiwandi</t>
  </si>
  <si>
    <t>Location :Pune</t>
  </si>
  <si>
    <t>Location :Faridabad</t>
  </si>
  <si>
    <t>Location : NOIDA</t>
  </si>
  <si>
    <t>Location : Faridabad</t>
  </si>
  <si>
    <t>Fardabad</t>
  </si>
  <si>
    <t>Location :NOIDA</t>
  </si>
  <si>
    <t>CWIP</t>
  </si>
  <si>
    <t>Purchase of Fixed Assets Iincluding CWIP</t>
  </si>
  <si>
    <t>Location : FARIDABAD</t>
  </si>
  <si>
    <t>Location :FARIDABAD</t>
  </si>
  <si>
    <t>Long Term</t>
  </si>
  <si>
    <t>Short Term</t>
  </si>
  <si>
    <t>CRPL -HO-Promoter's Contribution</t>
  </si>
  <si>
    <t>CRPL(HO)- Capital Contribution</t>
  </si>
  <si>
    <t>milk</t>
  </si>
  <si>
    <t>Electricity</t>
  </si>
  <si>
    <t>MILK</t>
  </si>
  <si>
    <t>PALLET</t>
  </si>
  <si>
    <t>Management Fee on Electricity</t>
  </si>
  <si>
    <t xml:space="preserve">  </t>
  </si>
  <si>
    <t xml:space="preserve">            </t>
  </si>
  <si>
    <t>TOTAL (LOCATION cfs)</t>
  </si>
  <si>
    <t>Link of Conso CFS</t>
  </si>
  <si>
    <t>Gross Block</t>
  </si>
  <si>
    <t>Depreication for the period</t>
  </si>
  <si>
    <t>Accumulated Depreciation</t>
  </si>
  <si>
    <t>Closing WDV (1-3)</t>
  </si>
  <si>
    <t>Net Block (2-4)</t>
  </si>
  <si>
    <t>It is assumed that  Rs.10,00,000 per month per location will be electricity expenses and reimbursement.</t>
  </si>
  <si>
    <t>Inflation of 5% is also considered on Electricity Bill on per anum basis.</t>
  </si>
  <si>
    <t>FY 2032-33</t>
  </si>
  <si>
    <t>FY 2033-34</t>
  </si>
  <si>
    <t>2033-34</t>
  </si>
  <si>
    <t>FY2032-33</t>
  </si>
  <si>
    <t>5%/yr.</t>
  </si>
  <si>
    <t>Capitalization of Expenses Charged to P&amp;M</t>
  </si>
  <si>
    <t>Plant &amp; Machinery (Capitalized)</t>
  </si>
  <si>
    <t>Plant &amp; Machinery (Purchased)</t>
  </si>
  <si>
    <t>Phase I</t>
  </si>
  <si>
    <t>Phase II</t>
  </si>
  <si>
    <t>Project 1</t>
  </si>
  <si>
    <t>March,2024</t>
  </si>
  <si>
    <t>Project 2</t>
  </si>
  <si>
    <t>June,2024</t>
  </si>
  <si>
    <t>Project 3</t>
  </si>
  <si>
    <t>September,2024</t>
  </si>
  <si>
    <t>Project 4</t>
  </si>
  <si>
    <t>December,2024</t>
  </si>
  <si>
    <t xml:space="preserve">Ahemdabad </t>
  </si>
  <si>
    <t>Noida/ Dari</t>
  </si>
  <si>
    <t>December, 2023</t>
  </si>
  <si>
    <t>CRPL Infra Private Limited</t>
  </si>
  <si>
    <t>Project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</si>
</sst>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₹&quot;\ #,##0.00;[Red]&quot;₹&quot;\ \-#,##0.00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wrapText="1"/>
    </xf>
    <xf numFmtId="165" fontId="0" fillId="0" borderId="0" xfId="1" applyFont="1" applyAlignment="1">
      <alignment wrapText="1"/>
    </xf>
    <xf numFmtId="165" fontId="0" fillId="0" borderId="0" xfId="1" applyFont="1" applyAlignment="1">
      <alignment horizontal="right" wrapText="1"/>
    </xf>
    <xf numFmtId="165" fontId="0" fillId="0" borderId="0" xfId="0" applyNumberFormat="1" applyAlignment="1">
      <alignment wrapText="1"/>
    </xf>
    <xf numFmtId="165" fontId="0" fillId="0" borderId="0" xfId="1" applyFont="1"/>
    <xf numFmtId="165" fontId="0" fillId="0" borderId="0" xfId="0" applyNumberFormat="1"/>
    <xf numFmtId="0" fontId="0" fillId="0" borderId="2" xfId="0" applyBorder="1"/>
    <xf numFmtId="165" fontId="0" fillId="0" borderId="2" xfId="1" applyFont="1" applyBorder="1"/>
    <xf numFmtId="165" fontId="0" fillId="0" borderId="2" xfId="0" applyNumberFormat="1" applyBorder="1"/>
    <xf numFmtId="165" fontId="0" fillId="0" borderId="1" xfId="0" applyNumberFormat="1" applyBorder="1" applyAlignment="1">
      <alignment wrapText="1"/>
    </xf>
    <xf numFmtId="165" fontId="2" fillId="0" borderId="0" xfId="1" applyFont="1" applyAlignment="1">
      <alignment wrapText="1"/>
    </xf>
    <xf numFmtId="164" fontId="0" fillId="0" borderId="0" xfId="0" applyNumberFormat="1"/>
    <xf numFmtId="164" fontId="0" fillId="0" borderId="0" xfId="1" applyNumberFormat="1" applyFont="1"/>
    <xf numFmtId="165" fontId="0" fillId="0" borderId="1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2" xfId="0" applyFont="1" applyBorder="1"/>
    <xf numFmtId="3" fontId="0" fillId="0" borderId="4" xfId="0" applyNumberFormat="1" applyBorder="1"/>
    <xf numFmtId="4" fontId="0" fillId="0" borderId="4" xfId="0" applyNumberFormat="1" applyBorder="1"/>
    <xf numFmtId="165" fontId="0" fillId="0" borderId="4" xfId="1" applyFont="1" applyBorder="1"/>
    <xf numFmtId="0" fontId="0" fillId="0" borderId="3" xfId="0" applyBorder="1"/>
    <xf numFmtId="14" fontId="0" fillId="0" borderId="4" xfId="0" applyNumberFormat="1" applyBorder="1"/>
    <xf numFmtId="0" fontId="3" fillId="0" borderId="4" xfId="0" applyFont="1" applyBorder="1"/>
    <xf numFmtId="0" fontId="0" fillId="0" borderId="4" xfId="0" applyBorder="1" applyAlignment="1">
      <alignment horizontal="center"/>
    </xf>
    <xf numFmtId="4" fontId="0" fillId="0" borderId="5" xfId="0" applyNumberFormat="1" applyBorder="1"/>
    <xf numFmtId="0" fontId="3" fillId="0" borderId="4" xfId="0" applyFont="1" applyBorder="1" applyAlignment="1">
      <alignment horizontal="center"/>
    </xf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vertical="top"/>
    </xf>
    <xf numFmtId="0" fontId="3" fillId="0" borderId="13" xfId="0" applyFont="1" applyBorder="1"/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9" fontId="0" fillId="0" borderId="0" xfId="0" applyNumberFormat="1"/>
    <xf numFmtId="14" fontId="3" fillId="0" borderId="0" xfId="0" applyNumberFormat="1" applyFont="1"/>
    <xf numFmtId="14" fontId="3" fillId="0" borderId="2" xfId="0" applyNumberFormat="1" applyFont="1" applyBorder="1" applyAlignment="1">
      <alignment vertical="top"/>
    </xf>
    <xf numFmtId="14" fontId="0" fillId="0" borderId="2" xfId="0" applyNumberFormat="1" applyBorder="1"/>
    <xf numFmtId="1" fontId="0" fillId="0" borderId="2" xfId="0" applyNumberFormat="1" applyBorder="1"/>
    <xf numFmtId="2" fontId="0" fillId="0" borderId="2" xfId="0" applyNumberFormat="1" applyBorder="1"/>
    <xf numFmtId="10" fontId="0" fillId="0" borderId="0" xfId="0" applyNumberFormat="1"/>
    <xf numFmtId="14" fontId="3" fillId="0" borderId="2" xfId="0" applyNumberFormat="1" applyFont="1" applyBorder="1" applyAlignment="1">
      <alignment vertical="top" wrapText="1"/>
    </xf>
    <xf numFmtId="165" fontId="3" fillId="0" borderId="2" xfId="0" applyNumberFormat="1" applyFont="1" applyBorder="1"/>
    <xf numFmtId="2" fontId="0" fillId="0" borderId="0" xfId="0" applyNumberFormat="1"/>
    <xf numFmtId="165" fontId="3" fillId="0" borderId="2" xfId="1" applyFont="1" applyBorder="1"/>
    <xf numFmtId="165" fontId="3" fillId="0" borderId="1" xfId="1" applyFont="1" applyBorder="1"/>
    <xf numFmtId="165" fontId="0" fillId="0" borderId="1" xfId="1" applyFont="1" applyBorder="1"/>
    <xf numFmtId="165" fontId="0" fillId="0" borderId="9" xfId="0" applyNumberFormat="1" applyBorder="1"/>
    <xf numFmtId="165" fontId="0" fillId="0" borderId="9" xfId="1" applyFont="1" applyBorder="1"/>
    <xf numFmtId="0" fontId="0" fillId="2" borderId="2" xfId="0" applyFill="1" applyBorder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0" fillId="2" borderId="7" xfId="0" applyFill="1" applyBorder="1"/>
    <xf numFmtId="0" fontId="0" fillId="0" borderId="13" xfId="0" applyBorder="1" applyAlignment="1">
      <alignment wrapText="1"/>
    </xf>
    <xf numFmtId="165" fontId="3" fillId="2" borderId="3" xfId="1" applyFont="1" applyFill="1" applyBorder="1" applyAlignment="1">
      <alignment wrapText="1"/>
    </xf>
    <xf numFmtId="165" fontId="0" fillId="0" borderId="4" xfId="0" applyNumberFormat="1" applyBorder="1"/>
    <xf numFmtId="165" fontId="0" fillId="0" borderId="16" xfId="0" applyNumberFormat="1" applyBorder="1"/>
    <xf numFmtId="165" fontId="0" fillId="0" borderId="5" xfId="0" applyNumberFormat="1" applyBorder="1"/>
    <xf numFmtId="3" fontId="0" fillId="0" borderId="0" xfId="0" applyNumberFormat="1"/>
    <xf numFmtId="165" fontId="0" fillId="0" borderId="3" xfId="0" applyNumberFormat="1" applyBorder="1"/>
    <xf numFmtId="0" fontId="0" fillId="2" borderId="17" xfId="0" applyFill="1" applyBorder="1"/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165" fontId="3" fillId="2" borderId="2" xfId="1" applyFont="1" applyFill="1" applyBorder="1" applyAlignment="1">
      <alignment wrapText="1"/>
    </xf>
    <xf numFmtId="0" fontId="2" fillId="0" borderId="0" xfId="0" applyFont="1"/>
    <xf numFmtId="0" fontId="0" fillId="3" borderId="4" xfId="0" applyFill="1" applyBorder="1"/>
    <xf numFmtId="0" fontId="0" fillId="0" borderId="4" xfId="0" applyBorder="1" applyAlignment="1">
      <alignment horizontal="right"/>
    </xf>
    <xf numFmtId="14" fontId="0" fillId="0" borderId="3" xfId="0" applyNumberFormat="1" applyBorder="1"/>
    <xf numFmtId="1" fontId="0" fillId="0" borderId="3" xfId="0" applyNumberFormat="1" applyBorder="1"/>
    <xf numFmtId="165" fontId="0" fillId="0" borderId="0" xfId="1" applyFont="1" applyBorder="1"/>
    <xf numFmtId="0" fontId="0" fillId="0" borderId="2" xfId="0" applyBorder="1" applyAlignment="1">
      <alignment vertical="top"/>
    </xf>
    <xf numFmtId="165" fontId="0" fillId="0" borderId="2" xfId="1" applyFont="1" applyBorder="1" applyAlignment="1">
      <alignment vertical="top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165" fontId="0" fillId="0" borderId="5" xfId="1" applyFont="1" applyBorder="1"/>
    <xf numFmtId="165" fontId="3" fillId="0" borderId="16" xfId="1" applyFont="1" applyBorder="1"/>
    <xf numFmtId="165" fontId="3" fillId="0" borderId="16" xfId="0" applyNumberFormat="1" applyFont="1" applyBorder="1"/>
    <xf numFmtId="165" fontId="0" fillId="0" borderId="8" xfId="0" applyNumberFormat="1" applyBorder="1"/>
    <xf numFmtId="165" fontId="0" fillId="0" borderId="10" xfId="0" applyNumberFormat="1" applyBorder="1"/>
    <xf numFmtId="165" fontId="0" fillId="0" borderId="18" xfId="0" applyNumberFormat="1" applyBorder="1"/>
    <xf numFmtId="165" fontId="0" fillId="0" borderId="8" xfId="1" applyFont="1" applyBorder="1"/>
    <xf numFmtId="0" fontId="0" fillId="0" borderId="16" xfId="0" applyBorder="1"/>
    <xf numFmtId="165" fontId="3" fillId="2" borderId="11" xfId="1" applyFont="1" applyFill="1" applyBorder="1" applyAlignment="1">
      <alignment wrapText="1"/>
    </xf>
    <xf numFmtId="0" fontId="0" fillId="2" borderId="12" xfId="0" applyFill="1" applyBorder="1"/>
    <xf numFmtId="165" fontId="3" fillId="2" borderId="6" xfId="1" applyFont="1" applyFill="1" applyBorder="1" applyAlignment="1">
      <alignment wrapText="1"/>
    </xf>
    <xf numFmtId="165" fontId="3" fillId="2" borderId="7" xfId="1" applyFont="1" applyFill="1" applyBorder="1" applyAlignment="1">
      <alignment wrapText="1"/>
    </xf>
    <xf numFmtId="165" fontId="0" fillId="2" borderId="4" xfId="0" applyNumberFormat="1" applyFill="1" applyBorder="1"/>
    <xf numFmtId="165" fontId="0" fillId="2" borderId="4" xfId="1" applyFont="1" applyFill="1" applyBorder="1"/>
    <xf numFmtId="0" fontId="0" fillId="2" borderId="4" xfId="0" applyFill="1" applyBorder="1"/>
    <xf numFmtId="165" fontId="0" fillId="2" borderId="3" xfId="0" applyNumberFormat="1" applyFill="1" applyBorder="1"/>
    <xf numFmtId="165" fontId="0" fillId="2" borderId="2" xfId="1" applyFont="1" applyFill="1" applyBorder="1"/>
    <xf numFmtId="0" fontId="0" fillId="2" borderId="5" xfId="0" applyFill="1" applyBorder="1" applyAlignment="1">
      <alignment horizontal="center"/>
    </xf>
    <xf numFmtId="3" fontId="0" fillId="0" borderId="8" xfId="0" applyNumberFormat="1" applyBorder="1"/>
    <xf numFmtId="3" fontId="0" fillId="0" borderId="11" xfId="0" applyNumberFormat="1" applyBorder="1"/>
    <xf numFmtId="165" fontId="0" fillId="0" borderId="10" xfId="1" applyFont="1" applyBorder="1"/>
    <xf numFmtId="0" fontId="4" fillId="0" borderId="13" xfId="2" applyBorder="1"/>
    <xf numFmtId="0" fontId="0" fillId="2" borderId="15" xfId="0" applyFill="1" applyBorder="1"/>
    <xf numFmtId="0" fontId="0" fillId="2" borderId="11" xfId="0" applyFill="1" applyBorder="1" applyAlignment="1">
      <alignment horizontal="center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11" xfId="0" applyFill="1" applyBorder="1"/>
    <xf numFmtId="165" fontId="3" fillId="2" borderId="17" xfId="1" applyFont="1" applyFill="1" applyBorder="1" applyAlignment="1">
      <alignment wrapText="1"/>
    </xf>
    <xf numFmtId="165" fontId="0" fillId="2" borderId="2" xfId="0" applyNumberFormat="1" applyFill="1" applyBorder="1"/>
    <xf numFmtId="0" fontId="0" fillId="2" borderId="13" xfId="0" applyFill="1" applyBorder="1"/>
    <xf numFmtId="0" fontId="0" fillId="2" borderId="0" xfId="0" applyFill="1"/>
    <xf numFmtId="165" fontId="3" fillId="2" borderId="16" xfId="0" applyNumberFormat="1" applyFont="1" applyFill="1" applyBorder="1"/>
    <xf numFmtId="165" fontId="3" fillId="2" borderId="1" xfId="1" applyFont="1" applyFill="1" applyBorder="1"/>
    <xf numFmtId="165" fontId="3" fillId="2" borderId="16" xfId="1" applyFont="1" applyFill="1" applyBorder="1"/>
    <xf numFmtId="165" fontId="3" fillId="2" borderId="18" xfId="1" applyFont="1" applyFill="1" applyBorder="1"/>
    <xf numFmtId="0" fontId="0" fillId="2" borderId="8" xfId="0" applyFill="1" applyBorder="1"/>
    <xf numFmtId="0" fontId="5" fillId="0" borderId="0" xfId="0" applyFont="1" applyAlignment="1">
      <alignment wrapText="1"/>
    </xf>
    <xf numFmtId="0" fontId="5" fillId="0" borderId="4" xfId="0" applyFont="1" applyBorder="1" applyAlignment="1">
      <alignment vertical="top"/>
    </xf>
    <xf numFmtId="0" fontId="5" fillId="0" borderId="4" xfId="0" applyFont="1" applyBorder="1"/>
    <xf numFmtId="0" fontId="5" fillId="0" borderId="0" xfId="0" applyFont="1"/>
    <xf numFmtId="0" fontId="0" fillId="2" borderId="5" xfId="0" applyFill="1" applyBorder="1"/>
    <xf numFmtId="0" fontId="3" fillId="0" borderId="2" xfId="0" applyFont="1" applyBorder="1" applyAlignment="1">
      <alignment horizontal="center"/>
    </xf>
    <xf numFmtId="165" fontId="3" fillId="0" borderId="0" xfId="0" applyNumberFormat="1" applyFont="1"/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43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/>
    <xf numFmtId="43" fontId="0" fillId="0" borderId="2" xfId="0" applyNumberFormat="1" applyBorder="1"/>
    <xf numFmtId="0" fontId="0" fillId="0" borderId="0" xfId="0" applyBorder="1"/>
    <xf numFmtId="0" fontId="0" fillId="0" borderId="4" xfId="0" applyFill="1" applyBorder="1"/>
    <xf numFmtId="0" fontId="0" fillId="0" borderId="2" xfId="0" applyFill="1" applyBorder="1"/>
    <xf numFmtId="165" fontId="0" fillId="0" borderId="0" xfId="0" applyNumberFormat="1" applyBorder="1"/>
    <xf numFmtId="165" fontId="0" fillId="0" borderId="2" xfId="1" applyFont="1" applyFill="1" applyBorder="1"/>
    <xf numFmtId="165" fontId="0" fillId="0" borderId="13" xfId="0" applyNumberFormat="1" applyBorder="1"/>
    <xf numFmtId="0" fontId="0" fillId="2" borderId="14" xfId="0" applyFill="1" applyBorder="1"/>
    <xf numFmtId="0" fontId="0" fillId="2" borderId="10" xfId="0" applyFill="1" applyBorder="1"/>
    <xf numFmtId="165" fontId="3" fillId="2" borderId="15" xfId="1" applyFont="1" applyFill="1" applyBorder="1" applyAlignment="1">
      <alignment wrapText="1"/>
    </xf>
    <xf numFmtId="165" fontId="0" fillId="2" borderId="13" xfId="0" applyNumberFormat="1" applyFill="1" applyBorder="1"/>
    <xf numFmtId="165" fontId="0" fillId="2" borderId="15" xfId="1" applyFont="1" applyFill="1" applyBorder="1"/>
    <xf numFmtId="165" fontId="0" fillId="2" borderId="8" xfId="0" applyNumberFormat="1" applyFill="1" applyBorder="1"/>
    <xf numFmtId="165" fontId="0" fillId="2" borderId="17" xfId="1" applyFont="1" applyFill="1" applyBorder="1"/>
    <xf numFmtId="165" fontId="0" fillId="0" borderId="4" xfId="0" applyNumberFormat="1" applyFill="1" applyBorder="1"/>
    <xf numFmtId="165" fontId="0" fillId="0" borderId="14" xfId="0" applyNumberFormat="1" applyBorder="1"/>
    <xf numFmtId="165" fontId="3" fillId="2" borderId="19" xfId="1" applyFont="1" applyFill="1" applyBorder="1"/>
    <xf numFmtId="165" fontId="0" fillId="0" borderId="13" xfId="1" applyFont="1" applyBorder="1"/>
    <xf numFmtId="165" fontId="3" fillId="2" borderId="19" xfId="0" applyNumberFormat="1" applyFont="1" applyFill="1" applyBorder="1"/>
    <xf numFmtId="0" fontId="3" fillId="0" borderId="17" xfId="0" applyFont="1" applyBorder="1" applyAlignment="1">
      <alignment horizontal="center"/>
    </xf>
    <xf numFmtId="0" fontId="0" fillId="2" borderId="17" xfId="0" applyFill="1" applyBorder="1" applyAlignment="1">
      <alignment vertical="top" wrapText="1"/>
    </xf>
    <xf numFmtId="0" fontId="0" fillId="0" borderId="17" xfId="0" applyBorder="1"/>
    <xf numFmtId="165" fontId="0" fillId="0" borderId="17" xfId="1" applyFont="1" applyBorder="1"/>
    <xf numFmtId="165" fontId="0" fillId="0" borderId="17" xfId="0" applyNumberFormat="1" applyBorder="1"/>
    <xf numFmtId="165" fontId="3" fillId="0" borderId="17" xfId="1" applyFont="1" applyBorder="1"/>
    <xf numFmtId="0" fontId="0" fillId="0" borderId="15" xfId="0" applyBorder="1"/>
    <xf numFmtId="0" fontId="3" fillId="4" borderId="2" xfId="0" applyFont="1" applyFill="1" applyBorder="1"/>
    <xf numFmtId="0" fontId="3" fillId="4" borderId="11" xfId="0" applyFont="1" applyFill="1" applyBorder="1"/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GST@18%2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C19"/>
  <sheetViews>
    <sheetView workbookViewId="0">
      <selection activeCell="A4" sqref="A4"/>
    </sheetView>
  </sheetViews>
  <sheetFormatPr defaultRowHeight="14.5" x14ac:dyDescent="0.35"/>
  <cols>
    <col min="1" max="1" width="5" customWidth="1"/>
    <col min="2" max="2" width="38" customWidth="1"/>
    <col min="3" max="3" width="29.453125" customWidth="1"/>
    <col min="4" max="4" width="9.7265625" customWidth="1"/>
  </cols>
  <sheetData>
    <row r="2" spans="1:3" x14ac:dyDescent="0.25">
      <c r="A2" s="73" t="s">
        <v>30</v>
      </c>
      <c r="B2" s="73" t="s">
        <v>33</v>
      </c>
      <c r="C2" s="73" t="s">
        <v>159</v>
      </c>
    </row>
    <row r="3" spans="1:3" x14ac:dyDescent="0.25">
      <c r="A3" s="9">
        <v>1</v>
      </c>
      <c r="B3" s="9" t="s">
        <v>258</v>
      </c>
      <c r="C3" s="9" t="s">
        <v>259</v>
      </c>
    </row>
    <row r="4" spans="1:3" x14ac:dyDescent="0.25">
      <c r="A4" s="9">
        <v>1</v>
      </c>
      <c r="B4" s="9" t="s">
        <v>157</v>
      </c>
      <c r="C4" s="9" t="s">
        <v>158</v>
      </c>
    </row>
    <row r="5" spans="1:3" x14ac:dyDescent="0.25">
      <c r="A5" s="9">
        <v>2</v>
      </c>
      <c r="B5" s="9" t="s">
        <v>160</v>
      </c>
      <c r="C5" s="9" t="s">
        <v>161</v>
      </c>
    </row>
    <row r="6" spans="1:3" x14ac:dyDescent="0.25">
      <c r="A6" s="9">
        <v>3</v>
      </c>
      <c r="B6" s="9" t="s">
        <v>223</v>
      </c>
      <c r="C6" s="9" t="s">
        <v>224</v>
      </c>
    </row>
    <row r="7" spans="1:3" x14ac:dyDescent="0.25">
      <c r="A7" s="9">
        <v>4</v>
      </c>
      <c r="B7" s="9" t="s">
        <v>162</v>
      </c>
      <c r="C7" s="9" t="s">
        <v>163</v>
      </c>
    </row>
    <row r="8" spans="1:3" x14ac:dyDescent="0.25">
      <c r="A8" s="9">
        <v>5</v>
      </c>
      <c r="B8" s="9" t="s">
        <v>164</v>
      </c>
      <c r="C8" s="9" t="s">
        <v>169</v>
      </c>
    </row>
    <row r="9" spans="1:3" x14ac:dyDescent="0.25">
      <c r="A9" s="9">
        <v>6</v>
      </c>
      <c r="B9" s="9" t="s">
        <v>165</v>
      </c>
      <c r="C9" s="9" t="s">
        <v>166</v>
      </c>
    </row>
    <row r="10" spans="1:3" x14ac:dyDescent="0.25">
      <c r="A10" s="9">
        <v>7</v>
      </c>
      <c r="B10" s="9" t="s">
        <v>167</v>
      </c>
      <c r="C10" s="9" t="s">
        <v>168</v>
      </c>
    </row>
    <row r="11" spans="1:3" x14ac:dyDescent="0.25">
      <c r="A11" s="9">
        <v>8</v>
      </c>
      <c r="B11" s="9" t="s">
        <v>170</v>
      </c>
      <c r="C11" s="9" t="s">
        <v>171</v>
      </c>
    </row>
    <row r="12" spans="1:3" x14ac:dyDescent="0.25">
      <c r="A12" s="9">
        <v>9</v>
      </c>
      <c r="B12" s="9" t="s">
        <v>172</v>
      </c>
      <c r="C12" s="9" t="s">
        <v>173</v>
      </c>
    </row>
    <row r="13" spans="1:3" x14ac:dyDescent="0.25">
      <c r="A13" s="9">
        <v>10</v>
      </c>
      <c r="B13" s="9" t="s">
        <v>225</v>
      </c>
      <c r="C13" s="9" t="s">
        <v>226</v>
      </c>
    </row>
    <row r="14" spans="1:3" x14ac:dyDescent="0.25">
      <c r="A14" s="9">
        <v>11</v>
      </c>
      <c r="B14" s="9" t="s">
        <v>227</v>
      </c>
      <c r="C14" s="9" t="s">
        <v>228</v>
      </c>
    </row>
    <row r="15" spans="1:3" x14ac:dyDescent="0.25">
      <c r="A15" s="9">
        <v>12</v>
      </c>
      <c r="B15" s="9" t="s">
        <v>223</v>
      </c>
      <c r="C15" s="9" t="s">
        <v>224</v>
      </c>
    </row>
    <row r="16" spans="1:3" x14ac:dyDescent="0.25">
      <c r="A16" s="9">
        <v>13</v>
      </c>
      <c r="B16" s="9" t="s">
        <v>260</v>
      </c>
      <c r="C16" s="9" t="s">
        <v>260</v>
      </c>
    </row>
    <row r="17" spans="1:3" x14ac:dyDescent="0.25">
      <c r="A17" s="9">
        <v>14</v>
      </c>
      <c r="B17" s="9" t="s">
        <v>261</v>
      </c>
      <c r="C17" s="9" t="s">
        <v>262</v>
      </c>
    </row>
    <row r="18" spans="1:3" x14ac:dyDescent="0.25">
      <c r="A18" s="9">
        <v>15</v>
      </c>
      <c r="B18" s="9" t="s">
        <v>174</v>
      </c>
      <c r="C18" s="9" t="s">
        <v>175</v>
      </c>
    </row>
    <row r="19" spans="1:3" x14ac:dyDescent="0.25">
      <c r="A19" s="9">
        <v>16</v>
      </c>
      <c r="B19" s="9" t="s">
        <v>176</v>
      </c>
      <c r="C19" s="9" t="s">
        <v>177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62"/>
  <sheetViews>
    <sheetView topLeftCell="A49" workbookViewId="0">
      <selection activeCell="M72" sqref="M72"/>
    </sheetView>
  </sheetViews>
  <sheetFormatPr defaultRowHeight="14.5" x14ac:dyDescent="0.35"/>
  <cols>
    <col min="1" max="1" width="4.54296875" customWidth="1"/>
    <col min="2" max="2" width="38.81640625" customWidth="1"/>
  </cols>
  <sheetData>
    <row r="2" spans="1:13" x14ac:dyDescent="0.25">
      <c r="B2" t="s">
        <v>214</v>
      </c>
    </row>
    <row r="3" spans="1:13" x14ac:dyDescent="0.25">
      <c r="B3" t="s">
        <v>206</v>
      </c>
    </row>
    <row r="5" spans="1:13" x14ac:dyDescent="0.35">
      <c r="B5" s="61" t="s">
        <v>105</v>
      </c>
      <c r="C5" s="62"/>
      <c r="D5" s="64" t="s">
        <v>143</v>
      </c>
      <c r="E5" s="64" t="s">
        <v>144</v>
      </c>
      <c r="F5" s="64" t="s">
        <v>145</v>
      </c>
      <c r="G5" s="64" t="s">
        <v>146</v>
      </c>
      <c r="H5" s="64" t="s">
        <v>84</v>
      </c>
      <c r="I5" s="64" t="s">
        <v>85</v>
      </c>
      <c r="J5" s="64" t="s">
        <v>147</v>
      </c>
      <c r="K5" s="64" t="s">
        <v>87</v>
      </c>
      <c r="L5" s="64" t="s">
        <v>88</v>
      </c>
      <c r="M5" s="64" t="s">
        <v>305</v>
      </c>
    </row>
    <row r="6" spans="1:13" x14ac:dyDescent="0.25">
      <c r="B6" s="33" t="s">
        <v>118</v>
      </c>
      <c r="C6" s="35"/>
      <c r="D6" s="100">
        <f>'Location- PL'!D28</f>
        <v>2.7398399999999725</v>
      </c>
      <c r="E6" s="69">
        <f>'Location- PL'!E28</f>
        <v>27.256139999999959</v>
      </c>
      <c r="F6" s="69">
        <f>'Location- PL'!F28</f>
        <v>68.414357500000051</v>
      </c>
      <c r="G6" s="69">
        <f>'Location- PL'!G28</f>
        <v>106.38064056249993</v>
      </c>
      <c r="H6" s="69">
        <f>'Location- PL'!H28</f>
        <v>141.66612281718744</v>
      </c>
      <c r="I6" s="69">
        <f>'Location- PL'!I28</f>
        <v>174.79260091410151</v>
      </c>
      <c r="J6" s="69">
        <f>'Location- PL'!J28</f>
        <v>206.15490854069037</v>
      </c>
      <c r="K6" s="100">
        <f>'Location- PL'!K28</f>
        <v>196.38762977108115</v>
      </c>
      <c r="L6" s="100">
        <f>'Location- PL'!L28</f>
        <v>37.460267501563635</v>
      </c>
      <c r="M6" s="100">
        <f>'Location- PL'!M28</f>
        <v>45.36614295219897</v>
      </c>
    </row>
    <row r="7" spans="1:13" x14ac:dyDescent="0.25">
      <c r="A7" t="s">
        <v>207</v>
      </c>
      <c r="B7" s="36" t="s">
        <v>16</v>
      </c>
      <c r="C7" s="20"/>
      <c r="D7" s="97">
        <f>'Location- PL'!D22</f>
        <v>27.5</v>
      </c>
      <c r="E7" s="65">
        <f>'Location- PL'!E22</f>
        <v>160.875</v>
      </c>
      <c r="F7" s="65">
        <f>'Location- PL'!F22</f>
        <v>136.74375000000001</v>
      </c>
      <c r="G7" s="65">
        <f>'Location- PL'!G22</f>
        <v>116.23218749999999</v>
      </c>
      <c r="H7" s="65">
        <f>'Location- PL'!H22</f>
        <v>98.797359374999999</v>
      </c>
      <c r="I7" s="65">
        <f>'Location- PL'!I22</f>
        <v>83.97775546874999</v>
      </c>
      <c r="J7" s="65">
        <f>'Location- PL'!J22</f>
        <v>71.381092148437489</v>
      </c>
      <c r="K7" s="97">
        <f>'Location- PL'!K22</f>
        <v>60.673928326171868</v>
      </c>
      <c r="L7" s="97">
        <f>'Location- PL'!L22</f>
        <v>51.572839077246094</v>
      </c>
      <c r="M7" s="97">
        <f>'Location- PL'!M22</f>
        <v>43.836913215659173</v>
      </c>
    </row>
    <row r="8" spans="1:13" x14ac:dyDescent="0.25">
      <c r="B8" s="36" t="s">
        <v>131</v>
      </c>
      <c r="C8" s="20"/>
      <c r="D8" s="97">
        <f>'Location- PL'!D21</f>
        <v>12.020000000000003</v>
      </c>
      <c r="E8" s="65">
        <f>'Location- PL'!E21</f>
        <v>67.47</v>
      </c>
      <c r="F8" s="65">
        <f>'Location- PL'!F21</f>
        <v>55.519999999999996</v>
      </c>
      <c r="G8" s="65">
        <f>'Location- PL'!G21</f>
        <v>43.519999999999996</v>
      </c>
      <c r="H8" s="65">
        <f>'Location- PL'!H21</f>
        <v>31.53</v>
      </c>
      <c r="I8" s="65">
        <f>'Location- PL'!I21</f>
        <v>19.519999999999996</v>
      </c>
      <c r="J8" s="65">
        <f>'Location- PL'!J21</f>
        <v>7.52</v>
      </c>
      <c r="K8" s="97">
        <f>'Location- PL'!K21</f>
        <v>0.08</v>
      </c>
      <c r="L8" s="97">
        <f>'Location- PL'!L21</f>
        <v>0</v>
      </c>
      <c r="M8" s="97">
        <f>'Location- PL'!M21</f>
        <v>0</v>
      </c>
    </row>
    <row r="9" spans="1:13" x14ac:dyDescent="0.25">
      <c r="B9" s="36" t="s">
        <v>208</v>
      </c>
      <c r="C9" s="20"/>
      <c r="D9" s="97">
        <f t="shared" ref="D9:M9" si="0">SUM(D6:D8)</f>
        <v>42.259839999999976</v>
      </c>
      <c r="E9" s="65">
        <f t="shared" si="0"/>
        <v>255.60113999999996</v>
      </c>
      <c r="F9" s="65">
        <f t="shared" si="0"/>
        <v>260.67810750000007</v>
      </c>
      <c r="G9" s="65">
        <f t="shared" si="0"/>
        <v>266.13282806249993</v>
      </c>
      <c r="H9" s="65">
        <f t="shared" si="0"/>
        <v>271.99348219218746</v>
      </c>
      <c r="I9" s="65">
        <f t="shared" si="0"/>
        <v>278.29035638285148</v>
      </c>
      <c r="J9" s="65">
        <f t="shared" si="0"/>
        <v>285.05600068912781</v>
      </c>
      <c r="K9" s="97">
        <f t="shared" si="0"/>
        <v>257.14155809725298</v>
      </c>
      <c r="L9" s="97">
        <f t="shared" si="0"/>
        <v>89.033106578809736</v>
      </c>
      <c r="M9" s="97">
        <f t="shared" si="0"/>
        <v>89.203056167858136</v>
      </c>
    </row>
    <row r="10" spans="1:13" x14ac:dyDescent="0.25">
      <c r="B10" s="36"/>
      <c r="C10" s="20"/>
      <c r="D10" s="99"/>
      <c r="E10" s="18"/>
      <c r="F10" s="18"/>
      <c r="G10" s="18"/>
      <c r="H10" s="18"/>
      <c r="I10" s="18"/>
      <c r="J10" s="18"/>
      <c r="K10" s="99"/>
      <c r="L10" s="99"/>
      <c r="M10" s="99"/>
    </row>
    <row r="11" spans="1:13" x14ac:dyDescent="0.25">
      <c r="B11" s="36" t="s">
        <v>209</v>
      </c>
      <c r="C11" s="20"/>
      <c r="D11" s="99"/>
      <c r="E11" s="18"/>
      <c r="F11" s="18"/>
      <c r="G11" s="18"/>
      <c r="H11" s="18"/>
      <c r="I11" s="18"/>
      <c r="J11" s="18"/>
      <c r="K11" s="99"/>
      <c r="L11" s="99"/>
      <c r="M11" s="99"/>
    </row>
    <row r="12" spans="1:13" x14ac:dyDescent="0.25">
      <c r="B12" s="36" t="s">
        <v>210</v>
      </c>
      <c r="C12" s="20"/>
      <c r="D12" s="97">
        <f t="shared" ref="D12:M12" si="1">D8</f>
        <v>12.020000000000003</v>
      </c>
      <c r="E12" s="65">
        <f t="shared" si="1"/>
        <v>67.47</v>
      </c>
      <c r="F12" s="65">
        <f t="shared" si="1"/>
        <v>55.519999999999996</v>
      </c>
      <c r="G12" s="65">
        <f t="shared" si="1"/>
        <v>43.519999999999996</v>
      </c>
      <c r="H12" s="65">
        <f t="shared" si="1"/>
        <v>31.53</v>
      </c>
      <c r="I12" s="65">
        <f t="shared" si="1"/>
        <v>19.519999999999996</v>
      </c>
      <c r="J12" s="65">
        <f t="shared" si="1"/>
        <v>7.52</v>
      </c>
      <c r="K12" s="97">
        <f t="shared" si="1"/>
        <v>0.08</v>
      </c>
      <c r="L12" s="97">
        <f t="shared" si="1"/>
        <v>0</v>
      </c>
      <c r="M12" s="97">
        <f t="shared" si="1"/>
        <v>0</v>
      </c>
    </row>
    <row r="13" spans="1:13" x14ac:dyDescent="0.25">
      <c r="B13" s="36" t="s">
        <v>211</v>
      </c>
      <c r="C13" s="20"/>
      <c r="D13" s="98">
        <v>0</v>
      </c>
      <c r="E13" s="65">
        <f>-'Location-CFS'!E25</f>
        <v>122.22222222222224</v>
      </c>
      <c r="F13" s="65">
        <f>-'Location-CFS'!F25</f>
        <v>133.33333333333334</v>
      </c>
      <c r="G13" s="65">
        <f>-'Location-CFS'!G25</f>
        <v>133.33333333333334</v>
      </c>
      <c r="H13" s="65">
        <f>-'Location-CFS'!H25</f>
        <v>133.33333333333334</v>
      </c>
      <c r="I13" s="65">
        <f>-'Location-CFS'!I25</f>
        <v>133.33333333333334</v>
      </c>
      <c r="J13" s="65">
        <f>-'Location-CFS'!J25</f>
        <v>133.33333333333334</v>
      </c>
      <c r="K13" s="97">
        <f>-'Location-CFS'!K25</f>
        <v>11.111111111111111</v>
      </c>
      <c r="L13" s="97">
        <f>-'Location-CFS'!L25</f>
        <v>0</v>
      </c>
      <c r="M13" s="97">
        <f>-'Location-CFS'!M25</f>
        <v>0</v>
      </c>
    </row>
    <row r="14" spans="1:13" x14ac:dyDescent="0.25">
      <c r="B14" s="36" t="s">
        <v>5</v>
      </c>
      <c r="C14" s="20"/>
      <c r="D14" s="97">
        <f t="shared" ref="D14:M14" si="2">SUM(D12:D13)</f>
        <v>12.020000000000003</v>
      </c>
      <c r="E14" s="65">
        <f t="shared" si="2"/>
        <v>189.69222222222226</v>
      </c>
      <c r="F14" s="65">
        <f t="shared" si="2"/>
        <v>188.85333333333335</v>
      </c>
      <c r="G14" s="65">
        <f t="shared" si="2"/>
        <v>176.85333333333335</v>
      </c>
      <c r="H14" s="65">
        <f t="shared" si="2"/>
        <v>164.86333333333334</v>
      </c>
      <c r="I14" s="65">
        <f t="shared" si="2"/>
        <v>152.85333333333335</v>
      </c>
      <c r="J14" s="65">
        <f t="shared" si="2"/>
        <v>140.85333333333335</v>
      </c>
      <c r="K14" s="97">
        <f t="shared" si="2"/>
        <v>11.191111111111111</v>
      </c>
      <c r="L14" s="97">
        <f t="shared" si="2"/>
        <v>0</v>
      </c>
      <c r="M14" s="97">
        <f t="shared" si="2"/>
        <v>0</v>
      </c>
    </row>
    <row r="15" spans="1:13" x14ac:dyDescent="0.25">
      <c r="B15" s="36"/>
      <c r="C15" s="20"/>
      <c r="D15" s="99"/>
      <c r="E15" s="18"/>
      <c r="F15" s="18"/>
      <c r="G15" s="18"/>
      <c r="H15" s="18"/>
      <c r="I15" s="18"/>
      <c r="J15" s="18"/>
      <c r="K15" s="99"/>
      <c r="L15" s="99"/>
      <c r="M15" s="99"/>
    </row>
    <row r="16" spans="1:13" x14ac:dyDescent="0.25">
      <c r="B16" s="36" t="s">
        <v>212</v>
      </c>
      <c r="C16" s="20"/>
      <c r="D16" s="98">
        <f t="shared" ref="D16:M16" si="3">D9/D14</f>
        <v>3.5157936772046559</v>
      </c>
      <c r="E16" s="10">
        <f t="shared" si="3"/>
        <v>1.3474518723312028</v>
      </c>
      <c r="F16" s="10">
        <f t="shared" si="3"/>
        <v>1.3803203941330136</v>
      </c>
      <c r="G16" s="10">
        <f t="shared" si="3"/>
        <v>1.504822233465583</v>
      </c>
      <c r="H16" s="10">
        <f t="shared" si="3"/>
        <v>1.6498118574507417</v>
      </c>
      <c r="I16" s="10">
        <f t="shared" si="3"/>
        <v>1.820636490641474</v>
      </c>
      <c r="J16" s="10">
        <f t="shared" si="3"/>
        <v>2.0237788765320506</v>
      </c>
      <c r="K16" s="101">
        <f t="shared" si="3"/>
        <v>22.977303642526579</v>
      </c>
      <c r="L16" s="101" t="e">
        <f t="shared" si="3"/>
        <v>#DIV/0!</v>
      </c>
      <c r="M16" s="101" t="e">
        <f t="shared" si="3"/>
        <v>#DIV/0!</v>
      </c>
    </row>
    <row r="17" spans="2:13" x14ac:dyDescent="0.25">
      <c r="B17" s="37" t="s">
        <v>213</v>
      </c>
      <c r="C17" s="22"/>
      <c r="D17" s="102"/>
      <c r="E17" s="67">
        <f>AVERAGE(E16:J16)</f>
        <v>1.6211369540923444</v>
      </c>
      <c r="F17" s="19"/>
      <c r="G17" s="19"/>
      <c r="H17" s="19"/>
      <c r="I17" s="19"/>
      <c r="J17" s="19"/>
      <c r="K17" s="102"/>
      <c r="L17" s="127"/>
      <c r="M17" s="127"/>
    </row>
    <row r="20" spans="2:13" x14ac:dyDescent="0.35">
      <c r="B20" s="71" t="s">
        <v>253</v>
      </c>
      <c r="C20" s="70"/>
      <c r="D20" s="74" t="s">
        <v>143</v>
      </c>
      <c r="E20" s="74" t="s">
        <v>144</v>
      </c>
      <c r="F20" s="74" t="s">
        <v>145</v>
      </c>
      <c r="G20" s="74" t="s">
        <v>146</v>
      </c>
      <c r="H20" s="74" t="s">
        <v>84</v>
      </c>
      <c r="I20" s="74" t="s">
        <v>85</v>
      </c>
      <c r="J20" s="74" t="s">
        <v>147</v>
      </c>
      <c r="K20" s="74" t="s">
        <v>87</v>
      </c>
      <c r="L20" s="74" t="s">
        <v>88</v>
      </c>
      <c r="M20" s="114" t="s">
        <v>305</v>
      </c>
    </row>
    <row r="21" spans="2:13" x14ac:dyDescent="0.25">
      <c r="B21" s="36" t="s">
        <v>118</v>
      </c>
      <c r="C21" s="20"/>
      <c r="D21" s="97">
        <f>'Location- PL'!D60</f>
        <v>4.2246600000000001</v>
      </c>
      <c r="E21" s="65">
        <f>'Location- PL'!E60</f>
        <v>84.875019999999836</v>
      </c>
      <c r="F21" s="65">
        <f>'Location- PL'!F60</f>
        <v>133.49632499999984</v>
      </c>
      <c r="G21" s="65">
        <f>'Location- PL'!G60</f>
        <v>178.48047399999984</v>
      </c>
      <c r="H21" s="65">
        <f>'Location- PL'!H60</f>
        <v>220.17537698125011</v>
      </c>
      <c r="I21" s="65">
        <f>'Location- PL'!I60</f>
        <v>259.18355247640625</v>
      </c>
      <c r="J21" s="65">
        <f>'Location- PL'!J60</f>
        <v>295.9769069057146</v>
      </c>
      <c r="K21" s="97">
        <f>'Location- PL'!K60</f>
        <v>299.78267223369721</v>
      </c>
      <c r="L21" s="97">
        <f>'Location- PL'!L60</f>
        <v>26.637531836058542</v>
      </c>
      <c r="M21" s="149">
        <f>'Location- PL'!M60</f>
        <v>44.239875180724312</v>
      </c>
    </row>
    <row r="22" spans="2:13" x14ac:dyDescent="0.25">
      <c r="B22" s="36" t="s">
        <v>16</v>
      </c>
      <c r="C22" s="20"/>
      <c r="D22" s="97">
        <f>'Location- PL'!D54</f>
        <v>16.25</v>
      </c>
      <c r="E22" s="65">
        <f>'Location- PL'!E54</f>
        <v>192.5625</v>
      </c>
      <c r="F22" s="65">
        <f>'Location- PL'!F54</f>
        <v>163.67812499999999</v>
      </c>
      <c r="G22" s="65">
        <f>'Location- PL'!G54</f>
        <v>139.12640625</v>
      </c>
      <c r="H22" s="65">
        <f>'Location- PL'!H54</f>
        <v>118.25744531249998</v>
      </c>
      <c r="I22" s="65">
        <f>'Location- PL'!I54</f>
        <v>100.51882851562499</v>
      </c>
      <c r="J22" s="65">
        <f>'Location- PL'!J54</f>
        <v>85.441004238281252</v>
      </c>
      <c r="K22" s="97">
        <f>'Location- PL'!K54</f>
        <v>72.624853602539062</v>
      </c>
      <c r="L22" s="97">
        <f>'Location- PL'!L54</f>
        <v>61.731125562158198</v>
      </c>
      <c r="M22" s="149">
        <f>'Location- PL'!M54</f>
        <v>52.471456727834472</v>
      </c>
    </row>
    <row r="23" spans="2:13" x14ac:dyDescent="0.25">
      <c r="B23" s="36" t="s">
        <v>131</v>
      </c>
      <c r="C23" s="20"/>
      <c r="D23" s="97">
        <f>'Location- PL'!D53</f>
        <v>7.620000000000001</v>
      </c>
      <c r="E23" s="65">
        <f>'Location- PL'!E53</f>
        <v>85.34</v>
      </c>
      <c r="F23" s="65">
        <f>'Location- PL'!F53</f>
        <v>70.650000000000006</v>
      </c>
      <c r="G23" s="65">
        <f>'Location- PL'!G53</f>
        <v>55.640000000000015</v>
      </c>
      <c r="H23" s="65">
        <f>'Location- PL'!H53</f>
        <v>40.64</v>
      </c>
      <c r="I23" s="65">
        <f>'Location- PL'!I53</f>
        <v>25.630000000000003</v>
      </c>
      <c r="J23" s="65">
        <f>'Location- PL'!J53</f>
        <v>10.64</v>
      </c>
      <c r="K23" s="97">
        <f>'Location- PL'!K53</f>
        <v>0.32</v>
      </c>
      <c r="L23" s="97">
        <f>'Location- PL'!L53</f>
        <v>0</v>
      </c>
      <c r="M23" s="149">
        <f>'Location- PL'!M53</f>
        <v>0</v>
      </c>
    </row>
    <row r="24" spans="2:13" x14ac:dyDescent="0.25">
      <c r="B24" s="36" t="s">
        <v>208</v>
      </c>
      <c r="C24" s="20"/>
      <c r="D24" s="97">
        <f t="shared" ref="D24:M24" si="4">SUM(D21:D23)</f>
        <v>28.094660000000001</v>
      </c>
      <c r="E24" s="65">
        <f t="shared" si="4"/>
        <v>362.77751999999987</v>
      </c>
      <c r="F24" s="65">
        <f t="shared" si="4"/>
        <v>367.82444999999984</v>
      </c>
      <c r="G24" s="65">
        <f t="shared" si="4"/>
        <v>373.24688024999989</v>
      </c>
      <c r="H24" s="65">
        <f t="shared" si="4"/>
        <v>379.07282229375005</v>
      </c>
      <c r="I24" s="65">
        <f t="shared" si="4"/>
        <v>385.33238099203123</v>
      </c>
      <c r="J24" s="65">
        <f t="shared" si="4"/>
        <v>392.05791114399585</v>
      </c>
      <c r="K24" s="97">
        <f t="shared" si="4"/>
        <v>372.72752583623628</v>
      </c>
      <c r="L24" s="97">
        <f t="shared" si="4"/>
        <v>88.36865739821674</v>
      </c>
      <c r="M24" s="149">
        <f t="shared" si="4"/>
        <v>96.711331908558776</v>
      </c>
    </row>
    <row r="25" spans="2:13" x14ac:dyDescent="0.35">
      <c r="B25" s="36"/>
      <c r="C25" s="20"/>
      <c r="D25" s="99"/>
      <c r="E25" s="18"/>
      <c r="F25" s="18"/>
      <c r="G25" s="18"/>
      <c r="H25" s="18"/>
      <c r="I25" s="18"/>
      <c r="J25" s="18"/>
      <c r="K25" s="99"/>
      <c r="L25" s="99"/>
      <c r="M25" s="122"/>
    </row>
    <row r="26" spans="2:13" x14ac:dyDescent="0.35">
      <c r="B26" s="36" t="s">
        <v>209</v>
      </c>
      <c r="C26" s="20"/>
      <c r="D26" s="99"/>
      <c r="E26" s="18"/>
      <c r="F26" s="18"/>
      <c r="G26" s="18"/>
      <c r="H26" s="18"/>
      <c r="I26" s="18"/>
      <c r="J26" s="18"/>
      <c r="K26" s="99"/>
      <c r="L26" s="99"/>
      <c r="M26" s="122"/>
    </row>
    <row r="27" spans="2:13" x14ac:dyDescent="0.35">
      <c r="B27" s="36" t="s">
        <v>210</v>
      </c>
      <c r="C27" s="20"/>
      <c r="D27" s="97">
        <f t="shared" ref="D27:M27" si="5">D23</f>
        <v>7.620000000000001</v>
      </c>
      <c r="E27" s="65">
        <f t="shared" si="5"/>
        <v>85.34</v>
      </c>
      <c r="F27" s="65">
        <f t="shared" si="5"/>
        <v>70.650000000000006</v>
      </c>
      <c r="G27" s="65">
        <f t="shared" si="5"/>
        <v>55.640000000000015</v>
      </c>
      <c r="H27" s="65">
        <f t="shared" si="5"/>
        <v>40.64</v>
      </c>
      <c r="I27" s="65">
        <f t="shared" si="5"/>
        <v>25.630000000000003</v>
      </c>
      <c r="J27" s="65">
        <f t="shared" si="5"/>
        <v>10.64</v>
      </c>
      <c r="K27" s="97">
        <f t="shared" si="5"/>
        <v>0.32</v>
      </c>
      <c r="L27" s="97">
        <f t="shared" si="5"/>
        <v>0</v>
      </c>
      <c r="M27" s="149">
        <f t="shared" si="5"/>
        <v>0</v>
      </c>
    </row>
    <row r="28" spans="2:13" x14ac:dyDescent="0.35">
      <c r="B28" s="36" t="s">
        <v>211</v>
      </c>
      <c r="C28" s="20"/>
      <c r="D28" s="97">
        <f>'Loan Schedule'!$Q3</f>
        <v>0</v>
      </c>
      <c r="E28" s="65">
        <f>'Loan Schedule'!$Q4</f>
        <v>138.88888888888889</v>
      </c>
      <c r="F28" s="65">
        <f>'Loan Schedule'!$Q5</f>
        <v>166.66666666666666</v>
      </c>
      <c r="G28" s="65">
        <f>'Loan Schedule'!$Q6</f>
        <v>166.66666666666666</v>
      </c>
      <c r="H28" s="65">
        <f>'Loan Schedule'!$Q7</f>
        <v>166.66666666666666</v>
      </c>
      <c r="I28" s="65">
        <f>'Loan Schedule'!$Q8</f>
        <v>166.66666666666666</v>
      </c>
      <c r="J28" s="65">
        <f>'Loan Schedule'!$Q9</f>
        <v>166.66666666666666</v>
      </c>
      <c r="K28" s="97">
        <f>'Loan Schedule'!$Q10</f>
        <v>27.777777777777779</v>
      </c>
      <c r="L28" s="97">
        <f>'Loan Schedule'!$Q11</f>
        <v>0</v>
      </c>
      <c r="M28" s="149">
        <f>'Loan Schedule'!$Q12</f>
        <v>0</v>
      </c>
    </row>
    <row r="29" spans="2:13" x14ac:dyDescent="0.35">
      <c r="B29" s="36" t="s">
        <v>5</v>
      </c>
      <c r="C29" s="20"/>
      <c r="D29" s="97">
        <f t="shared" ref="D29:M29" si="6">SUM(D27:D28)</f>
        <v>7.620000000000001</v>
      </c>
      <c r="E29" s="65">
        <f t="shared" si="6"/>
        <v>224.22888888888889</v>
      </c>
      <c r="F29" s="65">
        <f t="shared" si="6"/>
        <v>237.31666666666666</v>
      </c>
      <c r="G29" s="65">
        <f t="shared" si="6"/>
        <v>222.30666666666667</v>
      </c>
      <c r="H29" s="65">
        <f t="shared" si="6"/>
        <v>207.30666666666667</v>
      </c>
      <c r="I29" s="65">
        <f t="shared" si="6"/>
        <v>192.29666666666665</v>
      </c>
      <c r="J29" s="65">
        <f t="shared" si="6"/>
        <v>177.30666666666667</v>
      </c>
      <c r="K29" s="97">
        <f t="shared" si="6"/>
        <v>28.097777777777779</v>
      </c>
      <c r="L29" s="97">
        <f t="shared" si="6"/>
        <v>0</v>
      </c>
      <c r="M29" s="149">
        <f t="shared" si="6"/>
        <v>0</v>
      </c>
    </row>
    <row r="30" spans="2:13" x14ac:dyDescent="0.35">
      <c r="B30" s="36"/>
      <c r="C30" s="20"/>
      <c r="D30" s="99"/>
      <c r="E30" s="18"/>
      <c r="F30" s="18"/>
      <c r="G30" s="18"/>
      <c r="H30" s="18"/>
      <c r="I30" s="18"/>
      <c r="J30" s="18"/>
      <c r="K30" s="99"/>
      <c r="L30" s="99"/>
      <c r="M30" s="122"/>
    </row>
    <row r="31" spans="2:13" x14ac:dyDescent="0.35">
      <c r="B31" s="36" t="s">
        <v>212</v>
      </c>
      <c r="C31" s="20"/>
      <c r="D31" s="98">
        <f t="shared" ref="D31:M31" si="7">D24/D29</f>
        <v>3.6869632545931754</v>
      </c>
      <c r="E31" s="10">
        <f t="shared" si="7"/>
        <v>1.6178892996243912</v>
      </c>
      <c r="F31" s="10">
        <f t="shared" si="7"/>
        <v>1.5499309642531069</v>
      </c>
      <c r="G31" s="10">
        <f t="shared" si="7"/>
        <v>1.6789729514034661</v>
      </c>
      <c r="H31" s="10">
        <f t="shared" si="7"/>
        <v>1.8285606941105772</v>
      </c>
      <c r="I31" s="10">
        <f t="shared" si="7"/>
        <v>2.0038432681726044</v>
      </c>
      <c r="J31" s="10">
        <f t="shared" si="7"/>
        <v>2.2111853914723785</v>
      </c>
      <c r="K31" s="101">
        <f t="shared" si="7"/>
        <v>13.265373823655988</v>
      </c>
      <c r="L31" s="101" t="e">
        <f t="shared" si="7"/>
        <v>#DIV/0!</v>
      </c>
      <c r="M31" s="150" t="e">
        <f t="shared" si="7"/>
        <v>#DIV/0!</v>
      </c>
    </row>
    <row r="32" spans="2:13" x14ac:dyDescent="0.35">
      <c r="B32" s="37" t="s">
        <v>213</v>
      </c>
      <c r="C32" s="22"/>
      <c r="D32" s="127"/>
      <c r="E32" s="67">
        <f>AVERAGE(E31:J31)</f>
        <v>1.8150637615060876</v>
      </c>
      <c r="F32" s="19"/>
      <c r="G32" s="19"/>
      <c r="H32" s="19"/>
      <c r="I32" s="19"/>
      <c r="J32" s="19"/>
      <c r="K32" s="127"/>
      <c r="L32" s="127"/>
      <c r="M32" s="145"/>
    </row>
    <row r="35" spans="2:13" x14ac:dyDescent="0.35">
      <c r="B35" s="71" t="s">
        <v>275</v>
      </c>
      <c r="C35" s="70"/>
      <c r="D35" s="74" t="s">
        <v>143</v>
      </c>
      <c r="E35" s="74" t="s">
        <v>144</v>
      </c>
      <c r="F35" s="74" t="s">
        <v>145</v>
      </c>
      <c r="G35" s="74" t="s">
        <v>146</v>
      </c>
      <c r="H35" s="74" t="s">
        <v>84</v>
      </c>
      <c r="I35" s="74" t="s">
        <v>85</v>
      </c>
      <c r="J35" s="74" t="s">
        <v>147</v>
      </c>
      <c r="K35" s="74" t="s">
        <v>87</v>
      </c>
      <c r="L35" s="74" t="s">
        <v>88</v>
      </c>
      <c r="M35" s="74" t="s">
        <v>305</v>
      </c>
    </row>
    <row r="36" spans="2:13" x14ac:dyDescent="0.35">
      <c r="B36" s="36" t="s">
        <v>118</v>
      </c>
      <c r="C36" s="20"/>
      <c r="D36" s="97">
        <f>'Location- PL'!D75</f>
        <v>0</v>
      </c>
      <c r="E36" s="65">
        <f>'Location- PL'!E92</f>
        <v>117.72760000000005</v>
      </c>
      <c r="F36" s="65">
        <f>'Location- PL'!F92</f>
        <v>162.59328000000005</v>
      </c>
      <c r="G36" s="65">
        <f>'Location- PL'!G92</f>
        <v>204.34539400000006</v>
      </c>
      <c r="H36" s="65">
        <f>'Location- PL'!H92</f>
        <v>243.04877495000005</v>
      </c>
      <c r="I36" s="65">
        <f>'Location- PL'!I92</f>
        <v>279.21917329124994</v>
      </c>
      <c r="J36" s="65">
        <f>'Location- PL'!J92</f>
        <v>313.38707851909385</v>
      </c>
      <c r="K36" s="97">
        <f>'Location- PL'!K92</f>
        <v>342.55950187557596</v>
      </c>
      <c r="L36" s="97">
        <f>'Location- PL'!L92</f>
        <v>27.976028575921305</v>
      </c>
      <c r="M36" s="97">
        <f>'Location- PL'!M92</f>
        <v>44.773401905214428</v>
      </c>
    </row>
    <row r="37" spans="2:13" x14ac:dyDescent="0.35">
      <c r="B37" s="36" t="s">
        <v>16</v>
      </c>
      <c r="C37" s="20"/>
      <c r="D37" s="97">
        <f>'Location- PL'!D70</f>
        <v>0</v>
      </c>
      <c r="E37" s="65">
        <f>'Location- PL'!E86</f>
        <v>180</v>
      </c>
      <c r="F37" s="65">
        <f>'Location- PL'!F86</f>
        <v>153</v>
      </c>
      <c r="G37" s="65">
        <f>'Location- PL'!G86</f>
        <v>130.04999999999998</v>
      </c>
      <c r="H37" s="65">
        <f>'Location- PL'!H86</f>
        <v>110.5425</v>
      </c>
      <c r="I37" s="65">
        <f>'Location- PL'!I86</f>
        <v>93.961124999999996</v>
      </c>
      <c r="J37" s="65">
        <f>'Location- PL'!J86</f>
        <v>79.866956250000001</v>
      </c>
      <c r="K37" s="97">
        <f>'Location- PL'!K86</f>
        <v>67.8869128125</v>
      </c>
      <c r="L37" s="97">
        <f>'Location- PL'!L86</f>
        <v>57.703875890625</v>
      </c>
      <c r="M37" s="97">
        <f>'Location- PL'!M86</f>
        <v>49.048294507031251</v>
      </c>
    </row>
    <row r="38" spans="2:13" x14ac:dyDescent="0.35">
      <c r="B38" s="36" t="s">
        <v>131</v>
      </c>
      <c r="C38" s="20"/>
      <c r="D38" s="97">
        <v>0</v>
      </c>
      <c r="E38" s="65">
        <f>'Location- PL'!E85</f>
        <v>77.650000000000006</v>
      </c>
      <c r="F38" s="65">
        <f>'Location- PL'!F85</f>
        <v>64.710000000000008</v>
      </c>
      <c r="G38" s="65">
        <f>'Location- PL'!G85</f>
        <v>51.2</v>
      </c>
      <c r="H38" s="65">
        <f>'Location- PL'!H85</f>
        <v>37.69</v>
      </c>
      <c r="I38" s="65">
        <f>'Location- PL'!I85</f>
        <v>24.21</v>
      </c>
      <c r="J38" s="65">
        <f>'Location- PL'!J85</f>
        <v>10.700000000000001</v>
      </c>
      <c r="K38" s="97">
        <f>'Location- PL'!K85</f>
        <v>0.56000000000000005</v>
      </c>
      <c r="L38" s="97">
        <f>'Location- PL'!L85</f>
        <v>0</v>
      </c>
      <c r="M38" s="97">
        <f>'Location- PL'!M85</f>
        <v>0</v>
      </c>
    </row>
    <row r="39" spans="2:13" x14ac:dyDescent="0.35">
      <c r="B39" s="36" t="s">
        <v>208</v>
      </c>
      <c r="C39" s="20"/>
      <c r="D39" s="97">
        <f t="shared" ref="D39:M39" si="8">SUM(D36:D38)</f>
        <v>0</v>
      </c>
      <c r="E39" s="65">
        <f t="shared" si="8"/>
        <v>375.37760000000003</v>
      </c>
      <c r="F39" s="65">
        <f t="shared" si="8"/>
        <v>380.30328000000009</v>
      </c>
      <c r="G39" s="65">
        <f t="shared" si="8"/>
        <v>385.595394</v>
      </c>
      <c r="H39" s="65">
        <f t="shared" si="8"/>
        <v>391.28127495000007</v>
      </c>
      <c r="I39" s="65">
        <f t="shared" si="8"/>
        <v>397.39029829124991</v>
      </c>
      <c r="J39" s="65">
        <f t="shared" si="8"/>
        <v>403.95403476909382</v>
      </c>
      <c r="K39" s="97">
        <f t="shared" si="8"/>
        <v>411.00641468807595</v>
      </c>
      <c r="L39" s="97">
        <f t="shared" si="8"/>
        <v>85.679904466546304</v>
      </c>
      <c r="M39" s="97">
        <f t="shared" si="8"/>
        <v>93.821696412245672</v>
      </c>
    </row>
    <row r="40" spans="2:13" x14ac:dyDescent="0.35">
      <c r="B40" s="36"/>
      <c r="C40" s="20"/>
      <c r="D40" s="99"/>
      <c r="E40" s="18"/>
      <c r="F40" s="18"/>
      <c r="G40" s="18"/>
      <c r="H40" s="18"/>
      <c r="I40" s="18"/>
      <c r="J40" s="18"/>
      <c r="K40" s="99"/>
      <c r="L40" s="99"/>
      <c r="M40" s="99"/>
    </row>
    <row r="41" spans="2:13" x14ac:dyDescent="0.35">
      <c r="B41" s="36" t="s">
        <v>209</v>
      </c>
      <c r="C41" s="20"/>
      <c r="D41" s="99"/>
      <c r="E41" s="18"/>
      <c r="F41" s="18"/>
      <c r="G41" s="18"/>
      <c r="H41" s="18"/>
      <c r="I41" s="18"/>
      <c r="J41" s="18"/>
      <c r="K41" s="99"/>
      <c r="L41" s="99"/>
      <c r="M41" s="99"/>
    </row>
    <row r="42" spans="2:13" x14ac:dyDescent="0.35">
      <c r="B42" s="36" t="s">
        <v>210</v>
      </c>
      <c r="C42" s="20"/>
      <c r="D42" s="97">
        <f t="shared" ref="D42:M42" si="9">D38</f>
        <v>0</v>
      </c>
      <c r="E42" s="65">
        <f t="shared" si="9"/>
        <v>77.650000000000006</v>
      </c>
      <c r="F42" s="65">
        <f t="shared" si="9"/>
        <v>64.710000000000008</v>
      </c>
      <c r="G42" s="65">
        <f t="shared" si="9"/>
        <v>51.2</v>
      </c>
      <c r="H42" s="65">
        <f t="shared" si="9"/>
        <v>37.69</v>
      </c>
      <c r="I42" s="65">
        <f t="shared" si="9"/>
        <v>24.21</v>
      </c>
      <c r="J42" s="65">
        <f t="shared" si="9"/>
        <v>10.700000000000001</v>
      </c>
      <c r="K42" s="97">
        <f t="shared" si="9"/>
        <v>0.56000000000000005</v>
      </c>
      <c r="L42" s="97">
        <f t="shared" si="9"/>
        <v>0</v>
      </c>
      <c r="M42" s="97">
        <f t="shared" si="9"/>
        <v>0</v>
      </c>
    </row>
    <row r="43" spans="2:13" x14ac:dyDescent="0.35">
      <c r="B43" s="36" t="s">
        <v>211</v>
      </c>
      <c r="C43" s="20"/>
      <c r="D43" s="97">
        <f>'Loan Schedule'!$Q19</f>
        <v>0</v>
      </c>
      <c r="E43" s="65">
        <f>-'Location-CFS'!E89</f>
        <v>112.5</v>
      </c>
      <c r="F43" s="65">
        <f>-'Location-CFS'!F89</f>
        <v>150</v>
      </c>
      <c r="G43" s="65">
        <f>-'Location-CFS'!G89</f>
        <v>150</v>
      </c>
      <c r="H43" s="65">
        <f>-'Location-CFS'!H89</f>
        <v>150</v>
      </c>
      <c r="I43" s="65">
        <f>-'Location-CFS'!I89</f>
        <v>150</v>
      </c>
      <c r="J43" s="65">
        <f>-'Location-CFS'!J89</f>
        <v>150</v>
      </c>
      <c r="K43" s="97">
        <f>-'Location-CFS'!K89</f>
        <v>37.5</v>
      </c>
      <c r="L43" s="97">
        <f>-'Location-CFS'!L89</f>
        <v>0</v>
      </c>
      <c r="M43" s="97">
        <f>-'Location-CFS'!M89</f>
        <v>0</v>
      </c>
    </row>
    <row r="44" spans="2:13" x14ac:dyDescent="0.35">
      <c r="B44" s="36" t="s">
        <v>5</v>
      </c>
      <c r="C44" s="20"/>
      <c r="D44" s="97">
        <f t="shared" ref="D44:M44" si="10">SUM(D42:D43)</f>
        <v>0</v>
      </c>
      <c r="E44" s="65">
        <f t="shared" si="10"/>
        <v>190.15</v>
      </c>
      <c r="F44" s="65">
        <f t="shared" si="10"/>
        <v>214.71</v>
      </c>
      <c r="G44" s="65">
        <f t="shared" si="10"/>
        <v>201.2</v>
      </c>
      <c r="H44" s="65">
        <f t="shared" si="10"/>
        <v>187.69</v>
      </c>
      <c r="I44" s="65">
        <f t="shared" si="10"/>
        <v>174.21</v>
      </c>
      <c r="J44" s="65">
        <f t="shared" si="10"/>
        <v>160.69999999999999</v>
      </c>
      <c r="K44" s="97">
        <f t="shared" si="10"/>
        <v>38.06</v>
      </c>
      <c r="L44" s="97">
        <f t="shared" si="10"/>
        <v>0</v>
      </c>
      <c r="M44" s="97">
        <f t="shared" si="10"/>
        <v>0</v>
      </c>
    </row>
    <row r="45" spans="2:13" x14ac:dyDescent="0.35">
      <c r="B45" s="36"/>
      <c r="C45" s="20"/>
      <c r="D45" s="99"/>
      <c r="E45" s="18"/>
      <c r="F45" s="18"/>
      <c r="G45" s="18"/>
      <c r="H45" s="18"/>
      <c r="I45" s="18"/>
      <c r="J45" s="18"/>
      <c r="K45" s="99"/>
      <c r="L45" s="99"/>
      <c r="M45" s="99"/>
    </row>
    <row r="46" spans="2:13" x14ac:dyDescent="0.35">
      <c r="B46" s="36" t="s">
        <v>212</v>
      </c>
      <c r="C46" s="20"/>
      <c r="D46" s="98" t="e">
        <f t="shared" ref="D46:M46" si="11">D39/D44</f>
        <v>#DIV/0!</v>
      </c>
      <c r="E46" s="10">
        <f t="shared" si="11"/>
        <v>1.974113068630029</v>
      </c>
      <c r="F46" s="10">
        <f t="shared" si="11"/>
        <v>1.7712415816682971</v>
      </c>
      <c r="G46" s="10">
        <f t="shared" si="11"/>
        <v>1.9164781013916503</v>
      </c>
      <c r="H46" s="10">
        <f t="shared" si="11"/>
        <v>2.0847209491715066</v>
      </c>
      <c r="I46" s="10">
        <f t="shared" si="11"/>
        <v>2.2810992382254169</v>
      </c>
      <c r="J46" s="10">
        <f t="shared" si="11"/>
        <v>2.5137152132488727</v>
      </c>
      <c r="K46" s="101">
        <f t="shared" si="11"/>
        <v>10.798907374883761</v>
      </c>
      <c r="L46" s="101" t="e">
        <f t="shared" si="11"/>
        <v>#DIV/0!</v>
      </c>
      <c r="M46" s="101" t="e">
        <f t="shared" si="11"/>
        <v>#DIV/0!</v>
      </c>
    </row>
    <row r="47" spans="2:13" x14ac:dyDescent="0.35">
      <c r="B47" s="37" t="s">
        <v>213</v>
      </c>
      <c r="C47" s="22"/>
      <c r="D47" s="127"/>
      <c r="E47" s="67">
        <f>AVERAGE(E46:J46)</f>
        <v>2.0902280253892953</v>
      </c>
      <c r="F47" s="19"/>
      <c r="G47" s="19"/>
      <c r="H47" s="19"/>
      <c r="I47" s="19"/>
      <c r="J47" s="19"/>
      <c r="K47" s="127"/>
      <c r="L47" s="127"/>
      <c r="M47" s="127"/>
    </row>
    <row r="50" spans="2:13" x14ac:dyDescent="0.35">
      <c r="B50" s="71" t="s">
        <v>281</v>
      </c>
      <c r="C50" s="70"/>
      <c r="D50" s="74" t="s">
        <v>143</v>
      </c>
      <c r="E50" s="74" t="s">
        <v>144</v>
      </c>
      <c r="F50" s="74" t="s">
        <v>145</v>
      </c>
      <c r="G50" s="74" t="s">
        <v>146</v>
      </c>
      <c r="H50" s="74" t="s">
        <v>84</v>
      </c>
      <c r="I50" s="74" t="s">
        <v>85</v>
      </c>
      <c r="J50" s="74" t="s">
        <v>147</v>
      </c>
      <c r="K50" s="74" t="s">
        <v>87</v>
      </c>
      <c r="L50" s="146" t="s">
        <v>88</v>
      </c>
      <c r="M50" s="74" t="s">
        <v>305</v>
      </c>
    </row>
    <row r="51" spans="2:13" x14ac:dyDescent="0.35">
      <c r="B51" s="36" t="s">
        <v>118</v>
      </c>
      <c r="C51" s="20"/>
      <c r="D51" s="97">
        <f>'Location- PL'!D93</f>
        <v>0</v>
      </c>
      <c r="E51" s="65">
        <f>'Location- PL'!E124</f>
        <v>117.72760000000005</v>
      </c>
      <c r="F51" s="65">
        <f>'Location- PL'!F124</f>
        <v>162.59328000000005</v>
      </c>
      <c r="G51" s="65">
        <f>'Location- PL'!G124</f>
        <v>204.34539400000006</v>
      </c>
      <c r="H51" s="65">
        <f>'Location- PL'!H124</f>
        <v>243.04877495000005</v>
      </c>
      <c r="I51" s="65">
        <f>'Location- PL'!I124</f>
        <v>279.21917329124994</v>
      </c>
      <c r="J51" s="65">
        <f>'Location- PL'!J124</f>
        <v>313.38707851909385</v>
      </c>
      <c r="K51" s="97">
        <f>'Location- PL'!K124</f>
        <v>342.55950187557596</v>
      </c>
      <c r="L51" s="147">
        <f>'Location- PL'!L124</f>
        <v>27.976028575921305</v>
      </c>
      <c r="M51" s="97">
        <f>'Location- PL'!M124</f>
        <v>44.773401905214428</v>
      </c>
    </row>
    <row r="52" spans="2:13" x14ac:dyDescent="0.35">
      <c r="B52" s="36" t="s">
        <v>16</v>
      </c>
      <c r="C52" s="20"/>
      <c r="D52" s="97">
        <f>'Location- PL'!D87</f>
        <v>0</v>
      </c>
      <c r="E52" s="65">
        <f>'Location- PL'!E118</f>
        <v>180</v>
      </c>
      <c r="F52" s="65">
        <f>'Location- PL'!F118</f>
        <v>153</v>
      </c>
      <c r="G52" s="65">
        <f>'Location- PL'!G118</f>
        <v>130.04999999999998</v>
      </c>
      <c r="H52" s="65">
        <f>'Location- PL'!H118</f>
        <v>110.5425</v>
      </c>
      <c r="I52" s="65">
        <f>'Location- PL'!I118</f>
        <v>93.961124999999996</v>
      </c>
      <c r="J52" s="65">
        <f>'Location- PL'!J118</f>
        <v>79.866956250000001</v>
      </c>
      <c r="K52" s="97">
        <f>'Location- PL'!K118</f>
        <v>67.8869128125</v>
      </c>
      <c r="L52" s="147">
        <f>'Location- PL'!L118</f>
        <v>57.703875890625</v>
      </c>
      <c r="M52" s="97">
        <f>'Location- PL'!M118</f>
        <v>49.048294507031251</v>
      </c>
    </row>
    <row r="53" spans="2:13" x14ac:dyDescent="0.35">
      <c r="B53" s="36" t="s">
        <v>131</v>
      </c>
      <c r="C53" s="20"/>
      <c r="D53" s="97">
        <v>0</v>
      </c>
      <c r="E53" s="65">
        <f>'Location- PL'!E117</f>
        <v>77.650000000000006</v>
      </c>
      <c r="F53" s="65">
        <f>'Location- PL'!F117</f>
        <v>64.710000000000008</v>
      </c>
      <c r="G53" s="65">
        <f>'Location- PL'!G117</f>
        <v>51.2</v>
      </c>
      <c r="H53" s="65">
        <f>'Location- PL'!H117</f>
        <v>37.69</v>
      </c>
      <c r="I53" s="65">
        <f>'Location- PL'!I117</f>
        <v>24.21</v>
      </c>
      <c r="J53" s="65">
        <f>'Location- PL'!J117</f>
        <v>10.700000000000001</v>
      </c>
      <c r="K53" s="97">
        <f>'Location- PL'!K117</f>
        <v>0.56000000000000005</v>
      </c>
      <c r="L53" s="147">
        <f>'Location- PL'!L117</f>
        <v>0</v>
      </c>
      <c r="M53" s="97">
        <f>'Location- PL'!M117</f>
        <v>0</v>
      </c>
    </row>
    <row r="54" spans="2:13" x14ac:dyDescent="0.35">
      <c r="B54" s="36" t="s">
        <v>208</v>
      </c>
      <c r="C54" s="20"/>
      <c r="D54" s="97">
        <f t="shared" ref="D54:M54" si="12">SUM(D51:D53)</f>
        <v>0</v>
      </c>
      <c r="E54" s="65">
        <f t="shared" si="12"/>
        <v>375.37760000000003</v>
      </c>
      <c r="F54" s="65">
        <f t="shared" si="12"/>
        <v>380.30328000000009</v>
      </c>
      <c r="G54" s="65">
        <f t="shared" si="12"/>
        <v>385.595394</v>
      </c>
      <c r="H54" s="65">
        <f t="shared" si="12"/>
        <v>391.28127495000007</v>
      </c>
      <c r="I54" s="65">
        <f t="shared" si="12"/>
        <v>397.39029829124991</v>
      </c>
      <c r="J54" s="65">
        <f t="shared" si="12"/>
        <v>403.95403476909382</v>
      </c>
      <c r="K54" s="97">
        <f t="shared" si="12"/>
        <v>411.00641468807595</v>
      </c>
      <c r="L54" s="147">
        <f t="shared" si="12"/>
        <v>85.679904466546304</v>
      </c>
      <c r="M54" s="97">
        <f t="shared" si="12"/>
        <v>93.821696412245672</v>
      </c>
    </row>
    <row r="55" spans="2:13" x14ac:dyDescent="0.35">
      <c r="B55" s="36"/>
      <c r="C55" s="20"/>
      <c r="D55" s="99"/>
      <c r="E55" s="18"/>
      <c r="F55" s="18"/>
      <c r="G55" s="18"/>
      <c r="H55" s="18"/>
      <c r="I55" s="18"/>
      <c r="J55" s="18"/>
      <c r="K55" s="99"/>
      <c r="L55" s="116"/>
      <c r="M55" s="99"/>
    </row>
    <row r="56" spans="2:13" x14ac:dyDescent="0.35">
      <c r="B56" s="36" t="s">
        <v>209</v>
      </c>
      <c r="C56" s="20"/>
      <c r="D56" s="99"/>
      <c r="E56" s="18"/>
      <c r="F56" s="18"/>
      <c r="G56" s="18"/>
      <c r="H56" s="18"/>
      <c r="I56" s="18"/>
      <c r="J56" s="18"/>
      <c r="K56" s="99"/>
      <c r="L56" s="116"/>
      <c r="M56" s="99"/>
    </row>
    <row r="57" spans="2:13" x14ac:dyDescent="0.35">
      <c r="B57" s="36" t="s">
        <v>210</v>
      </c>
      <c r="C57" s="20"/>
      <c r="D57" s="97">
        <f t="shared" ref="D57:M57" si="13">D53</f>
        <v>0</v>
      </c>
      <c r="E57" s="65">
        <f t="shared" si="13"/>
        <v>77.650000000000006</v>
      </c>
      <c r="F57" s="65">
        <f t="shared" si="13"/>
        <v>64.710000000000008</v>
      </c>
      <c r="G57" s="65">
        <f t="shared" si="13"/>
        <v>51.2</v>
      </c>
      <c r="H57" s="65">
        <f t="shared" si="13"/>
        <v>37.69</v>
      </c>
      <c r="I57" s="65">
        <f t="shared" si="13"/>
        <v>24.21</v>
      </c>
      <c r="J57" s="65">
        <f t="shared" si="13"/>
        <v>10.700000000000001</v>
      </c>
      <c r="K57" s="97">
        <f t="shared" si="13"/>
        <v>0.56000000000000005</v>
      </c>
      <c r="L57" s="147">
        <f t="shared" si="13"/>
        <v>0</v>
      </c>
      <c r="M57" s="97">
        <f t="shared" si="13"/>
        <v>0</v>
      </c>
    </row>
    <row r="58" spans="2:13" x14ac:dyDescent="0.35">
      <c r="B58" s="36" t="s">
        <v>211</v>
      </c>
      <c r="C58" s="20"/>
      <c r="D58" s="97">
        <v>0</v>
      </c>
      <c r="E58" s="65">
        <f>-'Location-CFS'!E120</f>
        <v>112.5</v>
      </c>
      <c r="F58" s="65">
        <f>-'Location-CFS'!F120</f>
        <v>150</v>
      </c>
      <c r="G58" s="65">
        <f>-'Location-CFS'!G120</f>
        <v>150</v>
      </c>
      <c r="H58" s="65">
        <f>-'Location-CFS'!H120</f>
        <v>150</v>
      </c>
      <c r="I58" s="65">
        <f>-'Location-CFS'!I120</f>
        <v>150</v>
      </c>
      <c r="J58" s="65">
        <f>-'Location-CFS'!J120</f>
        <v>150</v>
      </c>
      <c r="K58" s="97">
        <f>-'Location-CFS'!K120</f>
        <v>37.5</v>
      </c>
      <c r="L58" s="147">
        <f>-'Location-CFS'!L120</f>
        <v>0</v>
      </c>
      <c r="M58" s="97">
        <f>-'Location-CFS'!M120</f>
        <v>0</v>
      </c>
    </row>
    <row r="59" spans="2:13" x14ac:dyDescent="0.35">
      <c r="B59" s="36" t="s">
        <v>5</v>
      </c>
      <c r="C59" s="20"/>
      <c r="D59" s="97">
        <f t="shared" ref="D59:M59" si="14">SUM(D57:D58)</f>
        <v>0</v>
      </c>
      <c r="E59" s="65">
        <f t="shared" si="14"/>
        <v>190.15</v>
      </c>
      <c r="F59" s="65">
        <f t="shared" si="14"/>
        <v>214.71</v>
      </c>
      <c r="G59" s="65">
        <f t="shared" si="14"/>
        <v>201.2</v>
      </c>
      <c r="H59" s="65">
        <f t="shared" si="14"/>
        <v>187.69</v>
      </c>
      <c r="I59" s="65">
        <f t="shared" si="14"/>
        <v>174.21</v>
      </c>
      <c r="J59" s="65">
        <f t="shared" si="14"/>
        <v>160.69999999999999</v>
      </c>
      <c r="K59" s="97">
        <f t="shared" si="14"/>
        <v>38.06</v>
      </c>
      <c r="L59" s="147">
        <f t="shared" si="14"/>
        <v>0</v>
      </c>
      <c r="M59" s="97">
        <f t="shared" si="14"/>
        <v>0</v>
      </c>
    </row>
    <row r="60" spans="2:13" x14ac:dyDescent="0.35">
      <c r="B60" s="36"/>
      <c r="C60" s="20"/>
      <c r="D60" s="99"/>
      <c r="E60" s="18"/>
      <c r="F60" s="18"/>
      <c r="G60" s="18"/>
      <c r="H60" s="18"/>
      <c r="I60" s="18"/>
      <c r="J60" s="18"/>
      <c r="K60" s="99"/>
      <c r="L60" s="116"/>
      <c r="M60" s="99"/>
    </row>
    <row r="61" spans="2:13" x14ac:dyDescent="0.35">
      <c r="B61" s="36" t="s">
        <v>212</v>
      </c>
      <c r="C61" s="20"/>
      <c r="D61" s="98" t="e">
        <f t="shared" ref="D61:M61" si="15">D54/D59</f>
        <v>#DIV/0!</v>
      </c>
      <c r="E61" s="10">
        <f t="shared" si="15"/>
        <v>1.974113068630029</v>
      </c>
      <c r="F61" s="10">
        <f t="shared" si="15"/>
        <v>1.7712415816682971</v>
      </c>
      <c r="G61" s="10">
        <f t="shared" si="15"/>
        <v>1.9164781013916503</v>
      </c>
      <c r="H61" s="10">
        <f t="shared" si="15"/>
        <v>2.0847209491715066</v>
      </c>
      <c r="I61" s="10">
        <f t="shared" si="15"/>
        <v>2.2810992382254169</v>
      </c>
      <c r="J61" s="10">
        <f t="shared" si="15"/>
        <v>2.5137152132488727</v>
      </c>
      <c r="K61" s="101">
        <f t="shared" si="15"/>
        <v>10.798907374883761</v>
      </c>
      <c r="L61" s="148" t="e">
        <f t="shared" si="15"/>
        <v>#DIV/0!</v>
      </c>
      <c r="M61" s="101" t="e">
        <f t="shared" si="15"/>
        <v>#DIV/0!</v>
      </c>
    </row>
    <row r="62" spans="2:13" x14ac:dyDescent="0.35">
      <c r="B62" s="37" t="s">
        <v>213</v>
      </c>
      <c r="C62" s="22"/>
      <c r="D62" s="127"/>
      <c r="E62" s="67">
        <f>AVERAGE(E61:J61)</f>
        <v>2.0902280253892953</v>
      </c>
      <c r="F62" s="19"/>
      <c r="G62" s="19"/>
      <c r="H62" s="19"/>
      <c r="I62" s="19"/>
      <c r="J62" s="19"/>
      <c r="K62" s="127"/>
      <c r="L62" s="144"/>
      <c r="M62" s="12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M17"/>
  <sheetViews>
    <sheetView workbookViewId="0">
      <selection activeCell="D17" sqref="D17"/>
    </sheetView>
  </sheetViews>
  <sheetFormatPr defaultRowHeight="14.5" x14ac:dyDescent="0.35"/>
  <cols>
    <col min="2" max="2" width="38.54296875" customWidth="1"/>
  </cols>
  <sheetData>
    <row r="2" spans="2:13" x14ac:dyDescent="0.25">
      <c r="B2" t="s">
        <v>214</v>
      </c>
    </row>
    <row r="3" spans="2:13" x14ac:dyDescent="0.25">
      <c r="B3" t="s">
        <v>206</v>
      </c>
    </row>
    <row r="5" spans="2:13" x14ac:dyDescent="0.35">
      <c r="B5" s="71" t="s">
        <v>119</v>
      </c>
      <c r="C5" s="72"/>
      <c r="D5" s="73" t="s">
        <v>143</v>
      </c>
      <c r="E5" s="73" t="s">
        <v>144</v>
      </c>
      <c r="F5" s="73" t="s">
        <v>145</v>
      </c>
      <c r="G5" s="73" t="s">
        <v>146</v>
      </c>
      <c r="H5" s="73" t="s">
        <v>84</v>
      </c>
      <c r="I5" s="73" t="s">
        <v>85</v>
      </c>
      <c r="J5" s="73" t="s">
        <v>147</v>
      </c>
      <c r="K5" s="73" t="s">
        <v>87</v>
      </c>
      <c r="L5" s="73" t="s">
        <v>88</v>
      </c>
      <c r="M5" s="73" t="s">
        <v>305</v>
      </c>
    </row>
    <row r="6" spans="2:13" x14ac:dyDescent="0.25">
      <c r="B6" s="36" t="s">
        <v>118</v>
      </c>
      <c r="C6" s="20"/>
      <c r="D6" s="97">
        <f>SUM('Location-DSCR'!D6,'Location-DSCR'!D21,'Location-DSCR'!D36,'Location-DSCR'!D51)</f>
        <v>6.9644999999999726</v>
      </c>
      <c r="E6" s="65">
        <f>SUM('Location-DSCR'!E6,'Location-DSCR'!E21,'Location-DSCR'!E36,'Location-DSCR'!E51)</f>
        <v>347.5863599999999</v>
      </c>
      <c r="F6" s="65">
        <f>SUM('Location-DSCR'!F6,'Location-DSCR'!F21,'Location-DSCR'!F36,'Location-DSCR'!F51)</f>
        <v>527.09724249999999</v>
      </c>
      <c r="G6" s="65">
        <f>SUM('Location-DSCR'!G6,'Location-DSCR'!G21,'Location-DSCR'!G36,'Location-DSCR'!G51)</f>
        <v>693.55190256249989</v>
      </c>
      <c r="H6" s="65">
        <f>SUM('Location-DSCR'!H6,'Location-DSCR'!H21,'Location-DSCR'!H36,'Location-DSCR'!H51)</f>
        <v>847.93904969843766</v>
      </c>
      <c r="I6" s="65">
        <f>SUM('Location-DSCR'!I6,'Location-DSCR'!I21,'Location-DSCR'!I36,'Location-DSCR'!I51)</f>
        <v>992.41449997300765</v>
      </c>
      <c r="J6" s="65">
        <f>SUM('Location-DSCR'!J6,'Location-DSCR'!J21,'Location-DSCR'!J36,'Location-DSCR'!J51)</f>
        <v>1128.9059724845927</v>
      </c>
      <c r="K6" s="97">
        <f>SUM('Location-DSCR'!K6,'Location-DSCR'!K21,'Location-DSCR'!K36,'Location-DSCR'!K51)</f>
        <v>1181.2893057559304</v>
      </c>
      <c r="L6" s="97">
        <f>SUM('Location-DSCR'!L6,'Location-DSCR'!L21,'Location-DSCR'!L36,'Location-DSCR'!L51)</f>
        <v>120.04985648946479</v>
      </c>
      <c r="M6" s="97">
        <f>SUM('Location-DSCR'!M6,'Location-DSCR'!M21,'Location-DSCR'!M36,'Location-DSCR'!M51)</f>
        <v>179.15282194335214</v>
      </c>
    </row>
    <row r="7" spans="2:13" x14ac:dyDescent="0.25">
      <c r="B7" s="36" t="s">
        <v>16</v>
      </c>
      <c r="C7" s="20"/>
      <c r="D7" s="97">
        <f>SUM('Location-DSCR'!D7,'Location-DSCR'!D22,'Location-DSCR'!D37,'Location-DSCR'!D52)</f>
        <v>43.75</v>
      </c>
      <c r="E7" s="65">
        <f>SUM('Location-DSCR'!E7,'Location-DSCR'!E22,'Location-DSCR'!E37,'Location-DSCR'!E52)</f>
        <v>713.4375</v>
      </c>
      <c r="F7" s="65">
        <f>SUM('Location-DSCR'!F7,'Location-DSCR'!F22,'Location-DSCR'!F37,'Location-DSCR'!F52)</f>
        <v>606.421875</v>
      </c>
      <c r="G7" s="65">
        <f>SUM('Location-DSCR'!G7,'Location-DSCR'!G22,'Location-DSCR'!G37,'Location-DSCR'!G52)</f>
        <v>515.45859374999998</v>
      </c>
      <c r="H7" s="65">
        <f>SUM('Location-DSCR'!H7,'Location-DSCR'!H22,'Location-DSCR'!H37,'Location-DSCR'!H52)</f>
        <v>438.13980468750003</v>
      </c>
      <c r="I7" s="65">
        <f>SUM('Location-DSCR'!I7,'Location-DSCR'!I22,'Location-DSCR'!I37,'Location-DSCR'!I52)</f>
        <v>372.41883398437494</v>
      </c>
      <c r="J7" s="65">
        <f>SUM('Location-DSCR'!J7,'Location-DSCR'!J22,'Location-DSCR'!J37,'Location-DSCR'!J52)</f>
        <v>316.5560088867187</v>
      </c>
      <c r="K7" s="97">
        <f>SUM('Location-DSCR'!K7,'Location-DSCR'!K22,'Location-DSCR'!K37,'Location-DSCR'!K52)</f>
        <v>269.0726075537109</v>
      </c>
      <c r="L7" s="97">
        <f>SUM('Location-DSCR'!L7,'Location-DSCR'!L22,'Location-DSCR'!L37,'Location-DSCR'!L52)</f>
        <v>228.71171642065428</v>
      </c>
      <c r="M7" s="97">
        <f>SUM('Location-DSCR'!M7,'Location-DSCR'!M22,'Location-DSCR'!M37,'Location-DSCR'!M52)</f>
        <v>194.40495895755615</v>
      </c>
    </row>
    <row r="8" spans="2:13" x14ac:dyDescent="0.25">
      <c r="B8" s="36" t="s">
        <v>131</v>
      </c>
      <c r="C8" s="20"/>
      <c r="D8" s="97">
        <f>SUM('Location-DSCR'!D8,'Location-DSCR'!D23,'Location-DSCR'!D38,'Location-DSCR'!D53)</f>
        <v>19.640000000000004</v>
      </c>
      <c r="E8" s="65">
        <f>SUM('Location-DSCR'!E8,'Location-DSCR'!E23,'Location-DSCR'!E38,'Location-DSCR'!E53)</f>
        <v>308.11</v>
      </c>
      <c r="F8" s="65">
        <f>SUM('Location-DSCR'!F8,'Location-DSCR'!F23,'Location-DSCR'!F38,'Location-DSCR'!F53)</f>
        <v>255.59</v>
      </c>
      <c r="G8" s="65">
        <f>SUM('Location-DSCR'!G8,'Location-DSCR'!G23,'Location-DSCR'!G38,'Location-DSCR'!G53)</f>
        <v>201.56</v>
      </c>
      <c r="H8" s="65">
        <f>SUM('Location-DSCR'!H8,'Location-DSCR'!H23,'Location-DSCR'!H38,'Location-DSCR'!H53)</f>
        <v>147.55000000000001</v>
      </c>
      <c r="I8" s="65">
        <f>SUM('Location-DSCR'!I8,'Location-DSCR'!I23,'Location-DSCR'!I38,'Location-DSCR'!I53)</f>
        <v>93.57</v>
      </c>
      <c r="J8" s="65">
        <f>SUM('Location-DSCR'!J8,'Location-DSCR'!J23,'Location-DSCR'!J38,'Location-DSCR'!J53)</f>
        <v>39.56</v>
      </c>
      <c r="K8" s="97">
        <f>SUM('Location-DSCR'!K8,'Location-DSCR'!K23,'Location-DSCR'!K38,'Location-DSCR'!K53)</f>
        <v>1.52</v>
      </c>
      <c r="L8" s="97">
        <f>SUM('Location-DSCR'!L8,'Location-DSCR'!L23,'Location-DSCR'!L38,'Location-DSCR'!L53)</f>
        <v>0</v>
      </c>
      <c r="M8" s="97">
        <f>SUM('Location-DSCR'!M8,'Location-DSCR'!M23,'Location-DSCR'!M38,'Location-DSCR'!M53)</f>
        <v>0</v>
      </c>
    </row>
    <row r="9" spans="2:13" x14ac:dyDescent="0.25">
      <c r="B9" s="36" t="s">
        <v>208</v>
      </c>
      <c r="C9" s="20"/>
      <c r="D9" s="98">
        <f t="shared" ref="D9:M9" si="0">SUM(D6:D8)</f>
        <v>70.354499999999973</v>
      </c>
      <c r="E9" s="26">
        <f t="shared" si="0"/>
        <v>1369.1338599999999</v>
      </c>
      <c r="F9" s="26">
        <f t="shared" si="0"/>
        <v>1389.1091174999999</v>
      </c>
      <c r="G9" s="26">
        <f t="shared" si="0"/>
        <v>1410.5704963124999</v>
      </c>
      <c r="H9" s="26">
        <f t="shared" si="0"/>
        <v>1433.6288543859375</v>
      </c>
      <c r="I9" s="26">
        <f t="shared" si="0"/>
        <v>1458.4033339573825</v>
      </c>
      <c r="J9" s="26">
        <f t="shared" si="0"/>
        <v>1485.0219813713113</v>
      </c>
      <c r="K9" s="98">
        <f t="shared" si="0"/>
        <v>1451.8819133096413</v>
      </c>
      <c r="L9" s="98">
        <f t="shared" si="0"/>
        <v>348.76157291011907</v>
      </c>
      <c r="M9" s="98">
        <f t="shared" si="0"/>
        <v>373.55778090090826</v>
      </c>
    </row>
    <row r="10" spans="2:13" x14ac:dyDescent="0.25">
      <c r="B10" s="36"/>
      <c r="C10" s="20"/>
      <c r="D10" s="99"/>
      <c r="E10" s="18"/>
      <c r="F10" s="18"/>
      <c r="G10" s="18"/>
      <c r="H10" s="18"/>
      <c r="I10" s="18"/>
      <c r="J10" s="18"/>
      <c r="K10" s="99"/>
      <c r="L10" s="99"/>
      <c r="M10" s="99"/>
    </row>
    <row r="11" spans="2:13" x14ac:dyDescent="0.25">
      <c r="B11" s="36" t="s">
        <v>209</v>
      </c>
      <c r="C11" s="20"/>
      <c r="D11" s="99"/>
      <c r="E11" s="18"/>
      <c r="F11" s="18"/>
      <c r="G11" s="18"/>
      <c r="H11" s="18"/>
      <c r="I11" s="18"/>
      <c r="J11" s="18"/>
      <c r="K11" s="99"/>
      <c r="L11" s="99"/>
      <c r="M11" s="99"/>
    </row>
    <row r="12" spans="2:13" x14ac:dyDescent="0.25">
      <c r="B12" s="36" t="s">
        <v>210</v>
      </c>
      <c r="C12" s="20"/>
      <c r="D12" s="97">
        <f t="shared" ref="D12:M12" si="1">D8</f>
        <v>19.640000000000004</v>
      </c>
      <c r="E12" s="65">
        <f t="shared" si="1"/>
        <v>308.11</v>
      </c>
      <c r="F12" s="65">
        <f t="shared" si="1"/>
        <v>255.59</v>
      </c>
      <c r="G12" s="65">
        <f t="shared" si="1"/>
        <v>201.56</v>
      </c>
      <c r="H12" s="65">
        <f t="shared" si="1"/>
        <v>147.55000000000001</v>
      </c>
      <c r="I12" s="65">
        <f t="shared" si="1"/>
        <v>93.57</v>
      </c>
      <c r="J12" s="65">
        <f t="shared" si="1"/>
        <v>39.56</v>
      </c>
      <c r="K12" s="97">
        <f t="shared" si="1"/>
        <v>1.52</v>
      </c>
      <c r="L12" s="97">
        <f t="shared" si="1"/>
        <v>0</v>
      </c>
      <c r="M12" s="97">
        <f t="shared" si="1"/>
        <v>0</v>
      </c>
    </row>
    <row r="13" spans="2:13" x14ac:dyDescent="0.25">
      <c r="B13" s="36" t="s">
        <v>211</v>
      </c>
      <c r="C13" s="20"/>
      <c r="D13" s="97">
        <f>SUM('Location-DSCR'!D13,'Location-DSCR'!D28)</f>
        <v>0</v>
      </c>
      <c r="E13" s="65">
        <f>SUM('Location-DSCR'!E13,'Location-DSCR'!E28,'Location-DSCR'!E43,'Location-DSCR'!E58)</f>
        <v>486.11111111111114</v>
      </c>
      <c r="F13" s="65">
        <f>SUM('Location-DSCR'!F13,'Location-DSCR'!F28,'Location-DSCR'!F43,'Location-DSCR'!F58)</f>
        <v>600</v>
      </c>
      <c r="G13" s="65">
        <f>SUM('Location-DSCR'!G13,'Location-DSCR'!G28,'Location-DSCR'!G43,'Location-DSCR'!G58)</f>
        <v>600</v>
      </c>
      <c r="H13" s="65">
        <f>SUM('Location-DSCR'!H13,'Location-DSCR'!H28,'Location-DSCR'!H43,'Location-DSCR'!H58)</f>
        <v>600</v>
      </c>
      <c r="I13" s="65">
        <f>SUM('Location-DSCR'!I13,'Location-DSCR'!I28,'Location-DSCR'!I43,'Location-DSCR'!I58)</f>
        <v>600</v>
      </c>
      <c r="J13" s="65">
        <f>SUM('Location-DSCR'!J13,'Location-DSCR'!J28,'Location-DSCR'!J43,'Location-DSCR'!J58)</f>
        <v>600</v>
      </c>
      <c r="K13" s="97">
        <f>SUM('Location-DSCR'!K13,'Location-DSCR'!K28,'Location-DSCR'!K43,'Location-DSCR'!K58)</f>
        <v>113.88888888888889</v>
      </c>
      <c r="L13" s="97">
        <f>SUM('Location-DSCR'!L13,'Location-DSCR'!L28,'Location-DSCR'!L43,'Location-DSCR'!L58)</f>
        <v>0</v>
      </c>
      <c r="M13" s="97">
        <f>SUM('Location-DSCR'!M13,'Location-DSCR'!M28,'Location-DSCR'!M43,'Location-DSCR'!M58)</f>
        <v>0</v>
      </c>
    </row>
    <row r="14" spans="2:13" x14ac:dyDescent="0.25">
      <c r="B14" s="36" t="s">
        <v>5</v>
      </c>
      <c r="C14" s="20"/>
      <c r="D14" s="97">
        <f t="shared" ref="D14:M14" si="2">SUM(D12:D13)</f>
        <v>19.640000000000004</v>
      </c>
      <c r="E14" s="65">
        <f t="shared" si="2"/>
        <v>794.22111111111121</v>
      </c>
      <c r="F14" s="65">
        <f t="shared" si="2"/>
        <v>855.59</v>
      </c>
      <c r="G14" s="65">
        <f t="shared" si="2"/>
        <v>801.56</v>
      </c>
      <c r="H14" s="65">
        <f t="shared" si="2"/>
        <v>747.55</v>
      </c>
      <c r="I14" s="65">
        <f t="shared" si="2"/>
        <v>693.56999999999994</v>
      </c>
      <c r="J14" s="65">
        <f t="shared" si="2"/>
        <v>639.55999999999995</v>
      </c>
      <c r="K14" s="97">
        <f t="shared" si="2"/>
        <v>115.40888888888888</v>
      </c>
      <c r="L14" s="97">
        <f t="shared" si="2"/>
        <v>0</v>
      </c>
      <c r="M14" s="97">
        <f t="shared" si="2"/>
        <v>0</v>
      </c>
    </row>
    <row r="15" spans="2:13" x14ac:dyDescent="0.25">
      <c r="B15" s="36"/>
      <c r="C15" s="20"/>
      <c r="D15" s="99"/>
      <c r="E15" s="18"/>
      <c r="F15" s="18"/>
      <c r="G15" s="18"/>
      <c r="H15" s="18"/>
      <c r="I15" s="18"/>
      <c r="J15" s="18"/>
      <c r="K15" s="99"/>
      <c r="L15" s="99"/>
      <c r="M15" s="99"/>
    </row>
    <row r="16" spans="2:13" x14ac:dyDescent="0.25">
      <c r="B16" s="36" t="s">
        <v>212</v>
      </c>
      <c r="C16" s="20"/>
      <c r="D16" s="97">
        <f t="shared" ref="D16:M16" si="3">D9/D14</f>
        <v>3.5822046843177167</v>
      </c>
      <c r="E16" s="65">
        <f t="shared" si="3"/>
        <v>1.7238698906965451</v>
      </c>
      <c r="F16" s="65">
        <f t="shared" si="3"/>
        <v>1.623568668988651</v>
      </c>
      <c r="G16" s="65">
        <f t="shared" si="3"/>
        <v>1.7597815463751934</v>
      </c>
      <c r="H16" s="65">
        <f t="shared" si="3"/>
        <v>1.9177698540377734</v>
      </c>
      <c r="I16" s="65">
        <f t="shared" si="3"/>
        <v>2.1027485819129756</v>
      </c>
      <c r="J16" s="65">
        <f t="shared" si="3"/>
        <v>2.3219431818301826</v>
      </c>
      <c r="K16" s="97">
        <f t="shared" si="3"/>
        <v>12.580330053324193</v>
      </c>
      <c r="L16" s="97" t="e">
        <f t="shared" si="3"/>
        <v>#DIV/0!</v>
      </c>
      <c r="M16" s="97" t="e">
        <f t="shared" si="3"/>
        <v>#DIV/0!</v>
      </c>
    </row>
    <row r="17" spans="2:13" x14ac:dyDescent="0.25">
      <c r="B17" s="37" t="s">
        <v>213</v>
      </c>
      <c r="C17" s="22"/>
      <c r="D17" s="102"/>
      <c r="E17" s="67">
        <f>AVERAGE(E16:J16)</f>
        <v>1.9082802873068869</v>
      </c>
      <c r="F17" s="19"/>
      <c r="G17" s="19"/>
      <c r="H17" s="19"/>
      <c r="I17" s="19"/>
      <c r="J17" s="19"/>
      <c r="K17" s="102"/>
      <c r="L17" s="127"/>
      <c r="M17" s="1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4"/>
  <sheetViews>
    <sheetView workbookViewId="0">
      <selection activeCell="E10" sqref="E10"/>
    </sheetView>
  </sheetViews>
  <sheetFormatPr defaultRowHeight="14.5" x14ac:dyDescent="0.35"/>
  <cols>
    <col min="2" max="2" width="46.81640625" customWidth="1"/>
  </cols>
  <sheetData>
    <row r="3" spans="1:12" ht="15" x14ac:dyDescent="0.25">
      <c r="B3" s="71" t="s">
        <v>119</v>
      </c>
      <c r="C3" s="72"/>
      <c r="D3" s="73" t="s">
        <v>143</v>
      </c>
      <c r="E3" s="73" t="s">
        <v>144</v>
      </c>
      <c r="F3" s="73" t="s">
        <v>145</v>
      </c>
      <c r="G3" s="73" t="s">
        <v>146</v>
      </c>
      <c r="H3" s="73" t="s">
        <v>84</v>
      </c>
      <c r="I3" s="73" t="s">
        <v>85</v>
      </c>
      <c r="J3" s="73" t="s">
        <v>147</v>
      </c>
      <c r="K3" s="73" t="s">
        <v>87</v>
      </c>
      <c r="L3" s="73" t="s">
        <v>88</v>
      </c>
    </row>
    <row r="5" spans="1:12" ht="15" x14ac:dyDescent="0.25">
      <c r="B5" t="s">
        <v>215</v>
      </c>
      <c r="D5" s="8"/>
      <c r="E5" s="7">
        <f t="shared" ref="E5:K5" si="0">(E17+E24)/12</f>
        <v>130.14313246072041</v>
      </c>
      <c r="F5" s="7">
        <f t="shared" si="0"/>
        <v>134.23094496072039</v>
      </c>
      <c r="G5" s="7">
        <f t="shared" si="0"/>
        <v>139.2966715232204</v>
      </c>
      <c r="H5" s="7">
        <f t="shared" si="0"/>
        <v>144.70742054665789</v>
      </c>
      <c r="I5" s="7">
        <f t="shared" si="0"/>
        <v>150.48732336404069</v>
      </c>
      <c r="J5" s="7">
        <f t="shared" si="0"/>
        <v>156.6622338907741</v>
      </c>
      <c r="K5" s="7">
        <f t="shared" si="0"/>
        <v>141.74258503219156</v>
      </c>
    </row>
    <row r="6" spans="1:12" ht="15" x14ac:dyDescent="0.25">
      <c r="D6" s="8"/>
      <c r="E6" s="7"/>
      <c r="F6" s="7"/>
      <c r="G6" s="7"/>
      <c r="H6" s="7"/>
      <c r="I6" s="7"/>
      <c r="J6" s="7"/>
      <c r="K6" s="7"/>
    </row>
    <row r="7" spans="1:12" ht="15" x14ac:dyDescent="0.25">
      <c r="B7" t="s">
        <v>216</v>
      </c>
      <c r="D7" s="8"/>
      <c r="E7" s="7">
        <v>130</v>
      </c>
      <c r="F7" s="7">
        <v>130</v>
      </c>
      <c r="G7" s="7">
        <v>130</v>
      </c>
      <c r="H7" s="7">
        <v>130</v>
      </c>
      <c r="I7" s="7">
        <v>130</v>
      </c>
      <c r="J7" s="7">
        <v>130</v>
      </c>
      <c r="K7" s="7">
        <v>130</v>
      </c>
      <c r="L7" s="7">
        <v>130</v>
      </c>
    </row>
    <row r="8" spans="1:12" ht="15" x14ac:dyDescent="0.25">
      <c r="B8" t="s">
        <v>217</v>
      </c>
      <c r="D8" s="8"/>
      <c r="E8" s="7">
        <f>E7*0.25</f>
        <v>32.5</v>
      </c>
      <c r="F8" s="7">
        <f t="shared" ref="F8:L8" si="1">F7*0.25</f>
        <v>32.5</v>
      </c>
      <c r="G8" s="7">
        <f t="shared" si="1"/>
        <v>32.5</v>
      </c>
      <c r="H8" s="7">
        <f t="shared" si="1"/>
        <v>32.5</v>
      </c>
      <c r="I8" s="7">
        <f t="shared" si="1"/>
        <v>32.5</v>
      </c>
      <c r="J8" s="7">
        <f t="shared" si="1"/>
        <v>32.5</v>
      </c>
      <c r="K8" s="7">
        <f t="shared" si="1"/>
        <v>32.5</v>
      </c>
      <c r="L8" s="7">
        <f t="shared" si="1"/>
        <v>32.5</v>
      </c>
    </row>
    <row r="9" spans="1:12" ht="15" x14ac:dyDescent="0.25">
      <c r="B9" t="s">
        <v>6</v>
      </c>
      <c r="D9" s="8"/>
      <c r="E9" s="7">
        <f>E7*0.75</f>
        <v>97.5</v>
      </c>
      <c r="F9" s="7">
        <f t="shared" ref="F9:L9" si="2">F7*0.75</f>
        <v>97.5</v>
      </c>
      <c r="G9" s="7">
        <f t="shared" si="2"/>
        <v>97.5</v>
      </c>
      <c r="H9" s="7">
        <f t="shared" si="2"/>
        <v>97.5</v>
      </c>
      <c r="I9" s="7">
        <f t="shared" si="2"/>
        <v>97.5</v>
      </c>
      <c r="J9" s="7">
        <f t="shared" si="2"/>
        <v>97.5</v>
      </c>
      <c r="K9" s="7">
        <f t="shared" si="2"/>
        <v>97.5</v>
      </c>
      <c r="L9" s="7">
        <f t="shared" si="2"/>
        <v>97.5</v>
      </c>
    </row>
    <row r="10" spans="1:12" ht="15.75" thickBot="1" x14ac:dyDescent="0.3">
      <c r="D10" s="8"/>
      <c r="E10" s="54">
        <f>SUM(E8:E9)</f>
        <v>130</v>
      </c>
      <c r="F10" s="54">
        <f t="shared" ref="F10:L10" si="3">SUM(F8:F9)</f>
        <v>130</v>
      </c>
      <c r="G10" s="54">
        <f t="shared" si="3"/>
        <v>130</v>
      </c>
      <c r="H10" s="54">
        <f t="shared" si="3"/>
        <v>130</v>
      </c>
      <c r="I10" s="54">
        <f t="shared" si="3"/>
        <v>130</v>
      </c>
      <c r="J10" s="54">
        <f t="shared" si="3"/>
        <v>130</v>
      </c>
      <c r="K10" s="54">
        <f t="shared" si="3"/>
        <v>130</v>
      </c>
      <c r="L10" s="54">
        <f t="shared" si="3"/>
        <v>130</v>
      </c>
    </row>
    <row r="11" spans="1:12" ht="15.75" thickTop="1" x14ac:dyDescent="0.25"/>
    <row r="12" spans="1:12" ht="15" x14ac:dyDescent="0.25">
      <c r="A12" t="s">
        <v>68</v>
      </c>
      <c r="B12" s="9" t="s">
        <v>9</v>
      </c>
      <c r="C12" s="9"/>
      <c r="D12" s="10">
        <v>62.5</v>
      </c>
      <c r="E12" s="10">
        <v>153.75</v>
      </c>
      <c r="F12" s="10">
        <v>161.4375</v>
      </c>
      <c r="G12" s="10">
        <v>169.50937500000001</v>
      </c>
      <c r="H12" s="10">
        <v>177.98484375000001</v>
      </c>
      <c r="I12" s="10">
        <v>186.8840859375</v>
      </c>
      <c r="J12" s="10">
        <v>196.22829023437501</v>
      </c>
      <c r="K12" s="10">
        <v>206.03970474609378</v>
      </c>
      <c r="L12" s="10">
        <v>216.34168998339845</v>
      </c>
    </row>
    <row r="13" spans="1:12" ht="15" x14ac:dyDescent="0.25">
      <c r="A13" t="s">
        <v>68</v>
      </c>
      <c r="B13" s="9" t="s">
        <v>11</v>
      </c>
      <c r="C13" s="9"/>
      <c r="D13" s="10">
        <v>2.5</v>
      </c>
      <c r="E13" s="10">
        <v>6.15</v>
      </c>
      <c r="F13" s="10">
        <v>6.4575000000000005</v>
      </c>
      <c r="G13" s="10">
        <v>6.7803750000000003</v>
      </c>
      <c r="H13" s="10">
        <v>7.1193937500000004</v>
      </c>
      <c r="I13" s="10">
        <v>7.4753634375000004</v>
      </c>
      <c r="J13" s="10">
        <v>7.849131609375001</v>
      </c>
      <c r="K13" s="10">
        <v>8.2415881898437515</v>
      </c>
      <c r="L13" s="10">
        <v>8.6536675993359378</v>
      </c>
    </row>
    <row r="14" spans="1:12" ht="15" x14ac:dyDescent="0.25">
      <c r="A14" t="s">
        <v>68</v>
      </c>
      <c r="B14" s="9" t="s">
        <v>12</v>
      </c>
      <c r="C14" s="9"/>
      <c r="D14" s="10">
        <v>100</v>
      </c>
      <c r="E14" s="10">
        <v>252.89999999999998</v>
      </c>
      <c r="F14" s="10">
        <v>267.67499999999995</v>
      </c>
      <c r="G14" s="10">
        <v>287.75062499999996</v>
      </c>
      <c r="H14" s="10">
        <v>309.33192187499992</v>
      </c>
      <c r="I14" s="10">
        <v>332.53181601562494</v>
      </c>
      <c r="J14" s="10">
        <v>357.47170221679687</v>
      </c>
      <c r="K14" s="10">
        <v>384.28207988305655</v>
      </c>
      <c r="L14" s="10">
        <v>413.10323587428582</v>
      </c>
    </row>
    <row r="15" spans="1:12" ht="15" x14ac:dyDescent="0.25">
      <c r="A15" t="s">
        <v>68</v>
      </c>
      <c r="B15" s="9" t="s">
        <v>106</v>
      </c>
      <c r="C15" s="9"/>
      <c r="D15" s="10">
        <v>10</v>
      </c>
      <c r="E15" s="10">
        <v>25.29</v>
      </c>
      <c r="F15" s="10">
        <v>26.767499999999998</v>
      </c>
      <c r="G15" s="10">
        <v>28.775062499999997</v>
      </c>
      <c r="H15" s="10">
        <v>30.933192187499994</v>
      </c>
      <c r="I15" s="10">
        <v>33.253181601562495</v>
      </c>
      <c r="J15" s="10">
        <v>35.747170221679688</v>
      </c>
      <c r="K15" s="10">
        <v>38.428207988305658</v>
      </c>
      <c r="L15" s="10">
        <v>41.310323587428584</v>
      </c>
    </row>
    <row r="16" spans="1:12" ht="15" x14ac:dyDescent="0.25">
      <c r="A16" t="s">
        <v>68</v>
      </c>
      <c r="B16" s="9" t="s">
        <v>107</v>
      </c>
      <c r="C16" s="9"/>
      <c r="D16" s="10">
        <v>143.44845615180103</v>
      </c>
      <c r="E16" s="10">
        <v>344.27629476432242</v>
      </c>
      <c r="F16" s="10">
        <v>344.27629476432242</v>
      </c>
      <c r="G16" s="10">
        <v>344.27629476432242</v>
      </c>
      <c r="H16" s="10">
        <v>344.27629476432242</v>
      </c>
      <c r="I16" s="10">
        <v>344.27629476432242</v>
      </c>
      <c r="J16" s="10">
        <v>344.27629476432242</v>
      </c>
      <c r="K16" s="10">
        <v>200.82783861252142</v>
      </c>
      <c r="L16" s="10">
        <v>0</v>
      </c>
    </row>
    <row r="17" spans="1:12" ht="15" x14ac:dyDescent="0.25">
      <c r="B17" s="9" t="s">
        <v>5</v>
      </c>
      <c r="C17" s="9"/>
      <c r="D17" s="50">
        <f t="shared" ref="D17:L17" si="4">SUM(D12:D16)</f>
        <v>318.448456151801</v>
      </c>
      <c r="E17" s="50">
        <f t="shared" si="4"/>
        <v>782.36629476432245</v>
      </c>
      <c r="F17" s="50">
        <f t="shared" si="4"/>
        <v>806.61379476432239</v>
      </c>
      <c r="G17" s="50">
        <f t="shared" si="4"/>
        <v>837.09173226432233</v>
      </c>
      <c r="H17" s="50">
        <f t="shared" si="4"/>
        <v>869.64564632682232</v>
      </c>
      <c r="I17" s="50">
        <f t="shared" si="4"/>
        <v>904.42074175650987</v>
      </c>
      <c r="J17" s="50">
        <f t="shared" si="4"/>
        <v>941.57258904654896</v>
      </c>
      <c r="K17" s="50">
        <f t="shared" si="4"/>
        <v>837.8194194198212</v>
      </c>
      <c r="L17" s="50">
        <f t="shared" si="4"/>
        <v>679.4089170444488</v>
      </c>
    </row>
    <row r="19" spans="1:12" ht="15" x14ac:dyDescent="0.25">
      <c r="A19" t="s">
        <v>89</v>
      </c>
      <c r="B19" s="9" t="s">
        <v>9</v>
      </c>
      <c r="C19" s="9"/>
      <c r="D19" s="10">
        <v>50</v>
      </c>
      <c r="E19" s="10">
        <v>153.125</v>
      </c>
      <c r="F19" s="10">
        <v>160.78125</v>
      </c>
      <c r="G19" s="10">
        <v>168.8203125</v>
      </c>
      <c r="H19" s="10">
        <v>177.26132812500001</v>
      </c>
      <c r="I19" s="10">
        <v>186.12439453125</v>
      </c>
      <c r="J19" s="10">
        <v>195.43061425781252</v>
      </c>
      <c r="K19" s="10">
        <v>205.20214497070313</v>
      </c>
      <c r="L19" s="10">
        <v>215.46225221923831</v>
      </c>
    </row>
    <row r="20" spans="1:12" ht="15" x14ac:dyDescent="0.25">
      <c r="A20" t="s">
        <v>89</v>
      </c>
      <c r="B20" s="9" t="s">
        <v>11</v>
      </c>
      <c r="C20" s="9"/>
      <c r="D20" s="10">
        <v>2</v>
      </c>
      <c r="E20" s="10">
        <v>6.125</v>
      </c>
      <c r="F20" s="10">
        <v>6.4312500000000004</v>
      </c>
      <c r="G20" s="10">
        <v>6.7528125000000001</v>
      </c>
      <c r="H20" s="10">
        <v>7.0904531250000007</v>
      </c>
      <c r="I20" s="10">
        <v>7.4449757812500001</v>
      </c>
      <c r="J20" s="10">
        <v>7.8172245703125007</v>
      </c>
      <c r="K20" s="10">
        <v>8.2080857988281259</v>
      </c>
      <c r="L20" s="10">
        <v>8.6184900887695317</v>
      </c>
    </row>
    <row r="21" spans="1:12" ht="15" x14ac:dyDescent="0.25">
      <c r="A21" t="s">
        <v>89</v>
      </c>
      <c r="B21" s="9" t="s">
        <v>12</v>
      </c>
      <c r="C21" s="9"/>
      <c r="D21" s="10">
        <v>80</v>
      </c>
      <c r="E21" s="10">
        <v>250.75</v>
      </c>
      <c r="F21" s="10">
        <v>266.0625</v>
      </c>
      <c r="G21" s="10">
        <v>286.01718749999998</v>
      </c>
      <c r="H21" s="10">
        <v>307.46847656249997</v>
      </c>
      <c r="I21" s="10">
        <v>330.5286123046875</v>
      </c>
      <c r="J21" s="10">
        <v>355.31825822753899</v>
      </c>
      <c r="K21" s="10">
        <v>381.96712759460445</v>
      </c>
      <c r="L21" s="10">
        <v>380.01242398693842</v>
      </c>
    </row>
    <row r="22" spans="1:12" ht="15" x14ac:dyDescent="0.25">
      <c r="A22" t="s">
        <v>89</v>
      </c>
      <c r="B22" s="9" t="s">
        <v>106</v>
      </c>
      <c r="C22" s="9"/>
      <c r="D22" s="10">
        <v>8</v>
      </c>
      <c r="E22" s="10">
        <v>25.075000000000003</v>
      </c>
      <c r="F22" s="10">
        <v>26.606250000000003</v>
      </c>
      <c r="G22" s="10">
        <v>28.60171875</v>
      </c>
      <c r="H22" s="10">
        <v>30.746847656249997</v>
      </c>
      <c r="I22" s="10">
        <v>33.05286123046875</v>
      </c>
      <c r="J22" s="10">
        <v>35.531825822753902</v>
      </c>
      <c r="K22" s="10">
        <v>38.196712759460446</v>
      </c>
      <c r="L22" s="10">
        <v>38.00124239869384</v>
      </c>
    </row>
    <row r="23" spans="1:12" ht="15" x14ac:dyDescent="0.25">
      <c r="A23" t="s">
        <v>89</v>
      </c>
      <c r="B23" s="9" t="s">
        <v>107</v>
      </c>
      <c r="C23" s="9"/>
      <c r="D23" s="10">
        <v>114.7587649214408</v>
      </c>
      <c r="E23" s="10">
        <v>344.27629476432242</v>
      </c>
      <c r="F23" s="10">
        <v>344.27629476432242</v>
      </c>
      <c r="G23" s="10">
        <v>344.27629476432242</v>
      </c>
      <c r="H23" s="10">
        <v>344.27629476432242</v>
      </c>
      <c r="I23" s="10">
        <v>344.27629476432242</v>
      </c>
      <c r="J23" s="10">
        <v>344.27629476432242</v>
      </c>
      <c r="K23" s="10">
        <v>229.5175298428816</v>
      </c>
      <c r="L23" s="10">
        <v>0</v>
      </c>
    </row>
    <row r="24" spans="1:12" ht="15" x14ac:dyDescent="0.25">
      <c r="B24" s="9" t="s">
        <v>5</v>
      </c>
      <c r="C24" s="9"/>
      <c r="D24" s="50">
        <f t="shared" ref="D24:L24" si="5">SUM(D19:D23)</f>
        <v>254.75876492144079</v>
      </c>
      <c r="E24" s="50">
        <f t="shared" si="5"/>
        <v>779.35129476432235</v>
      </c>
      <c r="F24" s="50">
        <f t="shared" si="5"/>
        <v>804.15754476432244</v>
      </c>
      <c r="G24" s="50">
        <f t="shared" si="5"/>
        <v>834.46832601432243</v>
      </c>
      <c r="H24" s="50">
        <f t="shared" si="5"/>
        <v>866.84340023307243</v>
      </c>
      <c r="I24" s="50">
        <f t="shared" si="5"/>
        <v>901.42713861197865</v>
      </c>
      <c r="J24" s="50">
        <f t="shared" si="5"/>
        <v>938.3742176427404</v>
      </c>
      <c r="K24" s="50">
        <f t="shared" si="5"/>
        <v>863.0916009664777</v>
      </c>
      <c r="L24" s="50">
        <f t="shared" si="5"/>
        <v>642.09440869364016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34"/>
  <sheetViews>
    <sheetView workbookViewId="0">
      <selection activeCell="G16" sqref="G16"/>
    </sheetView>
  </sheetViews>
  <sheetFormatPr defaultRowHeight="14.5" x14ac:dyDescent="0.35"/>
  <cols>
    <col min="2" max="2" width="3.7265625" customWidth="1"/>
    <col min="3" max="3" width="46.26953125" customWidth="1"/>
    <col min="5" max="5" width="14.7265625" hidden="1" customWidth="1"/>
    <col min="6" max="6" width="15.26953125" bestFit="1" customWidth="1"/>
    <col min="7" max="7" width="14.453125" bestFit="1" customWidth="1"/>
    <col min="9" max="9" width="12.1796875" bestFit="1" customWidth="1"/>
  </cols>
  <sheetData>
    <row r="2" spans="2:7" x14ac:dyDescent="0.25">
      <c r="B2" s="57" t="s">
        <v>30</v>
      </c>
      <c r="C2" s="107" t="s">
        <v>190</v>
      </c>
      <c r="D2" s="70"/>
      <c r="E2" s="108" t="s">
        <v>78</v>
      </c>
      <c r="F2" s="70" t="s">
        <v>78</v>
      </c>
    </row>
    <row r="3" spans="2:7" x14ac:dyDescent="0.25">
      <c r="B3" s="18">
        <v>1</v>
      </c>
      <c r="C3" s="36" t="s">
        <v>191</v>
      </c>
      <c r="D3" s="20"/>
      <c r="E3" s="80">
        <v>20342394</v>
      </c>
      <c r="F3" s="88">
        <v>23393753.099999998</v>
      </c>
    </row>
    <row r="4" spans="2:7" x14ac:dyDescent="0.25">
      <c r="B4" s="18">
        <v>2</v>
      </c>
      <c r="C4" s="36" t="s">
        <v>192</v>
      </c>
      <c r="D4" s="20"/>
      <c r="E4" s="80">
        <v>3994130</v>
      </c>
      <c r="F4" s="88">
        <v>4593249.5</v>
      </c>
      <c r="G4">
        <f>F4/10^7</f>
        <v>0.45932495000000001</v>
      </c>
    </row>
    <row r="5" spans="2:7" x14ac:dyDescent="0.25">
      <c r="B5" s="18">
        <v>3</v>
      </c>
      <c r="C5" s="36" t="s">
        <v>193</v>
      </c>
      <c r="D5" s="20"/>
      <c r="E5" s="80">
        <v>1423060</v>
      </c>
      <c r="F5" s="88">
        <v>1636518.9999999998</v>
      </c>
      <c r="G5">
        <f t="shared" ref="G5:G9" si="0">F5/10^7</f>
        <v>0.16365189999999999</v>
      </c>
    </row>
    <row r="6" spans="2:7" x14ac:dyDescent="0.25">
      <c r="B6" s="18">
        <v>4</v>
      </c>
      <c r="C6" s="36" t="s">
        <v>194</v>
      </c>
      <c r="D6" s="20"/>
      <c r="E6" s="80">
        <v>3844805</v>
      </c>
      <c r="F6" s="88">
        <v>4421525.75</v>
      </c>
      <c r="G6">
        <f t="shared" si="0"/>
        <v>0.44215257499999999</v>
      </c>
    </row>
    <row r="7" spans="2:7" x14ac:dyDescent="0.25">
      <c r="B7" s="18">
        <v>5</v>
      </c>
      <c r="C7" s="36" t="s">
        <v>195</v>
      </c>
      <c r="D7" s="20"/>
      <c r="E7" s="80">
        <v>18057559</v>
      </c>
      <c r="F7" s="88">
        <v>20766192.849999998</v>
      </c>
      <c r="G7">
        <f t="shared" si="0"/>
        <v>2.0766192849999996</v>
      </c>
    </row>
    <row r="8" spans="2:7" x14ac:dyDescent="0.25">
      <c r="B8" s="18">
        <v>6</v>
      </c>
      <c r="C8" s="36" t="s">
        <v>196</v>
      </c>
      <c r="D8" s="20"/>
      <c r="E8" s="80">
        <v>7118850</v>
      </c>
      <c r="F8" s="88">
        <v>8186677.4999999991</v>
      </c>
      <c r="G8">
        <f t="shared" si="0"/>
        <v>0.81866774999999992</v>
      </c>
    </row>
    <row r="9" spans="2:7" x14ac:dyDescent="0.25">
      <c r="B9" s="18">
        <v>7</v>
      </c>
      <c r="C9" s="36" t="s">
        <v>197</v>
      </c>
      <c r="D9" s="20"/>
      <c r="E9" s="80">
        <v>12098210</v>
      </c>
      <c r="F9" s="88">
        <v>13912941.499999998</v>
      </c>
      <c r="G9">
        <f t="shared" si="0"/>
        <v>1.3912941499999998</v>
      </c>
    </row>
    <row r="10" spans="2:7" x14ac:dyDescent="0.25">
      <c r="B10" s="18"/>
      <c r="C10" s="36"/>
      <c r="D10" s="20"/>
      <c r="E10" s="8">
        <f>SUM(E3:E9)</f>
        <v>66879008</v>
      </c>
      <c r="F10" s="88">
        <f>SUM(F3:F9)</f>
        <v>76910859.199999988</v>
      </c>
      <c r="G10" s="8"/>
    </row>
    <row r="11" spans="2:7" x14ac:dyDescent="0.25">
      <c r="B11" s="18">
        <v>8</v>
      </c>
      <c r="C11" s="36" t="s">
        <v>199</v>
      </c>
      <c r="D11" s="20"/>
      <c r="E11" s="8">
        <v>4023440</v>
      </c>
      <c r="F11" s="91">
        <v>4023440</v>
      </c>
      <c r="G11">
        <f>F11/10^7</f>
        <v>0.40234399999999998</v>
      </c>
    </row>
    <row r="12" spans="2:7" x14ac:dyDescent="0.25">
      <c r="B12" s="18"/>
      <c r="C12" s="36"/>
      <c r="D12" s="20"/>
      <c r="E12" s="8">
        <f>E10+E11</f>
        <v>70902448</v>
      </c>
      <c r="F12" s="88">
        <f>F10+F11</f>
        <v>80934299.199999988</v>
      </c>
      <c r="G12" s="8"/>
    </row>
    <row r="13" spans="2:7" x14ac:dyDescent="0.25">
      <c r="B13" s="18"/>
      <c r="C13" s="106" t="s">
        <v>198</v>
      </c>
      <c r="D13" s="20"/>
      <c r="E13" s="8">
        <f>ROUND(E12*18%,0)</f>
        <v>12762441</v>
      </c>
      <c r="F13" s="88">
        <f>F12*18%</f>
        <v>14568173.855999997</v>
      </c>
    </row>
    <row r="14" spans="2:7" x14ac:dyDescent="0.25">
      <c r="B14" s="18"/>
      <c r="C14" s="36"/>
      <c r="D14" s="20"/>
      <c r="E14" s="8">
        <f>E12+E13</f>
        <v>83664889</v>
      </c>
      <c r="F14" s="88">
        <f>F12+F13</f>
        <v>95502473.055999979</v>
      </c>
    </row>
    <row r="15" spans="2:7" x14ac:dyDescent="0.25">
      <c r="B15" s="18"/>
      <c r="C15" s="36" t="s">
        <v>200</v>
      </c>
      <c r="D15" s="20"/>
      <c r="E15" s="80">
        <v>4000000</v>
      </c>
      <c r="F15" s="88">
        <f>E15</f>
        <v>4000000</v>
      </c>
      <c r="G15" s="132">
        <f>F15/10^7</f>
        <v>0.4</v>
      </c>
    </row>
    <row r="16" spans="2:7" x14ac:dyDescent="0.25">
      <c r="B16" s="18"/>
      <c r="C16" s="36"/>
      <c r="D16" s="20"/>
      <c r="E16" s="80">
        <f>E14+E15</f>
        <v>87664889</v>
      </c>
      <c r="F16" s="91">
        <f>F14+F15</f>
        <v>99502473.055999979</v>
      </c>
    </row>
    <row r="17" spans="2:9" x14ac:dyDescent="0.25">
      <c r="B17" s="18"/>
      <c r="C17" s="36" t="s">
        <v>182</v>
      </c>
      <c r="D17" s="20"/>
      <c r="E17" s="80">
        <v>4000000</v>
      </c>
      <c r="F17" s="91">
        <v>4000000</v>
      </c>
      <c r="G17" s="132">
        <f>F17/10^7</f>
        <v>0.4</v>
      </c>
    </row>
    <row r="18" spans="2:9" x14ac:dyDescent="0.25">
      <c r="B18" s="18"/>
      <c r="C18" s="36"/>
      <c r="D18" s="20"/>
      <c r="E18" s="8">
        <f>E16+E17</f>
        <v>91664889</v>
      </c>
      <c r="F18" s="88">
        <f>F16+F17</f>
        <v>103502473.05599998</v>
      </c>
    </row>
    <row r="19" spans="2:9" x14ac:dyDescent="0.25">
      <c r="B19" s="18"/>
      <c r="C19" s="36"/>
      <c r="D19" s="20"/>
      <c r="F19" s="20"/>
    </row>
    <row r="20" spans="2:9" x14ac:dyDescent="0.25">
      <c r="B20" s="18"/>
      <c r="C20" s="36" t="s">
        <v>184</v>
      </c>
      <c r="D20" s="20"/>
      <c r="E20" s="68">
        <v>2500000</v>
      </c>
      <c r="F20" s="103">
        <v>2500000</v>
      </c>
      <c r="G20">
        <f>F20/10^7</f>
        <v>0.25</v>
      </c>
    </row>
    <row r="21" spans="2:9" x14ac:dyDescent="0.25">
      <c r="B21" s="18"/>
      <c r="C21" s="36" t="s">
        <v>185</v>
      </c>
      <c r="D21" s="20"/>
      <c r="E21" s="68">
        <v>2000000</v>
      </c>
      <c r="F21" s="103">
        <v>2000000</v>
      </c>
      <c r="G21">
        <f t="shared" ref="G21:G22" si="1">F21/10^7</f>
        <v>0.2</v>
      </c>
    </row>
    <row r="22" spans="2:9" x14ac:dyDescent="0.25">
      <c r="B22" s="18"/>
      <c r="C22" s="36" t="s">
        <v>201</v>
      </c>
      <c r="D22" s="20"/>
      <c r="E22" s="68">
        <v>500000</v>
      </c>
      <c r="F22" s="103">
        <v>500000</v>
      </c>
      <c r="G22">
        <f t="shared" si="1"/>
        <v>0.05</v>
      </c>
    </row>
    <row r="23" spans="2:9" x14ac:dyDescent="0.25">
      <c r="B23" s="18"/>
      <c r="C23" s="36"/>
      <c r="D23" s="20"/>
      <c r="E23" s="8">
        <f>E18+E20+E21+E22</f>
        <v>96664889</v>
      </c>
      <c r="F23" s="88">
        <f>F18+F20+F21+F22</f>
        <v>108502473.05599998</v>
      </c>
    </row>
    <row r="24" spans="2:9" x14ac:dyDescent="0.25">
      <c r="B24" s="18"/>
      <c r="C24" s="36"/>
      <c r="D24" s="20"/>
      <c r="F24" s="20"/>
    </row>
    <row r="25" spans="2:9" x14ac:dyDescent="0.35">
      <c r="B25" s="18"/>
      <c r="C25" s="36" t="s">
        <v>202</v>
      </c>
      <c r="D25" s="20"/>
      <c r="E25" s="80">
        <v>2038000</v>
      </c>
      <c r="F25" s="88">
        <v>2038000</v>
      </c>
    </row>
    <row r="26" spans="2:9" x14ac:dyDescent="0.35">
      <c r="B26" s="18"/>
      <c r="C26" s="36" t="s">
        <v>203</v>
      </c>
      <c r="D26" s="20"/>
      <c r="E26" s="80">
        <v>6000000</v>
      </c>
      <c r="F26" s="88">
        <f>E26</f>
        <v>6000000</v>
      </c>
    </row>
    <row r="27" spans="2:9" x14ac:dyDescent="0.35">
      <c r="B27" s="18"/>
      <c r="C27" s="36"/>
      <c r="D27" s="20"/>
      <c r="F27" s="20"/>
    </row>
    <row r="28" spans="2:9" x14ac:dyDescent="0.35">
      <c r="B28" s="18"/>
      <c r="C28" s="36"/>
      <c r="D28" s="20"/>
      <c r="F28" s="20"/>
    </row>
    <row r="29" spans="2:9" x14ac:dyDescent="0.35">
      <c r="B29" s="18"/>
      <c r="C29" s="36" t="s">
        <v>218</v>
      </c>
      <c r="D29" s="20"/>
      <c r="E29" s="8">
        <v>3500000</v>
      </c>
      <c r="F29" s="88">
        <v>3250000</v>
      </c>
      <c r="I29" s="8"/>
    </row>
    <row r="30" spans="2:9" x14ac:dyDescent="0.35">
      <c r="B30" s="18"/>
      <c r="C30" s="36" t="s">
        <v>204</v>
      </c>
      <c r="D30" s="20"/>
      <c r="E30" s="80">
        <v>2500000</v>
      </c>
      <c r="F30" s="91">
        <v>210000</v>
      </c>
    </row>
    <row r="31" spans="2:9" x14ac:dyDescent="0.35">
      <c r="B31" s="18"/>
      <c r="C31" s="36"/>
      <c r="D31" s="20"/>
      <c r="F31" s="20"/>
    </row>
    <row r="32" spans="2:9" x14ac:dyDescent="0.35">
      <c r="B32" s="18"/>
      <c r="C32" s="36"/>
      <c r="D32" s="20"/>
      <c r="E32" s="80">
        <f>E23+E25+E26+E29+E30</f>
        <v>110702889</v>
      </c>
      <c r="F32" s="91">
        <f>F23+F25+F26+F29+F30</f>
        <v>120000473.05599998</v>
      </c>
    </row>
    <row r="33" spans="2:7" x14ac:dyDescent="0.35">
      <c r="B33" s="18"/>
      <c r="C33" s="36"/>
      <c r="D33" s="20"/>
      <c r="F33" s="20"/>
    </row>
    <row r="34" spans="2:7" x14ac:dyDescent="0.35">
      <c r="B34" s="19"/>
      <c r="C34" s="37" t="s">
        <v>205</v>
      </c>
      <c r="D34" s="22"/>
      <c r="E34" s="104">
        <v>120000000</v>
      </c>
      <c r="F34" s="105">
        <v>120000000</v>
      </c>
      <c r="G34" s="8"/>
    </row>
  </sheetData>
  <hyperlinks>
    <hyperlink ref="C13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6"/>
  <sheetViews>
    <sheetView workbookViewId="0">
      <selection activeCell="F9" sqref="F9"/>
    </sheetView>
  </sheetViews>
  <sheetFormatPr defaultRowHeight="14.5" x14ac:dyDescent="0.35"/>
  <cols>
    <col min="1" max="1" width="42.81640625" customWidth="1"/>
    <col min="2" max="2" width="15.81640625" customWidth="1"/>
    <col min="3" max="3" width="10.453125" customWidth="1"/>
    <col min="4" max="4" width="12.54296875" bestFit="1" customWidth="1"/>
    <col min="5" max="5" width="12.1796875" bestFit="1" customWidth="1"/>
    <col min="6" max="6" width="10.1796875" customWidth="1"/>
    <col min="7" max="7" width="9.54296875" customWidth="1"/>
    <col min="8" max="8" width="10.7265625" customWidth="1"/>
    <col min="9" max="10" width="11.54296875" customWidth="1"/>
    <col min="11" max="11" width="11.7265625" customWidth="1"/>
    <col min="12" max="12" width="10.453125" customWidth="1"/>
    <col min="13" max="13" width="10.81640625" customWidth="1"/>
    <col min="14" max="14" width="13.6328125" bestFit="1" customWidth="1"/>
    <col min="15" max="15" width="11.26953125" customWidth="1"/>
  </cols>
  <sheetData>
    <row r="1" spans="1:15" x14ac:dyDescent="0.35">
      <c r="A1" t="s">
        <v>273</v>
      </c>
      <c r="E1" s="169" t="s">
        <v>93</v>
      </c>
      <c r="F1" s="169"/>
      <c r="G1" s="23" t="s">
        <v>94</v>
      </c>
      <c r="H1" s="128" t="s">
        <v>95</v>
      </c>
      <c r="I1" s="128" t="s">
        <v>96</v>
      </c>
      <c r="J1" s="128" t="s">
        <v>97</v>
      </c>
      <c r="K1" s="128" t="s">
        <v>98</v>
      </c>
      <c r="L1" s="128" t="s">
        <v>99</v>
      </c>
      <c r="M1" s="128" t="s">
        <v>100</v>
      </c>
      <c r="N1" s="134" t="s">
        <v>303</v>
      </c>
      <c r="O1" s="134" t="s">
        <v>304</v>
      </c>
    </row>
    <row r="2" spans="1:15" ht="43.5" x14ac:dyDescent="0.35">
      <c r="A2" s="109" t="s">
        <v>265</v>
      </c>
      <c r="B2" s="130"/>
      <c r="C2" s="130"/>
      <c r="D2" s="130"/>
      <c r="E2" s="111" t="s">
        <v>46</v>
      </c>
      <c r="F2" s="111" t="s">
        <v>102</v>
      </c>
      <c r="G2" s="111" t="s">
        <v>102</v>
      </c>
      <c r="H2" s="111" t="s">
        <v>102</v>
      </c>
      <c r="I2" s="111" t="s">
        <v>102</v>
      </c>
      <c r="J2" s="111" t="s">
        <v>102</v>
      </c>
      <c r="K2" s="111" t="s">
        <v>102</v>
      </c>
      <c r="L2" s="111" t="s">
        <v>102</v>
      </c>
      <c r="M2" s="111" t="s">
        <v>102</v>
      </c>
      <c r="N2" s="111" t="s">
        <v>102</v>
      </c>
      <c r="O2" s="111" t="s">
        <v>102</v>
      </c>
    </row>
    <row r="3" spans="1:15" x14ac:dyDescent="0.35">
      <c r="E3" s="23">
        <v>3</v>
      </c>
      <c r="F3" s="23">
        <v>2</v>
      </c>
      <c r="G3" s="23">
        <v>12</v>
      </c>
      <c r="H3" s="23">
        <v>12</v>
      </c>
      <c r="I3" s="23">
        <v>12</v>
      </c>
      <c r="J3" s="23">
        <v>12</v>
      </c>
      <c r="K3" s="23">
        <v>12</v>
      </c>
      <c r="L3" s="23">
        <v>12</v>
      </c>
      <c r="M3" s="23">
        <v>12</v>
      </c>
      <c r="N3" s="136">
        <v>12</v>
      </c>
      <c r="O3" s="136">
        <v>12</v>
      </c>
    </row>
    <row r="4" spans="1:15" ht="15" x14ac:dyDescent="0.25">
      <c r="A4" s="23" t="s">
        <v>8</v>
      </c>
      <c r="B4" s="9" t="s">
        <v>235</v>
      </c>
      <c r="C4" s="9" t="s">
        <v>238</v>
      </c>
      <c r="D4" s="9" t="s">
        <v>242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45" x14ac:dyDescent="0.25">
      <c r="A5" s="9" t="s">
        <v>9</v>
      </c>
      <c r="B5" s="84" t="s">
        <v>243</v>
      </c>
      <c r="C5" s="9" t="s">
        <v>239</v>
      </c>
      <c r="D5" s="10">
        <f>50000*25</f>
        <v>1250000</v>
      </c>
      <c r="E5" s="10"/>
      <c r="F5" s="10">
        <f>$D5*F$3/10^5</f>
        <v>25</v>
      </c>
      <c r="G5" s="10">
        <f>(8*$D5+4*$D5*1.05)/10^5</f>
        <v>152.5</v>
      </c>
      <c r="H5" s="10">
        <f>(8*$D5*1.05+4*$D5*1.05^2)/10^5</f>
        <v>160.125</v>
      </c>
      <c r="I5" s="10">
        <f>(8*$D5*1.05^2+4*$D5*1.05^3)/10^5</f>
        <v>168.13124999999999</v>
      </c>
      <c r="J5" s="10">
        <f>(8*$D5*1.05^3+4*$D5*1.05^4)/10^5</f>
        <v>176.5378125</v>
      </c>
      <c r="K5" s="10">
        <f>(8*$D5*1.05^4+4*$D5*1.05^5)/10^5</f>
        <v>185.36470312500001</v>
      </c>
      <c r="L5" s="10">
        <f>(8*$D5*1.05^5+4*$D5*1.05^6)/10^5</f>
        <v>194.63293828125001</v>
      </c>
      <c r="M5" s="10">
        <f>(8*$D5*1.05^6+4*$D5*1.05^7)/10^5</f>
        <v>204.36458519531249</v>
      </c>
      <c r="N5" s="137">
        <f>(8*$D$5*1.05^7+4*$D$5*1.05^8)/10^5</f>
        <v>214.58281445507816</v>
      </c>
      <c r="O5" s="137">
        <f>(8*$D$5*1.05^8+4*$D$5*1.05^9)/10^5</f>
        <v>225.31195517783206</v>
      </c>
    </row>
    <row r="6" spans="1:15" ht="15" x14ac:dyDescent="0.25">
      <c r="A6" s="9" t="s">
        <v>11</v>
      </c>
      <c r="B6" s="9" t="s">
        <v>236</v>
      </c>
      <c r="C6" s="9"/>
      <c r="D6" s="9"/>
      <c r="E6" s="11"/>
      <c r="F6" s="11">
        <f t="shared" ref="F6:O6" si="0">F$5*4%</f>
        <v>1</v>
      </c>
      <c r="G6" s="11">
        <f t="shared" si="0"/>
        <v>6.1000000000000005</v>
      </c>
      <c r="H6" s="11">
        <f t="shared" si="0"/>
        <v>6.4050000000000002</v>
      </c>
      <c r="I6" s="11">
        <f t="shared" si="0"/>
        <v>6.72525</v>
      </c>
      <c r="J6" s="11">
        <f t="shared" si="0"/>
        <v>7.0615125000000001</v>
      </c>
      <c r="K6" s="11">
        <f t="shared" si="0"/>
        <v>7.4145881250000008</v>
      </c>
      <c r="L6" s="11">
        <f t="shared" si="0"/>
        <v>7.7853175312500005</v>
      </c>
      <c r="M6" s="11">
        <f t="shared" si="0"/>
        <v>8.1745834078125004</v>
      </c>
      <c r="N6" s="11">
        <f t="shared" si="0"/>
        <v>8.5833125782031274</v>
      </c>
      <c r="O6" s="11">
        <f t="shared" si="0"/>
        <v>9.0124782071132827</v>
      </c>
    </row>
    <row r="7" spans="1:15" ht="15" x14ac:dyDescent="0.25">
      <c r="A7" s="9" t="s">
        <v>12</v>
      </c>
      <c r="B7" s="9" t="s">
        <v>244</v>
      </c>
      <c r="C7" s="9" t="s">
        <v>240</v>
      </c>
      <c r="D7" s="10">
        <v>2000000</v>
      </c>
      <c r="E7" s="10"/>
      <c r="F7" s="10">
        <f>$D7*F$3/10^5</f>
        <v>40</v>
      </c>
      <c r="G7" s="10">
        <f>(7*$D7+5*$D7*1.075)/10^5</f>
        <v>247.5</v>
      </c>
      <c r="H7" s="10">
        <f>(7*$D7*1.075+5*$D7*1.075^2)/10^5</f>
        <v>266.0625</v>
      </c>
      <c r="I7" s="10">
        <f>(7*$D7*1.075^2+5*$D7*1.075^3)/10^5</f>
        <v>286.01718749999998</v>
      </c>
      <c r="J7" s="10">
        <f>(7*$D7*1.075^3+5*$D7*1.075^4)/10^5</f>
        <v>307.46847656249992</v>
      </c>
      <c r="K7" s="10">
        <f>(7*$D7*1.075^4+5*$D7*1.075^5)/10^5</f>
        <v>330.5286123046875</v>
      </c>
      <c r="L7" s="10">
        <f>(7*$D7*1.075^5+5*$D7*1.075^6)/10^5</f>
        <v>355.31825822753905</v>
      </c>
      <c r="M7" s="10">
        <f>(7*$D7*1.075^6+5*$D7*1.075^7)/10^5</f>
        <v>381.96712759460439</v>
      </c>
      <c r="N7" s="137">
        <f>(7*$D$7*1.075^7+5*$D$7*1.075^8)/10^5</f>
        <v>410.61466216419979</v>
      </c>
      <c r="O7" s="137">
        <f>(7*$D$7*1.075^7+5*$D$7*1.075^8)/10^5</f>
        <v>410.61466216419979</v>
      </c>
    </row>
    <row r="8" spans="1:15" ht="15" x14ac:dyDescent="0.25">
      <c r="A8" s="9" t="s">
        <v>106</v>
      </c>
      <c r="B8" s="9" t="s">
        <v>237</v>
      </c>
      <c r="C8" s="9"/>
      <c r="D8" s="9"/>
      <c r="E8" s="11"/>
      <c r="F8" s="11">
        <f t="shared" ref="F8:O8" si="1">F7*10%</f>
        <v>4</v>
      </c>
      <c r="G8" s="11">
        <f t="shared" si="1"/>
        <v>24.75</v>
      </c>
      <c r="H8" s="11">
        <f t="shared" si="1"/>
        <v>26.606250000000003</v>
      </c>
      <c r="I8" s="11">
        <f t="shared" si="1"/>
        <v>28.60171875</v>
      </c>
      <c r="J8" s="11">
        <f t="shared" si="1"/>
        <v>30.746847656249994</v>
      </c>
      <c r="K8" s="11">
        <f t="shared" si="1"/>
        <v>33.05286123046875</v>
      </c>
      <c r="L8" s="11">
        <f t="shared" si="1"/>
        <v>35.531825822753909</v>
      </c>
      <c r="M8" s="11">
        <f t="shared" si="1"/>
        <v>38.196712759460439</v>
      </c>
      <c r="N8" s="11">
        <f t="shared" si="1"/>
        <v>41.06146621641998</v>
      </c>
      <c r="O8" s="11">
        <f t="shared" si="1"/>
        <v>41.06146621641998</v>
      </c>
    </row>
    <row r="9" spans="1:15" ht="45" x14ac:dyDescent="0.25">
      <c r="A9" s="83" t="s">
        <v>107</v>
      </c>
      <c r="B9" s="84" t="s">
        <v>241</v>
      </c>
      <c r="C9" s="9"/>
      <c r="D9" s="9"/>
      <c r="E9" s="9"/>
      <c r="F9" s="11">
        <f>'CapitalReimb. sch'!$G3</f>
        <v>36.271999999999998</v>
      </c>
      <c r="G9" s="11">
        <f>'CapitalReimb. sch'!$G4</f>
        <v>217.63199999999998</v>
      </c>
      <c r="H9" s="11">
        <f>'CapitalReimb. sch'!$G5</f>
        <v>217.63199999999998</v>
      </c>
      <c r="I9" s="11">
        <f>'CapitalReimb. sch'!$G6</f>
        <v>217.63199999999998</v>
      </c>
      <c r="J9" s="11">
        <f>'CapitalReimb. sch'!$G7</f>
        <v>217.63199999999998</v>
      </c>
      <c r="K9" s="11">
        <f>'CapitalReimb. sch'!$G8</f>
        <v>217.63199999999998</v>
      </c>
      <c r="L9" s="11">
        <f>'CapitalReimb. sch'!$G9</f>
        <v>217.63199999999998</v>
      </c>
      <c r="M9" s="11">
        <f>'CapitalReimb. sch'!$G10</f>
        <v>181.35999999999996</v>
      </c>
      <c r="N9" s="9"/>
      <c r="O9" s="9"/>
    </row>
    <row r="10" spans="1:15" ht="15" x14ac:dyDescent="0.25">
      <c r="A10" s="83" t="s">
        <v>288</v>
      </c>
      <c r="B10" s="84"/>
      <c r="C10" s="9" t="s">
        <v>307</v>
      </c>
      <c r="D10" s="9">
        <v>1000000</v>
      </c>
      <c r="E10" s="9"/>
      <c r="F10" s="10">
        <f>$D10*F$3/10^5</f>
        <v>20</v>
      </c>
      <c r="G10" s="10">
        <f>(8*$D10+4*$D10*1.05)/10^5</f>
        <v>122</v>
      </c>
      <c r="H10" s="10">
        <f>(8*$D10*1.05+4*$D10*1.05^2)/10^5</f>
        <v>128.1</v>
      </c>
      <c r="I10" s="10">
        <f>(8*$D10*1.05^2+4*$D10*1.05^3)/10^5</f>
        <v>134.505</v>
      </c>
      <c r="J10" s="10">
        <f>(8*$D10*1.05^3+4*$D10*1.05^4)/10^5</f>
        <v>141.23025000000001</v>
      </c>
      <c r="K10" s="10">
        <f>(8*$D10*1.05^4+4*$D10*1.05^5)/10^5</f>
        <v>148.2917625</v>
      </c>
      <c r="L10" s="10">
        <f>(8*$D10*1.05^5+4*$D10*1.05^6)/10^5</f>
        <v>155.70635062500003</v>
      </c>
      <c r="M10" s="10">
        <f>(8*$D10*1.05^6+4*$D10*1.05^7)/10^5</f>
        <v>163.49166815625</v>
      </c>
      <c r="N10" s="10">
        <f>(8*$D10*1.05^7+4*$D10*1.05^8)/10^5</f>
        <v>171.66625156406255</v>
      </c>
      <c r="O10" s="10">
        <f>(8*$D10*1.05^8+4*$D10*1.05^9)/10^5</f>
        <v>180.24956414226563</v>
      </c>
    </row>
    <row r="11" spans="1:15" ht="15" x14ac:dyDescent="0.25">
      <c r="A11" s="9" t="s">
        <v>291</v>
      </c>
      <c r="B11" s="84"/>
      <c r="C11" s="9"/>
      <c r="D11" s="9"/>
      <c r="E11" s="9"/>
      <c r="F11" s="11">
        <f>+F10*4%</f>
        <v>0.8</v>
      </c>
      <c r="G11" s="11">
        <f t="shared" ref="G11:O11" si="2">+G10*4%</f>
        <v>4.88</v>
      </c>
      <c r="H11" s="11">
        <f t="shared" si="2"/>
        <v>5.1239999999999997</v>
      </c>
      <c r="I11" s="11">
        <f t="shared" si="2"/>
        <v>5.3802000000000003</v>
      </c>
      <c r="J11" s="11">
        <f t="shared" si="2"/>
        <v>5.649210000000001</v>
      </c>
      <c r="K11" s="11">
        <f t="shared" si="2"/>
        <v>5.9316705000000001</v>
      </c>
      <c r="L11" s="11">
        <f t="shared" si="2"/>
        <v>6.2282540250000009</v>
      </c>
      <c r="M11" s="11">
        <f t="shared" si="2"/>
        <v>6.5396667262500001</v>
      </c>
      <c r="N11" s="11">
        <f t="shared" si="2"/>
        <v>6.8666500625625018</v>
      </c>
      <c r="O11" s="11">
        <f t="shared" si="2"/>
        <v>7.2099825656906251</v>
      </c>
    </row>
    <row r="12" spans="1:15" x14ac:dyDescent="0.35">
      <c r="A12" s="9" t="s">
        <v>248</v>
      </c>
      <c r="B12" s="9"/>
      <c r="C12" s="9"/>
      <c r="D12" s="9"/>
      <c r="E12" s="9"/>
      <c r="F12" s="50">
        <f>SUM(F5:F11)</f>
        <v>127.07199999999999</v>
      </c>
      <c r="G12" s="50">
        <f t="shared" ref="G12:O12" si="3">SUM(G5:G11)</f>
        <v>775.36199999999997</v>
      </c>
      <c r="H12" s="50">
        <f t="shared" si="3"/>
        <v>810.05475000000001</v>
      </c>
      <c r="I12" s="50">
        <f t="shared" si="3"/>
        <v>846.99260624999988</v>
      </c>
      <c r="J12" s="50">
        <f t="shared" si="3"/>
        <v>886.32610921874993</v>
      </c>
      <c r="K12" s="50">
        <f t="shared" si="3"/>
        <v>928.21619778515628</v>
      </c>
      <c r="L12" s="50">
        <f t="shared" si="3"/>
        <v>972.83494451279296</v>
      </c>
      <c r="M12" s="50">
        <f t="shared" si="3"/>
        <v>984.09434383968971</v>
      </c>
      <c r="N12" s="50">
        <f t="shared" si="3"/>
        <v>853.37515704052612</v>
      </c>
      <c r="O12" s="50">
        <f t="shared" si="3"/>
        <v>873.46010847352136</v>
      </c>
    </row>
    <row r="13" spans="1:15" ht="1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15" x14ac:dyDescent="0.25">
      <c r="A14" s="9" t="s">
        <v>9</v>
      </c>
      <c r="B14" s="9"/>
      <c r="C14" s="9"/>
      <c r="D14" s="9"/>
      <c r="E14" s="9"/>
      <c r="F14" s="11">
        <f t="shared" ref="F14:O14" si="4">F5</f>
        <v>25</v>
      </c>
      <c r="G14" s="11">
        <f t="shared" si="4"/>
        <v>152.5</v>
      </c>
      <c r="H14" s="11">
        <f t="shared" si="4"/>
        <v>160.125</v>
      </c>
      <c r="I14" s="11">
        <f t="shared" si="4"/>
        <v>168.13124999999999</v>
      </c>
      <c r="J14" s="11">
        <f t="shared" si="4"/>
        <v>176.5378125</v>
      </c>
      <c r="K14" s="11">
        <f t="shared" si="4"/>
        <v>185.36470312500001</v>
      </c>
      <c r="L14" s="11">
        <f t="shared" si="4"/>
        <v>194.63293828125001</v>
      </c>
      <c r="M14" s="11">
        <f t="shared" si="4"/>
        <v>204.36458519531249</v>
      </c>
      <c r="N14" s="11">
        <f t="shared" si="4"/>
        <v>214.58281445507816</v>
      </c>
      <c r="O14" s="11">
        <f t="shared" si="4"/>
        <v>225.31195517783206</v>
      </c>
    </row>
    <row r="15" spans="1:15" ht="15" x14ac:dyDescent="0.25">
      <c r="A15" s="9" t="s">
        <v>50</v>
      </c>
      <c r="B15" s="9"/>
      <c r="C15" s="9"/>
      <c r="D15" s="9"/>
      <c r="E15" s="10">
        <f>(800000*E3)/10^5</f>
        <v>24</v>
      </c>
      <c r="F15" s="11">
        <f t="shared" ref="F15:O15" si="5">F7*80%</f>
        <v>32</v>
      </c>
      <c r="G15" s="11">
        <f t="shared" si="5"/>
        <v>198</v>
      </c>
      <c r="H15" s="11">
        <f t="shared" si="5"/>
        <v>212.85000000000002</v>
      </c>
      <c r="I15" s="11">
        <f t="shared" si="5"/>
        <v>228.81375</v>
      </c>
      <c r="J15" s="11">
        <f t="shared" si="5"/>
        <v>245.97478124999995</v>
      </c>
      <c r="K15" s="11">
        <f t="shared" si="5"/>
        <v>264.42288984375</v>
      </c>
      <c r="L15" s="11">
        <f t="shared" si="5"/>
        <v>284.25460658203127</v>
      </c>
      <c r="M15" s="11">
        <f t="shared" si="5"/>
        <v>305.57370207568351</v>
      </c>
      <c r="N15" s="11">
        <f t="shared" si="5"/>
        <v>328.49172973135984</v>
      </c>
      <c r="O15" s="11">
        <f t="shared" si="5"/>
        <v>328.49172973135984</v>
      </c>
    </row>
    <row r="16" spans="1:15" ht="30" x14ac:dyDescent="0.25">
      <c r="A16" s="9" t="s">
        <v>15</v>
      </c>
      <c r="B16" s="84" t="s">
        <v>245</v>
      </c>
      <c r="C16" s="9"/>
      <c r="D16" s="9"/>
      <c r="E16" s="11">
        <f>SUM('Loan Schedule'!F19:F21)</f>
        <v>17.71</v>
      </c>
      <c r="F16" s="11">
        <f>'Loan Schedule'!F3-'Detailed Revenue&amp;Expenses'!E16</f>
        <v>12.020000000000003</v>
      </c>
      <c r="G16" s="11">
        <f>'Loan Schedule'!$F4</f>
        <v>67.47</v>
      </c>
      <c r="H16" s="11">
        <f>'Loan Schedule'!$F5</f>
        <v>55.519999999999996</v>
      </c>
      <c r="I16" s="11">
        <f>'Loan Schedule'!$F6</f>
        <v>43.519999999999996</v>
      </c>
      <c r="J16" s="11">
        <f>'Loan Schedule'!$F7</f>
        <v>31.53</v>
      </c>
      <c r="K16" s="11">
        <f>'Loan Schedule'!$F8</f>
        <v>19.519999999999996</v>
      </c>
      <c r="L16" s="11">
        <f>'Loan Schedule'!$F9</f>
        <v>7.52</v>
      </c>
      <c r="M16" s="11">
        <f>'Loan Schedule'!$F10</f>
        <v>0.08</v>
      </c>
      <c r="N16" s="11">
        <f>'Loan Schedule'!H11</f>
        <v>0</v>
      </c>
      <c r="O16" s="10">
        <f>'Loan Schedule'!H12</f>
        <v>0</v>
      </c>
    </row>
    <row r="17" spans="1:15" ht="15" x14ac:dyDescent="0.25">
      <c r="A17" s="83" t="s">
        <v>288</v>
      </c>
      <c r="B17" s="84"/>
      <c r="C17" s="9"/>
      <c r="D17" s="9">
        <v>1000000</v>
      </c>
      <c r="E17" s="11"/>
      <c r="F17" s="11">
        <f>+F10</f>
        <v>20</v>
      </c>
      <c r="G17" s="11">
        <f t="shared" ref="G17:O17" si="6">+G10</f>
        <v>122</v>
      </c>
      <c r="H17" s="11">
        <f t="shared" si="6"/>
        <v>128.1</v>
      </c>
      <c r="I17" s="11">
        <f t="shared" si="6"/>
        <v>134.505</v>
      </c>
      <c r="J17" s="11">
        <f t="shared" si="6"/>
        <v>141.23025000000001</v>
      </c>
      <c r="K17" s="11">
        <f t="shared" si="6"/>
        <v>148.2917625</v>
      </c>
      <c r="L17" s="11">
        <f t="shared" si="6"/>
        <v>155.70635062500003</v>
      </c>
      <c r="M17" s="11">
        <f t="shared" si="6"/>
        <v>163.49166815625</v>
      </c>
      <c r="N17" s="11">
        <f t="shared" si="6"/>
        <v>171.66625156406255</v>
      </c>
      <c r="O17" s="11">
        <f t="shared" si="6"/>
        <v>180.24956414226563</v>
      </c>
    </row>
    <row r="18" spans="1:15" ht="45" x14ac:dyDescent="0.25">
      <c r="A18" s="9" t="s">
        <v>16</v>
      </c>
      <c r="B18" s="84" t="s">
        <v>246</v>
      </c>
      <c r="C18" s="9"/>
      <c r="D18" s="9"/>
      <c r="E18" s="9"/>
      <c r="F18" s="11">
        <f>+'Depreciation Schedule'!C5</f>
        <v>27.5</v>
      </c>
      <c r="G18" s="11">
        <f>+'Depreciation Schedule'!D5</f>
        <v>160.875</v>
      </c>
      <c r="H18" s="11">
        <f>+'Depreciation Schedule'!E5</f>
        <v>136.74375000000001</v>
      </c>
      <c r="I18" s="11">
        <f>+'Depreciation Schedule'!F5</f>
        <v>116.23218749999999</v>
      </c>
      <c r="J18" s="11">
        <f>+'Depreciation Schedule'!G5</f>
        <v>98.797359374999999</v>
      </c>
      <c r="K18" s="11">
        <f>+'Depreciation Schedule'!H5</f>
        <v>83.97775546874999</v>
      </c>
      <c r="L18" s="11">
        <f>+'Depreciation Schedule'!I5</f>
        <v>71.381092148437489</v>
      </c>
      <c r="M18" s="11">
        <f>+'Depreciation Schedule'!J5</f>
        <v>60.673928326171868</v>
      </c>
      <c r="N18" s="10">
        <f>'Depreciation Schedule'!K5</f>
        <v>51.572839077246094</v>
      </c>
      <c r="O18" s="10">
        <f>'Depreciation Schedule'!L5</f>
        <v>43.836913215659173</v>
      </c>
    </row>
    <row r="19" spans="1:15" ht="15" x14ac:dyDescent="0.25">
      <c r="A19" s="81" t="s">
        <v>221</v>
      </c>
      <c r="B19" s="84"/>
      <c r="C19" s="9"/>
      <c r="D19" s="9">
        <v>200000</v>
      </c>
      <c r="E19" s="9"/>
      <c r="F19" s="10">
        <f>$D19*F$3/10^5</f>
        <v>4</v>
      </c>
      <c r="G19" s="10">
        <f t="shared" ref="G19:O19" si="7">$D19*G$3/10^5</f>
        <v>24</v>
      </c>
      <c r="H19" s="10">
        <f t="shared" si="7"/>
        <v>24</v>
      </c>
      <c r="I19" s="10">
        <f t="shared" si="7"/>
        <v>24</v>
      </c>
      <c r="J19" s="10">
        <f t="shared" si="7"/>
        <v>24</v>
      </c>
      <c r="K19" s="10">
        <f t="shared" si="7"/>
        <v>24</v>
      </c>
      <c r="L19" s="10">
        <f t="shared" si="7"/>
        <v>24</v>
      </c>
      <c r="M19" s="10">
        <f t="shared" si="7"/>
        <v>24</v>
      </c>
      <c r="N19" s="10">
        <f t="shared" si="7"/>
        <v>24</v>
      </c>
      <c r="O19" s="10">
        <f t="shared" si="7"/>
        <v>24</v>
      </c>
    </row>
    <row r="20" spans="1:15" ht="30" x14ac:dyDescent="0.25">
      <c r="A20" s="9" t="s">
        <v>222</v>
      </c>
      <c r="B20" s="84" t="s">
        <v>247</v>
      </c>
      <c r="C20" s="9"/>
      <c r="D20" s="9"/>
      <c r="E20" s="9"/>
      <c r="F20" s="11">
        <f t="shared" ref="F20:O20" si="8">F12*3%</f>
        <v>3.8121599999999995</v>
      </c>
      <c r="G20" s="11">
        <f t="shared" si="8"/>
        <v>23.260859999999997</v>
      </c>
      <c r="H20" s="11">
        <f t="shared" si="8"/>
        <v>24.3016425</v>
      </c>
      <c r="I20" s="11">
        <f t="shared" si="8"/>
        <v>25.409778187499995</v>
      </c>
      <c r="J20" s="11">
        <f t="shared" si="8"/>
        <v>26.589783276562496</v>
      </c>
      <c r="K20" s="11">
        <f t="shared" si="8"/>
        <v>27.846485933554689</v>
      </c>
      <c r="L20" s="11">
        <f t="shared" si="8"/>
        <v>29.185048335383787</v>
      </c>
      <c r="M20" s="11">
        <f t="shared" si="8"/>
        <v>29.522830315190689</v>
      </c>
      <c r="N20" s="11">
        <f t="shared" si="8"/>
        <v>25.601254711215784</v>
      </c>
      <c r="O20" s="11">
        <f t="shared" si="8"/>
        <v>26.203803254205638</v>
      </c>
    </row>
    <row r="21" spans="1:15" x14ac:dyDescent="0.35">
      <c r="A21" s="9" t="s">
        <v>249</v>
      </c>
      <c r="B21" s="9"/>
      <c r="C21" s="9"/>
      <c r="D21" s="9"/>
      <c r="E21" s="50">
        <f>SUM(E15:E20)</f>
        <v>41.71</v>
      </c>
      <c r="F21" s="50">
        <f>SUM(F14:F20)</f>
        <v>124.33216000000002</v>
      </c>
      <c r="G21" s="50">
        <f t="shared" ref="G21:O21" si="9">SUM(G14:G20)</f>
        <v>748.10586000000001</v>
      </c>
      <c r="H21" s="50">
        <f t="shared" si="9"/>
        <v>741.64039249999996</v>
      </c>
      <c r="I21" s="50">
        <f t="shared" si="9"/>
        <v>740.61196568750006</v>
      </c>
      <c r="J21" s="50">
        <f t="shared" si="9"/>
        <v>744.65998640156249</v>
      </c>
      <c r="K21" s="50">
        <f t="shared" si="9"/>
        <v>753.42359687105477</v>
      </c>
      <c r="L21" s="50">
        <f t="shared" si="9"/>
        <v>766.68003597210259</v>
      </c>
      <c r="M21" s="50">
        <f t="shared" si="9"/>
        <v>787.70671406860868</v>
      </c>
      <c r="N21" s="50">
        <f t="shared" si="9"/>
        <v>815.91488953896248</v>
      </c>
      <c r="O21" s="50">
        <f t="shared" si="9"/>
        <v>828.09396552132239</v>
      </c>
    </row>
    <row r="22" spans="1:15" ht="15" x14ac:dyDescent="0.25">
      <c r="A22" s="18" t="s">
        <v>250</v>
      </c>
    </row>
    <row r="23" spans="1:15" ht="15" x14ac:dyDescent="0.25">
      <c r="A23" s="18" t="s">
        <v>3</v>
      </c>
      <c r="E23" s="8">
        <f>E15</f>
        <v>24</v>
      </c>
    </row>
    <row r="24" spans="1:15" ht="15" x14ac:dyDescent="0.25">
      <c r="A24" s="18" t="s">
        <v>251</v>
      </c>
      <c r="E24" s="8">
        <f>E16</f>
        <v>17.71</v>
      </c>
    </row>
    <row r="25" spans="1:15" x14ac:dyDescent="0.35">
      <c r="A25" s="18" t="s">
        <v>252</v>
      </c>
      <c r="E25" s="8">
        <f>E21-E23-E24</f>
        <v>0</v>
      </c>
      <c r="F25" s="129">
        <f t="shared" ref="F25:O25" si="10">F12-F21</f>
        <v>2.7398399999999725</v>
      </c>
      <c r="G25" s="129">
        <f t="shared" si="10"/>
        <v>27.256139999999959</v>
      </c>
      <c r="H25" s="129">
        <f t="shared" si="10"/>
        <v>68.414357500000051</v>
      </c>
      <c r="I25" s="129">
        <f t="shared" si="10"/>
        <v>106.38064056249982</v>
      </c>
      <c r="J25" s="129">
        <f t="shared" si="10"/>
        <v>141.66612281718744</v>
      </c>
      <c r="K25" s="129">
        <f t="shared" si="10"/>
        <v>174.79260091410151</v>
      </c>
      <c r="L25" s="129">
        <f t="shared" si="10"/>
        <v>206.15490854069037</v>
      </c>
      <c r="M25" s="129">
        <f t="shared" si="10"/>
        <v>196.38762977108104</v>
      </c>
      <c r="N25" s="129">
        <f t="shared" si="10"/>
        <v>37.460267501563635</v>
      </c>
      <c r="O25" s="129">
        <f t="shared" si="10"/>
        <v>45.36614295219897</v>
      </c>
    </row>
    <row r="27" spans="1:15" x14ac:dyDescent="0.35">
      <c r="A27" t="s">
        <v>272</v>
      </c>
      <c r="E27" s="169" t="s">
        <v>93</v>
      </c>
      <c r="F27" s="169"/>
      <c r="G27" s="23" t="s">
        <v>94</v>
      </c>
      <c r="H27" s="23" t="s">
        <v>95</v>
      </c>
      <c r="I27" s="23" t="s">
        <v>96</v>
      </c>
      <c r="J27" s="1" t="s">
        <v>97</v>
      </c>
      <c r="K27" s="1" t="s">
        <v>98</v>
      </c>
      <c r="L27" s="1" t="s">
        <v>99</v>
      </c>
      <c r="M27" s="1" t="s">
        <v>100</v>
      </c>
      <c r="N27" s="135" t="s">
        <v>303</v>
      </c>
      <c r="O27" s="156" t="s">
        <v>304</v>
      </c>
    </row>
    <row r="28" spans="1:15" ht="43.5" x14ac:dyDescent="0.35">
      <c r="A28" s="130" t="s">
        <v>265</v>
      </c>
      <c r="B28" s="57"/>
      <c r="C28" s="57"/>
      <c r="D28" s="107"/>
      <c r="E28" s="131" t="s">
        <v>46</v>
      </c>
      <c r="F28" s="131" t="s">
        <v>102</v>
      </c>
      <c r="G28" s="131" t="s">
        <v>102</v>
      </c>
      <c r="H28" s="131" t="s">
        <v>102</v>
      </c>
      <c r="I28" s="131" t="s">
        <v>102</v>
      </c>
      <c r="J28" s="157" t="s">
        <v>102</v>
      </c>
      <c r="K28" s="131" t="s">
        <v>102</v>
      </c>
      <c r="L28" s="131" t="s">
        <v>102</v>
      </c>
      <c r="M28" s="131" t="s">
        <v>102</v>
      </c>
      <c r="N28" s="131" t="s">
        <v>102</v>
      </c>
      <c r="O28" s="157" t="s">
        <v>102</v>
      </c>
    </row>
    <row r="29" spans="1:15" x14ac:dyDescent="0.35">
      <c r="A29" s="9"/>
      <c r="B29" s="9"/>
      <c r="C29" s="9"/>
      <c r="D29" s="162"/>
      <c r="E29" s="9">
        <v>3</v>
      </c>
      <c r="F29" s="9">
        <v>1</v>
      </c>
      <c r="G29" s="9">
        <v>12</v>
      </c>
      <c r="H29" s="9">
        <v>12</v>
      </c>
      <c r="I29" s="9">
        <v>12</v>
      </c>
      <c r="J29" s="158">
        <v>12</v>
      </c>
      <c r="K29" s="9">
        <v>12</v>
      </c>
      <c r="L29" s="9">
        <v>12</v>
      </c>
      <c r="M29" s="9">
        <v>12</v>
      </c>
      <c r="N29" s="9">
        <v>12</v>
      </c>
      <c r="O29" s="158">
        <v>12</v>
      </c>
    </row>
    <row r="30" spans="1:15" x14ac:dyDescent="0.35">
      <c r="A30" s="9" t="s">
        <v>8</v>
      </c>
      <c r="B30" s="9" t="s">
        <v>235</v>
      </c>
      <c r="C30" s="9" t="s">
        <v>238</v>
      </c>
      <c r="D30" s="162" t="s">
        <v>242</v>
      </c>
      <c r="E30" s="9"/>
      <c r="F30" s="9"/>
      <c r="G30" s="9"/>
      <c r="H30" s="9"/>
      <c r="I30" s="9"/>
      <c r="J30" s="158"/>
      <c r="K30" s="9"/>
      <c r="L30" s="9"/>
      <c r="M30" s="9"/>
      <c r="N30" s="9"/>
    </row>
    <row r="31" spans="1:15" x14ac:dyDescent="0.35">
      <c r="A31" s="9" t="s">
        <v>9</v>
      </c>
      <c r="B31" s="9" t="s">
        <v>243</v>
      </c>
      <c r="C31" s="9" t="s">
        <v>239</v>
      </c>
      <c r="D31" s="162">
        <v>1250000</v>
      </c>
      <c r="E31" s="9"/>
      <c r="F31" s="10">
        <f>D31*F29/10^5</f>
        <v>12.5</v>
      </c>
      <c r="G31" s="10">
        <f>(8*$D$31+4*D31*1.05)/10^5</f>
        <v>152.5</v>
      </c>
      <c r="H31" s="10">
        <f>(8*D31*1.05+4*D31*1.05^2)/10^5</f>
        <v>160.125</v>
      </c>
      <c r="I31" s="10">
        <f>(8*$D$31*1.05^2+4*$D$31*1.05^3)/10^5</f>
        <v>168.13124999999999</v>
      </c>
      <c r="J31" s="159">
        <f>(8*$D$31*1.05^3+4*$D$31*1.05^4)/10^5</f>
        <v>176.5378125</v>
      </c>
      <c r="K31" s="10">
        <f>(8*$D$31*1.05^4+4*$D$31*1.05^5)/10^5</f>
        <v>185.36470312500001</v>
      </c>
      <c r="L31" s="10">
        <f>(8*$D$31*1.05^5+4*$D$31*1.05^6)/10^5</f>
        <v>194.63293828125001</v>
      </c>
      <c r="M31" s="10">
        <f>(8*$D$31*1.05^6+4*$D$31*1.05^7)/10^5</f>
        <v>204.36458519531249</v>
      </c>
      <c r="N31" s="10">
        <f>(8*$D$31*1.05^7+4*$D$31*1.05^8)/10^5</f>
        <v>214.58281445507816</v>
      </c>
      <c r="O31" s="159">
        <f>(8*$D$31*1.05^8+4*$D$31*1.05^9)/10^5</f>
        <v>225.31195517783206</v>
      </c>
    </row>
    <row r="32" spans="1:15" x14ac:dyDescent="0.35">
      <c r="A32" s="9" t="s">
        <v>11</v>
      </c>
      <c r="B32" s="9" t="s">
        <v>236</v>
      </c>
      <c r="C32" s="9"/>
      <c r="D32" s="162"/>
      <c r="E32" s="9"/>
      <c r="F32" s="10">
        <f>F31*4%</f>
        <v>0.5</v>
      </c>
      <c r="G32" s="10">
        <f t="shared" ref="G32:O32" si="11">G31*4%</f>
        <v>6.1000000000000005</v>
      </c>
      <c r="H32" s="10">
        <f t="shared" si="11"/>
        <v>6.4050000000000002</v>
      </c>
      <c r="I32" s="10">
        <f t="shared" si="11"/>
        <v>6.72525</v>
      </c>
      <c r="J32" s="159">
        <f t="shared" si="11"/>
        <v>7.0615125000000001</v>
      </c>
      <c r="K32" s="10">
        <f t="shared" si="11"/>
        <v>7.4145881250000008</v>
      </c>
      <c r="L32" s="10">
        <f t="shared" si="11"/>
        <v>7.7853175312500005</v>
      </c>
      <c r="M32" s="10">
        <f t="shared" si="11"/>
        <v>8.1745834078125004</v>
      </c>
      <c r="N32" s="10">
        <f t="shared" si="11"/>
        <v>8.5833125782031274</v>
      </c>
      <c r="O32" s="159">
        <f t="shared" si="11"/>
        <v>9.0124782071132827</v>
      </c>
    </row>
    <row r="33" spans="1:15" x14ac:dyDescent="0.35">
      <c r="A33" s="9" t="s">
        <v>12</v>
      </c>
      <c r="B33" s="9" t="s">
        <v>244</v>
      </c>
      <c r="C33" s="9" t="s">
        <v>240</v>
      </c>
      <c r="D33" s="162">
        <v>2000000</v>
      </c>
      <c r="E33" s="9"/>
      <c r="F33" s="10">
        <f>D33*F29/10^5</f>
        <v>20</v>
      </c>
      <c r="G33" s="10">
        <f>(8*$D$33+4*$D$33*1.075)/10^5</f>
        <v>246</v>
      </c>
      <c r="H33" s="10">
        <f>(8*$D$33*1.075^1+4*$D$33*1.075^2)/10^5</f>
        <v>264.45</v>
      </c>
      <c r="I33" s="10">
        <f>(8*$D$33*1.075^2+4*$D$33*1.075^3)/10^5</f>
        <v>284.28375</v>
      </c>
      <c r="J33" s="159">
        <f>(8*$D$33*1.075^3+4*$D$33*1.075^4)/10^5</f>
        <v>305.60503124999997</v>
      </c>
      <c r="K33" s="10">
        <f>(8*$D$33*1.075^4+4*$D$33*1.075^5)/10^5</f>
        <v>328.52540859375</v>
      </c>
      <c r="L33" s="10">
        <f>(8*$D$33*1.075^5+4*$D$33*1.075^6)/10^5</f>
        <v>353.16481423828122</v>
      </c>
      <c r="M33" s="10">
        <f>(8*$D$33*1.075^6+4*$D$33*1.075^7)/10^5</f>
        <v>379.65217530615223</v>
      </c>
      <c r="N33" s="10">
        <f>(8*$D$33*1.075^7+4*$D$33*1.075^8)/10^5</f>
        <v>408.12608845411376</v>
      </c>
      <c r="O33" s="159">
        <f>(8*$D$33*1.075^8+4*$D$33*1.075^9)/10^5</f>
        <v>438.73554508817227</v>
      </c>
    </row>
    <row r="34" spans="1:15" x14ac:dyDescent="0.35">
      <c r="A34" s="9" t="s">
        <v>106</v>
      </c>
      <c r="B34" s="9" t="s">
        <v>237</v>
      </c>
      <c r="C34" s="9"/>
      <c r="D34" s="162"/>
      <c r="E34" s="9"/>
      <c r="F34" s="10">
        <f>F33*0.1</f>
        <v>2</v>
      </c>
      <c r="G34" s="10">
        <f t="shared" ref="G34:O34" si="12">G33*0.1</f>
        <v>24.6</v>
      </c>
      <c r="H34" s="10">
        <f t="shared" si="12"/>
        <v>26.445</v>
      </c>
      <c r="I34" s="10">
        <f t="shared" si="12"/>
        <v>28.428375000000003</v>
      </c>
      <c r="J34" s="159">
        <f t="shared" si="12"/>
        <v>30.560503124999997</v>
      </c>
      <c r="K34" s="10">
        <f t="shared" si="12"/>
        <v>32.852540859375004</v>
      </c>
      <c r="L34" s="10">
        <f t="shared" si="12"/>
        <v>35.316481423828122</v>
      </c>
      <c r="M34" s="10">
        <f t="shared" si="12"/>
        <v>37.965217530615227</v>
      </c>
      <c r="N34" s="10">
        <f t="shared" si="12"/>
        <v>40.812608845411376</v>
      </c>
      <c r="O34" s="159">
        <f t="shared" si="12"/>
        <v>43.873554508817229</v>
      </c>
    </row>
    <row r="35" spans="1:15" x14ac:dyDescent="0.35">
      <c r="A35" s="9" t="s">
        <v>107</v>
      </c>
      <c r="B35" s="9" t="s">
        <v>241</v>
      </c>
      <c r="C35" s="9"/>
      <c r="D35" s="162"/>
      <c r="E35" s="9"/>
      <c r="F35" s="10">
        <f>'CapitalReimb. sch'!$O3</f>
        <v>27.378</v>
      </c>
      <c r="G35" s="10">
        <f>'CapitalReimb. sch'!$O4</f>
        <v>328.53599999999989</v>
      </c>
      <c r="H35" s="10">
        <f>'CapitalReimb. sch'!$O5</f>
        <v>328.53599999999989</v>
      </c>
      <c r="I35" s="10">
        <f>'CapitalReimb. sch'!$O6</f>
        <v>328.53599999999989</v>
      </c>
      <c r="J35" s="159">
        <f>'CapitalReimb. sch'!$O7</f>
        <v>328.53599999999989</v>
      </c>
      <c r="K35" s="10">
        <f>'CapitalReimb. sch'!$O8</f>
        <v>328.53599999999989</v>
      </c>
      <c r="L35" s="10">
        <f>'CapitalReimb. sch'!$O9</f>
        <v>328.53599999999989</v>
      </c>
      <c r="M35" s="10">
        <f>'CapitalReimb. sch'!$O10</f>
        <v>301.1579999999999</v>
      </c>
      <c r="N35" s="10">
        <v>0</v>
      </c>
      <c r="O35" s="7">
        <v>0</v>
      </c>
    </row>
    <row r="36" spans="1:15" x14ac:dyDescent="0.35">
      <c r="A36" s="83" t="s">
        <v>288</v>
      </c>
      <c r="B36" s="84"/>
      <c r="C36" s="9"/>
      <c r="D36" s="162">
        <v>1000000</v>
      </c>
      <c r="E36" s="9"/>
      <c r="F36" s="10">
        <f>$D36*F$29/10^5</f>
        <v>10</v>
      </c>
      <c r="G36" s="10">
        <f>(8*$D36+4*$D36*1.05)/10^5</f>
        <v>122</v>
      </c>
      <c r="H36" s="10">
        <f>(8*$D36*1.05+4*$D36*1.05^2)/10^5</f>
        <v>128.1</v>
      </c>
      <c r="I36" s="10">
        <f>(8*$D36*1.05^2+4*$D36*1.05^3)/10^5</f>
        <v>134.505</v>
      </c>
      <c r="J36" s="159">
        <f>(8*$D36*1.05^3+4*$D36*1.05^4)/10^5</f>
        <v>141.23025000000001</v>
      </c>
      <c r="K36" s="10">
        <f>(8*$D36*1.05^4+4*$D36*1.05^5)/10^5</f>
        <v>148.2917625</v>
      </c>
      <c r="L36" s="10">
        <f>(8*$D36*1.05^5+4*$D36*1.05^6)/10^5</f>
        <v>155.70635062500003</v>
      </c>
      <c r="M36" s="10">
        <f>(8*$D36*1.05^6+4*$D36*1.05^7)/10^5</f>
        <v>163.49166815625</v>
      </c>
      <c r="N36" s="10">
        <f>(8*$D36*1.05^7+4*$D36*1.05^8)/10^5</f>
        <v>171.66625156406255</v>
      </c>
      <c r="O36" s="159">
        <f>(8*$D36*1.05^8+4*$D36*1.05^9)/10^5</f>
        <v>180.24956414226563</v>
      </c>
    </row>
    <row r="37" spans="1:15" x14ac:dyDescent="0.35">
      <c r="A37" s="9" t="s">
        <v>291</v>
      </c>
      <c r="B37" s="84"/>
      <c r="C37" s="9"/>
      <c r="D37" s="162"/>
      <c r="E37" s="9"/>
      <c r="F37" s="11">
        <f>+F36*4%</f>
        <v>0.4</v>
      </c>
      <c r="G37" s="11">
        <f t="shared" ref="G37" si="13">+G36*4%</f>
        <v>4.88</v>
      </c>
      <c r="H37" s="11">
        <f t="shared" ref="H37" si="14">+H36*4%</f>
        <v>5.1239999999999997</v>
      </c>
      <c r="I37" s="11">
        <f t="shared" ref="I37" si="15">+I36*4%</f>
        <v>5.3802000000000003</v>
      </c>
      <c r="J37" s="160">
        <f t="shared" ref="J37" si="16">+J36*4%</f>
        <v>5.649210000000001</v>
      </c>
      <c r="K37" s="11">
        <f t="shared" ref="K37" si="17">+K36*4%</f>
        <v>5.9316705000000001</v>
      </c>
      <c r="L37" s="11">
        <f t="shared" ref="L37" si="18">+L36*4%</f>
        <v>6.2282540250000009</v>
      </c>
      <c r="M37" s="11">
        <f t="shared" ref="M37:O37" si="19">+M36*4%</f>
        <v>6.5396667262500001</v>
      </c>
      <c r="N37" s="11">
        <f t="shared" si="19"/>
        <v>6.8666500625625018</v>
      </c>
      <c r="O37" s="160">
        <f t="shared" si="19"/>
        <v>7.2099825656906251</v>
      </c>
    </row>
    <row r="38" spans="1:15" x14ac:dyDescent="0.35">
      <c r="A38" s="9" t="s">
        <v>248</v>
      </c>
      <c r="B38" s="9"/>
      <c r="C38" s="9"/>
      <c r="D38" s="162"/>
      <c r="E38" s="9"/>
      <c r="F38" s="52">
        <f>SUM(F31:F37)</f>
        <v>72.778000000000006</v>
      </c>
      <c r="G38" s="52">
        <f t="shared" ref="G38:O38" si="20">SUM(G31:G37)</f>
        <v>884.61599999999987</v>
      </c>
      <c r="H38" s="52">
        <f t="shared" si="20"/>
        <v>919.18499999999995</v>
      </c>
      <c r="I38" s="52">
        <f t="shared" si="20"/>
        <v>955.98982499999988</v>
      </c>
      <c r="J38" s="161">
        <f t="shared" si="20"/>
        <v>995.18031937499995</v>
      </c>
      <c r="K38" s="52">
        <f t="shared" si="20"/>
        <v>1036.9166737031251</v>
      </c>
      <c r="L38" s="52">
        <f t="shared" si="20"/>
        <v>1081.3701561246091</v>
      </c>
      <c r="M38" s="52">
        <f t="shared" si="20"/>
        <v>1101.3458963223923</v>
      </c>
      <c r="N38" s="52">
        <f t="shared" si="20"/>
        <v>850.63772595943146</v>
      </c>
      <c r="O38" s="161">
        <f t="shared" si="20"/>
        <v>904.39307968989112</v>
      </c>
    </row>
    <row r="39" spans="1:15" x14ac:dyDescent="0.35">
      <c r="A39" s="9"/>
      <c r="B39" s="9"/>
      <c r="C39" s="9"/>
      <c r="D39" s="162"/>
      <c r="E39" s="9"/>
      <c r="F39" s="9"/>
      <c r="G39" s="9"/>
      <c r="H39" s="9"/>
      <c r="I39" s="9"/>
      <c r="J39" s="158"/>
      <c r="K39" s="9"/>
      <c r="L39" s="9"/>
      <c r="M39" s="9"/>
      <c r="N39" s="9"/>
    </row>
    <row r="40" spans="1:15" x14ac:dyDescent="0.35">
      <c r="A40" s="9" t="s">
        <v>9</v>
      </c>
      <c r="B40" s="9"/>
      <c r="C40" s="9"/>
      <c r="D40" s="162"/>
      <c r="E40" s="9"/>
      <c r="F40" s="10">
        <f>F31</f>
        <v>12.5</v>
      </c>
      <c r="G40" s="10">
        <f t="shared" ref="G40:O40" si="21">G31</f>
        <v>152.5</v>
      </c>
      <c r="H40" s="10">
        <f t="shared" si="21"/>
        <v>160.125</v>
      </c>
      <c r="I40" s="10">
        <f t="shared" si="21"/>
        <v>168.13124999999999</v>
      </c>
      <c r="J40" s="159">
        <f t="shared" si="21"/>
        <v>176.5378125</v>
      </c>
      <c r="K40" s="10">
        <f t="shared" si="21"/>
        <v>185.36470312500001</v>
      </c>
      <c r="L40" s="10">
        <f t="shared" si="21"/>
        <v>194.63293828125001</v>
      </c>
      <c r="M40" s="10">
        <f t="shared" si="21"/>
        <v>204.36458519531249</v>
      </c>
      <c r="N40" s="10">
        <f t="shared" si="21"/>
        <v>214.58281445507816</v>
      </c>
      <c r="O40" s="159">
        <f t="shared" si="21"/>
        <v>225.31195517783206</v>
      </c>
    </row>
    <row r="41" spans="1:15" x14ac:dyDescent="0.35">
      <c r="A41" s="9" t="s">
        <v>50</v>
      </c>
      <c r="B41" s="9"/>
      <c r="C41" s="9"/>
      <c r="D41" s="162"/>
      <c r="E41" s="10">
        <f>800000*E29/10^5</f>
        <v>24</v>
      </c>
      <c r="F41" s="10">
        <f>F33*80%</f>
        <v>16</v>
      </c>
      <c r="G41" s="10">
        <f t="shared" ref="G41:O41" si="22">G33*80%</f>
        <v>196.8</v>
      </c>
      <c r="H41" s="10">
        <f t="shared" si="22"/>
        <v>211.56</v>
      </c>
      <c r="I41" s="10">
        <f t="shared" si="22"/>
        <v>227.42700000000002</v>
      </c>
      <c r="J41" s="159">
        <f t="shared" si="22"/>
        <v>244.48402499999997</v>
      </c>
      <c r="K41" s="10">
        <f t="shared" si="22"/>
        <v>262.82032687500003</v>
      </c>
      <c r="L41" s="10">
        <f t="shared" si="22"/>
        <v>282.53185139062498</v>
      </c>
      <c r="M41" s="10">
        <f t="shared" si="22"/>
        <v>303.72174024492182</v>
      </c>
      <c r="N41" s="10">
        <f t="shared" si="22"/>
        <v>326.500870763291</v>
      </c>
      <c r="O41" s="159">
        <f t="shared" si="22"/>
        <v>350.98843607053783</v>
      </c>
    </row>
    <row r="42" spans="1:15" x14ac:dyDescent="0.35">
      <c r="A42" s="9" t="s">
        <v>15</v>
      </c>
      <c r="B42" s="9" t="s">
        <v>245</v>
      </c>
      <c r="C42" s="9"/>
      <c r="D42" s="162"/>
      <c r="E42" s="9">
        <f>SUM('Loan Schedule'!P19:P21)</f>
        <v>22.13</v>
      </c>
      <c r="F42" s="11">
        <f>'Loan Schedule'!P3-'Detailed Revenue&amp;Expenses'!E42</f>
        <v>7.620000000000001</v>
      </c>
      <c r="G42" s="11">
        <f>'Loan Schedule'!$P4</f>
        <v>85.34</v>
      </c>
      <c r="H42" s="11">
        <f>'Loan Schedule'!$P5</f>
        <v>70.650000000000006</v>
      </c>
      <c r="I42" s="11">
        <f>'Loan Schedule'!$P6</f>
        <v>55.640000000000015</v>
      </c>
      <c r="J42" s="160">
        <f>'Loan Schedule'!$P7</f>
        <v>40.64</v>
      </c>
      <c r="K42" s="11">
        <f>'Loan Schedule'!$P8</f>
        <v>25.630000000000003</v>
      </c>
      <c r="L42" s="11">
        <f>'Loan Schedule'!$P9</f>
        <v>10.64</v>
      </c>
      <c r="M42" s="11">
        <f>'Loan Schedule'!$P10</f>
        <v>0.32</v>
      </c>
      <c r="N42" s="10">
        <f>'Loan Schedule'!R11</f>
        <v>0</v>
      </c>
      <c r="O42" s="7">
        <f>'Loan Schedule'!R12</f>
        <v>0</v>
      </c>
    </row>
    <row r="43" spans="1:15" x14ac:dyDescent="0.35">
      <c r="A43" s="9" t="s">
        <v>16</v>
      </c>
      <c r="B43" s="9" t="s">
        <v>246</v>
      </c>
      <c r="C43" s="9"/>
      <c r="D43" s="162"/>
      <c r="E43" s="9"/>
      <c r="F43" s="11">
        <f>'Depreciation Schedule'!C10</f>
        <v>16.25</v>
      </c>
      <c r="G43" s="11">
        <f>'Depreciation Schedule'!D10</f>
        <v>192.5625</v>
      </c>
      <c r="H43" s="11">
        <f>'Depreciation Schedule'!E10</f>
        <v>163.67812499999999</v>
      </c>
      <c r="I43" s="11">
        <f>'Depreciation Schedule'!F10</f>
        <v>139.12640625</v>
      </c>
      <c r="J43" s="160">
        <f>'Depreciation Schedule'!G10</f>
        <v>118.25744531249998</v>
      </c>
      <c r="K43" s="11">
        <f>'Depreciation Schedule'!H10</f>
        <v>100.51882851562499</v>
      </c>
      <c r="L43" s="11">
        <f>'Depreciation Schedule'!I10</f>
        <v>85.441004238281252</v>
      </c>
      <c r="M43" s="11">
        <f>'Depreciation Schedule'!J10</f>
        <v>72.624853602539062</v>
      </c>
      <c r="N43" s="10">
        <f>'Depreciation Schedule'!K10</f>
        <v>61.731125562158198</v>
      </c>
      <c r="O43" s="7">
        <f>'Depreciation Schedule'!L10</f>
        <v>52.471456727834472</v>
      </c>
    </row>
    <row r="44" spans="1:15" x14ac:dyDescent="0.35">
      <c r="A44" s="9" t="s">
        <v>221</v>
      </c>
      <c r="B44" s="9"/>
      <c r="C44" s="9"/>
      <c r="D44" s="162">
        <v>200000</v>
      </c>
      <c r="E44" s="9"/>
      <c r="F44" s="10">
        <f>$D44*F$3/10^5</f>
        <v>4</v>
      </c>
      <c r="G44" s="10">
        <f t="shared" ref="G44:O44" si="23">$D44*G$3/10^5</f>
        <v>24</v>
      </c>
      <c r="H44" s="10">
        <f t="shared" si="23"/>
        <v>24</v>
      </c>
      <c r="I44" s="10">
        <f t="shared" si="23"/>
        <v>24</v>
      </c>
      <c r="J44" s="159">
        <f t="shared" si="23"/>
        <v>24</v>
      </c>
      <c r="K44" s="10">
        <f t="shared" si="23"/>
        <v>24</v>
      </c>
      <c r="L44" s="10">
        <f t="shared" si="23"/>
        <v>24</v>
      </c>
      <c r="M44" s="10">
        <f t="shared" si="23"/>
        <v>24</v>
      </c>
      <c r="N44" s="10">
        <f t="shared" si="23"/>
        <v>24</v>
      </c>
      <c r="O44" s="159">
        <f t="shared" si="23"/>
        <v>24</v>
      </c>
    </row>
    <row r="45" spans="1:15" x14ac:dyDescent="0.35">
      <c r="A45" s="9" t="s">
        <v>222</v>
      </c>
      <c r="B45" s="9" t="s">
        <v>247</v>
      </c>
      <c r="C45" s="9"/>
      <c r="D45" s="162"/>
      <c r="E45" s="9"/>
      <c r="F45" s="11">
        <f>F38*3%</f>
        <v>2.1833400000000003</v>
      </c>
      <c r="G45" s="11">
        <f t="shared" ref="G45:O45" si="24">G38*3%</f>
        <v>26.538479999999996</v>
      </c>
      <c r="H45" s="11">
        <f t="shared" si="24"/>
        <v>27.575549999999996</v>
      </c>
      <c r="I45" s="11">
        <f t="shared" si="24"/>
        <v>28.679694749999996</v>
      </c>
      <c r="J45" s="160">
        <f t="shared" si="24"/>
        <v>29.855409581249997</v>
      </c>
      <c r="K45" s="11">
        <f t="shared" si="24"/>
        <v>31.10750021109375</v>
      </c>
      <c r="L45" s="11">
        <f t="shared" si="24"/>
        <v>32.441104683738274</v>
      </c>
      <c r="M45" s="11">
        <f t="shared" si="24"/>
        <v>33.040376889671769</v>
      </c>
      <c r="N45" s="11">
        <f t="shared" si="24"/>
        <v>25.519131778782942</v>
      </c>
      <c r="O45" s="160">
        <f t="shared" si="24"/>
        <v>27.131792390696734</v>
      </c>
    </row>
    <row r="46" spans="1:15" x14ac:dyDescent="0.35">
      <c r="A46" s="83" t="s">
        <v>288</v>
      </c>
      <c r="B46" s="84"/>
      <c r="C46" s="9"/>
      <c r="D46" s="162">
        <v>1000000</v>
      </c>
      <c r="E46" s="9"/>
      <c r="F46" s="10">
        <f>+F36</f>
        <v>10</v>
      </c>
      <c r="G46" s="10">
        <f t="shared" ref="G46:O46" si="25">+G36</f>
        <v>122</v>
      </c>
      <c r="H46" s="10">
        <f t="shared" si="25"/>
        <v>128.1</v>
      </c>
      <c r="I46" s="10">
        <f t="shared" si="25"/>
        <v>134.505</v>
      </c>
      <c r="J46" s="159">
        <f t="shared" si="25"/>
        <v>141.23025000000001</v>
      </c>
      <c r="K46" s="10">
        <f t="shared" si="25"/>
        <v>148.2917625</v>
      </c>
      <c r="L46" s="10">
        <f t="shared" si="25"/>
        <v>155.70635062500003</v>
      </c>
      <c r="M46" s="10">
        <f t="shared" si="25"/>
        <v>163.49166815625</v>
      </c>
      <c r="N46" s="10">
        <f t="shared" si="25"/>
        <v>171.66625156406255</v>
      </c>
      <c r="O46" s="159">
        <f t="shared" si="25"/>
        <v>180.24956414226563</v>
      </c>
    </row>
    <row r="47" spans="1:15" x14ac:dyDescent="0.35">
      <c r="A47" s="9"/>
      <c r="B47" s="9"/>
      <c r="C47" s="9"/>
      <c r="D47" s="162"/>
      <c r="E47" s="9"/>
      <c r="F47" s="11"/>
      <c r="G47" s="11"/>
      <c r="H47" s="11"/>
      <c r="I47" s="11"/>
      <c r="J47" s="160"/>
      <c r="K47" s="11"/>
      <c r="L47" s="11"/>
      <c r="M47" s="11"/>
      <c r="N47" s="9"/>
    </row>
    <row r="48" spans="1:15" x14ac:dyDescent="0.35">
      <c r="A48" s="9" t="s">
        <v>249</v>
      </c>
      <c r="B48" s="9"/>
      <c r="C48" s="9"/>
      <c r="D48" s="162"/>
      <c r="E48" s="11">
        <f t="shared" ref="E48" si="26">SUM(E41:E45)</f>
        <v>46.129999999999995</v>
      </c>
      <c r="F48" s="52">
        <f>SUM(F40:F46)</f>
        <v>68.553340000000006</v>
      </c>
      <c r="G48" s="52">
        <f t="shared" ref="G48:O48" si="27">SUM(G40:G46)</f>
        <v>799.74098000000004</v>
      </c>
      <c r="H48" s="52">
        <f t="shared" si="27"/>
        <v>785.6886750000001</v>
      </c>
      <c r="I48" s="52">
        <f t="shared" si="27"/>
        <v>777.50935100000004</v>
      </c>
      <c r="J48" s="161">
        <f t="shared" si="27"/>
        <v>775.00494239374984</v>
      </c>
      <c r="K48" s="52">
        <f t="shared" si="27"/>
        <v>777.73312122671882</v>
      </c>
      <c r="L48" s="52">
        <f t="shared" si="27"/>
        <v>785.39324921889454</v>
      </c>
      <c r="M48" s="52">
        <f t="shared" si="27"/>
        <v>801.56322408869505</v>
      </c>
      <c r="N48" s="52">
        <f t="shared" si="27"/>
        <v>824.00019412337292</v>
      </c>
      <c r="O48" s="161">
        <f t="shared" si="27"/>
        <v>860.15320450916681</v>
      </c>
    </row>
    <row r="49" spans="1:15" x14ac:dyDescent="0.35">
      <c r="F49" s="8">
        <f>F38-F48</f>
        <v>4.2246600000000001</v>
      </c>
      <c r="G49" s="8">
        <f>G38-G48</f>
        <v>84.875019999999836</v>
      </c>
      <c r="H49" s="8">
        <f t="shared" ref="H49:O49" si="28">H38-H48</f>
        <v>133.49632499999984</v>
      </c>
      <c r="I49" s="8">
        <f t="shared" si="28"/>
        <v>178.48047399999984</v>
      </c>
      <c r="J49" s="8">
        <f t="shared" si="28"/>
        <v>220.17537698125011</v>
      </c>
      <c r="K49" s="8">
        <f t="shared" si="28"/>
        <v>259.18355247640625</v>
      </c>
      <c r="L49" s="8">
        <f t="shared" si="28"/>
        <v>295.9769069057146</v>
      </c>
      <c r="M49" s="8">
        <f t="shared" si="28"/>
        <v>299.78267223369721</v>
      </c>
      <c r="N49" s="8">
        <f t="shared" si="28"/>
        <v>26.637531836058542</v>
      </c>
      <c r="O49" s="8">
        <f t="shared" si="28"/>
        <v>44.239875180724312</v>
      </c>
    </row>
    <row r="52" spans="1:15" x14ac:dyDescent="0.35">
      <c r="A52" t="s">
        <v>271</v>
      </c>
      <c r="E52" s="170" t="s">
        <v>93</v>
      </c>
      <c r="F52" s="170"/>
      <c r="G52" s="23" t="s">
        <v>94</v>
      </c>
      <c r="H52" s="23" t="s">
        <v>95</v>
      </c>
      <c r="I52" s="23" t="s">
        <v>96</v>
      </c>
      <c r="J52" s="23" t="s">
        <v>97</v>
      </c>
      <c r="K52" s="23" t="s">
        <v>98</v>
      </c>
      <c r="L52" s="23" t="s">
        <v>99</v>
      </c>
      <c r="M52" s="23" t="s">
        <v>100</v>
      </c>
      <c r="N52" s="134" t="s">
        <v>303</v>
      </c>
      <c r="O52" s="134" t="s">
        <v>304</v>
      </c>
    </row>
    <row r="53" spans="1:15" ht="43.5" x14ac:dyDescent="0.35">
      <c r="A53" s="130" t="s">
        <v>265</v>
      </c>
      <c r="B53" s="57"/>
      <c r="C53" s="57"/>
      <c r="D53" s="57"/>
      <c r="E53" s="131" t="s">
        <v>46</v>
      </c>
      <c r="F53" s="131" t="s">
        <v>102</v>
      </c>
      <c r="G53" s="131" t="s">
        <v>102</v>
      </c>
      <c r="H53" s="131" t="s">
        <v>102</v>
      </c>
      <c r="I53" s="131" t="s">
        <v>102</v>
      </c>
      <c r="J53" s="131" t="s">
        <v>102</v>
      </c>
      <c r="K53" s="131" t="s">
        <v>102</v>
      </c>
      <c r="L53" s="131" t="s">
        <v>102</v>
      </c>
      <c r="M53" s="131" t="s">
        <v>102</v>
      </c>
      <c r="N53" s="131" t="s">
        <v>102</v>
      </c>
      <c r="O53" s="131" t="s">
        <v>102</v>
      </c>
    </row>
    <row r="54" spans="1:15" x14ac:dyDescent="0.35">
      <c r="A54" s="9"/>
      <c r="B54" s="9"/>
      <c r="C54" s="9"/>
      <c r="D54" s="9"/>
      <c r="E54" s="9">
        <v>3</v>
      </c>
      <c r="F54" s="9">
        <v>0</v>
      </c>
      <c r="G54" s="9">
        <v>12</v>
      </c>
      <c r="H54" s="9">
        <v>12</v>
      </c>
      <c r="I54" s="9">
        <v>12</v>
      </c>
      <c r="J54" s="9">
        <v>12</v>
      </c>
      <c r="K54" s="9">
        <v>12</v>
      </c>
      <c r="L54" s="9">
        <v>12</v>
      </c>
      <c r="M54" s="9">
        <v>12</v>
      </c>
      <c r="N54" s="140">
        <v>12</v>
      </c>
      <c r="O54" s="140">
        <v>12</v>
      </c>
    </row>
    <row r="55" spans="1:15" x14ac:dyDescent="0.35">
      <c r="A55" s="9" t="s">
        <v>8</v>
      </c>
      <c r="B55" s="9" t="s">
        <v>235</v>
      </c>
      <c r="C55" s="9" t="s">
        <v>238</v>
      </c>
      <c r="D55" s="9" t="s">
        <v>242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x14ac:dyDescent="0.35">
      <c r="A56" s="9" t="s">
        <v>9</v>
      </c>
      <c r="B56" s="9" t="s">
        <v>243</v>
      </c>
      <c r="C56" s="9" t="s">
        <v>239</v>
      </c>
      <c r="D56" s="9">
        <v>1250000</v>
      </c>
      <c r="E56" s="9"/>
      <c r="F56" s="10">
        <f>D56*F54/10^5</f>
        <v>0</v>
      </c>
      <c r="G56" s="10">
        <f>D56*G54/10^5</f>
        <v>150</v>
      </c>
      <c r="H56" s="10">
        <f>($D$56*H54*1.05)/10^5</f>
        <v>157.5</v>
      </c>
      <c r="I56" s="10">
        <f>($D$56*I54*1.05^2)/10^5</f>
        <v>165.375</v>
      </c>
      <c r="J56" s="10">
        <f>($D$56*J54*1.05^3)/10^5</f>
        <v>173.64375000000004</v>
      </c>
      <c r="K56" s="10">
        <f>($D$56*K54*1.05^4)/10^5</f>
        <v>182.32593750000001</v>
      </c>
      <c r="L56" s="10">
        <f>($D$56*L54*1.05^5)/10^5</f>
        <v>191.44223437500003</v>
      </c>
      <c r="M56" s="10">
        <f>($D$56*M54*1.05^6)/10^5</f>
        <v>201.01434609374999</v>
      </c>
      <c r="N56" s="10">
        <f>($D$56*N54*1.05^7)/10^5</f>
        <v>211.06506339843753</v>
      </c>
      <c r="O56" s="10">
        <f>($D$56*O54*1.05^8)/10^5</f>
        <v>221.6183165683594</v>
      </c>
    </row>
    <row r="57" spans="1:15" x14ac:dyDescent="0.35">
      <c r="A57" s="9" t="s">
        <v>11</v>
      </c>
      <c r="B57" s="9" t="s">
        <v>236</v>
      </c>
      <c r="C57" s="9"/>
      <c r="D57" s="9"/>
      <c r="E57" s="9"/>
      <c r="F57" s="10">
        <f>F56*4%</f>
        <v>0</v>
      </c>
      <c r="G57" s="10">
        <f t="shared" ref="G57:O57" si="29">G56*4%</f>
        <v>6</v>
      </c>
      <c r="H57" s="10">
        <f t="shared" si="29"/>
        <v>6.3</v>
      </c>
      <c r="I57" s="10">
        <f t="shared" si="29"/>
        <v>6.6150000000000002</v>
      </c>
      <c r="J57" s="10">
        <f t="shared" si="29"/>
        <v>6.9457500000000021</v>
      </c>
      <c r="K57" s="10">
        <f t="shared" si="29"/>
        <v>7.2930375000000005</v>
      </c>
      <c r="L57" s="10">
        <f t="shared" si="29"/>
        <v>7.6576893750000012</v>
      </c>
      <c r="M57" s="10">
        <f t="shared" si="29"/>
        <v>8.0405738437499998</v>
      </c>
      <c r="N57" s="10">
        <f t="shared" si="29"/>
        <v>8.4426025359375014</v>
      </c>
      <c r="O57" s="10">
        <f t="shared" si="29"/>
        <v>8.8647326627343759</v>
      </c>
    </row>
    <row r="58" spans="1:15" x14ac:dyDescent="0.35">
      <c r="A58" s="9" t="s">
        <v>12</v>
      </c>
      <c r="B58" s="9" t="s">
        <v>244</v>
      </c>
      <c r="C58" s="9" t="s">
        <v>240</v>
      </c>
      <c r="D58" s="9">
        <v>2000000</v>
      </c>
      <c r="E58" s="9"/>
      <c r="F58" s="10">
        <f>D58*F54/10^5</f>
        <v>0</v>
      </c>
      <c r="G58" s="10">
        <f>$D$58*G54/10^5</f>
        <v>240</v>
      </c>
      <c r="H58" s="10">
        <f>($D$58*H54*1.075^1)/10^5</f>
        <v>258</v>
      </c>
      <c r="I58" s="10">
        <f>($D$58*I54*1.075^2)/10^5</f>
        <v>277.34999999999997</v>
      </c>
      <c r="J58" s="10">
        <f>($D$58*J54*1.075^3)/10^5</f>
        <v>298.15124999999995</v>
      </c>
      <c r="K58" s="10">
        <f>($D$58*K54*1.075^4)/10^5</f>
        <v>320.51259374999995</v>
      </c>
      <c r="L58" s="10">
        <f>($D$58*L54*1.075^5)/10^5</f>
        <v>344.55103828124999</v>
      </c>
      <c r="M58" s="10">
        <f>($D$58*$M$54*1.075^6)/10^5</f>
        <v>370.3923661523437</v>
      </c>
      <c r="N58" s="10">
        <f>($D$58*$M$54*1.075^7)/10^5</f>
        <v>398.17179361376947</v>
      </c>
      <c r="O58" s="10">
        <f>($D$58*$M$54*1.075^8)/10^5</f>
        <v>428.03467813480211</v>
      </c>
    </row>
    <row r="59" spans="1:15" x14ac:dyDescent="0.35">
      <c r="A59" s="9" t="s">
        <v>106</v>
      </c>
      <c r="B59" s="9" t="s">
        <v>237</v>
      </c>
      <c r="C59" s="9"/>
      <c r="D59" s="9"/>
      <c r="E59" s="9"/>
      <c r="F59" s="10">
        <f>F58*0.1</f>
        <v>0</v>
      </c>
      <c r="G59" s="10">
        <f t="shared" ref="G59:O59" si="30">G58*0.1</f>
        <v>24</v>
      </c>
      <c r="H59" s="10">
        <f t="shared" si="30"/>
        <v>25.8</v>
      </c>
      <c r="I59" s="10">
        <f t="shared" si="30"/>
        <v>27.734999999999999</v>
      </c>
      <c r="J59" s="10">
        <f t="shared" si="30"/>
        <v>29.815124999999995</v>
      </c>
      <c r="K59" s="10">
        <f t="shared" si="30"/>
        <v>32.051259374999994</v>
      </c>
      <c r="L59" s="10">
        <f t="shared" si="30"/>
        <v>34.455103828124997</v>
      </c>
      <c r="M59" s="10">
        <f t="shared" si="30"/>
        <v>37.039236615234373</v>
      </c>
      <c r="N59" s="10">
        <f t="shared" si="30"/>
        <v>39.817179361376951</v>
      </c>
      <c r="O59" s="10">
        <f t="shared" si="30"/>
        <v>42.803467813480211</v>
      </c>
    </row>
    <row r="60" spans="1:15" x14ac:dyDescent="0.35">
      <c r="A60" s="9" t="s">
        <v>107</v>
      </c>
      <c r="B60" s="9" t="s">
        <v>241</v>
      </c>
      <c r="C60" s="9"/>
      <c r="D60" s="9"/>
      <c r="E60" s="9"/>
      <c r="F60" s="10">
        <v>0</v>
      </c>
      <c r="G60" s="10">
        <f>'CapitalReimb. sch'!$W4</f>
        <v>343.20000000000005</v>
      </c>
      <c r="H60" s="10">
        <f>'CapitalReimb. sch'!$W5</f>
        <v>343.20000000000005</v>
      </c>
      <c r="I60" s="10">
        <f>'CapitalReimb. sch'!$W6</f>
        <v>343.20000000000005</v>
      </c>
      <c r="J60" s="10">
        <f>'CapitalReimb. sch'!$W7</f>
        <v>343.20000000000005</v>
      </c>
      <c r="K60" s="10">
        <f>'CapitalReimb. sch'!$W8</f>
        <v>343.20000000000005</v>
      </c>
      <c r="L60" s="10">
        <f>'CapitalReimb. sch'!$W9</f>
        <v>343.20000000000005</v>
      </c>
      <c r="M60" s="10">
        <f>'CapitalReimb. sch'!$W10</f>
        <v>343.20000000000005</v>
      </c>
      <c r="N60" s="10">
        <v>0</v>
      </c>
      <c r="O60" s="10">
        <v>0</v>
      </c>
    </row>
    <row r="61" spans="1:15" x14ac:dyDescent="0.35">
      <c r="A61" s="83" t="s">
        <v>288</v>
      </c>
      <c r="B61" s="84"/>
      <c r="C61" s="9" t="s">
        <v>307</v>
      </c>
      <c r="D61" s="9">
        <v>1000000</v>
      </c>
      <c r="E61" s="9"/>
      <c r="F61" s="10">
        <v>0</v>
      </c>
      <c r="G61" s="10">
        <f>(8*$D61+4*$D61*1.05)/10^5</f>
        <v>122</v>
      </c>
      <c r="H61" s="10">
        <f>(8*$D61*1.05+4*$D61*1.05^2)/10^5</f>
        <v>128.1</v>
      </c>
      <c r="I61" s="10">
        <f>(8*$D61*1.05^2+4*$D61*1.05^3)/10^5</f>
        <v>134.505</v>
      </c>
      <c r="J61" s="10">
        <f>(8*$D61*1.05^3+4*$D61*1.05^4)/10^5</f>
        <v>141.23025000000001</v>
      </c>
      <c r="K61" s="10">
        <f>(8*$D61*1.05^4+4*$D61*1.05^5)/10^5</f>
        <v>148.2917625</v>
      </c>
      <c r="L61" s="10">
        <f>(8*$D61*1.05^5+4*$D61*1.05^6)/10^5</f>
        <v>155.70635062500003</v>
      </c>
      <c r="M61" s="10">
        <f>(8*$D61*1.05^6+4*$D61*1.05^7)/10^5</f>
        <v>163.49166815625</v>
      </c>
      <c r="N61" s="10">
        <f>(8*$D61*1.05^7+4*$D61*1.05^8)/10^5</f>
        <v>171.66625156406255</v>
      </c>
      <c r="O61" s="10">
        <f>(8*$D61*1.05^8+4*$D61*1.05^9)/10^5</f>
        <v>180.24956414226563</v>
      </c>
    </row>
    <row r="62" spans="1:15" x14ac:dyDescent="0.35">
      <c r="A62" s="9" t="s">
        <v>291</v>
      </c>
      <c r="B62" s="84"/>
      <c r="C62" s="9"/>
      <c r="D62" s="9"/>
      <c r="E62" s="9"/>
      <c r="F62" s="11">
        <f>+F61*4%</f>
        <v>0</v>
      </c>
      <c r="G62" s="11">
        <f t="shared" ref="G62" si="31">+G61*4%</f>
        <v>4.88</v>
      </c>
      <c r="H62" s="11">
        <f t="shared" ref="H62" si="32">+H61*4%</f>
        <v>5.1239999999999997</v>
      </c>
      <c r="I62" s="11">
        <f t="shared" ref="I62" si="33">+I61*4%</f>
        <v>5.3802000000000003</v>
      </c>
      <c r="J62" s="11">
        <f t="shared" ref="J62" si="34">+J61*4%</f>
        <v>5.649210000000001</v>
      </c>
      <c r="K62" s="11">
        <f t="shared" ref="K62" si="35">+K61*4%</f>
        <v>5.9316705000000001</v>
      </c>
      <c r="L62" s="11">
        <f t="shared" ref="L62" si="36">+L61*4%</f>
        <v>6.2282540250000009</v>
      </c>
      <c r="M62" s="11">
        <f t="shared" ref="M62:O62" si="37">+M61*4%</f>
        <v>6.5396667262500001</v>
      </c>
      <c r="N62" s="11">
        <f t="shared" si="37"/>
        <v>6.8666500625625018</v>
      </c>
      <c r="O62" s="11">
        <f t="shared" si="37"/>
        <v>7.2099825656906251</v>
      </c>
    </row>
    <row r="63" spans="1:15" x14ac:dyDescent="0.35">
      <c r="A63" s="9" t="s">
        <v>248</v>
      </c>
      <c r="B63" s="9"/>
      <c r="C63" s="9"/>
      <c r="D63" s="9"/>
      <c r="E63" s="9"/>
      <c r="F63" s="52">
        <f>SUM(F56:F60)</f>
        <v>0</v>
      </c>
      <c r="G63" s="52">
        <f>SUM(G56:G62)</f>
        <v>890.08</v>
      </c>
      <c r="H63" s="52">
        <f t="shared" ref="H63:O63" si="38">SUM(H56:H62)</f>
        <v>924.02400000000011</v>
      </c>
      <c r="I63" s="52">
        <f t="shared" si="38"/>
        <v>960.16020000000003</v>
      </c>
      <c r="J63" s="52">
        <f t="shared" si="38"/>
        <v>998.63533500000017</v>
      </c>
      <c r="K63" s="52">
        <f t="shared" si="38"/>
        <v>1039.6062611249999</v>
      </c>
      <c r="L63" s="52">
        <f t="shared" si="38"/>
        <v>1083.2406705093751</v>
      </c>
      <c r="M63" s="52">
        <f t="shared" si="38"/>
        <v>1129.7178575875782</v>
      </c>
      <c r="N63" s="52">
        <f t="shared" si="38"/>
        <v>836.02954053614644</v>
      </c>
      <c r="O63" s="52">
        <f t="shared" si="38"/>
        <v>888.7807418873324</v>
      </c>
    </row>
    <row r="64" spans="1:15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35">
      <c r="A65" s="9" t="s">
        <v>9</v>
      </c>
      <c r="B65" s="9"/>
      <c r="C65" s="9"/>
      <c r="D65" s="9"/>
      <c r="E65" s="9"/>
      <c r="F65" s="10">
        <f>F56</f>
        <v>0</v>
      </c>
      <c r="G65" s="10">
        <f t="shared" ref="G65:O65" si="39">G56</f>
        <v>150</v>
      </c>
      <c r="H65" s="10">
        <f t="shared" si="39"/>
        <v>157.5</v>
      </c>
      <c r="I65" s="10">
        <f t="shared" si="39"/>
        <v>165.375</v>
      </c>
      <c r="J65" s="10">
        <f t="shared" si="39"/>
        <v>173.64375000000004</v>
      </c>
      <c r="K65" s="10">
        <f t="shared" si="39"/>
        <v>182.32593750000001</v>
      </c>
      <c r="L65" s="10">
        <f t="shared" si="39"/>
        <v>191.44223437500003</v>
      </c>
      <c r="M65" s="10">
        <f t="shared" si="39"/>
        <v>201.01434609374999</v>
      </c>
      <c r="N65" s="10">
        <f t="shared" si="39"/>
        <v>211.06506339843753</v>
      </c>
      <c r="O65" s="10">
        <f t="shared" si="39"/>
        <v>221.6183165683594</v>
      </c>
    </row>
    <row r="66" spans="1:15" x14ac:dyDescent="0.35">
      <c r="A66" s="9" t="s">
        <v>50</v>
      </c>
      <c r="B66" s="9"/>
      <c r="C66" s="9"/>
      <c r="D66" s="9"/>
      <c r="E66" s="10">
        <f>800000*E54/10^5</f>
        <v>24</v>
      </c>
      <c r="F66" s="10">
        <f>F58*80%</f>
        <v>0</v>
      </c>
      <c r="G66" s="10">
        <f t="shared" ref="G66:O66" si="40">G58*80%</f>
        <v>192</v>
      </c>
      <c r="H66" s="10">
        <f t="shared" si="40"/>
        <v>206.4</v>
      </c>
      <c r="I66" s="10">
        <f t="shared" si="40"/>
        <v>221.88</v>
      </c>
      <c r="J66" s="10">
        <f t="shared" si="40"/>
        <v>238.52099999999996</v>
      </c>
      <c r="K66" s="10">
        <f t="shared" si="40"/>
        <v>256.41007499999995</v>
      </c>
      <c r="L66" s="10">
        <f t="shared" si="40"/>
        <v>275.64083062499998</v>
      </c>
      <c r="M66" s="10">
        <f t="shared" si="40"/>
        <v>296.31389292187498</v>
      </c>
      <c r="N66" s="10">
        <f t="shared" si="40"/>
        <v>318.53743489101561</v>
      </c>
      <c r="O66" s="10">
        <f t="shared" si="40"/>
        <v>342.42774250784169</v>
      </c>
    </row>
    <row r="67" spans="1:15" x14ac:dyDescent="0.35">
      <c r="A67" s="9" t="s">
        <v>15</v>
      </c>
      <c r="B67" s="9" t="s">
        <v>245</v>
      </c>
      <c r="C67" s="9"/>
      <c r="D67" s="9"/>
      <c r="E67" s="9">
        <f>'Loan Schedule'!Z3</f>
        <v>19.97</v>
      </c>
      <c r="F67" s="11">
        <v>0</v>
      </c>
      <c r="G67" s="11">
        <f>'Loan Schedule'!$Z4</f>
        <v>77.650000000000006</v>
      </c>
      <c r="H67" s="11">
        <f>'Loan Schedule'!$Z5</f>
        <v>64.710000000000008</v>
      </c>
      <c r="I67" s="11">
        <f>'Loan Schedule'!$Z6</f>
        <v>51.2</v>
      </c>
      <c r="J67" s="11">
        <f>'Loan Schedule'!$Z7</f>
        <v>37.69</v>
      </c>
      <c r="K67" s="11">
        <f>'Loan Schedule'!$Z8</f>
        <v>24.21</v>
      </c>
      <c r="L67" s="11">
        <f>'Loan Schedule'!$Z9</f>
        <v>10.700000000000001</v>
      </c>
      <c r="M67" s="11">
        <f>'Loan Schedule'!$Z10</f>
        <v>0.56000000000000005</v>
      </c>
      <c r="N67" s="10">
        <f>'Loan Schedule'!AB11</f>
        <v>0</v>
      </c>
      <c r="O67" s="10">
        <f>'Loan Schedule'!AB12</f>
        <v>0</v>
      </c>
    </row>
    <row r="68" spans="1:15" x14ac:dyDescent="0.35">
      <c r="A68" s="9" t="s">
        <v>16</v>
      </c>
      <c r="B68" s="9" t="s">
        <v>246</v>
      </c>
      <c r="C68" s="9"/>
      <c r="D68" s="9"/>
      <c r="E68" s="9"/>
      <c r="F68" s="11">
        <f>'Depreciation Schedule'!C32</f>
        <v>0</v>
      </c>
      <c r="G68" s="11">
        <f>'Depreciation Schedule'!D15</f>
        <v>180</v>
      </c>
      <c r="H68" s="11">
        <f>'Depreciation Schedule'!E15</f>
        <v>153</v>
      </c>
      <c r="I68" s="11">
        <f>'Depreciation Schedule'!F15</f>
        <v>130.04999999999998</v>
      </c>
      <c r="J68" s="11">
        <f>'Depreciation Schedule'!G15</f>
        <v>110.5425</v>
      </c>
      <c r="K68" s="11">
        <f>'Depreciation Schedule'!H15</f>
        <v>93.961124999999996</v>
      </c>
      <c r="L68" s="11">
        <f>'Depreciation Schedule'!I15</f>
        <v>79.866956250000001</v>
      </c>
      <c r="M68" s="11">
        <f>'Depreciation Schedule'!J15</f>
        <v>67.8869128125</v>
      </c>
      <c r="N68" s="10">
        <f>'Depreciation Schedule'!K15</f>
        <v>57.703875890625</v>
      </c>
      <c r="O68" s="10">
        <f>'Depreciation Schedule'!L15</f>
        <v>49.048294507031251</v>
      </c>
    </row>
    <row r="69" spans="1:15" x14ac:dyDescent="0.35">
      <c r="A69" s="9" t="s">
        <v>221</v>
      </c>
      <c r="B69" s="9"/>
      <c r="C69" s="9"/>
      <c r="D69" s="9">
        <v>200000</v>
      </c>
      <c r="E69" s="9"/>
      <c r="F69" s="10"/>
      <c r="G69" s="10">
        <f t="shared" ref="G69:O69" si="41">$D69*G$3/10^5</f>
        <v>24</v>
      </c>
      <c r="H69" s="10">
        <f t="shared" si="41"/>
        <v>24</v>
      </c>
      <c r="I69" s="10">
        <f t="shared" si="41"/>
        <v>24</v>
      </c>
      <c r="J69" s="10">
        <f t="shared" si="41"/>
        <v>24</v>
      </c>
      <c r="K69" s="10">
        <f t="shared" si="41"/>
        <v>24</v>
      </c>
      <c r="L69" s="10">
        <f t="shared" si="41"/>
        <v>24</v>
      </c>
      <c r="M69" s="10">
        <f t="shared" si="41"/>
        <v>24</v>
      </c>
      <c r="N69" s="10">
        <f t="shared" si="41"/>
        <v>24</v>
      </c>
      <c r="O69" s="10">
        <f t="shared" si="41"/>
        <v>24</v>
      </c>
    </row>
    <row r="70" spans="1:15" x14ac:dyDescent="0.35">
      <c r="A70" s="9" t="s">
        <v>222</v>
      </c>
      <c r="B70" s="9" t="s">
        <v>247</v>
      </c>
      <c r="C70" s="9"/>
      <c r="D70" s="9"/>
      <c r="E70" s="9"/>
      <c r="F70" s="11"/>
      <c r="G70" s="11">
        <f t="shared" ref="G70:O70" si="42">G63*3%</f>
        <v>26.702400000000001</v>
      </c>
      <c r="H70" s="11">
        <f t="shared" si="42"/>
        <v>27.720720000000004</v>
      </c>
      <c r="I70" s="11">
        <f t="shared" si="42"/>
        <v>28.804805999999999</v>
      </c>
      <c r="J70" s="11">
        <f t="shared" si="42"/>
        <v>29.959060050000005</v>
      </c>
      <c r="K70" s="11">
        <f t="shared" si="42"/>
        <v>31.188187833749996</v>
      </c>
      <c r="L70" s="11">
        <f t="shared" si="42"/>
        <v>32.497220115281252</v>
      </c>
      <c r="M70" s="11">
        <f t="shared" si="42"/>
        <v>33.891535727627343</v>
      </c>
      <c r="N70" s="11">
        <f t="shared" si="42"/>
        <v>25.080886216084391</v>
      </c>
      <c r="O70" s="11">
        <f t="shared" si="42"/>
        <v>26.66342225661997</v>
      </c>
    </row>
    <row r="71" spans="1:15" x14ac:dyDescent="0.35">
      <c r="A71" s="83" t="s">
        <v>288</v>
      </c>
      <c r="B71" s="84"/>
      <c r="C71" s="9"/>
      <c r="D71" s="9">
        <v>1000000</v>
      </c>
      <c r="E71" s="9"/>
      <c r="F71" s="10">
        <v>0</v>
      </c>
      <c r="G71" s="10">
        <f>(8*$D71+4*$D71*1.05)/10^5</f>
        <v>122</v>
      </c>
      <c r="H71" s="10">
        <f>(8*$D71*1.05+4*$D71*1.05^2)/10^5</f>
        <v>128.1</v>
      </c>
      <c r="I71" s="10">
        <f>(8*$D71*1.05^2+4*$D71*1.05^3)/10^5</f>
        <v>134.505</v>
      </c>
      <c r="J71" s="10">
        <f>(8*$D71*1.05^3+4*$D71*1.05^4)/10^5</f>
        <v>141.23025000000001</v>
      </c>
      <c r="K71" s="10">
        <f>(8*$D71*1.05^4+4*$D71*1.05^5)/10^5</f>
        <v>148.2917625</v>
      </c>
      <c r="L71" s="10">
        <f>(8*$D71*1.05^5+4*$D71*1.05^6)/10^5</f>
        <v>155.70635062500003</v>
      </c>
      <c r="M71" s="10">
        <f>(8*$D71*1.05^6+4*$D71*1.05^7)/10^5</f>
        <v>163.49166815625</v>
      </c>
      <c r="N71" s="10">
        <f>(8*$D71*1.05^7+4*$D71*1.05^8)/10^5</f>
        <v>171.66625156406255</v>
      </c>
      <c r="O71" s="10">
        <f>(8*$D71*1.05^8+4*$D71*1.05^9)/10^5</f>
        <v>180.24956414226563</v>
      </c>
    </row>
    <row r="72" spans="1:15" x14ac:dyDescent="0.35">
      <c r="A72" s="9" t="s">
        <v>249</v>
      </c>
      <c r="B72" s="9"/>
      <c r="C72" s="9"/>
      <c r="D72" s="9"/>
      <c r="E72" s="11">
        <f>SUM(E66:E70)</f>
        <v>43.97</v>
      </c>
      <c r="F72" s="52">
        <f>SUM(F66:F70)</f>
        <v>0</v>
      </c>
      <c r="G72" s="52">
        <f>SUM(G65:G71)</f>
        <v>772.35239999999999</v>
      </c>
      <c r="H72" s="52">
        <f t="shared" ref="H72:O72" si="43">SUM(H65:H71)</f>
        <v>761.43072000000006</v>
      </c>
      <c r="I72" s="52">
        <f t="shared" si="43"/>
        <v>755.81480599999998</v>
      </c>
      <c r="J72" s="52">
        <f t="shared" si="43"/>
        <v>755.58656005000012</v>
      </c>
      <c r="K72" s="52">
        <f t="shared" si="43"/>
        <v>760.38708783375</v>
      </c>
      <c r="L72" s="52">
        <f t="shared" si="43"/>
        <v>769.8535919902813</v>
      </c>
      <c r="M72" s="52">
        <f t="shared" si="43"/>
        <v>787.15835571200228</v>
      </c>
      <c r="N72" s="52">
        <f t="shared" si="43"/>
        <v>808.05351196022514</v>
      </c>
      <c r="O72" s="52">
        <f t="shared" si="43"/>
        <v>844.00733998211797</v>
      </c>
    </row>
    <row r="73" spans="1:15" x14ac:dyDescent="0.35">
      <c r="F73" s="8">
        <f t="shared" ref="F73:O73" si="44">F63-F72</f>
        <v>0</v>
      </c>
      <c r="G73" s="8">
        <f t="shared" si="44"/>
        <v>117.72760000000005</v>
      </c>
      <c r="H73" s="8">
        <f t="shared" si="44"/>
        <v>162.59328000000005</v>
      </c>
      <c r="I73" s="8">
        <f t="shared" si="44"/>
        <v>204.34539400000006</v>
      </c>
      <c r="J73" s="8">
        <f t="shared" si="44"/>
        <v>243.04877495000005</v>
      </c>
      <c r="K73" s="8">
        <f t="shared" si="44"/>
        <v>279.21917329124994</v>
      </c>
      <c r="L73" s="8">
        <f t="shared" si="44"/>
        <v>313.38707851909385</v>
      </c>
      <c r="M73" s="8">
        <f t="shared" si="44"/>
        <v>342.55950187557596</v>
      </c>
      <c r="N73" s="8">
        <f t="shared" si="44"/>
        <v>27.976028575921305</v>
      </c>
      <c r="O73" s="8">
        <f t="shared" si="44"/>
        <v>44.773401905214428</v>
      </c>
    </row>
    <row r="75" spans="1:15" x14ac:dyDescent="0.35">
      <c r="A75" t="s">
        <v>274</v>
      </c>
      <c r="E75" s="170" t="s">
        <v>93</v>
      </c>
      <c r="F75" s="170"/>
      <c r="G75" s="23" t="s">
        <v>94</v>
      </c>
      <c r="H75" s="23" t="s">
        <v>95</v>
      </c>
      <c r="I75" s="23" t="s">
        <v>96</v>
      </c>
      <c r="J75" s="23" t="s">
        <v>97</v>
      </c>
      <c r="K75" s="23" t="s">
        <v>98</v>
      </c>
      <c r="L75" s="23" t="s">
        <v>99</v>
      </c>
      <c r="M75" s="23" t="s">
        <v>100</v>
      </c>
      <c r="N75" s="134" t="s">
        <v>303</v>
      </c>
      <c r="O75" s="134" t="s">
        <v>304</v>
      </c>
    </row>
    <row r="76" spans="1:15" ht="43.5" x14ac:dyDescent="0.35">
      <c r="A76" s="130" t="s">
        <v>265</v>
      </c>
      <c r="B76" s="57"/>
      <c r="C76" s="57"/>
      <c r="D76" s="57"/>
      <c r="E76" s="131" t="s">
        <v>46</v>
      </c>
      <c r="F76" s="131" t="s">
        <v>102</v>
      </c>
      <c r="G76" s="131" t="s">
        <v>102</v>
      </c>
      <c r="H76" s="131" t="s">
        <v>102</v>
      </c>
      <c r="I76" s="131" t="s">
        <v>102</v>
      </c>
      <c r="J76" s="131" t="s">
        <v>102</v>
      </c>
      <c r="K76" s="131" t="s">
        <v>102</v>
      </c>
      <c r="L76" s="131" t="s">
        <v>102</v>
      </c>
      <c r="M76" s="131" t="s">
        <v>102</v>
      </c>
      <c r="N76" s="131" t="s">
        <v>102</v>
      </c>
      <c r="O76" s="131" t="s">
        <v>102</v>
      </c>
    </row>
    <row r="77" spans="1:15" x14ac:dyDescent="0.35">
      <c r="A77" s="9"/>
      <c r="B77" s="9"/>
      <c r="C77" s="9"/>
      <c r="D77" s="9"/>
      <c r="E77" s="9">
        <v>3</v>
      </c>
      <c r="F77" s="9">
        <v>0</v>
      </c>
      <c r="G77" s="9">
        <v>12</v>
      </c>
      <c r="H77" s="9">
        <v>12</v>
      </c>
      <c r="I77" s="9">
        <v>12</v>
      </c>
      <c r="J77" s="9">
        <v>12</v>
      </c>
      <c r="K77" s="9">
        <v>12</v>
      </c>
      <c r="L77" s="9">
        <v>12</v>
      </c>
      <c r="M77" s="9">
        <v>12</v>
      </c>
      <c r="N77" s="140">
        <v>12</v>
      </c>
      <c r="O77" s="140">
        <v>12</v>
      </c>
    </row>
    <row r="78" spans="1:15" x14ac:dyDescent="0.35">
      <c r="A78" s="9" t="s">
        <v>8</v>
      </c>
      <c r="B78" s="9" t="s">
        <v>235</v>
      </c>
      <c r="C78" s="9" t="s">
        <v>238</v>
      </c>
      <c r="D78" s="9" t="s">
        <v>242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35">
      <c r="A79" s="9" t="s">
        <v>9</v>
      </c>
      <c r="B79" s="9" t="s">
        <v>243</v>
      </c>
      <c r="C79" s="9" t="s">
        <v>239</v>
      </c>
      <c r="D79" s="9">
        <v>1250000</v>
      </c>
      <c r="E79" s="9"/>
      <c r="F79" s="10">
        <f>D79*F77/10^5</f>
        <v>0</v>
      </c>
      <c r="G79" s="10">
        <f>($D$79*G77)/10^5</f>
        <v>150</v>
      </c>
      <c r="H79" s="10">
        <f>($D$79*H77*1.05)/10^5</f>
        <v>157.5</v>
      </c>
      <c r="I79" s="10">
        <f>($D$79*I77*1.05^2)/10^5</f>
        <v>165.375</v>
      </c>
      <c r="J79" s="10">
        <f>($D$79*J77*1.05^3)/10^5</f>
        <v>173.64375000000004</v>
      </c>
      <c r="K79" s="10">
        <f>($D$79*K77*1.05^4)/10^5</f>
        <v>182.32593750000001</v>
      </c>
      <c r="L79" s="10">
        <f>($D$79*L77*1.05^5)/10^5</f>
        <v>191.44223437500003</v>
      </c>
      <c r="M79" s="10">
        <f>($D$79*M77*1.05^6)/10^5</f>
        <v>201.01434609374999</v>
      </c>
      <c r="N79" s="10">
        <f>($D$79*N77*1.05^7)/10^5</f>
        <v>211.06506339843753</v>
      </c>
      <c r="O79" s="10">
        <f>($D$79*O77*1.05^8)/10^5</f>
        <v>221.6183165683594</v>
      </c>
    </row>
    <row r="80" spans="1:15" x14ac:dyDescent="0.35">
      <c r="A80" s="9" t="s">
        <v>11</v>
      </c>
      <c r="B80" s="9" t="s">
        <v>236</v>
      </c>
      <c r="C80" s="9"/>
      <c r="D80" s="9"/>
      <c r="E80" s="9"/>
      <c r="F80" s="10">
        <f>F79*4%</f>
        <v>0</v>
      </c>
      <c r="G80" s="10">
        <f t="shared" ref="G80:O80" si="45">G79*4%</f>
        <v>6</v>
      </c>
      <c r="H80" s="10">
        <f t="shared" si="45"/>
        <v>6.3</v>
      </c>
      <c r="I80" s="10">
        <f t="shared" si="45"/>
        <v>6.6150000000000002</v>
      </c>
      <c r="J80" s="10">
        <f t="shared" si="45"/>
        <v>6.9457500000000021</v>
      </c>
      <c r="K80" s="10">
        <f t="shared" si="45"/>
        <v>7.2930375000000005</v>
      </c>
      <c r="L80" s="10">
        <f t="shared" si="45"/>
        <v>7.6576893750000012</v>
      </c>
      <c r="M80" s="10">
        <f t="shared" si="45"/>
        <v>8.0405738437499998</v>
      </c>
      <c r="N80" s="10">
        <f t="shared" si="45"/>
        <v>8.4426025359375014</v>
      </c>
      <c r="O80" s="10">
        <f t="shared" si="45"/>
        <v>8.8647326627343759</v>
      </c>
    </row>
    <row r="81" spans="1:15" x14ac:dyDescent="0.35">
      <c r="A81" s="9" t="s">
        <v>12</v>
      </c>
      <c r="B81" s="9" t="s">
        <v>244</v>
      </c>
      <c r="C81" s="9" t="s">
        <v>240</v>
      </c>
      <c r="D81" s="9">
        <v>2000000</v>
      </c>
      <c r="E81" s="9"/>
      <c r="F81" s="10">
        <f>D81*F77/10^5</f>
        <v>0</v>
      </c>
      <c r="G81" s="10">
        <f>$D$58*G77/10^5</f>
        <v>240</v>
      </c>
      <c r="H81" s="10">
        <f>($D$33*H77*1.075^1)/10^5</f>
        <v>258</v>
      </c>
      <c r="I81" s="10">
        <f>($D$33*I77*1.075^2)/10^5</f>
        <v>277.34999999999997</v>
      </c>
      <c r="J81" s="10">
        <f>($D$33*J77*1.075^3)/10^5</f>
        <v>298.15124999999995</v>
      </c>
      <c r="K81" s="10">
        <f>($D$33*K77*1.075^4)/10^5</f>
        <v>320.51259374999995</v>
      </c>
      <c r="L81" s="10">
        <f>($D$33*L77*1.075^5)/10^5</f>
        <v>344.55103828124999</v>
      </c>
      <c r="M81" s="10">
        <f>($D$33*$M$54*1.075^6)/10^5</f>
        <v>370.3923661523437</v>
      </c>
      <c r="N81" s="10">
        <f>($D$33*$M$54*1.075^7)/10^5</f>
        <v>398.17179361376947</v>
      </c>
      <c r="O81" s="10">
        <f>($D$33*$M$54*1.075^8)/10^5</f>
        <v>428.03467813480211</v>
      </c>
    </row>
    <row r="82" spans="1:15" x14ac:dyDescent="0.35">
      <c r="A82" s="9" t="s">
        <v>106</v>
      </c>
      <c r="B82" s="9" t="s">
        <v>237</v>
      </c>
      <c r="C82" s="9"/>
      <c r="D82" s="9"/>
      <c r="E82" s="9"/>
      <c r="F82" s="10">
        <f>F81*0.1</f>
        <v>0</v>
      </c>
      <c r="G82" s="10">
        <f t="shared" ref="G82:O82" si="46">G81*0.1</f>
        <v>24</v>
      </c>
      <c r="H82" s="10">
        <f t="shared" si="46"/>
        <v>25.8</v>
      </c>
      <c r="I82" s="10">
        <f t="shared" si="46"/>
        <v>27.734999999999999</v>
      </c>
      <c r="J82" s="10">
        <f t="shared" si="46"/>
        <v>29.815124999999995</v>
      </c>
      <c r="K82" s="10">
        <f t="shared" si="46"/>
        <v>32.051259374999994</v>
      </c>
      <c r="L82" s="10">
        <f t="shared" si="46"/>
        <v>34.455103828124997</v>
      </c>
      <c r="M82" s="10">
        <f t="shared" si="46"/>
        <v>37.039236615234373</v>
      </c>
      <c r="N82" s="10">
        <f t="shared" si="46"/>
        <v>39.817179361376951</v>
      </c>
      <c r="O82" s="10">
        <f t="shared" si="46"/>
        <v>42.803467813480211</v>
      </c>
    </row>
    <row r="83" spans="1:15" x14ac:dyDescent="0.35">
      <c r="A83" s="9" t="s">
        <v>107</v>
      </c>
      <c r="B83" s="9" t="s">
        <v>241</v>
      </c>
      <c r="C83" s="9"/>
      <c r="D83" s="9"/>
      <c r="E83" s="9"/>
      <c r="F83" s="10">
        <v>0</v>
      </c>
      <c r="G83" s="10">
        <f>'CapitalReimb. sch'!$AE4</f>
        <v>343.20000000000005</v>
      </c>
      <c r="H83" s="10">
        <f>'CapitalReimb. sch'!$AE5</f>
        <v>343.20000000000005</v>
      </c>
      <c r="I83" s="10">
        <f>'CapitalReimb. sch'!$AE6</f>
        <v>343.20000000000005</v>
      </c>
      <c r="J83" s="10">
        <f>'CapitalReimb. sch'!$AE7</f>
        <v>343.20000000000005</v>
      </c>
      <c r="K83" s="10">
        <f>'CapitalReimb. sch'!$AE8</f>
        <v>343.20000000000005</v>
      </c>
      <c r="L83" s="10">
        <f>'CapitalReimb. sch'!$AE9</f>
        <v>343.20000000000005</v>
      </c>
      <c r="M83" s="10">
        <f>'CapitalReimb. sch'!$AE10</f>
        <v>343.20000000000005</v>
      </c>
      <c r="N83" s="10">
        <v>0</v>
      </c>
      <c r="O83" s="10">
        <v>0</v>
      </c>
    </row>
    <row r="84" spans="1:15" x14ac:dyDescent="0.35">
      <c r="A84" s="83" t="s">
        <v>288</v>
      </c>
      <c r="B84" s="84"/>
      <c r="C84" s="9"/>
      <c r="D84" s="9">
        <v>1000000</v>
      </c>
      <c r="E84" s="9"/>
      <c r="F84" s="10">
        <v>0</v>
      </c>
      <c r="G84" s="10">
        <f>(8*$D84+4*$D84*1.05)/10^5</f>
        <v>122</v>
      </c>
      <c r="H84" s="10">
        <f>(8*$D84*1.05+4*$D84*1.05^2)/10^5</f>
        <v>128.1</v>
      </c>
      <c r="I84" s="10">
        <f>(8*$D84*1.05^2+4*$D84*1.05^3)/10^5</f>
        <v>134.505</v>
      </c>
      <c r="J84" s="10">
        <f>(8*$D84*1.05^3+4*$D84*1.05^4)/10^5</f>
        <v>141.23025000000001</v>
      </c>
      <c r="K84" s="10">
        <f>(8*$D84*1.05^4+4*$D84*1.05^5)/10^5</f>
        <v>148.2917625</v>
      </c>
      <c r="L84" s="10">
        <f>(8*$D84*1.05^5+4*$D84*1.05^6)/10^5</f>
        <v>155.70635062500003</v>
      </c>
      <c r="M84" s="10">
        <f>(8*$D84*1.05^6+4*$D84*1.05^7)/10^5</f>
        <v>163.49166815625</v>
      </c>
      <c r="N84" s="10">
        <f>(8*$D84*1.05^7+4*$D84*1.05^8)/10^5</f>
        <v>171.66625156406255</v>
      </c>
      <c r="O84" s="10">
        <f>(8*$D84*1.05^8+4*$D84*1.05^9)/10^5</f>
        <v>180.24956414226563</v>
      </c>
    </row>
    <row r="85" spans="1:15" x14ac:dyDescent="0.35">
      <c r="A85" s="9" t="s">
        <v>291</v>
      </c>
      <c r="B85" s="84"/>
      <c r="C85" s="9"/>
      <c r="D85" s="9"/>
      <c r="E85" s="9"/>
      <c r="F85" s="11"/>
      <c r="G85" s="11">
        <f t="shared" ref="G85" si="47">+G84*4%</f>
        <v>4.88</v>
      </c>
      <c r="H85" s="11">
        <f t="shared" ref="H85" si="48">+H84*4%</f>
        <v>5.1239999999999997</v>
      </c>
      <c r="I85" s="11">
        <f t="shared" ref="I85" si="49">+I84*4%</f>
        <v>5.3802000000000003</v>
      </c>
      <c r="J85" s="11">
        <f t="shared" ref="J85" si="50">+J84*4%</f>
        <v>5.649210000000001</v>
      </c>
      <c r="K85" s="11">
        <f t="shared" ref="K85" si="51">+K84*4%</f>
        <v>5.9316705000000001</v>
      </c>
      <c r="L85" s="11">
        <f t="shared" ref="L85" si="52">+L84*4%</f>
        <v>6.2282540250000009</v>
      </c>
      <c r="M85" s="11">
        <f t="shared" ref="M85:O85" si="53">+M84*4%</f>
        <v>6.5396667262500001</v>
      </c>
      <c r="N85" s="11">
        <f t="shared" si="53"/>
        <v>6.8666500625625018</v>
      </c>
      <c r="O85" s="11">
        <f t="shared" si="53"/>
        <v>7.2099825656906251</v>
      </c>
    </row>
    <row r="86" spans="1:15" x14ac:dyDescent="0.35">
      <c r="A86" s="9" t="s">
        <v>248</v>
      </c>
      <c r="B86" s="9"/>
      <c r="C86" s="9"/>
      <c r="D86" s="9"/>
      <c r="E86" s="9"/>
      <c r="F86" s="52">
        <f>SUM(F79:F83)</f>
        <v>0</v>
      </c>
      <c r="G86" s="52">
        <f>SUM(G79:G85)</f>
        <v>890.08</v>
      </c>
      <c r="H86" s="52">
        <f t="shared" ref="H86:O86" si="54">SUM(H79:H85)</f>
        <v>924.02400000000011</v>
      </c>
      <c r="I86" s="52">
        <f t="shared" si="54"/>
        <v>960.16020000000003</v>
      </c>
      <c r="J86" s="52">
        <f t="shared" si="54"/>
        <v>998.63533500000017</v>
      </c>
      <c r="K86" s="52">
        <f t="shared" si="54"/>
        <v>1039.6062611249999</v>
      </c>
      <c r="L86" s="52">
        <f t="shared" si="54"/>
        <v>1083.2406705093751</v>
      </c>
      <c r="M86" s="52">
        <f t="shared" si="54"/>
        <v>1129.7178575875782</v>
      </c>
      <c r="N86" s="52">
        <f t="shared" si="54"/>
        <v>836.02954053614644</v>
      </c>
      <c r="O86" s="52">
        <f t="shared" si="54"/>
        <v>888.7807418873324</v>
      </c>
    </row>
    <row r="87" spans="1:15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35">
      <c r="A88" s="9" t="s">
        <v>9</v>
      </c>
      <c r="B88" s="9"/>
      <c r="C88" s="9"/>
      <c r="D88" s="9"/>
      <c r="E88" s="9"/>
      <c r="F88" s="10">
        <f>F79</f>
        <v>0</v>
      </c>
      <c r="G88" s="10">
        <f t="shared" ref="G88:O88" si="55">G79</f>
        <v>150</v>
      </c>
      <c r="H88" s="10">
        <f t="shared" si="55"/>
        <v>157.5</v>
      </c>
      <c r="I88" s="10">
        <f t="shared" si="55"/>
        <v>165.375</v>
      </c>
      <c r="J88" s="10">
        <f t="shared" si="55"/>
        <v>173.64375000000004</v>
      </c>
      <c r="K88" s="10">
        <f t="shared" si="55"/>
        <v>182.32593750000001</v>
      </c>
      <c r="L88" s="10">
        <f t="shared" si="55"/>
        <v>191.44223437500003</v>
      </c>
      <c r="M88" s="10">
        <f t="shared" si="55"/>
        <v>201.01434609374999</v>
      </c>
      <c r="N88" s="10">
        <f t="shared" si="55"/>
        <v>211.06506339843753</v>
      </c>
      <c r="O88" s="10">
        <f t="shared" si="55"/>
        <v>221.6183165683594</v>
      </c>
    </row>
    <row r="89" spans="1:15" x14ac:dyDescent="0.35">
      <c r="A89" s="9" t="s">
        <v>50</v>
      </c>
      <c r="B89" s="9"/>
      <c r="C89" s="9"/>
      <c r="D89" s="9"/>
      <c r="E89" s="10">
        <f>800000*E77/10^5</f>
        <v>24</v>
      </c>
      <c r="F89" s="10">
        <f>F81*80%</f>
        <v>0</v>
      </c>
      <c r="G89" s="10">
        <f t="shared" ref="G89:O89" si="56">G81*80%</f>
        <v>192</v>
      </c>
      <c r="H89" s="10">
        <f t="shared" si="56"/>
        <v>206.4</v>
      </c>
      <c r="I89" s="10">
        <f t="shared" si="56"/>
        <v>221.88</v>
      </c>
      <c r="J89" s="10">
        <f t="shared" si="56"/>
        <v>238.52099999999996</v>
      </c>
      <c r="K89" s="10">
        <f t="shared" si="56"/>
        <v>256.41007499999995</v>
      </c>
      <c r="L89" s="10">
        <f t="shared" si="56"/>
        <v>275.64083062499998</v>
      </c>
      <c r="M89" s="10">
        <f t="shared" si="56"/>
        <v>296.31389292187498</v>
      </c>
      <c r="N89" s="10">
        <f t="shared" si="56"/>
        <v>318.53743489101561</v>
      </c>
      <c r="O89" s="10">
        <f t="shared" si="56"/>
        <v>342.42774250784169</v>
      </c>
    </row>
    <row r="90" spans="1:15" x14ac:dyDescent="0.35">
      <c r="A90" s="9" t="s">
        <v>15</v>
      </c>
      <c r="B90" s="9" t="s">
        <v>245</v>
      </c>
      <c r="C90" s="9"/>
      <c r="D90" s="9"/>
      <c r="E90" s="9">
        <f>'Loan Schedule'!AJ3</f>
        <v>19.97</v>
      </c>
      <c r="F90" s="11">
        <v>0</v>
      </c>
      <c r="G90" s="11">
        <f>'Loan Schedule'!$AJ4</f>
        <v>77.650000000000006</v>
      </c>
      <c r="H90" s="11">
        <f>'Loan Schedule'!$AJ5</f>
        <v>64.710000000000008</v>
      </c>
      <c r="I90" s="11">
        <f>'Loan Schedule'!$AJ6</f>
        <v>51.2</v>
      </c>
      <c r="J90" s="11">
        <f>'Loan Schedule'!$AJ7</f>
        <v>37.69</v>
      </c>
      <c r="K90" s="11">
        <f>'Loan Schedule'!$AJ8</f>
        <v>24.21</v>
      </c>
      <c r="L90" s="11">
        <f>'Loan Schedule'!$AJ9</f>
        <v>10.700000000000001</v>
      </c>
      <c r="M90" s="11">
        <f>'Loan Schedule'!$AJ10</f>
        <v>0.56000000000000005</v>
      </c>
      <c r="N90" s="10">
        <f>'Loan Schedule'!AL11</f>
        <v>0</v>
      </c>
      <c r="O90" s="10">
        <f>'Loan Schedule'!AL12</f>
        <v>0</v>
      </c>
    </row>
    <row r="91" spans="1:15" x14ac:dyDescent="0.35">
      <c r="A91" s="9" t="s">
        <v>16</v>
      </c>
      <c r="B91" s="9" t="s">
        <v>246</v>
      </c>
      <c r="C91" s="9"/>
      <c r="D91" s="9"/>
      <c r="E91" s="9"/>
      <c r="F91" s="11">
        <f>'Depreciation Schedule'!C52</f>
        <v>0</v>
      </c>
      <c r="G91" s="11">
        <f>'Depreciation Schedule'!D20</f>
        <v>180</v>
      </c>
      <c r="H91" s="11">
        <f>'Depreciation Schedule'!E20</f>
        <v>153</v>
      </c>
      <c r="I91" s="11">
        <f>'Depreciation Schedule'!F20</f>
        <v>130.04999999999998</v>
      </c>
      <c r="J91" s="11">
        <f>'Depreciation Schedule'!G20</f>
        <v>110.5425</v>
      </c>
      <c r="K91" s="11">
        <f>'Depreciation Schedule'!H20</f>
        <v>93.961124999999996</v>
      </c>
      <c r="L91" s="11">
        <f>'Depreciation Schedule'!I20</f>
        <v>79.866956250000001</v>
      </c>
      <c r="M91" s="11">
        <f>'Depreciation Schedule'!J20</f>
        <v>67.8869128125</v>
      </c>
      <c r="N91" s="10">
        <f>'Depreciation Schedule'!K20</f>
        <v>57.703875890625</v>
      </c>
      <c r="O91" s="10">
        <f>'Depreciation Schedule'!L20</f>
        <v>49.048294507031251</v>
      </c>
    </row>
    <row r="92" spans="1:15" x14ac:dyDescent="0.35">
      <c r="A92" s="9" t="s">
        <v>221</v>
      </c>
      <c r="B92" s="9"/>
      <c r="C92" s="9"/>
      <c r="D92" s="9">
        <v>200000</v>
      </c>
      <c r="E92" s="9"/>
      <c r="F92" s="10"/>
      <c r="G92" s="10">
        <f t="shared" ref="G92:O92" si="57">$D92*G$3/10^5</f>
        <v>24</v>
      </c>
      <c r="H92" s="10">
        <f t="shared" si="57"/>
        <v>24</v>
      </c>
      <c r="I92" s="10">
        <f t="shared" si="57"/>
        <v>24</v>
      </c>
      <c r="J92" s="10">
        <f t="shared" si="57"/>
        <v>24</v>
      </c>
      <c r="K92" s="10">
        <f t="shared" si="57"/>
        <v>24</v>
      </c>
      <c r="L92" s="10">
        <f t="shared" si="57"/>
        <v>24</v>
      </c>
      <c r="M92" s="10">
        <f t="shared" si="57"/>
        <v>24</v>
      </c>
      <c r="N92" s="10">
        <f t="shared" si="57"/>
        <v>24</v>
      </c>
      <c r="O92" s="10">
        <f t="shared" si="57"/>
        <v>24</v>
      </c>
    </row>
    <row r="93" spans="1:15" x14ac:dyDescent="0.35">
      <c r="A93" s="9" t="s">
        <v>222</v>
      </c>
      <c r="B93" s="9" t="s">
        <v>247</v>
      </c>
      <c r="C93" s="9"/>
      <c r="D93" s="9"/>
      <c r="E93" s="9"/>
      <c r="F93" s="11">
        <v>0</v>
      </c>
      <c r="G93" s="11">
        <f t="shared" ref="G93:O93" si="58">G86*3%</f>
        <v>26.702400000000001</v>
      </c>
      <c r="H93" s="11">
        <f t="shared" si="58"/>
        <v>27.720720000000004</v>
      </c>
      <c r="I93" s="11">
        <f t="shared" si="58"/>
        <v>28.804805999999999</v>
      </c>
      <c r="J93" s="11">
        <f t="shared" si="58"/>
        <v>29.959060050000005</v>
      </c>
      <c r="K93" s="11">
        <f t="shared" si="58"/>
        <v>31.188187833749996</v>
      </c>
      <c r="L93" s="11">
        <f t="shared" si="58"/>
        <v>32.497220115281252</v>
      </c>
      <c r="M93" s="11">
        <f t="shared" si="58"/>
        <v>33.891535727627343</v>
      </c>
      <c r="N93" s="11">
        <f t="shared" si="58"/>
        <v>25.080886216084391</v>
      </c>
      <c r="O93" s="11">
        <f t="shared" si="58"/>
        <v>26.66342225661997</v>
      </c>
    </row>
    <row r="94" spans="1:15" x14ac:dyDescent="0.35">
      <c r="A94" s="83" t="s">
        <v>288</v>
      </c>
      <c r="B94" s="84"/>
      <c r="C94" s="9"/>
      <c r="D94" s="9">
        <v>1000000</v>
      </c>
      <c r="E94" s="9"/>
      <c r="F94" s="10">
        <v>0</v>
      </c>
      <c r="G94" s="10">
        <f>(8*$D94+4*$D94*1.05)/10^5</f>
        <v>122</v>
      </c>
      <c r="H94" s="10">
        <f>(8*$D94*1.05+4*$D94*1.05^2)/10^5</f>
        <v>128.1</v>
      </c>
      <c r="I94" s="10">
        <f>(8*$D94*1.05^2+4*$D94*1.05^3)/10^5</f>
        <v>134.505</v>
      </c>
      <c r="J94" s="10">
        <f>(8*$D94*1.05^3+4*$D94*1.05^4)/10^5</f>
        <v>141.23025000000001</v>
      </c>
      <c r="K94" s="10">
        <f>(8*$D94*1.05^4+4*$D94*1.05^5)/10^5</f>
        <v>148.2917625</v>
      </c>
      <c r="L94" s="10">
        <f>(8*$D94*1.05^5+4*$D94*1.05^6)/10^5</f>
        <v>155.70635062500003</v>
      </c>
      <c r="M94" s="10">
        <f>(8*$D94*1.05^6+4*$D94*1.05^7)/10^5</f>
        <v>163.49166815625</v>
      </c>
      <c r="N94" s="10">
        <f>(8*$D94*1.05^7+4*$D94*1.05^8)/10^5</f>
        <v>171.66625156406255</v>
      </c>
      <c r="O94" s="10">
        <f>(8*$D94*1.05^8+4*$D94*1.05^9)/10^5</f>
        <v>180.24956414226563</v>
      </c>
    </row>
    <row r="95" spans="1:15" x14ac:dyDescent="0.35">
      <c r="A95" s="9" t="s">
        <v>249</v>
      </c>
      <c r="B95" s="9"/>
      <c r="C95" s="9"/>
      <c r="D95" s="9"/>
      <c r="E95" s="11">
        <f>SUM(E89:E93)</f>
        <v>43.97</v>
      </c>
      <c r="F95" s="52">
        <f>SUM(F89:F93)</f>
        <v>0</v>
      </c>
      <c r="G95" s="52">
        <f>SUM(G88:G94)</f>
        <v>772.35239999999999</v>
      </c>
      <c r="H95" s="52">
        <f t="shared" ref="H95:O95" si="59">SUM(H88:H94)</f>
        <v>761.43072000000006</v>
      </c>
      <c r="I95" s="52">
        <f t="shared" si="59"/>
        <v>755.81480599999998</v>
      </c>
      <c r="J95" s="52">
        <f t="shared" si="59"/>
        <v>755.58656005000012</v>
      </c>
      <c r="K95" s="52">
        <f t="shared" si="59"/>
        <v>760.38708783375</v>
      </c>
      <c r="L95" s="52">
        <f t="shared" si="59"/>
        <v>769.8535919902813</v>
      </c>
      <c r="M95" s="52">
        <f t="shared" si="59"/>
        <v>787.15835571200228</v>
      </c>
      <c r="N95" s="52">
        <f t="shared" si="59"/>
        <v>808.05351196022514</v>
      </c>
      <c r="O95" s="52">
        <f t="shared" si="59"/>
        <v>844.00733998211797</v>
      </c>
    </row>
    <row r="96" spans="1:15" x14ac:dyDescent="0.35">
      <c r="F96" s="8">
        <f t="shared" ref="F96:O96" si="60">F86-F95</f>
        <v>0</v>
      </c>
      <c r="G96" s="8">
        <f t="shared" si="60"/>
        <v>117.72760000000005</v>
      </c>
      <c r="H96" s="8">
        <f t="shared" si="60"/>
        <v>162.59328000000005</v>
      </c>
      <c r="I96" s="8">
        <f t="shared" si="60"/>
        <v>204.34539400000006</v>
      </c>
      <c r="J96" s="8">
        <f t="shared" si="60"/>
        <v>243.04877495000005</v>
      </c>
      <c r="K96" s="8">
        <f t="shared" si="60"/>
        <v>279.21917329124994</v>
      </c>
      <c r="L96" s="8">
        <f t="shared" si="60"/>
        <v>313.38707851909385</v>
      </c>
      <c r="M96" s="8">
        <f t="shared" si="60"/>
        <v>342.55950187557596</v>
      </c>
      <c r="N96" s="8">
        <f t="shared" si="60"/>
        <v>27.976028575921305</v>
      </c>
      <c r="O96" s="8">
        <f t="shared" si="60"/>
        <v>44.773401905214428</v>
      </c>
    </row>
  </sheetData>
  <mergeCells count="4">
    <mergeCell ref="E1:F1"/>
    <mergeCell ref="E27:F27"/>
    <mergeCell ref="E52:F52"/>
    <mergeCell ref="E75:F7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05"/>
  <sheetViews>
    <sheetView topLeftCell="A15" workbookViewId="0">
      <selection activeCell="Q25" sqref="Q25"/>
    </sheetView>
  </sheetViews>
  <sheetFormatPr defaultRowHeight="14.5" x14ac:dyDescent="0.35"/>
  <cols>
    <col min="1" max="1" width="4.54296875" customWidth="1"/>
    <col min="2" max="2" width="9.81640625" customWidth="1"/>
    <col min="3" max="3" width="10.453125" style="17" bestFit="1" customWidth="1"/>
    <col min="4" max="4" width="10.1796875" style="17" customWidth="1"/>
    <col min="5" max="5" width="8.1796875" customWidth="1"/>
    <col min="7" max="7" width="11.1796875" customWidth="1"/>
    <col min="8" max="8" width="11.54296875" customWidth="1"/>
    <col min="11" max="11" width="4.81640625" customWidth="1"/>
    <col min="12" max="12" width="8.54296875" customWidth="1"/>
    <col min="13" max="13" width="10.1796875" bestFit="1" customWidth="1"/>
    <col min="18" max="18" width="9.54296875" bestFit="1" customWidth="1"/>
    <col min="21" max="21" width="3.7265625" customWidth="1"/>
    <col min="22" max="22" width="10.1796875" customWidth="1"/>
    <col min="23" max="23" width="10.81640625" customWidth="1"/>
    <col min="24" max="24" width="8.7265625" customWidth="1"/>
    <col min="25" max="25" width="10.7265625" customWidth="1"/>
    <col min="26" max="26" width="8.7265625" customWidth="1"/>
    <col min="27" max="27" width="12.1796875" customWidth="1"/>
    <col min="28" max="28" width="10.81640625" customWidth="1"/>
    <col min="29" max="31" width="8.7265625" customWidth="1"/>
    <col min="32" max="32" width="9.26953125" customWidth="1"/>
    <col min="33" max="33" width="10.1796875" customWidth="1"/>
    <col min="34" max="37" width="8.7265625" customWidth="1"/>
    <col min="38" max="38" width="9.54296875" customWidth="1"/>
    <col min="39" max="41" width="8.7265625" customWidth="1"/>
  </cols>
  <sheetData>
    <row r="1" spans="1:44" ht="15" x14ac:dyDescent="0.25">
      <c r="C1" s="43" t="s">
        <v>31</v>
      </c>
      <c r="E1" s="1" t="s">
        <v>68</v>
      </c>
      <c r="H1" s="1" t="s">
        <v>75</v>
      </c>
      <c r="I1" s="42">
        <v>0.09</v>
      </c>
      <c r="M1" s="43" t="s">
        <v>31</v>
      </c>
      <c r="N1" s="17"/>
      <c r="O1" s="1" t="s">
        <v>234</v>
      </c>
      <c r="R1" s="1" t="s">
        <v>75</v>
      </c>
      <c r="S1" s="42">
        <v>0.09</v>
      </c>
      <c r="W1" s="43" t="s">
        <v>31</v>
      </c>
      <c r="Y1" s="18" t="s">
        <v>89</v>
      </c>
      <c r="AB1" s="1" t="s">
        <v>75</v>
      </c>
      <c r="AC1" s="42">
        <v>0.09</v>
      </c>
      <c r="AG1" s="43" t="s">
        <v>31</v>
      </c>
      <c r="AI1" s="18" t="s">
        <v>270</v>
      </c>
      <c r="AL1" s="1" t="s">
        <v>75</v>
      </c>
      <c r="AM1" s="42">
        <v>0.09</v>
      </c>
    </row>
    <row r="2" spans="1:44" ht="45" x14ac:dyDescent="0.25">
      <c r="A2" s="41" t="s">
        <v>30</v>
      </c>
      <c r="B2" s="41" t="s">
        <v>79</v>
      </c>
      <c r="C2" s="49" t="s">
        <v>31</v>
      </c>
      <c r="D2" s="49" t="s">
        <v>76</v>
      </c>
      <c r="E2" s="41" t="s">
        <v>70</v>
      </c>
      <c r="F2" s="41" t="s">
        <v>71</v>
      </c>
      <c r="G2" s="41" t="s">
        <v>72</v>
      </c>
      <c r="H2" s="41" t="s">
        <v>73</v>
      </c>
      <c r="I2" s="41" t="s">
        <v>74</v>
      </c>
      <c r="K2" s="41" t="s">
        <v>30</v>
      </c>
      <c r="L2" s="41" t="s">
        <v>79</v>
      </c>
      <c r="M2" s="49" t="s">
        <v>31</v>
      </c>
      <c r="N2" s="49" t="s">
        <v>76</v>
      </c>
      <c r="O2" s="41" t="s">
        <v>70</v>
      </c>
      <c r="P2" s="41" t="s">
        <v>71</v>
      </c>
      <c r="Q2" s="41" t="s">
        <v>72</v>
      </c>
      <c r="R2" s="41" t="s">
        <v>73</v>
      </c>
      <c r="S2" s="41" t="s">
        <v>74</v>
      </c>
      <c r="U2" s="41" t="s">
        <v>30</v>
      </c>
      <c r="V2" s="41" t="s">
        <v>79</v>
      </c>
      <c r="W2" s="49" t="s">
        <v>31</v>
      </c>
      <c r="X2" s="49" t="s">
        <v>76</v>
      </c>
      <c r="Y2" s="41" t="s">
        <v>70</v>
      </c>
      <c r="Z2" s="41" t="s">
        <v>71</v>
      </c>
      <c r="AA2" s="41" t="s">
        <v>72</v>
      </c>
      <c r="AB2" s="41" t="s">
        <v>73</v>
      </c>
      <c r="AC2" s="41" t="s">
        <v>74</v>
      </c>
      <c r="AE2" s="41" t="s">
        <v>30</v>
      </c>
      <c r="AF2" s="41" t="s">
        <v>79</v>
      </c>
      <c r="AG2" s="49" t="s">
        <v>31</v>
      </c>
      <c r="AH2" s="49" t="s">
        <v>76</v>
      </c>
      <c r="AI2" s="41" t="s">
        <v>70</v>
      </c>
      <c r="AJ2" s="41" t="s">
        <v>71</v>
      </c>
      <c r="AK2" s="41" t="s">
        <v>72</v>
      </c>
      <c r="AL2" s="41" t="s">
        <v>73</v>
      </c>
      <c r="AM2" s="41" t="s">
        <v>74</v>
      </c>
    </row>
    <row r="3" spans="1:44" ht="15" x14ac:dyDescent="0.25">
      <c r="A3" s="9">
        <v>1</v>
      </c>
      <c r="B3" s="9" t="s">
        <v>80</v>
      </c>
      <c r="C3" s="45" t="s">
        <v>68</v>
      </c>
      <c r="D3" s="46">
        <f t="shared" ref="D3:D10" si="0">SUMIFS($D$19:$D$98,$B$19:$B$98,$B3)</f>
        <v>151</v>
      </c>
      <c r="E3" s="9">
        <v>800</v>
      </c>
      <c r="F3" s="10">
        <f t="shared" ref="F3:F12" si="1">SUMIFS($F$19:$F$98,$B$19:$B$98,$B3)</f>
        <v>29.730000000000004</v>
      </c>
      <c r="G3" s="10">
        <f t="shared" ref="G3:G12" si="2">SUMIFS($G$19:$G$98,$B$19:$B$98,$B3)</f>
        <v>0</v>
      </c>
      <c r="H3" s="10">
        <f t="shared" ref="H3:H12" si="3">SUMIFS($H$19:$H$98,$B$19:$B$98,$B3)</f>
        <v>29.730000000000004</v>
      </c>
      <c r="I3" s="11">
        <f t="shared" ref="I3:I10" si="4">E3+F3-G3-H3</f>
        <v>800</v>
      </c>
      <c r="K3" s="9">
        <v>1</v>
      </c>
      <c r="L3" s="9" t="s">
        <v>80</v>
      </c>
      <c r="M3" s="9" t="s">
        <v>234</v>
      </c>
      <c r="N3" s="46">
        <f t="shared" ref="N3:N10" si="5">SUMIFS($N$19:$N$98,$L$19:$L$98,$L3)</f>
        <v>121</v>
      </c>
      <c r="O3" s="10">
        <v>1000</v>
      </c>
      <c r="P3" s="10">
        <f t="shared" ref="P3:P10" si="6">SUMIFS($P$19:$P$98,$L$19:$L$98,$L3)</f>
        <v>29.75</v>
      </c>
      <c r="Q3" s="10">
        <f t="shared" ref="Q3:Q10" si="7">SUMIFS($Q$19:$Q$98,$L$19:$L$98,$L3)</f>
        <v>0</v>
      </c>
      <c r="R3" s="10">
        <f t="shared" ref="R3:R10" si="8">SUMIFS($R$19:$R$98,$L$19:$L$98,$L3)</f>
        <v>29.75</v>
      </c>
      <c r="S3" s="11">
        <f t="shared" ref="S3:S10" si="9">O3+P3-Q3-R3</f>
        <v>1000</v>
      </c>
      <c r="U3" s="9">
        <v>1</v>
      </c>
      <c r="V3" s="9" t="s">
        <v>80</v>
      </c>
      <c r="W3" s="18" t="s">
        <v>89</v>
      </c>
      <c r="X3" s="46">
        <f t="shared" ref="X3:X11" si="10">SUMIFS($X$19:$X$98,$V$19:$V$98,$V3)</f>
        <v>90</v>
      </c>
      <c r="Y3">
        <f>Y19</f>
        <v>900</v>
      </c>
      <c r="Z3" s="10">
        <f t="shared" ref="Z3:Z11" si="11">SUMIFS($Z$19:$Z$98,$V$19:$V$98,$V3)</f>
        <v>19.97</v>
      </c>
      <c r="AA3" s="10">
        <f t="shared" ref="AA3:AA11" si="12">SUMIFS($AA$19:$AA$98,$V$19:$V$98,$V3)</f>
        <v>0</v>
      </c>
      <c r="AB3" s="10">
        <f t="shared" ref="AB3:AB11" si="13">SUMIFS($AB$19:$AB$98,$V$19:$V$98,$V3)</f>
        <v>19.97</v>
      </c>
      <c r="AC3" s="8">
        <f>Y3+Z3-AA3-AB3</f>
        <v>900</v>
      </c>
      <c r="AE3" s="9">
        <v>1</v>
      </c>
      <c r="AF3" s="9" t="s">
        <v>80</v>
      </c>
      <c r="AG3" s="18" t="s">
        <v>270</v>
      </c>
      <c r="AH3" s="46">
        <f t="shared" ref="AH3:AH12" si="14">SUMIFS($AH$19:$AH$98,$AF$19:$AF$98,$AF3)</f>
        <v>90</v>
      </c>
      <c r="AI3" s="9">
        <f>AI20</f>
        <v>900</v>
      </c>
      <c r="AJ3" s="10">
        <f t="shared" ref="AJ3:AJ12" si="15">SUMIFS($AJ$19:$AJ$98,$AF$19:$AF$98,$AF3)</f>
        <v>19.97</v>
      </c>
      <c r="AK3" s="10">
        <f t="shared" ref="AK3:AK12" si="16">SUMIFS($AK$19:$AK$98,$AF$19:$AF$98,$AF3)</f>
        <v>0</v>
      </c>
      <c r="AL3" s="10">
        <f t="shared" ref="AL3:AL12" si="17">SUMIFS($AL$19:$AL$98,$AF$19:$AF$98,$AF3)</f>
        <v>19.97</v>
      </c>
      <c r="AM3" s="11">
        <f>AI3+AJ3-AK3-AL3</f>
        <v>900</v>
      </c>
      <c r="AO3" s="8">
        <f>G3+Q3+AA3+AK3</f>
        <v>0</v>
      </c>
      <c r="AP3" s="8">
        <f>I3+S3+AC3+AM3</f>
        <v>3600</v>
      </c>
      <c r="AQ3" s="8">
        <f>H3+R3+AB3+AL3</f>
        <v>99.42</v>
      </c>
      <c r="AR3">
        <f>AQ3/2</f>
        <v>49.71</v>
      </c>
    </row>
    <row r="4" spans="1:44" ht="15" x14ac:dyDescent="0.25">
      <c r="A4" s="9">
        <v>2</v>
      </c>
      <c r="B4" s="9" t="s">
        <v>81</v>
      </c>
      <c r="C4" s="45" t="s">
        <v>68</v>
      </c>
      <c r="D4" s="46">
        <f t="shared" si="0"/>
        <v>365</v>
      </c>
      <c r="E4" s="11">
        <f t="shared" ref="E4:E10" si="18">I3</f>
        <v>800</v>
      </c>
      <c r="F4" s="10">
        <f t="shared" si="1"/>
        <v>67.47</v>
      </c>
      <c r="G4" s="10">
        <f t="shared" si="2"/>
        <v>122.22222222222224</v>
      </c>
      <c r="H4" s="10">
        <f t="shared" si="3"/>
        <v>67.47</v>
      </c>
      <c r="I4" s="11">
        <f t="shared" si="4"/>
        <v>677.77777777777771</v>
      </c>
      <c r="K4" s="9">
        <v>2</v>
      </c>
      <c r="L4" s="9" t="s">
        <v>81</v>
      </c>
      <c r="M4" s="9" t="s">
        <v>234</v>
      </c>
      <c r="N4" s="46">
        <f t="shared" si="5"/>
        <v>365</v>
      </c>
      <c r="O4" s="10">
        <f t="shared" ref="O4:O10" si="19">S3</f>
        <v>1000</v>
      </c>
      <c r="P4" s="10">
        <f t="shared" si="6"/>
        <v>85.34</v>
      </c>
      <c r="Q4" s="10">
        <f t="shared" si="7"/>
        <v>138.88888888888889</v>
      </c>
      <c r="R4" s="10">
        <f t="shared" si="8"/>
        <v>85.34</v>
      </c>
      <c r="S4" s="11">
        <f t="shared" si="9"/>
        <v>861.11111111111097</v>
      </c>
      <c r="U4" s="9">
        <v>2</v>
      </c>
      <c r="V4" s="9" t="s">
        <v>81</v>
      </c>
      <c r="W4" s="18" t="s">
        <v>89</v>
      </c>
      <c r="X4" s="46">
        <f t="shared" si="10"/>
        <v>365</v>
      </c>
      <c r="Y4" s="8">
        <f>AC3</f>
        <v>900</v>
      </c>
      <c r="Z4" s="10">
        <f t="shared" si="11"/>
        <v>77.650000000000006</v>
      </c>
      <c r="AA4" s="10">
        <f t="shared" si="12"/>
        <v>112.5</v>
      </c>
      <c r="AB4" s="10">
        <f t="shared" si="13"/>
        <v>77.650000000000006</v>
      </c>
      <c r="AC4" s="8">
        <f t="shared" ref="AC4:AC11" si="20">Y4+Z4-AA4-AB4</f>
        <v>787.5</v>
      </c>
      <c r="AE4" s="9">
        <v>2</v>
      </c>
      <c r="AF4" s="9" t="s">
        <v>81</v>
      </c>
      <c r="AG4" s="18" t="s">
        <v>270</v>
      </c>
      <c r="AH4" s="46">
        <f t="shared" si="14"/>
        <v>365</v>
      </c>
      <c r="AI4" s="11">
        <f>AM3</f>
        <v>900</v>
      </c>
      <c r="AJ4" s="10">
        <f t="shared" si="15"/>
        <v>77.650000000000006</v>
      </c>
      <c r="AK4" s="10">
        <f t="shared" si="16"/>
        <v>112.5</v>
      </c>
      <c r="AL4" s="10">
        <f t="shared" si="17"/>
        <v>77.650000000000006</v>
      </c>
      <c r="AM4" s="11">
        <f t="shared" ref="AM4:AM11" si="21">AI4+AJ4-AK4-AL4</f>
        <v>787.5</v>
      </c>
      <c r="AO4" s="8">
        <f t="shared" ref="AO4:AO11" si="22">G4+Q4+AA4+AK4</f>
        <v>486.11111111111114</v>
      </c>
      <c r="AP4" s="8">
        <f t="shared" ref="AP4:AP11" si="23">I4+S4+AC4+AM4</f>
        <v>3113.8888888888887</v>
      </c>
      <c r="AQ4" s="8">
        <f t="shared" ref="AQ4:AQ10" si="24">H4+R4+AB4+AL4</f>
        <v>308.11</v>
      </c>
    </row>
    <row r="5" spans="1:44" ht="15" x14ac:dyDescent="0.25">
      <c r="A5" s="9">
        <v>3</v>
      </c>
      <c r="B5" s="9" t="s">
        <v>82</v>
      </c>
      <c r="C5" s="45" t="s">
        <v>68</v>
      </c>
      <c r="D5" s="46">
        <f t="shared" si="0"/>
        <v>365</v>
      </c>
      <c r="E5" s="11">
        <f t="shared" si="18"/>
        <v>677.77777777777771</v>
      </c>
      <c r="F5" s="10">
        <f t="shared" si="1"/>
        <v>55.519999999999996</v>
      </c>
      <c r="G5" s="10">
        <f t="shared" si="2"/>
        <v>133.33333333333334</v>
      </c>
      <c r="H5" s="10">
        <f t="shared" si="3"/>
        <v>55.519999999999996</v>
      </c>
      <c r="I5" s="11">
        <f t="shared" si="4"/>
        <v>544.44444444444434</v>
      </c>
      <c r="K5" s="9">
        <v>3</v>
      </c>
      <c r="L5" s="9" t="s">
        <v>82</v>
      </c>
      <c r="M5" s="9" t="s">
        <v>234</v>
      </c>
      <c r="N5" s="46">
        <f t="shared" si="5"/>
        <v>365</v>
      </c>
      <c r="O5" s="10">
        <f t="shared" si="19"/>
        <v>861.11111111111097</v>
      </c>
      <c r="P5" s="10">
        <f t="shared" si="6"/>
        <v>70.650000000000006</v>
      </c>
      <c r="Q5" s="10">
        <f t="shared" si="7"/>
        <v>166.66666666666666</v>
      </c>
      <c r="R5" s="10">
        <f t="shared" si="8"/>
        <v>70.650000000000006</v>
      </c>
      <c r="S5" s="11">
        <f t="shared" si="9"/>
        <v>694.44444444444434</v>
      </c>
      <c r="U5" s="9">
        <v>3</v>
      </c>
      <c r="V5" s="9" t="s">
        <v>82</v>
      </c>
      <c r="W5" s="18" t="s">
        <v>89</v>
      </c>
      <c r="X5" s="46">
        <f t="shared" si="10"/>
        <v>365</v>
      </c>
      <c r="Y5" s="8">
        <f t="shared" ref="Y5:Y11" si="25">AC4</f>
        <v>787.5</v>
      </c>
      <c r="Z5" s="10">
        <f t="shared" si="11"/>
        <v>64.710000000000008</v>
      </c>
      <c r="AA5" s="10">
        <f t="shared" si="12"/>
        <v>150</v>
      </c>
      <c r="AB5" s="10">
        <f t="shared" si="13"/>
        <v>64.710000000000008</v>
      </c>
      <c r="AC5" s="8">
        <f t="shared" si="20"/>
        <v>637.5</v>
      </c>
      <c r="AE5" s="9">
        <v>3</v>
      </c>
      <c r="AF5" s="9" t="s">
        <v>82</v>
      </c>
      <c r="AG5" s="18" t="s">
        <v>270</v>
      </c>
      <c r="AH5" s="46">
        <f t="shared" si="14"/>
        <v>365</v>
      </c>
      <c r="AI5" s="11">
        <f t="shared" ref="AI5:AI11" si="26">AM4</f>
        <v>787.5</v>
      </c>
      <c r="AJ5" s="10">
        <f t="shared" si="15"/>
        <v>64.710000000000008</v>
      </c>
      <c r="AK5" s="10">
        <f t="shared" si="16"/>
        <v>150</v>
      </c>
      <c r="AL5" s="10">
        <f t="shared" si="17"/>
        <v>64.710000000000008</v>
      </c>
      <c r="AM5" s="11">
        <f t="shared" si="21"/>
        <v>637.5</v>
      </c>
      <c r="AO5" s="8">
        <f t="shared" si="22"/>
        <v>600</v>
      </c>
      <c r="AP5" s="8">
        <f t="shared" si="23"/>
        <v>2513.8888888888887</v>
      </c>
      <c r="AQ5" s="8">
        <f t="shared" si="24"/>
        <v>255.59</v>
      </c>
    </row>
    <row r="6" spans="1:44" ht="15" x14ac:dyDescent="0.25">
      <c r="A6" s="9">
        <v>4</v>
      </c>
      <c r="B6" s="9" t="s">
        <v>83</v>
      </c>
      <c r="C6" s="45" t="s">
        <v>68</v>
      </c>
      <c r="D6" s="46">
        <f t="shared" si="0"/>
        <v>366</v>
      </c>
      <c r="E6" s="11">
        <f t="shared" si="18"/>
        <v>544.44444444444434</v>
      </c>
      <c r="F6" s="10">
        <f t="shared" si="1"/>
        <v>43.519999999999996</v>
      </c>
      <c r="G6" s="10">
        <f t="shared" si="2"/>
        <v>133.33333333333334</v>
      </c>
      <c r="H6" s="10">
        <f t="shared" si="3"/>
        <v>43.519999999999996</v>
      </c>
      <c r="I6" s="11">
        <f t="shared" si="4"/>
        <v>411.11111111111097</v>
      </c>
      <c r="K6" s="9">
        <v>4</v>
      </c>
      <c r="L6" s="9" t="s">
        <v>83</v>
      </c>
      <c r="M6" s="9" t="s">
        <v>234</v>
      </c>
      <c r="N6" s="46">
        <f t="shared" si="5"/>
        <v>366</v>
      </c>
      <c r="O6" s="10">
        <f t="shared" si="19"/>
        <v>694.44444444444434</v>
      </c>
      <c r="P6" s="10">
        <f t="shared" si="6"/>
        <v>55.640000000000015</v>
      </c>
      <c r="Q6" s="10">
        <f t="shared" si="7"/>
        <v>166.66666666666666</v>
      </c>
      <c r="R6" s="10">
        <f t="shared" si="8"/>
        <v>55.640000000000015</v>
      </c>
      <c r="S6" s="11">
        <f t="shared" si="9"/>
        <v>527.77777777777771</v>
      </c>
      <c r="U6" s="9">
        <v>4</v>
      </c>
      <c r="V6" s="9" t="s">
        <v>83</v>
      </c>
      <c r="W6" s="18" t="s">
        <v>89</v>
      </c>
      <c r="X6" s="46">
        <f t="shared" si="10"/>
        <v>366</v>
      </c>
      <c r="Y6" s="8">
        <f t="shared" si="25"/>
        <v>637.5</v>
      </c>
      <c r="Z6" s="10">
        <f t="shared" si="11"/>
        <v>51.2</v>
      </c>
      <c r="AA6" s="10">
        <f t="shared" si="12"/>
        <v>150</v>
      </c>
      <c r="AB6" s="10">
        <f t="shared" si="13"/>
        <v>51.2</v>
      </c>
      <c r="AC6" s="8">
        <f t="shared" si="20"/>
        <v>487.50000000000006</v>
      </c>
      <c r="AE6" s="9">
        <v>4</v>
      </c>
      <c r="AF6" s="9" t="s">
        <v>83</v>
      </c>
      <c r="AG6" s="18" t="s">
        <v>270</v>
      </c>
      <c r="AH6" s="46">
        <f t="shared" si="14"/>
        <v>366</v>
      </c>
      <c r="AI6" s="11">
        <f t="shared" si="26"/>
        <v>637.5</v>
      </c>
      <c r="AJ6" s="10">
        <f t="shared" si="15"/>
        <v>51.2</v>
      </c>
      <c r="AK6" s="10">
        <f t="shared" si="16"/>
        <v>150</v>
      </c>
      <c r="AL6" s="10">
        <f t="shared" si="17"/>
        <v>51.2</v>
      </c>
      <c r="AM6" s="11">
        <f t="shared" si="21"/>
        <v>487.50000000000006</v>
      </c>
      <c r="AO6" s="8">
        <f t="shared" si="22"/>
        <v>600</v>
      </c>
      <c r="AP6" s="8">
        <f t="shared" si="23"/>
        <v>1913.8888888888887</v>
      </c>
      <c r="AQ6" s="8">
        <f t="shared" si="24"/>
        <v>201.56</v>
      </c>
    </row>
    <row r="7" spans="1:44" ht="15" x14ac:dyDescent="0.25">
      <c r="A7" s="9">
        <v>5</v>
      </c>
      <c r="B7" s="9" t="s">
        <v>84</v>
      </c>
      <c r="C7" s="45" t="s">
        <v>68</v>
      </c>
      <c r="D7" s="46">
        <f t="shared" si="0"/>
        <v>365</v>
      </c>
      <c r="E7" s="11">
        <f t="shared" si="18"/>
        <v>411.11111111111097</v>
      </c>
      <c r="F7" s="10">
        <f t="shared" si="1"/>
        <v>31.53</v>
      </c>
      <c r="G7" s="10">
        <f t="shared" si="2"/>
        <v>133.33333333333334</v>
      </c>
      <c r="H7" s="10">
        <f t="shared" si="3"/>
        <v>31.53</v>
      </c>
      <c r="I7" s="11">
        <f t="shared" si="4"/>
        <v>277.7777777777776</v>
      </c>
      <c r="K7" s="9">
        <v>5</v>
      </c>
      <c r="L7" s="9" t="s">
        <v>84</v>
      </c>
      <c r="M7" s="9" t="s">
        <v>234</v>
      </c>
      <c r="N7" s="46">
        <f t="shared" si="5"/>
        <v>365</v>
      </c>
      <c r="O7" s="10">
        <f t="shared" si="19"/>
        <v>527.77777777777771</v>
      </c>
      <c r="P7" s="10">
        <f t="shared" si="6"/>
        <v>40.64</v>
      </c>
      <c r="Q7" s="10">
        <f t="shared" si="7"/>
        <v>166.66666666666666</v>
      </c>
      <c r="R7" s="10">
        <f t="shared" si="8"/>
        <v>40.64</v>
      </c>
      <c r="S7" s="11">
        <f t="shared" si="9"/>
        <v>361.11111111111109</v>
      </c>
      <c r="U7" s="9">
        <v>5</v>
      </c>
      <c r="V7" s="9" t="s">
        <v>84</v>
      </c>
      <c r="W7" s="18" t="s">
        <v>89</v>
      </c>
      <c r="X7" s="46">
        <f t="shared" si="10"/>
        <v>365</v>
      </c>
      <c r="Y7" s="8">
        <f t="shared" si="25"/>
        <v>487.50000000000006</v>
      </c>
      <c r="Z7" s="10">
        <f t="shared" si="11"/>
        <v>37.69</v>
      </c>
      <c r="AA7" s="10">
        <f t="shared" si="12"/>
        <v>150</v>
      </c>
      <c r="AB7" s="10">
        <f t="shared" si="13"/>
        <v>37.69</v>
      </c>
      <c r="AC7" s="8">
        <f t="shared" si="20"/>
        <v>337.50000000000006</v>
      </c>
      <c r="AE7" s="9">
        <v>5</v>
      </c>
      <c r="AF7" s="9" t="s">
        <v>84</v>
      </c>
      <c r="AG7" s="18" t="s">
        <v>270</v>
      </c>
      <c r="AH7" s="46">
        <f t="shared" si="14"/>
        <v>365</v>
      </c>
      <c r="AI7" s="11">
        <f t="shared" si="26"/>
        <v>487.50000000000006</v>
      </c>
      <c r="AJ7" s="10">
        <f t="shared" si="15"/>
        <v>37.69</v>
      </c>
      <c r="AK7" s="10">
        <f t="shared" si="16"/>
        <v>150</v>
      </c>
      <c r="AL7" s="10">
        <f t="shared" si="17"/>
        <v>37.69</v>
      </c>
      <c r="AM7" s="11">
        <f t="shared" si="21"/>
        <v>337.50000000000006</v>
      </c>
      <c r="AO7" s="8">
        <f t="shared" si="22"/>
        <v>600</v>
      </c>
      <c r="AP7" s="8">
        <f t="shared" si="23"/>
        <v>1313.8888888888887</v>
      </c>
      <c r="AQ7" s="8">
        <f t="shared" si="24"/>
        <v>147.55000000000001</v>
      </c>
    </row>
    <row r="8" spans="1:44" ht="15" x14ac:dyDescent="0.25">
      <c r="A8" s="9">
        <v>6</v>
      </c>
      <c r="B8" s="9" t="s">
        <v>85</v>
      </c>
      <c r="C8" s="45" t="s">
        <v>68</v>
      </c>
      <c r="D8" s="46">
        <f t="shared" si="0"/>
        <v>365</v>
      </c>
      <c r="E8" s="11">
        <f t="shared" si="18"/>
        <v>277.7777777777776</v>
      </c>
      <c r="F8" s="10">
        <f t="shared" si="1"/>
        <v>19.519999999999996</v>
      </c>
      <c r="G8" s="10">
        <f t="shared" si="2"/>
        <v>133.33333333333334</v>
      </c>
      <c r="H8" s="10">
        <f t="shared" si="3"/>
        <v>19.519999999999996</v>
      </c>
      <c r="I8" s="11">
        <f t="shared" si="4"/>
        <v>144.44444444444423</v>
      </c>
      <c r="K8" s="9">
        <v>6</v>
      </c>
      <c r="L8" s="9" t="s">
        <v>85</v>
      </c>
      <c r="M8" s="9" t="s">
        <v>234</v>
      </c>
      <c r="N8" s="46">
        <f t="shared" si="5"/>
        <v>365</v>
      </c>
      <c r="O8" s="10">
        <f t="shared" si="19"/>
        <v>361.11111111111109</v>
      </c>
      <c r="P8" s="10">
        <f t="shared" si="6"/>
        <v>25.630000000000003</v>
      </c>
      <c r="Q8" s="10">
        <f t="shared" si="7"/>
        <v>166.66666666666666</v>
      </c>
      <c r="R8" s="10">
        <f t="shared" si="8"/>
        <v>25.630000000000003</v>
      </c>
      <c r="S8" s="11">
        <f t="shared" si="9"/>
        <v>194.44444444444443</v>
      </c>
      <c r="U8" s="9">
        <v>6</v>
      </c>
      <c r="V8" s="9" t="s">
        <v>85</v>
      </c>
      <c r="W8" s="18" t="s">
        <v>89</v>
      </c>
      <c r="X8" s="46">
        <f t="shared" si="10"/>
        <v>365</v>
      </c>
      <c r="Y8" s="8">
        <f t="shared" si="25"/>
        <v>337.50000000000006</v>
      </c>
      <c r="Z8" s="10">
        <f t="shared" si="11"/>
        <v>24.21</v>
      </c>
      <c r="AA8" s="10">
        <f t="shared" si="12"/>
        <v>150</v>
      </c>
      <c r="AB8" s="10">
        <f t="shared" si="13"/>
        <v>24.21</v>
      </c>
      <c r="AC8" s="8">
        <f t="shared" si="20"/>
        <v>187.50000000000003</v>
      </c>
      <c r="AE8" s="9">
        <v>6</v>
      </c>
      <c r="AF8" s="9" t="s">
        <v>85</v>
      </c>
      <c r="AG8" s="18" t="s">
        <v>270</v>
      </c>
      <c r="AH8" s="46">
        <f t="shared" si="14"/>
        <v>365</v>
      </c>
      <c r="AI8" s="11">
        <f t="shared" si="26"/>
        <v>337.50000000000006</v>
      </c>
      <c r="AJ8" s="10">
        <f t="shared" si="15"/>
        <v>24.21</v>
      </c>
      <c r="AK8" s="10">
        <f t="shared" si="16"/>
        <v>150</v>
      </c>
      <c r="AL8" s="10">
        <f t="shared" si="17"/>
        <v>24.21</v>
      </c>
      <c r="AM8" s="11">
        <f t="shared" si="21"/>
        <v>187.50000000000003</v>
      </c>
      <c r="AO8" s="8">
        <f t="shared" si="22"/>
        <v>600</v>
      </c>
      <c r="AP8" s="8">
        <f t="shared" si="23"/>
        <v>713.88888888888869</v>
      </c>
      <c r="AQ8" s="8">
        <f t="shared" si="24"/>
        <v>93.57</v>
      </c>
    </row>
    <row r="9" spans="1:44" ht="15" x14ac:dyDescent="0.25">
      <c r="A9" s="9">
        <v>7</v>
      </c>
      <c r="B9" s="9" t="s">
        <v>86</v>
      </c>
      <c r="C9" s="45" t="s">
        <v>68</v>
      </c>
      <c r="D9" s="46">
        <f t="shared" si="0"/>
        <v>365</v>
      </c>
      <c r="E9" s="11">
        <f t="shared" si="18"/>
        <v>144.44444444444423</v>
      </c>
      <c r="F9" s="10">
        <f t="shared" si="1"/>
        <v>7.52</v>
      </c>
      <c r="G9" s="10">
        <f t="shared" si="2"/>
        <v>133.33333333333334</v>
      </c>
      <c r="H9" s="10">
        <f t="shared" si="3"/>
        <v>7.52</v>
      </c>
      <c r="I9" s="11">
        <f t="shared" si="4"/>
        <v>11.111111111110898</v>
      </c>
      <c r="K9" s="9">
        <v>7</v>
      </c>
      <c r="L9" s="9" t="s">
        <v>86</v>
      </c>
      <c r="M9" s="9" t="s">
        <v>234</v>
      </c>
      <c r="N9" s="46">
        <f t="shared" si="5"/>
        <v>365</v>
      </c>
      <c r="O9" s="10">
        <f t="shared" si="19"/>
        <v>194.44444444444443</v>
      </c>
      <c r="P9" s="10">
        <f t="shared" si="6"/>
        <v>10.64</v>
      </c>
      <c r="Q9" s="10">
        <f t="shared" si="7"/>
        <v>166.66666666666666</v>
      </c>
      <c r="R9" s="10">
        <f t="shared" si="8"/>
        <v>10.64</v>
      </c>
      <c r="S9" s="11">
        <f t="shared" si="9"/>
        <v>27.777777777777786</v>
      </c>
      <c r="U9" s="9">
        <v>7</v>
      </c>
      <c r="V9" s="9" t="s">
        <v>86</v>
      </c>
      <c r="W9" s="18" t="s">
        <v>89</v>
      </c>
      <c r="X9" s="46">
        <f t="shared" si="10"/>
        <v>365</v>
      </c>
      <c r="Y9" s="8">
        <f t="shared" si="25"/>
        <v>187.50000000000003</v>
      </c>
      <c r="Z9" s="10">
        <f t="shared" si="11"/>
        <v>10.700000000000001</v>
      </c>
      <c r="AA9" s="10">
        <f t="shared" si="12"/>
        <v>150</v>
      </c>
      <c r="AB9" s="10">
        <f t="shared" si="13"/>
        <v>10.700000000000001</v>
      </c>
      <c r="AC9" s="8">
        <f t="shared" si="20"/>
        <v>37.500000000000014</v>
      </c>
      <c r="AE9" s="9">
        <v>7</v>
      </c>
      <c r="AF9" s="9" t="s">
        <v>86</v>
      </c>
      <c r="AG9" s="18" t="s">
        <v>270</v>
      </c>
      <c r="AH9" s="46">
        <f t="shared" si="14"/>
        <v>365</v>
      </c>
      <c r="AI9" s="11">
        <f t="shared" si="26"/>
        <v>187.50000000000003</v>
      </c>
      <c r="AJ9" s="10">
        <f t="shared" si="15"/>
        <v>10.700000000000001</v>
      </c>
      <c r="AK9" s="10">
        <f t="shared" si="16"/>
        <v>150</v>
      </c>
      <c r="AL9" s="10">
        <f t="shared" si="17"/>
        <v>10.700000000000001</v>
      </c>
      <c r="AM9" s="11">
        <f t="shared" si="21"/>
        <v>37.500000000000014</v>
      </c>
      <c r="AO9" s="8">
        <f t="shared" si="22"/>
        <v>600</v>
      </c>
      <c r="AP9" s="8">
        <f t="shared" si="23"/>
        <v>113.88888888888872</v>
      </c>
      <c r="AQ9" s="8">
        <f t="shared" si="24"/>
        <v>39.56</v>
      </c>
    </row>
    <row r="10" spans="1:44" ht="15" x14ac:dyDescent="0.25">
      <c r="A10" s="9">
        <v>8</v>
      </c>
      <c r="B10" s="9" t="s">
        <v>87</v>
      </c>
      <c r="C10" s="45" t="s">
        <v>68</v>
      </c>
      <c r="D10" s="46">
        <f t="shared" si="0"/>
        <v>31</v>
      </c>
      <c r="E10" s="11">
        <f t="shared" si="18"/>
        <v>11.111111111110898</v>
      </c>
      <c r="F10" s="10">
        <f t="shared" si="1"/>
        <v>0.08</v>
      </c>
      <c r="G10" s="10">
        <f t="shared" si="2"/>
        <v>11.111111111111111</v>
      </c>
      <c r="H10" s="10">
        <f t="shared" si="3"/>
        <v>0.08</v>
      </c>
      <c r="I10" s="11">
        <f t="shared" si="4"/>
        <v>-2.1309343178899098E-13</v>
      </c>
      <c r="K10" s="9">
        <v>8</v>
      </c>
      <c r="L10" s="9" t="s">
        <v>87</v>
      </c>
      <c r="M10" s="9" t="s">
        <v>234</v>
      </c>
      <c r="N10" s="46">
        <f t="shared" si="5"/>
        <v>61</v>
      </c>
      <c r="O10" s="10">
        <f t="shared" si="19"/>
        <v>27.777777777777786</v>
      </c>
      <c r="P10" s="10">
        <f t="shared" si="6"/>
        <v>0.32</v>
      </c>
      <c r="Q10" s="10">
        <f t="shared" si="7"/>
        <v>27.777777777777779</v>
      </c>
      <c r="R10" s="10">
        <f t="shared" si="8"/>
        <v>0.32</v>
      </c>
      <c r="S10" s="11">
        <f t="shared" si="9"/>
        <v>7.382983113757291E-15</v>
      </c>
      <c r="U10" s="9">
        <v>8</v>
      </c>
      <c r="V10" s="9" t="s">
        <v>87</v>
      </c>
      <c r="W10" s="18" t="s">
        <v>89</v>
      </c>
      <c r="X10" s="46">
        <f t="shared" si="10"/>
        <v>91</v>
      </c>
      <c r="Y10" s="8">
        <f t="shared" si="25"/>
        <v>37.500000000000014</v>
      </c>
      <c r="Z10" s="10">
        <f t="shared" si="11"/>
        <v>0.56000000000000005</v>
      </c>
      <c r="AA10" s="10">
        <f t="shared" si="12"/>
        <v>37.5</v>
      </c>
      <c r="AB10" s="10">
        <f t="shared" si="13"/>
        <v>0.56000000000000005</v>
      </c>
      <c r="AC10" s="8">
        <f t="shared" si="20"/>
        <v>1.6431300764452317E-14</v>
      </c>
      <c r="AE10" s="9">
        <v>8</v>
      </c>
      <c r="AF10" s="9" t="s">
        <v>87</v>
      </c>
      <c r="AG10" s="18" t="s">
        <v>270</v>
      </c>
      <c r="AH10" s="46">
        <f t="shared" si="14"/>
        <v>91</v>
      </c>
      <c r="AI10" s="11">
        <f t="shared" si="26"/>
        <v>37.500000000000014</v>
      </c>
      <c r="AJ10" s="10">
        <f t="shared" si="15"/>
        <v>0.56000000000000005</v>
      </c>
      <c r="AK10" s="10">
        <f t="shared" si="16"/>
        <v>37.5</v>
      </c>
      <c r="AL10" s="10">
        <f t="shared" si="17"/>
        <v>0.56000000000000005</v>
      </c>
      <c r="AM10" s="11">
        <f t="shared" si="21"/>
        <v>1.6431300764452317E-14</v>
      </c>
      <c r="AO10" s="8">
        <f t="shared" si="22"/>
        <v>113.88888888888889</v>
      </c>
      <c r="AP10" s="8">
        <f t="shared" si="23"/>
        <v>-1.7284784714632906E-13</v>
      </c>
      <c r="AQ10" s="8">
        <f t="shared" si="24"/>
        <v>1.52</v>
      </c>
    </row>
    <row r="11" spans="1:44" ht="15" x14ac:dyDescent="0.25">
      <c r="A11" s="9">
        <v>9</v>
      </c>
      <c r="B11" s="9" t="s">
        <v>88</v>
      </c>
      <c r="C11" s="45" t="s">
        <v>68</v>
      </c>
      <c r="D11" s="46"/>
      <c r="E11" s="11"/>
      <c r="F11" s="10">
        <f t="shared" si="1"/>
        <v>0</v>
      </c>
      <c r="G11" s="10">
        <f t="shared" si="2"/>
        <v>0</v>
      </c>
      <c r="H11" s="10">
        <f t="shared" si="3"/>
        <v>0</v>
      </c>
      <c r="I11" s="11"/>
      <c r="K11" s="9">
        <v>9</v>
      </c>
      <c r="L11" s="9" t="s">
        <v>88</v>
      </c>
      <c r="M11" s="9" t="s">
        <v>234</v>
      </c>
      <c r="N11" s="46"/>
      <c r="O11" s="11"/>
      <c r="P11" s="10"/>
      <c r="Q11" s="10"/>
      <c r="R11" s="10">
        <v>0</v>
      </c>
      <c r="S11" s="11"/>
      <c r="U11" s="9">
        <v>9</v>
      </c>
      <c r="V11" s="9" t="s">
        <v>88</v>
      </c>
      <c r="W11" s="18" t="s">
        <v>89</v>
      </c>
      <c r="X11" s="46">
        <f t="shared" si="10"/>
        <v>0</v>
      </c>
      <c r="Y11" s="8">
        <f t="shared" si="25"/>
        <v>1.6431300764452317E-14</v>
      </c>
      <c r="Z11" s="10">
        <f t="shared" si="11"/>
        <v>0</v>
      </c>
      <c r="AA11" s="10">
        <f t="shared" si="12"/>
        <v>0</v>
      </c>
      <c r="AB11" s="10">
        <f t="shared" si="13"/>
        <v>0</v>
      </c>
      <c r="AC11" s="8">
        <f t="shared" si="20"/>
        <v>1.6431300764452317E-14</v>
      </c>
      <c r="AE11" s="9">
        <v>9</v>
      </c>
      <c r="AF11" s="9" t="s">
        <v>88</v>
      </c>
      <c r="AG11" s="18" t="s">
        <v>270</v>
      </c>
      <c r="AH11" s="46">
        <f t="shared" si="14"/>
        <v>0</v>
      </c>
      <c r="AI11" s="11">
        <f t="shared" si="26"/>
        <v>1.6431300764452317E-14</v>
      </c>
      <c r="AJ11" s="10">
        <f t="shared" si="15"/>
        <v>0</v>
      </c>
      <c r="AK11" s="10">
        <f t="shared" si="16"/>
        <v>0</v>
      </c>
      <c r="AL11" s="10">
        <f t="shared" si="17"/>
        <v>0</v>
      </c>
      <c r="AM11" s="11">
        <f t="shared" si="21"/>
        <v>1.6431300764452317E-14</v>
      </c>
      <c r="AO11" s="8">
        <f t="shared" si="22"/>
        <v>0</v>
      </c>
      <c r="AP11" s="8">
        <f t="shared" si="23"/>
        <v>3.2862601528904634E-14</v>
      </c>
    </row>
    <row r="12" spans="1:44" x14ac:dyDescent="0.35">
      <c r="A12" s="9">
        <v>10</v>
      </c>
      <c r="B12" s="9" t="s">
        <v>305</v>
      </c>
      <c r="C12" s="45" t="s">
        <v>68</v>
      </c>
      <c r="D12" s="46"/>
      <c r="E12" s="11"/>
      <c r="F12" s="10">
        <f t="shared" si="1"/>
        <v>0</v>
      </c>
      <c r="G12" s="10">
        <f t="shared" si="2"/>
        <v>0</v>
      </c>
      <c r="H12" s="10">
        <f t="shared" si="3"/>
        <v>0</v>
      </c>
      <c r="I12" s="11"/>
      <c r="K12" s="9">
        <v>10</v>
      </c>
      <c r="L12" s="9" t="s">
        <v>305</v>
      </c>
      <c r="M12" s="9" t="s">
        <v>234</v>
      </c>
      <c r="N12" s="46"/>
      <c r="O12" s="11"/>
      <c r="P12" s="10"/>
      <c r="Q12" s="10"/>
      <c r="R12" s="10">
        <v>0</v>
      </c>
      <c r="S12" s="11"/>
      <c r="U12" s="139">
        <v>10</v>
      </c>
      <c r="V12" s="9" t="s">
        <v>305</v>
      </c>
      <c r="W12" s="18" t="s">
        <v>89</v>
      </c>
      <c r="X12" s="46"/>
      <c r="Y12" s="8"/>
      <c r="Z12" s="10"/>
      <c r="AA12" s="10"/>
      <c r="AB12" s="10">
        <v>0</v>
      </c>
      <c r="AC12" s="8"/>
      <c r="AE12" s="9">
        <v>10</v>
      </c>
      <c r="AF12" s="9" t="s">
        <v>305</v>
      </c>
      <c r="AG12" s="18" t="s">
        <v>270</v>
      </c>
      <c r="AH12" s="46">
        <f t="shared" si="14"/>
        <v>0</v>
      </c>
      <c r="AI12" s="11"/>
      <c r="AJ12" s="10">
        <f t="shared" si="15"/>
        <v>0</v>
      </c>
      <c r="AK12" s="10">
        <f t="shared" si="16"/>
        <v>0</v>
      </c>
      <c r="AL12" s="10">
        <f t="shared" si="17"/>
        <v>0</v>
      </c>
      <c r="AM12" s="11"/>
      <c r="AO12" s="8"/>
      <c r="AP12" s="8"/>
    </row>
    <row r="13" spans="1:44" ht="15" x14ac:dyDescent="0.25">
      <c r="A13" s="9"/>
      <c r="B13" s="9"/>
      <c r="C13" s="45"/>
      <c r="D13" s="11">
        <f>SUM(D3:D11)</f>
        <v>2373</v>
      </c>
      <c r="E13" s="9"/>
      <c r="F13" s="50">
        <f>SUM(F3:F12)</f>
        <v>254.89000000000004</v>
      </c>
      <c r="G13" s="50">
        <f>SUM(G3:G12)</f>
        <v>800.00000000000011</v>
      </c>
      <c r="H13" s="50">
        <f>SUM(H3:H12)</f>
        <v>254.89000000000004</v>
      </c>
      <c r="I13" s="9"/>
      <c r="K13" s="9"/>
      <c r="L13" s="9"/>
      <c r="M13" s="9"/>
      <c r="N13" s="11">
        <f>SUM(N3:N11)</f>
        <v>2373</v>
      </c>
      <c r="O13" s="11"/>
      <c r="P13" s="50">
        <f>SUM(P3:P11)</f>
        <v>318.61</v>
      </c>
      <c r="Q13" s="50">
        <f>SUM(Q3:Q11)</f>
        <v>999.99999999999989</v>
      </c>
      <c r="R13" s="50">
        <f>SUM(R3:R11)</f>
        <v>318.61</v>
      </c>
      <c r="S13" s="9"/>
      <c r="X13" s="11">
        <f>SUM(X3:X11)</f>
        <v>2372</v>
      </c>
      <c r="Z13" s="50">
        <f>SUM(Z3:Z11)</f>
        <v>286.69</v>
      </c>
      <c r="AA13" s="50">
        <f>SUM(AA3:AA11)</f>
        <v>900</v>
      </c>
      <c r="AB13" s="50">
        <f>SUM(AB3:AB11)</f>
        <v>286.69</v>
      </c>
      <c r="AE13" s="9"/>
      <c r="AF13" s="9"/>
      <c r="AG13" s="9"/>
      <c r="AH13" s="11">
        <f>SUM(AH3:AH12)</f>
        <v>2372</v>
      </c>
      <c r="AI13" s="9"/>
      <c r="AJ13" s="11">
        <f>SUM(AJ3:AJ12)</f>
        <v>286.69</v>
      </c>
      <c r="AK13" s="11">
        <f>SUM(AK3:AK12)</f>
        <v>900</v>
      </c>
      <c r="AL13" s="11">
        <f>SUM(AL3:AL12)</f>
        <v>286.69</v>
      </c>
      <c r="AM13" s="9"/>
    </row>
    <row r="14" spans="1:44" ht="15" x14ac:dyDescent="0.25">
      <c r="F14">
        <f>F97</f>
        <v>254.89000000000004</v>
      </c>
      <c r="G14">
        <f>G97</f>
        <v>799.99999999999886</v>
      </c>
      <c r="H14">
        <f>H97</f>
        <v>254.89000000000004</v>
      </c>
      <c r="P14">
        <f>P97</f>
        <v>318.61</v>
      </c>
      <c r="Q14">
        <f>Q97</f>
        <v>1000.0000000000013</v>
      </c>
      <c r="R14">
        <f>R97</f>
        <v>318.61</v>
      </c>
    </row>
    <row r="15" spans="1:44" ht="15" x14ac:dyDescent="0.25">
      <c r="F15" s="8">
        <f>F13-F14</f>
        <v>0</v>
      </c>
      <c r="G15" s="8">
        <f>G13-G14</f>
        <v>1.2505552149377763E-12</v>
      </c>
      <c r="H15" s="8">
        <f>H13-H14</f>
        <v>0</v>
      </c>
      <c r="P15" s="8">
        <f>P13-P14</f>
        <v>0</v>
      </c>
      <c r="Q15" s="8">
        <f>Q13-Q14</f>
        <v>-1.3642420526593924E-12</v>
      </c>
      <c r="R15" s="8">
        <f>R13-R14</f>
        <v>0</v>
      </c>
    </row>
    <row r="17" spans="1:42" ht="15" x14ac:dyDescent="0.25">
      <c r="C17" s="43" t="s">
        <v>31</v>
      </c>
      <c r="E17" s="1" t="s">
        <v>68</v>
      </c>
      <c r="H17" s="1" t="s">
        <v>75</v>
      </c>
      <c r="I17" s="42">
        <v>0.09</v>
      </c>
      <c r="M17" s="43" t="s">
        <v>31</v>
      </c>
      <c r="O17" t="s">
        <v>234</v>
      </c>
      <c r="R17" s="1" t="s">
        <v>75</v>
      </c>
      <c r="S17" s="42">
        <v>0.09</v>
      </c>
      <c r="W17" s="43" t="s">
        <v>31</v>
      </c>
      <c r="Y17" s="18" t="s">
        <v>90</v>
      </c>
      <c r="AB17" s="1" t="s">
        <v>75</v>
      </c>
      <c r="AC17" s="42">
        <v>0.09</v>
      </c>
      <c r="AG17" s="43" t="s">
        <v>31</v>
      </c>
      <c r="AI17" s="18" t="s">
        <v>91</v>
      </c>
      <c r="AL17" s="1" t="s">
        <v>75</v>
      </c>
      <c r="AM17" s="42">
        <v>0.09</v>
      </c>
    </row>
    <row r="18" spans="1:42" ht="45" x14ac:dyDescent="0.25">
      <c r="A18" s="40" t="s">
        <v>30</v>
      </c>
      <c r="B18" s="40" t="s">
        <v>79</v>
      </c>
      <c r="C18" s="44" t="s">
        <v>69</v>
      </c>
      <c r="D18" s="44" t="s">
        <v>76</v>
      </c>
      <c r="E18" s="41" t="s">
        <v>70</v>
      </c>
      <c r="F18" s="41" t="s">
        <v>71</v>
      </c>
      <c r="G18" s="41" t="s">
        <v>72</v>
      </c>
      <c r="H18" s="41" t="s">
        <v>73</v>
      </c>
      <c r="I18" s="41" t="s">
        <v>74</v>
      </c>
      <c r="K18" s="40" t="s">
        <v>30</v>
      </c>
      <c r="L18" s="40" t="s">
        <v>79</v>
      </c>
      <c r="M18" s="44" t="s">
        <v>69</v>
      </c>
      <c r="N18" s="44" t="s">
        <v>76</v>
      </c>
      <c r="O18" s="41" t="s">
        <v>70</v>
      </c>
      <c r="P18" s="41" t="s">
        <v>71</v>
      </c>
      <c r="Q18" s="41" t="s">
        <v>72</v>
      </c>
      <c r="R18" s="41" t="s">
        <v>73</v>
      </c>
      <c r="S18" s="41" t="s">
        <v>74</v>
      </c>
      <c r="U18" s="40" t="s">
        <v>30</v>
      </c>
      <c r="V18" s="40" t="s">
        <v>79</v>
      </c>
      <c r="W18" s="44" t="s">
        <v>69</v>
      </c>
      <c r="X18" s="44" t="s">
        <v>76</v>
      </c>
      <c r="Y18" s="41" t="s">
        <v>70</v>
      </c>
      <c r="Z18" s="41" t="s">
        <v>71</v>
      </c>
      <c r="AA18" s="41" t="s">
        <v>72</v>
      </c>
      <c r="AB18" s="41" t="s">
        <v>73</v>
      </c>
      <c r="AC18" s="41" t="s">
        <v>74</v>
      </c>
      <c r="AE18" s="40" t="s">
        <v>30</v>
      </c>
      <c r="AF18" s="40" t="s">
        <v>79</v>
      </c>
      <c r="AG18" s="44" t="s">
        <v>69</v>
      </c>
      <c r="AH18" s="44" t="s">
        <v>76</v>
      </c>
      <c r="AI18" s="41" t="s">
        <v>70</v>
      </c>
      <c r="AJ18" s="41" t="s">
        <v>71</v>
      </c>
      <c r="AK18" s="41" t="s">
        <v>72</v>
      </c>
      <c r="AL18" s="41" t="s">
        <v>73</v>
      </c>
      <c r="AM18" s="41" t="s">
        <v>74</v>
      </c>
    </row>
    <row r="19" spans="1:42" ht="15" x14ac:dyDescent="0.25">
      <c r="A19" s="9">
        <v>1</v>
      </c>
      <c r="B19" s="9" t="s">
        <v>80</v>
      </c>
      <c r="C19" s="45">
        <v>45597</v>
      </c>
      <c r="D19" s="46">
        <v>31</v>
      </c>
      <c r="E19" s="10">
        <v>800</v>
      </c>
      <c r="F19" s="10">
        <f>ROUND(E19*$I$17*D19/366,2)</f>
        <v>6.1</v>
      </c>
      <c r="G19" s="10">
        <v>0</v>
      </c>
      <c r="H19" s="10">
        <f t="shared" ref="H19:H49" si="27">F19</f>
        <v>6.1</v>
      </c>
      <c r="I19" s="10">
        <f t="shared" ref="I19:I22" si="28">E19+F19-G19-H19</f>
        <v>800</v>
      </c>
      <c r="K19" s="9">
        <v>1</v>
      </c>
      <c r="L19" s="9" t="s">
        <v>80</v>
      </c>
      <c r="M19" s="45">
        <v>45627</v>
      </c>
      <c r="N19" s="46">
        <v>31</v>
      </c>
      <c r="O19" s="10">
        <v>1000</v>
      </c>
      <c r="P19" s="9">
        <f>ROUND(O19*$S$17*N19/366,2)</f>
        <v>7.62</v>
      </c>
      <c r="Q19" s="10">
        <v>0</v>
      </c>
      <c r="R19" s="9">
        <f t="shared" ref="R19:R49" si="29">P19</f>
        <v>7.62</v>
      </c>
      <c r="S19" s="9">
        <f>O19+P19-Q19-R19</f>
        <v>1000</v>
      </c>
      <c r="U19" s="9">
        <v>1</v>
      </c>
      <c r="V19" s="9" t="s">
        <v>80</v>
      </c>
      <c r="W19" s="45">
        <v>45658</v>
      </c>
      <c r="X19" s="46">
        <v>31</v>
      </c>
      <c r="Y19" s="9">
        <v>900</v>
      </c>
      <c r="Z19" s="9">
        <f>ROUND(Y19*$AC$17*X19/365,2)</f>
        <v>6.88</v>
      </c>
      <c r="AA19" s="9"/>
      <c r="AB19" s="9">
        <f>Z19</f>
        <v>6.88</v>
      </c>
      <c r="AC19" s="9">
        <f>Y19+Z19-AA19-AB19</f>
        <v>900</v>
      </c>
      <c r="AE19" s="9">
        <v>1</v>
      </c>
      <c r="AF19" s="9" t="s">
        <v>80</v>
      </c>
      <c r="AG19" s="45">
        <v>45658</v>
      </c>
      <c r="AH19" s="46">
        <v>31</v>
      </c>
      <c r="AI19" s="9">
        <v>900</v>
      </c>
      <c r="AJ19" s="9">
        <f>ROUND(AI19*$AM$17*AH19/365,2)</f>
        <v>6.88</v>
      </c>
      <c r="AK19" s="9"/>
      <c r="AL19" s="9">
        <f>AJ19</f>
        <v>6.88</v>
      </c>
      <c r="AM19" s="9">
        <f>AI19+AJ19-AK19-AL19</f>
        <v>900</v>
      </c>
      <c r="AP19" s="8">
        <f>F19-P19</f>
        <v>-1.5200000000000005</v>
      </c>
    </row>
    <row r="20" spans="1:42" ht="15" x14ac:dyDescent="0.25">
      <c r="A20" s="9">
        <f>A19+1</f>
        <v>2</v>
      </c>
      <c r="B20" s="9" t="s">
        <v>80</v>
      </c>
      <c r="C20" s="45">
        <v>45627</v>
      </c>
      <c r="D20" s="46">
        <v>31</v>
      </c>
      <c r="E20" s="10">
        <f t="shared" ref="E20:E22" si="30">I19</f>
        <v>800</v>
      </c>
      <c r="F20" s="10">
        <f>ROUND(E20*$I$17*D20/366,2)</f>
        <v>6.1</v>
      </c>
      <c r="G20" s="10">
        <v>0</v>
      </c>
      <c r="H20" s="10">
        <f t="shared" si="27"/>
        <v>6.1</v>
      </c>
      <c r="I20" s="10">
        <f t="shared" si="28"/>
        <v>800</v>
      </c>
      <c r="K20" s="9">
        <f t="shared" ref="K20:K50" si="31">K19+1</f>
        <v>2</v>
      </c>
      <c r="L20" s="9" t="s">
        <v>80</v>
      </c>
      <c r="M20" s="45">
        <v>45658</v>
      </c>
      <c r="N20" s="46">
        <v>31</v>
      </c>
      <c r="O20" s="10">
        <f>S19</f>
        <v>1000</v>
      </c>
      <c r="P20" s="9">
        <f>ROUND(O20*$S$17*N20/366,2)</f>
        <v>7.62</v>
      </c>
      <c r="Q20" s="10">
        <v>0</v>
      </c>
      <c r="R20" s="9">
        <f t="shared" si="29"/>
        <v>7.62</v>
      </c>
      <c r="S20" s="9">
        <f t="shared" ref="S20:S23" si="32">O20+P20-Q20-R20</f>
        <v>1000</v>
      </c>
      <c r="U20" s="9">
        <f t="shared" ref="U20:U82" si="33">U19+1</f>
        <v>2</v>
      </c>
      <c r="V20" s="9" t="s">
        <v>80</v>
      </c>
      <c r="W20" s="45">
        <v>45689</v>
      </c>
      <c r="X20" s="46">
        <v>28</v>
      </c>
      <c r="Y20" s="9">
        <f>AC19</f>
        <v>900</v>
      </c>
      <c r="Z20" s="9">
        <f t="shared" ref="Z20:Z22" si="34">ROUND(Y20*$AC$17*X20/365,2)</f>
        <v>6.21</v>
      </c>
      <c r="AA20" s="9"/>
      <c r="AB20" s="9">
        <f t="shared" ref="AB20:AB83" si="35">Z20</f>
        <v>6.21</v>
      </c>
      <c r="AC20" s="9">
        <f t="shared" ref="AC20:AC83" si="36">Y20+Z20-AA20-AB20</f>
        <v>900</v>
      </c>
      <c r="AE20" s="9">
        <f t="shared" ref="AE20:AE82" si="37">AE19+1</f>
        <v>2</v>
      </c>
      <c r="AF20" s="9" t="s">
        <v>80</v>
      </c>
      <c r="AG20" s="45">
        <v>45689</v>
      </c>
      <c r="AH20" s="46">
        <v>28</v>
      </c>
      <c r="AI20" s="9">
        <v>900</v>
      </c>
      <c r="AJ20" s="9">
        <f>ROUND(AI20*$AM$17*AH20/365,2)</f>
        <v>6.21</v>
      </c>
      <c r="AK20" s="9"/>
      <c r="AL20" s="9">
        <f>AJ20</f>
        <v>6.21</v>
      </c>
      <c r="AM20" s="9">
        <f>AI20+AJ20-AK20-AL20</f>
        <v>900</v>
      </c>
      <c r="AP20" s="8">
        <f t="shared" ref="AP20:AP83" si="38">F20-P20</f>
        <v>-1.5200000000000005</v>
      </c>
    </row>
    <row r="21" spans="1:42" ht="15" x14ac:dyDescent="0.25">
      <c r="A21" s="9">
        <f t="shared" ref="A21:A84" si="39">A20+1</f>
        <v>3</v>
      </c>
      <c r="B21" s="9" t="s">
        <v>80</v>
      </c>
      <c r="C21" s="45">
        <v>45658</v>
      </c>
      <c r="D21" s="46">
        <v>28</v>
      </c>
      <c r="E21" s="10">
        <f t="shared" si="30"/>
        <v>800</v>
      </c>
      <c r="F21" s="10">
        <f>ROUND(E21*$I$17*D21/366,2)</f>
        <v>5.51</v>
      </c>
      <c r="G21" s="10">
        <v>0</v>
      </c>
      <c r="H21" s="10">
        <f t="shared" si="27"/>
        <v>5.51</v>
      </c>
      <c r="I21" s="10">
        <f t="shared" si="28"/>
        <v>800</v>
      </c>
      <c r="K21" s="9">
        <f t="shared" si="31"/>
        <v>3</v>
      </c>
      <c r="L21" s="9" t="s">
        <v>80</v>
      </c>
      <c r="M21" s="45">
        <v>45689</v>
      </c>
      <c r="N21" s="46">
        <v>28</v>
      </c>
      <c r="O21" s="10">
        <f t="shared" ref="O21:O24" si="40">S20</f>
        <v>1000</v>
      </c>
      <c r="P21" s="9">
        <f>ROUND(O21*$S$17*N21/366,2)</f>
        <v>6.89</v>
      </c>
      <c r="Q21" s="10">
        <v>0</v>
      </c>
      <c r="R21" s="9">
        <f t="shared" si="29"/>
        <v>6.89</v>
      </c>
      <c r="S21" s="9">
        <f t="shared" si="32"/>
        <v>1000</v>
      </c>
      <c r="U21" s="9">
        <f t="shared" si="33"/>
        <v>3</v>
      </c>
      <c r="V21" s="9" t="s">
        <v>80</v>
      </c>
      <c r="W21" s="45">
        <v>45717</v>
      </c>
      <c r="X21" s="46">
        <v>31</v>
      </c>
      <c r="Y21" s="9">
        <f t="shared" ref="Y21:Y84" si="41">AC20</f>
        <v>900</v>
      </c>
      <c r="Z21" s="9">
        <f t="shared" si="34"/>
        <v>6.88</v>
      </c>
      <c r="AA21" s="9"/>
      <c r="AB21" s="9">
        <f t="shared" si="35"/>
        <v>6.88</v>
      </c>
      <c r="AC21" s="9">
        <f t="shared" si="36"/>
        <v>900</v>
      </c>
      <c r="AE21" s="9">
        <f t="shared" si="37"/>
        <v>3</v>
      </c>
      <c r="AF21" s="9" t="s">
        <v>80</v>
      </c>
      <c r="AG21" s="45">
        <v>45717</v>
      </c>
      <c r="AH21" s="46">
        <v>31</v>
      </c>
      <c r="AI21" s="9">
        <f>AM20</f>
        <v>900</v>
      </c>
      <c r="AJ21" s="9">
        <f t="shared" ref="AJ21:AJ46" si="42">ROUND(AI21*$AM$17*AH21/365,2)</f>
        <v>6.88</v>
      </c>
      <c r="AK21" s="9"/>
      <c r="AL21" s="9">
        <f t="shared" ref="AL21:AL84" si="43">AJ21</f>
        <v>6.88</v>
      </c>
      <c r="AM21" s="9">
        <f t="shared" ref="AM21:AM84" si="44">AI21+AJ21-AK21-AL21</f>
        <v>900</v>
      </c>
      <c r="AP21" s="8">
        <f t="shared" si="38"/>
        <v>-1.38</v>
      </c>
    </row>
    <row r="22" spans="1:42" x14ac:dyDescent="0.35">
      <c r="A22" s="9">
        <f t="shared" si="39"/>
        <v>4</v>
      </c>
      <c r="B22" s="9" t="s">
        <v>80</v>
      </c>
      <c r="C22" s="45">
        <v>45689</v>
      </c>
      <c r="D22" s="46">
        <v>31</v>
      </c>
      <c r="E22" s="10">
        <f t="shared" si="30"/>
        <v>800</v>
      </c>
      <c r="F22" s="10">
        <f>ROUND(E22*$I$17*D22/366,2)</f>
        <v>6.1</v>
      </c>
      <c r="G22" s="10">
        <v>0</v>
      </c>
      <c r="H22" s="10">
        <f t="shared" si="27"/>
        <v>6.1</v>
      </c>
      <c r="I22" s="10">
        <f t="shared" si="28"/>
        <v>800</v>
      </c>
      <c r="K22" s="9">
        <f t="shared" si="31"/>
        <v>4</v>
      </c>
      <c r="L22" s="9" t="s">
        <v>80</v>
      </c>
      <c r="M22" s="45">
        <v>45717</v>
      </c>
      <c r="N22" s="46">
        <v>31</v>
      </c>
      <c r="O22" s="10">
        <f t="shared" si="40"/>
        <v>1000</v>
      </c>
      <c r="P22" s="9">
        <f>ROUND(O22*$S$17*N22/366,2)</f>
        <v>7.62</v>
      </c>
      <c r="Q22" s="10">
        <v>0</v>
      </c>
      <c r="R22" s="9">
        <f t="shared" si="29"/>
        <v>7.62</v>
      </c>
      <c r="S22" s="9">
        <f t="shared" si="32"/>
        <v>1000</v>
      </c>
      <c r="U22" s="9">
        <f t="shared" si="33"/>
        <v>4</v>
      </c>
      <c r="V22" s="9" t="s">
        <v>81</v>
      </c>
      <c r="W22" s="45">
        <v>45748</v>
      </c>
      <c r="X22" s="46">
        <v>30</v>
      </c>
      <c r="Y22" s="9">
        <f t="shared" si="41"/>
        <v>900</v>
      </c>
      <c r="Z22" s="9">
        <f t="shared" si="34"/>
        <v>6.66</v>
      </c>
      <c r="AA22" s="9"/>
      <c r="AB22" s="9">
        <f t="shared" si="35"/>
        <v>6.66</v>
      </c>
      <c r="AC22" s="9">
        <f t="shared" si="36"/>
        <v>900</v>
      </c>
      <c r="AE22" s="9">
        <f t="shared" si="37"/>
        <v>4</v>
      </c>
      <c r="AF22" s="9" t="s">
        <v>81</v>
      </c>
      <c r="AG22" s="45">
        <v>45748</v>
      </c>
      <c r="AH22" s="46">
        <v>30</v>
      </c>
      <c r="AI22" s="9">
        <f t="shared" ref="AI22:AI85" si="45">AM21</f>
        <v>900</v>
      </c>
      <c r="AJ22" s="9">
        <f t="shared" si="42"/>
        <v>6.66</v>
      </c>
      <c r="AK22" s="9"/>
      <c r="AL22" s="9">
        <f t="shared" si="43"/>
        <v>6.66</v>
      </c>
      <c r="AM22" s="9">
        <f t="shared" si="44"/>
        <v>900</v>
      </c>
      <c r="AP22" s="8">
        <f t="shared" si="38"/>
        <v>-1.5200000000000005</v>
      </c>
    </row>
    <row r="23" spans="1:42" x14ac:dyDescent="0.35">
      <c r="A23" s="9">
        <f t="shared" si="39"/>
        <v>5</v>
      </c>
      <c r="B23" s="9" t="s">
        <v>80</v>
      </c>
      <c r="C23" s="45">
        <v>45717</v>
      </c>
      <c r="D23" s="46">
        <v>30</v>
      </c>
      <c r="E23" s="10">
        <f>I22</f>
        <v>800</v>
      </c>
      <c r="F23" s="10">
        <f t="shared" ref="F23:F46" si="46">ROUND(E23*$I$17*D23/365,2)</f>
        <v>5.92</v>
      </c>
      <c r="G23" s="10">
        <v>0</v>
      </c>
      <c r="H23" s="10">
        <f t="shared" si="27"/>
        <v>5.92</v>
      </c>
      <c r="I23" s="11">
        <f t="shared" ref="I23:I54" si="47">E23+F23-G23-H23</f>
        <v>800</v>
      </c>
      <c r="K23" s="9">
        <f t="shared" si="31"/>
        <v>5</v>
      </c>
      <c r="L23" s="9" t="s">
        <v>81</v>
      </c>
      <c r="M23" s="45">
        <v>45748</v>
      </c>
      <c r="N23" s="46">
        <v>30</v>
      </c>
      <c r="O23" s="10">
        <f t="shared" si="40"/>
        <v>1000</v>
      </c>
      <c r="P23" s="9">
        <f t="shared" ref="P23:P46" si="48">ROUND(O23*$S$17*N23/365,2)</f>
        <v>7.4</v>
      </c>
      <c r="Q23" s="10">
        <v>0</v>
      </c>
      <c r="R23" s="9">
        <f t="shared" si="29"/>
        <v>7.4</v>
      </c>
      <c r="S23" s="9">
        <f t="shared" si="32"/>
        <v>1000</v>
      </c>
      <c r="U23" s="9">
        <f t="shared" si="33"/>
        <v>5</v>
      </c>
      <c r="V23" s="9" t="s">
        <v>81</v>
      </c>
      <c r="W23" s="45">
        <v>45778</v>
      </c>
      <c r="X23" s="46">
        <v>31</v>
      </c>
      <c r="Y23" s="9">
        <f t="shared" si="41"/>
        <v>900</v>
      </c>
      <c r="Z23" s="9">
        <f>ROUND(Y23*$AC$17*X23/365,2)</f>
        <v>6.88</v>
      </c>
      <c r="AA23" s="9"/>
      <c r="AB23" s="9">
        <f t="shared" si="35"/>
        <v>6.88</v>
      </c>
      <c r="AC23" s="9">
        <f t="shared" si="36"/>
        <v>900</v>
      </c>
      <c r="AE23" s="9">
        <f t="shared" si="37"/>
        <v>5</v>
      </c>
      <c r="AF23" s="9" t="s">
        <v>81</v>
      </c>
      <c r="AG23" s="45">
        <v>45778</v>
      </c>
      <c r="AH23" s="46">
        <v>31</v>
      </c>
      <c r="AI23" s="9">
        <f t="shared" si="45"/>
        <v>900</v>
      </c>
      <c r="AJ23" s="9">
        <f t="shared" si="42"/>
        <v>6.88</v>
      </c>
      <c r="AK23" s="9"/>
      <c r="AL23" s="9">
        <f t="shared" si="43"/>
        <v>6.88</v>
      </c>
      <c r="AM23" s="9">
        <f t="shared" si="44"/>
        <v>900</v>
      </c>
      <c r="AP23" s="8">
        <f t="shared" si="38"/>
        <v>-1.4800000000000004</v>
      </c>
    </row>
    <row r="24" spans="1:42" x14ac:dyDescent="0.35">
      <c r="A24" s="9">
        <f t="shared" si="39"/>
        <v>6</v>
      </c>
      <c r="B24" s="9" t="s">
        <v>81</v>
      </c>
      <c r="C24" s="45">
        <v>45748</v>
      </c>
      <c r="D24" s="46">
        <v>31</v>
      </c>
      <c r="E24" s="11">
        <f>I23</f>
        <v>800</v>
      </c>
      <c r="F24" s="9">
        <f t="shared" si="46"/>
        <v>6.12</v>
      </c>
      <c r="G24" s="10">
        <v>0</v>
      </c>
      <c r="H24" s="9">
        <f t="shared" si="27"/>
        <v>6.12</v>
      </c>
      <c r="I24" s="11">
        <f t="shared" si="47"/>
        <v>800</v>
      </c>
      <c r="K24" s="9">
        <f t="shared" si="31"/>
        <v>6</v>
      </c>
      <c r="L24" s="9" t="s">
        <v>81</v>
      </c>
      <c r="M24" s="45">
        <v>45778</v>
      </c>
      <c r="N24" s="46">
        <v>31</v>
      </c>
      <c r="O24" s="10">
        <f t="shared" si="40"/>
        <v>1000</v>
      </c>
      <c r="P24" s="9">
        <f t="shared" si="48"/>
        <v>7.64</v>
      </c>
      <c r="Q24" s="10">
        <v>0</v>
      </c>
      <c r="R24" s="9">
        <f t="shared" si="29"/>
        <v>7.64</v>
      </c>
      <c r="S24" s="11">
        <f t="shared" ref="S24:S64" si="49">O24+P24-Q24-R24</f>
        <v>1000</v>
      </c>
      <c r="U24" s="9">
        <f t="shared" si="33"/>
        <v>6</v>
      </c>
      <c r="V24" s="9" t="s">
        <v>81</v>
      </c>
      <c r="W24" s="45">
        <v>45809</v>
      </c>
      <c r="X24" s="46">
        <v>30</v>
      </c>
      <c r="Y24" s="9">
        <f t="shared" si="41"/>
        <v>900</v>
      </c>
      <c r="Z24" s="9">
        <f t="shared" ref="Z24:Z34" si="50">ROUND(Y24*$AC$17*X24/365,2)</f>
        <v>6.66</v>
      </c>
      <c r="AA24" s="9"/>
      <c r="AB24" s="9">
        <f t="shared" si="35"/>
        <v>6.66</v>
      </c>
      <c r="AC24" s="9">
        <f t="shared" si="36"/>
        <v>900</v>
      </c>
      <c r="AE24" s="9">
        <f t="shared" si="37"/>
        <v>6</v>
      </c>
      <c r="AF24" s="9" t="s">
        <v>81</v>
      </c>
      <c r="AG24" s="45">
        <v>45809</v>
      </c>
      <c r="AH24" s="46">
        <v>30</v>
      </c>
      <c r="AI24" s="9">
        <f t="shared" si="45"/>
        <v>900</v>
      </c>
      <c r="AJ24" s="9">
        <f t="shared" si="42"/>
        <v>6.66</v>
      </c>
      <c r="AK24" s="9"/>
      <c r="AL24" s="9">
        <f t="shared" si="43"/>
        <v>6.66</v>
      </c>
      <c r="AM24" s="9">
        <f t="shared" si="44"/>
        <v>900</v>
      </c>
      <c r="AP24" s="8">
        <f t="shared" si="38"/>
        <v>-1.5199999999999996</v>
      </c>
    </row>
    <row r="25" spans="1:42" x14ac:dyDescent="0.35">
      <c r="A25" s="9">
        <f t="shared" si="39"/>
        <v>7</v>
      </c>
      <c r="B25" s="9" t="s">
        <v>81</v>
      </c>
      <c r="C25" s="45">
        <v>45778</v>
      </c>
      <c r="D25" s="46">
        <v>30</v>
      </c>
      <c r="E25" s="11">
        <f>I24</f>
        <v>800</v>
      </c>
      <c r="F25" s="9">
        <f t="shared" si="46"/>
        <v>5.92</v>
      </c>
      <c r="G25" s="10">
        <f>$E$25/72</f>
        <v>11.111111111111111</v>
      </c>
      <c r="H25" s="9">
        <f t="shared" si="27"/>
        <v>5.92</v>
      </c>
      <c r="I25" s="11">
        <f t="shared" si="47"/>
        <v>788.88888888888891</v>
      </c>
      <c r="K25" s="9">
        <f t="shared" si="31"/>
        <v>7</v>
      </c>
      <c r="L25" s="9" t="s">
        <v>81</v>
      </c>
      <c r="M25" s="45">
        <v>45809</v>
      </c>
      <c r="N25" s="46">
        <v>30</v>
      </c>
      <c r="O25" s="11">
        <f t="shared" ref="O25:O64" si="51">S24</f>
        <v>1000</v>
      </c>
      <c r="P25" s="9">
        <f t="shared" si="48"/>
        <v>7.4</v>
      </c>
      <c r="Q25" s="10">
        <f>$O$25/72</f>
        <v>13.888888888888889</v>
      </c>
      <c r="R25" s="9">
        <f t="shared" si="29"/>
        <v>7.4</v>
      </c>
      <c r="S25" s="11">
        <f t="shared" si="49"/>
        <v>986.11111111111109</v>
      </c>
      <c r="U25" s="9">
        <f t="shared" si="33"/>
        <v>7</v>
      </c>
      <c r="V25" s="9" t="s">
        <v>81</v>
      </c>
      <c r="W25" s="45">
        <v>45839</v>
      </c>
      <c r="X25" s="46">
        <v>31</v>
      </c>
      <c r="Y25" s="9">
        <f t="shared" si="41"/>
        <v>900</v>
      </c>
      <c r="Z25" s="9">
        <f t="shared" si="50"/>
        <v>6.88</v>
      </c>
      <c r="AA25" s="9">
        <f>ROUND($Y$25/72,2)</f>
        <v>12.5</v>
      </c>
      <c r="AB25" s="9">
        <f t="shared" si="35"/>
        <v>6.88</v>
      </c>
      <c r="AC25" s="9">
        <f t="shared" si="36"/>
        <v>887.5</v>
      </c>
      <c r="AE25" s="9">
        <f t="shared" si="37"/>
        <v>7</v>
      </c>
      <c r="AF25" s="9" t="s">
        <v>81</v>
      </c>
      <c r="AG25" s="45">
        <v>45839</v>
      </c>
      <c r="AH25" s="46">
        <v>31</v>
      </c>
      <c r="AI25" s="9">
        <f t="shared" si="45"/>
        <v>900</v>
      </c>
      <c r="AJ25" s="9">
        <f t="shared" si="42"/>
        <v>6.88</v>
      </c>
      <c r="AK25" s="9">
        <f>ROUND($AI$25/72,2)</f>
        <v>12.5</v>
      </c>
      <c r="AL25" s="9">
        <f t="shared" si="43"/>
        <v>6.88</v>
      </c>
      <c r="AM25" s="9">
        <f t="shared" si="44"/>
        <v>887.5</v>
      </c>
      <c r="AP25" s="8">
        <f t="shared" si="38"/>
        <v>-1.4800000000000004</v>
      </c>
    </row>
    <row r="26" spans="1:42" x14ac:dyDescent="0.35">
      <c r="A26" s="9">
        <f t="shared" si="39"/>
        <v>8</v>
      </c>
      <c r="B26" s="9" t="s">
        <v>81</v>
      </c>
      <c r="C26" s="45">
        <v>45809</v>
      </c>
      <c r="D26" s="46">
        <v>31</v>
      </c>
      <c r="E26" s="11">
        <f t="shared" ref="E26:E56" si="52">I25</f>
        <v>788.88888888888891</v>
      </c>
      <c r="F26" s="9">
        <f t="shared" si="46"/>
        <v>6.03</v>
      </c>
      <c r="G26" s="10">
        <f t="shared" ref="G26:G89" si="53">$E$25/72</f>
        <v>11.111111111111111</v>
      </c>
      <c r="H26" s="9">
        <f t="shared" si="27"/>
        <v>6.03</v>
      </c>
      <c r="I26" s="11">
        <f t="shared" si="47"/>
        <v>777.77777777777783</v>
      </c>
      <c r="K26" s="9">
        <f t="shared" si="31"/>
        <v>8</v>
      </c>
      <c r="L26" s="9" t="s">
        <v>81</v>
      </c>
      <c r="M26" s="45">
        <v>45839</v>
      </c>
      <c r="N26" s="46">
        <v>31</v>
      </c>
      <c r="O26" s="11">
        <f t="shared" si="51"/>
        <v>986.11111111111109</v>
      </c>
      <c r="P26" s="9">
        <f t="shared" si="48"/>
        <v>7.54</v>
      </c>
      <c r="Q26" s="10">
        <f t="shared" ref="Q26:Q89" si="54">$O$25/72</f>
        <v>13.888888888888889</v>
      </c>
      <c r="R26" s="9">
        <f t="shared" si="29"/>
        <v>7.54</v>
      </c>
      <c r="S26" s="11">
        <f t="shared" si="49"/>
        <v>972.22222222222217</v>
      </c>
      <c r="U26" s="9">
        <f t="shared" si="33"/>
        <v>8</v>
      </c>
      <c r="V26" s="9" t="s">
        <v>81</v>
      </c>
      <c r="W26" s="45">
        <v>45870</v>
      </c>
      <c r="X26" s="46">
        <v>31</v>
      </c>
      <c r="Y26" s="9">
        <f t="shared" si="41"/>
        <v>887.5</v>
      </c>
      <c r="Z26" s="9">
        <f t="shared" si="50"/>
        <v>6.78</v>
      </c>
      <c r="AA26" s="9">
        <f t="shared" ref="AA26:AA89" si="55">ROUND($Y$25/72,2)</f>
        <v>12.5</v>
      </c>
      <c r="AB26" s="9">
        <f t="shared" si="35"/>
        <v>6.78</v>
      </c>
      <c r="AC26" s="9">
        <f t="shared" si="36"/>
        <v>875</v>
      </c>
      <c r="AE26" s="9">
        <f t="shared" si="37"/>
        <v>8</v>
      </c>
      <c r="AF26" s="9" t="s">
        <v>81</v>
      </c>
      <c r="AG26" s="45">
        <v>45870</v>
      </c>
      <c r="AH26" s="46">
        <v>31</v>
      </c>
      <c r="AI26" s="9">
        <f t="shared" si="45"/>
        <v>887.5</v>
      </c>
      <c r="AJ26" s="9">
        <f t="shared" si="42"/>
        <v>6.78</v>
      </c>
      <c r="AK26" s="9">
        <f t="shared" ref="AK26:AK89" si="56">ROUND($AI$25/72,2)</f>
        <v>12.5</v>
      </c>
      <c r="AL26" s="9">
        <f t="shared" si="43"/>
        <v>6.78</v>
      </c>
      <c r="AM26" s="9">
        <f t="shared" si="44"/>
        <v>875</v>
      </c>
      <c r="AP26" s="8">
        <f t="shared" si="38"/>
        <v>-1.5099999999999998</v>
      </c>
    </row>
    <row r="27" spans="1:42" x14ac:dyDescent="0.35">
      <c r="A27" s="9">
        <f t="shared" si="39"/>
        <v>9</v>
      </c>
      <c r="B27" s="9" t="s">
        <v>81</v>
      </c>
      <c r="C27" s="45">
        <v>45839</v>
      </c>
      <c r="D27" s="46">
        <v>31</v>
      </c>
      <c r="E27" s="11">
        <f t="shared" si="52"/>
        <v>777.77777777777783</v>
      </c>
      <c r="F27" s="9">
        <f t="shared" si="46"/>
        <v>5.95</v>
      </c>
      <c r="G27" s="10">
        <f t="shared" si="53"/>
        <v>11.111111111111111</v>
      </c>
      <c r="H27" s="9">
        <f t="shared" si="27"/>
        <v>5.95</v>
      </c>
      <c r="I27" s="11">
        <f t="shared" si="47"/>
        <v>766.66666666666674</v>
      </c>
      <c r="K27" s="9">
        <f t="shared" si="31"/>
        <v>9</v>
      </c>
      <c r="L27" s="9" t="s">
        <v>81</v>
      </c>
      <c r="M27" s="45">
        <v>45870</v>
      </c>
      <c r="N27" s="46">
        <v>31</v>
      </c>
      <c r="O27" s="11">
        <f t="shared" si="51"/>
        <v>972.22222222222217</v>
      </c>
      <c r="P27" s="9">
        <f t="shared" si="48"/>
        <v>7.43</v>
      </c>
      <c r="Q27" s="10">
        <f t="shared" si="54"/>
        <v>13.888888888888889</v>
      </c>
      <c r="R27" s="9">
        <f t="shared" si="29"/>
        <v>7.43</v>
      </c>
      <c r="S27" s="11">
        <f t="shared" si="49"/>
        <v>958.33333333333326</v>
      </c>
      <c r="U27" s="9">
        <f t="shared" si="33"/>
        <v>9</v>
      </c>
      <c r="V27" s="9" t="s">
        <v>81</v>
      </c>
      <c r="W27" s="45">
        <v>45901</v>
      </c>
      <c r="X27" s="46">
        <v>30</v>
      </c>
      <c r="Y27" s="9">
        <f t="shared" si="41"/>
        <v>875</v>
      </c>
      <c r="Z27" s="9">
        <f t="shared" si="50"/>
        <v>6.47</v>
      </c>
      <c r="AA27" s="9">
        <f t="shared" si="55"/>
        <v>12.5</v>
      </c>
      <c r="AB27" s="9">
        <f t="shared" si="35"/>
        <v>6.47</v>
      </c>
      <c r="AC27" s="9">
        <f t="shared" si="36"/>
        <v>862.5</v>
      </c>
      <c r="AE27" s="9">
        <f t="shared" si="37"/>
        <v>9</v>
      </c>
      <c r="AF27" s="9" t="s">
        <v>81</v>
      </c>
      <c r="AG27" s="45">
        <v>45901</v>
      </c>
      <c r="AH27" s="46">
        <v>30</v>
      </c>
      <c r="AI27" s="9">
        <f t="shared" si="45"/>
        <v>875</v>
      </c>
      <c r="AJ27" s="9">
        <f t="shared" si="42"/>
        <v>6.47</v>
      </c>
      <c r="AK27" s="9">
        <f t="shared" si="56"/>
        <v>12.5</v>
      </c>
      <c r="AL27" s="9">
        <f t="shared" si="43"/>
        <v>6.47</v>
      </c>
      <c r="AM27" s="9">
        <f t="shared" si="44"/>
        <v>862.5</v>
      </c>
      <c r="AP27" s="8">
        <f t="shared" si="38"/>
        <v>-1.4799999999999995</v>
      </c>
    </row>
    <row r="28" spans="1:42" x14ac:dyDescent="0.35">
      <c r="A28" s="9">
        <f t="shared" si="39"/>
        <v>10</v>
      </c>
      <c r="B28" s="9" t="s">
        <v>81</v>
      </c>
      <c r="C28" s="45">
        <v>45870</v>
      </c>
      <c r="D28" s="46">
        <v>30</v>
      </c>
      <c r="E28" s="11">
        <f t="shared" si="52"/>
        <v>766.66666666666674</v>
      </c>
      <c r="F28" s="9">
        <f t="shared" si="46"/>
        <v>5.67</v>
      </c>
      <c r="G28" s="10">
        <f t="shared" si="53"/>
        <v>11.111111111111111</v>
      </c>
      <c r="H28" s="9">
        <f t="shared" si="27"/>
        <v>5.67</v>
      </c>
      <c r="I28" s="11">
        <f t="shared" si="47"/>
        <v>755.55555555555566</v>
      </c>
      <c r="K28" s="9">
        <f t="shared" si="31"/>
        <v>10</v>
      </c>
      <c r="L28" s="9" t="s">
        <v>81</v>
      </c>
      <c r="M28" s="45">
        <v>45901</v>
      </c>
      <c r="N28" s="46">
        <v>30</v>
      </c>
      <c r="O28" s="11">
        <f t="shared" si="51"/>
        <v>958.33333333333326</v>
      </c>
      <c r="P28" s="9">
        <f t="shared" si="48"/>
        <v>7.09</v>
      </c>
      <c r="Q28" s="10">
        <f t="shared" si="54"/>
        <v>13.888888888888889</v>
      </c>
      <c r="R28" s="9">
        <f t="shared" si="29"/>
        <v>7.09</v>
      </c>
      <c r="S28" s="11">
        <f t="shared" si="49"/>
        <v>944.44444444444434</v>
      </c>
      <c r="U28" s="9">
        <f t="shared" si="33"/>
        <v>10</v>
      </c>
      <c r="V28" s="9" t="s">
        <v>81</v>
      </c>
      <c r="W28" s="45">
        <v>45931</v>
      </c>
      <c r="X28" s="46">
        <v>31</v>
      </c>
      <c r="Y28" s="9">
        <f t="shared" si="41"/>
        <v>862.5</v>
      </c>
      <c r="Z28" s="9">
        <f t="shared" si="50"/>
        <v>6.59</v>
      </c>
      <c r="AA28" s="9">
        <f t="shared" si="55"/>
        <v>12.5</v>
      </c>
      <c r="AB28" s="9">
        <f t="shared" si="35"/>
        <v>6.59</v>
      </c>
      <c r="AC28" s="9">
        <f t="shared" si="36"/>
        <v>850</v>
      </c>
      <c r="AE28" s="9">
        <f t="shared" si="37"/>
        <v>10</v>
      </c>
      <c r="AF28" s="9" t="s">
        <v>81</v>
      </c>
      <c r="AG28" s="45">
        <v>45931</v>
      </c>
      <c r="AH28" s="46">
        <v>31</v>
      </c>
      <c r="AI28" s="9">
        <f t="shared" si="45"/>
        <v>862.5</v>
      </c>
      <c r="AJ28" s="9">
        <f t="shared" si="42"/>
        <v>6.59</v>
      </c>
      <c r="AK28" s="9">
        <f t="shared" si="56"/>
        <v>12.5</v>
      </c>
      <c r="AL28" s="9">
        <f t="shared" si="43"/>
        <v>6.59</v>
      </c>
      <c r="AM28" s="9">
        <f t="shared" si="44"/>
        <v>850</v>
      </c>
      <c r="AP28" s="8">
        <f t="shared" si="38"/>
        <v>-1.42</v>
      </c>
    </row>
    <row r="29" spans="1:42" x14ac:dyDescent="0.35">
      <c r="A29" s="9">
        <f t="shared" si="39"/>
        <v>11</v>
      </c>
      <c r="B29" s="9" t="s">
        <v>81</v>
      </c>
      <c r="C29" s="45">
        <v>45901</v>
      </c>
      <c r="D29" s="46">
        <v>31</v>
      </c>
      <c r="E29" s="11">
        <f t="shared" si="52"/>
        <v>755.55555555555566</v>
      </c>
      <c r="F29" s="9">
        <f t="shared" si="46"/>
        <v>5.78</v>
      </c>
      <c r="G29" s="10">
        <f t="shared" si="53"/>
        <v>11.111111111111111</v>
      </c>
      <c r="H29" s="9">
        <f t="shared" si="27"/>
        <v>5.78</v>
      </c>
      <c r="I29" s="11">
        <f t="shared" si="47"/>
        <v>744.44444444444457</v>
      </c>
      <c r="K29" s="9">
        <f t="shared" si="31"/>
        <v>11</v>
      </c>
      <c r="L29" s="9" t="s">
        <v>81</v>
      </c>
      <c r="M29" s="45">
        <v>45931</v>
      </c>
      <c r="N29" s="46">
        <v>31</v>
      </c>
      <c r="O29" s="11">
        <f t="shared" si="51"/>
        <v>944.44444444444434</v>
      </c>
      <c r="P29" s="9">
        <f t="shared" si="48"/>
        <v>7.22</v>
      </c>
      <c r="Q29" s="10">
        <f t="shared" si="54"/>
        <v>13.888888888888889</v>
      </c>
      <c r="R29" s="9">
        <f t="shared" si="29"/>
        <v>7.22</v>
      </c>
      <c r="S29" s="11">
        <f t="shared" si="49"/>
        <v>930.55555555555543</v>
      </c>
      <c r="U29" s="9">
        <f t="shared" si="33"/>
        <v>11</v>
      </c>
      <c r="V29" s="9" t="s">
        <v>81</v>
      </c>
      <c r="W29" s="45">
        <v>45962</v>
      </c>
      <c r="X29" s="46">
        <v>30</v>
      </c>
      <c r="Y29" s="9">
        <f t="shared" si="41"/>
        <v>850</v>
      </c>
      <c r="Z29" s="9">
        <f t="shared" si="50"/>
        <v>6.29</v>
      </c>
      <c r="AA29" s="9">
        <f t="shared" si="55"/>
        <v>12.5</v>
      </c>
      <c r="AB29" s="9">
        <f t="shared" si="35"/>
        <v>6.29</v>
      </c>
      <c r="AC29" s="9">
        <f t="shared" si="36"/>
        <v>837.5</v>
      </c>
      <c r="AE29" s="9">
        <f t="shared" si="37"/>
        <v>11</v>
      </c>
      <c r="AF29" s="9" t="s">
        <v>81</v>
      </c>
      <c r="AG29" s="45">
        <v>45962</v>
      </c>
      <c r="AH29" s="46">
        <v>30</v>
      </c>
      <c r="AI29" s="9">
        <f t="shared" si="45"/>
        <v>850</v>
      </c>
      <c r="AJ29" s="9">
        <f t="shared" si="42"/>
        <v>6.29</v>
      </c>
      <c r="AK29" s="9">
        <f t="shared" si="56"/>
        <v>12.5</v>
      </c>
      <c r="AL29" s="9">
        <f t="shared" si="43"/>
        <v>6.29</v>
      </c>
      <c r="AM29" s="9">
        <f t="shared" si="44"/>
        <v>837.5</v>
      </c>
      <c r="AP29" s="8">
        <f t="shared" si="38"/>
        <v>-1.4399999999999995</v>
      </c>
    </row>
    <row r="30" spans="1:42" x14ac:dyDescent="0.35">
      <c r="A30" s="9">
        <f t="shared" si="39"/>
        <v>12</v>
      </c>
      <c r="B30" s="9" t="s">
        <v>81</v>
      </c>
      <c r="C30" s="45">
        <v>45931</v>
      </c>
      <c r="D30" s="46">
        <v>30</v>
      </c>
      <c r="E30" s="11">
        <f t="shared" si="52"/>
        <v>744.44444444444457</v>
      </c>
      <c r="F30" s="9">
        <f t="shared" si="46"/>
        <v>5.51</v>
      </c>
      <c r="G30" s="10">
        <f t="shared" si="53"/>
        <v>11.111111111111111</v>
      </c>
      <c r="H30" s="9">
        <f t="shared" si="27"/>
        <v>5.51</v>
      </c>
      <c r="I30" s="11">
        <f t="shared" si="47"/>
        <v>733.33333333333348</v>
      </c>
      <c r="K30" s="9">
        <f t="shared" si="31"/>
        <v>12</v>
      </c>
      <c r="L30" s="9" t="s">
        <v>81</v>
      </c>
      <c r="M30" s="45">
        <v>45962</v>
      </c>
      <c r="N30" s="46">
        <v>30</v>
      </c>
      <c r="O30" s="11">
        <f t="shared" si="51"/>
        <v>930.55555555555543</v>
      </c>
      <c r="P30" s="9">
        <f t="shared" si="48"/>
        <v>6.88</v>
      </c>
      <c r="Q30" s="10">
        <f t="shared" si="54"/>
        <v>13.888888888888889</v>
      </c>
      <c r="R30" s="9">
        <f t="shared" si="29"/>
        <v>6.88</v>
      </c>
      <c r="S30" s="11">
        <f t="shared" si="49"/>
        <v>916.66666666666652</v>
      </c>
      <c r="U30" s="9">
        <f t="shared" si="33"/>
        <v>12</v>
      </c>
      <c r="V30" s="9" t="s">
        <v>81</v>
      </c>
      <c r="W30" s="45">
        <v>45992</v>
      </c>
      <c r="X30" s="46">
        <v>31</v>
      </c>
      <c r="Y30" s="9">
        <f t="shared" si="41"/>
        <v>837.5</v>
      </c>
      <c r="Z30" s="9">
        <f t="shared" si="50"/>
        <v>6.4</v>
      </c>
      <c r="AA30" s="9">
        <f t="shared" si="55"/>
        <v>12.5</v>
      </c>
      <c r="AB30" s="9">
        <f t="shared" si="35"/>
        <v>6.4</v>
      </c>
      <c r="AC30" s="9">
        <f t="shared" si="36"/>
        <v>825</v>
      </c>
      <c r="AE30" s="9">
        <f t="shared" si="37"/>
        <v>12</v>
      </c>
      <c r="AF30" s="9" t="s">
        <v>81</v>
      </c>
      <c r="AG30" s="45">
        <v>45992</v>
      </c>
      <c r="AH30" s="46">
        <v>31</v>
      </c>
      <c r="AI30" s="9">
        <f t="shared" si="45"/>
        <v>837.5</v>
      </c>
      <c r="AJ30" s="9">
        <f t="shared" si="42"/>
        <v>6.4</v>
      </c>
      <c r="AK30" s="9">
        <f t="shared" si="56"/>
        <v>12.5</v>
      </c>
      <c r="AL30" s="9">
        <f t="shared" si="43"/>
        <v>6.4</v>
      </c>
      <c r="AM30" s="9">
        <f t="shared" si="44"/>
        <v>825</v>
      </c>
      <c r="AP30" s="8">
        <f t="shared" si="38"/>
        <v>-1.37</v>
      </c>
    </row>
    <row r="31" spans="1:42" x14ac:dyDescent="0.35">
      <c r="A31" s="9">
        <f t="shared" si="39"/>
        <v>13</v>
      </c>
      <c r="B31" s="9" t="s">
        <v>81</v>
      </c>
      <c r="C31" s="45">
        <v>45962</v>
      </c>
      <c r="D31" s="46">
        <v>31</v>
      </c>
      <c r="E31" s="11">
        <f t="shared" si="52"/>
        <v>733.33333333333348</v>
      </c>
      <c r="F31" s="9">
        <f t="shared" si="46"/>
        <v>5.61</v>
      </c>
      <c r="G31" s="10">
        <f t="shared" si="53"/>
        <v>11.111111111111111</v>
      </c>
      <c r="H31" s="9">
        <f t="shared" si="27"/>
        <v>5.61</v>
      </c>
      <c r="I31" s="11">
        <f t="shared" si="47"/>
        <v>722.2222222222224</v>
      </c>
      <c r="K31" s="9">
        <f t="shared" si="31"/>
        <v>13</v>
      </c>
      <c r="L31" s="9" t="s">
        <v>81</v>
      </c>
      <c r="M31" s="45">
        <v>45992</v>
      </c>
      <c r="N31" s="46">
        <v>31</v>
      </c>
      <c r="O31" s="11">
        <f t="shared" si="51"/>
        <v>916.66666666666652</v>
      </c>
      <c r="P31" s="9">
        <f t="shared" si="48"/>
        <v>7.01</v>
      </c>
      <c r="Q31" s="10">
        <f t="shared" si="54"/>
        <v>13.888888888888889</v>
      </c>
      <c r="R31" s="9">
        <f t="shared" si="29"/>
        <v>7.01</v>
      </c>
      <c r="S31" s="11">
        <f t="shared" si="49"/>
        <v>902.7777777777776</v>
      </c>
      <c r="U31" s="9">
        <f t="shared" si="33"/>
        <v>13</v>
      </c>
      <c r="V31" s="9" t="s">
        <v>81</v>
      </c>
      <c r="W31" s="45">
        <v>46023</v>
      </c>
      <c r="X31" s="46">
        <v>31</v>
      </c>
      <c r="Y31" s="9">
        <f t="shared" si="41"/>
        <v>825</v>
      </c>
      <c r="Z31" s="9">
        <f t="shared" si="50"/>
        <v>6.31</v>
      </c>
      <c r="AA31" s="9">
        <f t="shared" si="55"/>
        <v>12.5</v>
      </c>
      <c r="AB31" s="9">
        <f t="shared" si="35"/>
        <v>6.31</v>
      </c>
      <c r="AC31" s="9">
        <f t="shared" si="36"/>
        <v>812.5</v>
      </c>
      <c r="AE31" s="9">
        <f t="shared" si="37"/>
        <v>13</v>
      </c>
      <c r="AF31" s="9" t="s">
        <v>81</v>
      </c>
      <c r="AG31" s="45">
        <v>46023</v>
      </c>
      <c r="AH31" s="46">
        <v>31</v>
      </c>
      <c r="AI31" s="9">
        <f t="shared" si="45"/>
        <v>825</v>
      </c>
      <c r="AJ31" s="9">
        <f t="shared" si="42"/>
        <v>6.31</v>
      </c>
      <c r="AK31" s="9">
        <f t="shared" si="56"/>
        <v>12.5</v>
      </c>
      <c r="AL31" s="9">
        <f t="shared" si="43"/>
        <v>6.31</v>
      </c>
      <c r="AM31" s="9">
        <f t="shared" si="44"/>
        <v>812.5</v>
      </c>
      <c r="AP31" s="8">
        <f t="shared" si="38"/>
        <v>-1.3999999999999995</v>
      </c>
    </row>
    <row r="32" spans="1:42" x14ac:dyDescent="0.35">
      <c r="A32" s="9">
        <f t="shared" si="39"/>
        <v>14</v>
      </c>
      <c r="B32" s="9" t="s">
        <v>81</v>
      </c>
      <c r="C32" s="45">
        <v>45992</v>
      </c>
      <c r="D32" s="46">
        <v>31</v>
      </c>
      <c r="E32" s="11">
        <f t="shared" si="52"/>
        <v>722.2222222222224</v>
      </c>
      <c r="F32" s="9">
        <f t="shared" si="46"/>
        <v>5.52</v>
      </c>
      <c r="G32" s="10">
        <f t="shared" si="53"/>
        <v>11.111111111111111</v>
      </c>
      <c r="H32" s="9">
        <f t="shared" si="27"/>
        <v>5.52</v>
      </c>
      <c r="I32" s="11">
        <f t="shared" si="47"/>
        <v>711.11111111111131</v>
      </c>
      <c r="K32" s="9">
        <f t="shared" si="31"/>
        <v>14</v>
      </c>
      <c r="L32" s="9" t="s">
        <v>81</v>
      </c>
      <c r="M32" s="45">
        <v>46023</v>
      </c>
      <c r="N32" s="46">
        <v>31</v>
      </c>
      <c r="O32" s="11">
        <f t="shared" si="51"/>
        <v>902.7777777777776</v>
      </c>
      <c r="P32" s="9">
        <f t="shared" si="48"/>
        <v>6.9</v>
      </c>
      <c r="Q32" s="10">
        <f t="shared" si="54"/>
        <v>13.888888888888889</v>
      </c>
      <c r="R32" s="9">
        <f t="shared" si="29"/>
        <v>6.9</v>
      </c>
      <c r="S32" s="11">
        <f t="shared" si="49"/>
        <v>888.88888888888869</v>
      </c>
      <c r="U32" s="9">
        <f t="shared" si="33"/>
        <v>14</v>
      </c>
      <c r="V32" s="9" t="s">
        <v>81</v>
      </c>
      <c r="W32" s="45">
        <v>46054</v>
      </c>
      <c r="X32" s="46">
        <v>28</v>
      </c>
      <c r="Y32" s="9">
        <f t="shared" si="41"/>
        <v>812.5</v>
      </c>
      <c r="Z32" s="9">
        <f t="shared" si="50"/>
        <v>5.61</v>
      </c>
      <c r="AA32" s="9">
        <f t="shared" si="55"/>
        <v>12.5</v>
      </c>
      <c r="AB32" s="9">
        <f t="shared" si="35"/>
        <v>5.61</v>
      </c>
      <c r="AC32" s="9">
        <f t="shared" si="36"/>
        <v>800</v>
      </c>
      <c r="AE32" s="9">
        <f t="shared" si="37"/>
        <v>14</v>
      </c>
      <c r="AF32" s="9" t="s">
        <v>81</v>
      </c>
      <c r="AG32" s="45">
        <v>46054</v>
      </c>
      <c r="AH32" s="46">
        <v>28</v>
      </c>
      <c r="AI32" s="9">
        <f t="shared" si="45"/>
        <v>812.5</v>
      </c>
      <c r="AJ32" s="9">
        <f t="shared" si="42"/>
        <v>5.61</v>
      </c>
      <c r="AK32" s="9">
        <f t="shared" si="56"/>
        <v>12.5</v>
      </c>
      <c r="AL32" s="9">
        <f t="shared" si="43"/>
        <v>5.61</v>
      </c>
      <c r="AM32" s="9">
        <f t="shared" si="44"/>
        <v>800</v>
      </c>
      <c r="AP32" s="8">
        <f t="shared" si="38"/>
        <v>-1.3800000000000008</v>
      </c>
    </row>
    <row r="33" spans="1:42" x14ac:dyDescent="0.35">
      <c r="A33" s="9">
        <f t="shared" si="39"/>
        <v>15</v>
      </c>
      <c r="B33" s="9" t="s">
        <v>81</v>
      </c>
      <c r="C33" s="45">
        <v>46023</v>
      </c>
      <c r="D33" s="46">
        <v>28</v>
      </c>
      <c r="E33" s="11">
        <f t="shared" si="52"/>
        <v>711.11111111111131</v>
      </c>
      <c r="F33" s="9">
        <f t="shared" si="46"/>
        <v>4.91</v>
      </c>
      <c r="G33" s="10">
        <f t="shared" si="53"/>
        <v>11.111111111111111</v>
      </c>
      <c r="H33" s="9">
        <f t="shared" si="27"/>
        <v>4.91</v>
      </c>
      <c r="I33" s="11">
        <f t="shared" si="47"/>
        <v>700.00000000000023</v>
      </c>
      <c r="K33" s="9">
        <f t="shared" si="31"/>
        <v>15</v>
      </c>
      <c r="L33" s="9" t="s">
        <v>81</v>
      </c>
      <c r="M33" s="45">
        <v>46054</v>
      </c>
      <c r="N33" s="46">
        <v>28</v>
      </c>
      <c r="O33" s="11">
        <f t="shared" si="51"/>
        <v>888.88888888888869</v>
      </c>
      <c r="P33" s="9">
        <f t="shared" si="48"/>
        <v>6.14</v>
      </c>
      <c r="Q33" s="10">
        <f t="shared" si="54"/>
        <v>13.888888888888889</v>
      </c>
      <c r="R33" s="9">
        <f t="shared" si="29"/>
        <v>6.14</v>
      </c>
      <c r="S33" s="11">
        <f t="shared" si="49"/>
        <v>874.99999999999977</v>
      </c>
      <c r="U33" s="9">
        <f t="shared" si="33"/>
        <v>15</v>
      </c>
      <c r="V33" s="9" t="s">
        <v>81</v>
      </c>
      <c r="W33" s="45">
        <v>46082</v>
      </c>
      <c r="X33" s="46">
        <v>31</v>
      </c>
      <c r="Y33" s="9">
        <f t="shared" si="41"/>
        <v>800</v>
      </c>
      <c r="Z33" s="9">
        <f t="shared" si="50"/>
        <v>6.12</v>
      </c>
      <c r="AA33" s="9">
        <f t="shared" si="55"/>
        <v>12.5</v>
      </c>
      <c r="AB33" s="9">
        <f t="shared" si="35"/>
        <v>6.12</v>
      </c>
      <c r="AC33" s="9">
        <f t="shared" si="36"/>
        <v>787.5</v>
      </c>
      <c r="AE33" s="9">
        <f t="shared" si="37"/>
        <v>15</v>
      </c>
      <c r="AF33" s="9" t="s">
        <v>81</v>
      </c>
      <c r="AG33" s="45">
        <v>46082</v>
      </c>
      <c r="AH33" s="46">
        <v>31</v>
      </c>
      <c r="AI33" s="9">
        <f t="shared" si="45"/>
        <v>800</v>
      </c>
      <c r="AJ33" s="9">
        <f t="shared" si="42"/>
        <v>6.12</v>
      </c>
      <c r="AK33" s="9">
        <f t="shared" si="56"/>
        <v>12.5</v>
      </c>
      <c r="AL33" s="9">
        <f t="shared" si="43"/>
        <v>6.12</v>
      </c>
      <c r="AM33" s="9">
        <f t="shared" si="44"/>
        <v>787.5</v>
      </c>
      <c r="AP33" s="8">
        <f t="shared" si="38"/>
        <v>-1.2299999999999995</v>
      </c>
    </row>
    <row r="34" spans="1:42" x14ac:dyDescent="0.35">
      <c r="A34" s="9">
        <f t="shared" si="39"/>
        <v>16</v>
      </c>
      <c r="B34" s="9" t="s">
        <v>81</v>
      </c>
      <c r="C34" s="45">
        <v>46054</v>
      </c>
      <c r="D34" s="46">
        <v>31</v>
      </c>
      <c r="E34" s="11">
        <f t="shared" si="52"/>
        <v>700.00000000000023</v>
      </c>
      <c r="F34" s="9">
        <f t="shared" si="46"/>
        <v>5.35</v>
      </c>
      <c r="G34" s="10">
        <f t="shared" si="53"/>
        <v>11.111111111111111</v>
      </c>
      <c r="H34" s="9">
        <f t="shared" si="27"/>
        <v>5.35</v>
      </c>
      <c r="I34" s="11">
        <f t="shared" si="47"/>
        <v>688.88888888888914</v>
      </c>
      <c r="K34" s="9">
        <f t="shared" si="31"/>
        <v>16</v>
      </c>
      <c r="L34" s="9" t="s">
        <v>81</v>
      </c>
      <c r="M34" s="45">
        <v>46082</v>
      </c>
      <c r="N34" s="46">
        <v>31</v>
      </c>
      <c r="O34" s="11">
        <f t="shared" si="51"/>
        <v>874.99999999999977</v>
      </c>
      <c r="P34" s="9">
        <f t="shared" si="48"/>
        <v>6.69</v>
      </c>
      <c r="Q34" s="10">
        <f t="shared" si="54"/>
        <v>13.888888888888889</v>
      </c>
      <c r="R34" s="9">
        <f t="shared" si="29"/>
        <v>6.69</v>
      </c>
      <c r="S34" s="11">
        <f t="shared" si="49"/>
        <v>861.11111111111086</v>
      </c>
      <c r="U34" s="9">
        <f t="shared" si="33"/>
        <v>16</v>
      </c>
      <c r="V34" s="9" t="s">
        <v>82</v>
      </c>
      <c r="W34" s="45">
        <v>46113</v>
      </c>
      <c r="X34" s="46">
        <v>30</v>
      </c>
      <c r="Y34" s="9">
        <f t="shared" si="41"/>
        <v>787.5</v>
      </c>
      <c r="Z34" s="9">
        <f t="shared" si="50"/>
        <v>5.83</v>
      </c>
      <c r="AA34" s="9">
        <f t="shared" si="55"/>
        <v>12.5</v>
      </c>
      <c r="AB34" s="9">
        <f t="shared" si="35"/>
        <v>5.83</v>
      </c>
      <c r="AC34" s="9">
        <f t="shared" si="36"/>
        <v>775</v>
      </c>
      <c r="AE34" s="9">
        <f t="shared" si="37"/>
        <v>16</v>
      </c>
      <c r="AF34" s="9" t="s">
        <v>82</v>
      </c>
      <c r="AG34" s="45">
        <v>46113</v>
      </c>
      <c r="AH34" s="46">
        <v>30</v>
      </c>
      <c r="AI34" s="9">
        <f t="shared" si="45"/>
        <v>787.5</v>
      </c>
      <c r="AJ34" s="9">
        <f t="shared" si="42"/>
        <v>5.83</v>
      </c>
      <c r="AK34" s="9">
        <f t="shared" si="56"/>
        <v>12.5</v>
      </c>
      <c r="AL34" s="9">
        <f t="shared" si="43"/>
        <v>5.83</v>
      </c>
      <c r="AM34" s="9">
        <f t="shared" si="44"/>
        <v>775</v>
      </c>
      <c r="AP34" s="8">
        <f t="shared" si="38"/>
        <v>-1.3400000000000007</v>
      </c>
    </row>
    <row r="35" spans="1:42" x14ac:dyDescent="0.35">
      <c r="A35" s="9">
        <f t="shared" si="39"/>
        <v>17</v>
      </c>
      <c r="B35" s="9" t="s">
        <v>81</v>
      </c>
      <c r="C35" s="45">
        <v>46082</v>
      </c>
      <c r="D35" s="46">
        <v>30</v>
      </c>
      <c r="E35" s="11">
        <f t="shared" si="52"/>
        <v>688.88888888888914</v>
      </c>
      <c r="F35" s="9">
        <f t="shared" si="46"/>
        <v>5.0999999999999996</v>
      </c>
      <c r="G35" s="10">
        <f t="shared" si="53"/>
        <v>11.111111111111111</v>
      </c>
      <c r="H35" s="9">
        <f t="shared" si="27"/>
        <v>5.0999999999999996</v>
      </c>
      <c r="I35" s="11">
        <f t="shared" si="47"/>
        <v>677.77777777777806</v>
      </c>
      <c r="K35" s="9">
        <f t="shared" si="31"/>
        <v>17</v>
      </c>
      <c r="L35" s="9" t="s">
        <v>82</v>
      </c>
      <c r="M35" s="45">
        <v>46113</v>
      </c>
      <c r="N35" s="46">
        <v>30</v>
      </c>
      <c r="O35" s="11">
        <f t="shared" si="51"/>
        <v>861.11111111111086</v>
      </c>
      <c r="P35" s="9">
        <f t="shared" si="48"/>
        <v>6.37</v>
      </c>
      <c r="Q35" s="10">
        <f t="shared" si="54"/>
        <v>13.888888888888889</v>
      </c>
      <c r="R35" s="9">
        <f t="shared" si="29"/>
        <v>6.37</v>
      </c>
      <c r="S35" s="11">
        <f t="shared" si="49"/>
        <v>847.22222222222194</v>
      </c>
      <c r="U35" s="9">
        <f t="shared" si="33"/>
        <v>17</v>
      </c>
      <c r="V35" s="9" t="s">
        <v>82</v>
      </c>
      <c r="W35" s="45">
        <v>46143</v>
      </c>
      <c r="X35" s="46">
        <v>31</v>
      </c>
      <c r="Y35" s="9">
        <f t="shared" si="41"/>
        <v>775</v>
      </c>
      <c r="Z35" s="9">
        <f>ROUND(Y35*$AC$17*X35/365,2)</f>
        <v>5.92</v>
      </c>
      <c r="AA35" s="9">
        <f t="shared" si="55"/>
        <v>12.5</v>
      </c>
      <c r="AB35" s="9">
        <f t="shared" si="35"/>
        <v>5.92</v>
      </c>
      <c r="AC35" s="9">
        <f t="shared" si="36"/>
        <v>762.5</v>
      </c>
      <c r="AE35" s="9">
        <f t="shared" si="37"/>
        <v>17</v>
      </c>
      <c r="AF35" s="9" t="s">
        <v>82</v>
      </c>
      <c r="AG35" s="45">
        <v>46143</v>
      </c>
      <c r="AH35" s="46">
        <v>31</v>
      </c>
      <c r="AI35" s="9">
        <f t="shared" si="45"/>
        <v>775</v>
      </c>
      <c r="AJ35" s="9">
        <f t="shared" si="42"/>
        <v>5.92</v>
      </c>
      <c r="AK35" s="9">
        <f t="shared" si="56"/>
        <v>12.5</v>
      </c>
      <c r="AL35" s="9">
        <f t="shared" si="43"/>
        <v>5.92</v>
      </c>
      <c r="AM35" s="9">
        <f t="shared" si="44"/>
        <v>762.5</v>
      </c>
      <c r="AP35" s="8">
        <f t="shared" si="38"/>
        <v>-1.2700000000000005</v>
      </c>
    </row>
    <row r="36" spans="1:42" x14ac:dyDescent="0.35">
      <c r="A36" s="9">
        <f t="shared" si="39"/>
        <v>18</v>
      </c>
      <c r="B36" s="9" t="s">
        <v>82</v>
      </c>
      <c r="C36" s="45">
        <v>46113</v>
      </c>
      <c r="D36" s="46">
        <v>31</v>
      </c>
      <c r="E36" s="11">
        <f t="shared" si="52"/>
        <v>677.77777777777806</v>
      </c>
      <c r="F36" s="9">
        <f t="shared" si="46"/>
        <v>5.18</v>
      </c>
      <c r="G36" s="10">
        <f t="shared" si="53"/>
        <v>11.111111111111111</v>
      </c>
      <c r="H36" s="9">
        <f t="shared" si="27"/>
        <v>5.18</v>
      </c>
      <c r="I36" s="11">
        <f t="shared" si="47"/>
        <v>666.66666666666697</v>
      </c>
      <c r="K36" s="9">
        <f t="shared" si="31"/>
        <v>18</v>
      </c>
      <c r="L36" s="9" t="s">
        <v>82</v>
      </c>
      <c r="M36" s="45">
        <v>46143</v>
      </c>
      <c r="N36" s="46">
        <v>31</v>
      </c>
      <c r="O36" s="11">
        <f t="shared" si="51"/>
        <v>847.22222222222194</v>
      </c>
      <c r="P36" s="9">
        <f t="shared" si="48"/>
        <v>6.48</v>
      </c>
      <c r="Q36" s="10">
        <f t="shared" si="54"/>
        <v>13.888888888888889</v>
      </c>
      <c r="R36" s="9">
        <f t="shared" si="29"/>
        <v>6.48</v>
      </c>
      <c r="S36" s="11">
        <f t="shared" si="49"/>
        <v>833.33333333333303</v>
      </c>
      <c r="U36" s="9">
        <f t="shared" si="33"/>
        <v>18</v>
      </c>
      <c r="V36" s="9" t="s">
        <v>82</v>
      </c>
      <c r="W36" s="45">
        <v>46174</v>
      </c>
      <c r="X36" s="46">
        <v>30</v>
      </c>
      <c r="Y36" s="9">
        <f t="shared" si="41"/>
        <v>762.5</v>
      </c>
      <c r="Z36" s="9">
        <f t="shared" ref="Z36:Z46" si="57">ROUND(Y36*$AC$17*X36/365,2)</f>
        <v>5.64</v>
      </c>
      <c r="AA36" s="9">
        <f t="shared" si="55"/>
        <v>12.5</v>
      </c>
      <c r="AB36" s="9">
        <f t="shared" si="35"/>
        <v>5.64</v>
      </c>
      <c r="AC36" s="9">
        <f t="shared" si="36"/>
        <v>750</v>
      </c>
      <c r="AE36" s="9">
        <f t="shared" si="37"/>
        <v>18</v>
      </c>
      <c r="AF36" s="9" t="s">
        <v>82</v>
      </c>
      <c r="AG36" s="45">
        <v>46174</v>
      </c>
      <c r="AH36" s="46">
        <v>30</v>
      </c>
      <c r="AI36" s="9">
        <f t="shared" si="45"/>
        <v>762.5</v>
      </c>
      <c r="AJ36" s="9">
        <f t="shared" si="42"/>
        <v>5.64</v>
      </c>
      <c r="AK36" s="9">
        <f t="shared" si="56"/>
        <v>12.5</v>
      </c>
      <c r="AL36" s="9">
        <f t="shared" si="43"/>
        <v>5.64</v>
      </c>
      <c r="AM36" s="9">
        <f t="shared" si="44"/>
        <v>750</v>
      </c>
      <c r="AP36" s="8">
        <f t="shared" si="38"/>
        <v>-1.3000000000000007</v>
      </c>
    </row>
    <row r="37" spans="1:42" x14ac:dyDescent="0.35">
      <c r="A37" s="9">
        <f t="shared" si="39"/>
        <v>19</v>
      </c>
      <c r="B37" s="9" t="s">
        <v>82</v>
      </c>
      <c r="C37" s="45">
        <v>46143</v>
      </c>
      <c r="D37" s="46">
        <v>30</v>
      </c>
      <c r="E37" s="11">
        <f t="shared" si="52"/>
        <v>666.66666666666697</v>
      </c>
      <c r="F37" s="9">
        <f t="shared" si="46"/>
        <v>4.93</v>
      </c>
      <c r="G37" s="10">
        <f t="shared" si="53"/>
        <v>11.111111111111111</v>
      </c>
      <c r="H37" s="9">
        <f t="shared" si="27"/>
        <v>4.93</v>
      </c>
      <c r="I37" s="11">
        <f t="shared" si="47"/>
        <v>655.55555555555588</v>
      </c>
      <c r="K37" s="9">
        <f t="shared" si="31"/>
        <v>19</v>
      </c>
      <c r="L37" s="9" t="s">
        <v>82</v>
      </c>
      <c r="M37" s="45">
        <v>46174</v>
      </c>
      <c r="N37" s="46">
        <v>30</v>
      </c>
      <c r="O37" s="11">
        <f t="shared" si="51"/>
        <v>833.33333333333303</v>
      </c>
      <c r="P37" s="9">
        <f t="shared" si="48"/>
        <v>6.16</v>
      </c>
      <c r="Q37" s="10">
        <f t="shared" si="54"/>
        <v>13.888888888888889</v>
      </c>
      <c r="R37" s="9">
        <f t="shared" si="29"/>
        <v>6.16</v>
      </c>
      <c r="S37" s="11">
        <f t="shared" si="49"/>
        <v>819.44444444444412</v>
      </c>
      <c r="U37" s="9">
        <f t="shared" si="33"/>
        <v>19</v>
      </c>
      <c r="V37" s="9" t="s">
        <v>82</v>
      </c>
      <c r="W37" s="45">
        <v>46204</v>
      </c>
      <c r="X37" s="46">
        <v>31</v>
      </c>
      <c r="Y37" s="9">
        <f t="shared" si="41"/>
        <v>750</v>
      </c>
      <c r="Z37" s="9">
        <f t="shared" si="57"/>
        <v>5.73</v>
      </c>
      <c r="AA37" s="9">
        <f t="shared" si="55"/>
        <v>12.5</v>
      </c>
      <c r="AB37" s="9">
        <f t="shared" si="35"/>
        <v>5.73</v>
      </c>
      <c r="AC37" s="9">
        <f t="shared" si="36"/>
        <v>737.5</v>
      </c>
      <c r="AE37" s="9">
        <f t="shared" si="37"/>
        <v>19</v>
      </c>
      <c r="AF37" s="9" t="s">
        <v>82</v>
      </c>
      <c r="AG37" s="45">
        <v>46204</v>
      </c>
      <c r="AH37" s="46">
        <v>31</v>
      </c>
      <c r="AI37" s="9">
        <f t="shared" si="45"/>
        <v>750</v>
      </c>
      <c r="AJ37" s="9">
        <f t="shared" si="42"/>
        <v>5.73</v>
      </c>
      <c r="AK37" s="9">
        <f t="shared" si="56"/>
        <v>12.5</v>
      </c>
      <c r="AL37" s="9">
        <f t="shared" si="43"/>
        <v>5.73</v>
      </c>
      <c r="AM37" s="9">
        <f t="shared" si="44"/>
        <v>737.5</v>
      </c>
      <c r="AP37" s="8">
        <f t="shared" si="38"/>
        <v>-1.2300000000000004</v>
      </c>
    </row>
    <row r="38" spans="1:42" x14ac:dyDescent="0.35">
      <c r="A38" s="9">
        <f t="shared" si="39"/>
        <v>20</v>
      </c>
      <c r="B38" s="9" t="s">
        <v>82</v>
      </c>
      <c r="C38" s="45">
        <v>46174</v>
      </c>
      <c r="D38" s="46">
        <v>31</v>
      </c>
      <c r="E38" s="11">
        <f t="shared" si="52"/>
        <v>655.55555555555588</v>
      </c>
      <c r="F38" s="9">
        <f t="shared" si="46"/>
        <v>5.01</v>
      </c>
      <c r="G38" s="10">
        <f t="shared" si="53"/>
        <v>11.111111111111111</v>
      </c>
      <c r="H38" s="9">
        <f t="shared" si="27"/>
        <v>5.01</v>
      </c>
      <c r="I38" s="11">
        <f t="shared" si="47"/>
        <v>644.4444444444448</v>
      </c>
      <c r="K38" s="9">
        <f t="shared" si="31"/>
        <v>20</v>
      </c>
      <c r="L38" s="9" t="s">
        <v>82</v>
      </c>
      <c r="M38" s="45">
        <v>46204</v>
      </c>
      <c r="N38" s="46">
        <v>31</v>
      </c>
      <c r="O38" s="11">
        <f t="shared" si="51"/>
        <v>819.44444444444412</v>
      </c>
      <c r="P38" s="9">
        <f t="shared" si="48"/>
        <v>6.26</v>
      </c>
      <c r="Q38" s="10">
        <f t="shared" si="54"/>
        <v>13.888888888888889</v>
      </c>
      <c r="R38" s="9">
        <f t="shared" si="29"/>
        <v>6.26</v>
      </c>
      <c r="S38" s="11">
        <f t="shared" si="49"/>
        <v>805.5555555555552</v>
      </c>
      <c r="U38" s="9">
        <f t="shared" si="33"/>
        <v>20</v>
      </c>
      <c r="V38" s="9" t="s">
        <v>82</v>
      </c>
      <c r="W38" s="45">
        <v>46235</v>
      </c>
      <c r="X38" s="46">
        <v>31</v>
      </c>
      <c r="Y38" s="9">
        <f t="shared" si="41"/>
        <v>737.5</v>
      </c>
      <c r="Z38" s="9">
        <f t="shared" si="57"/>
        <v>5.64</v>
      </c>
      <c r="AA38" s="9">
        <f t="shared" si="55"/>
        <v>12.5</v>
      </c>
      <c r="AB38" s="9">
        <f t="shared" si="35"/>
        <v>5.64</v>
      </c>
      <c r="AC38" s="9">
        <f t="shared" si="36"/>
        <v>725</v>
      </c>
      <c r="AE38" s="9">
        <f t="shared" si="37"/>
        <v>20</v>
      </c>
      <c r="AF38" s="9" t="s">
        <v>82</v>
      </c>
      <c r="AG38" s="45">
        <v>46235</v>
      </c>
      <c r="AH38" s="46">
        <v>31</v>
      </c>
      <c r="AI38" s="9">
        <f t="shared" si="45"/>
        <v>737.5</v>
      </c>
      <c r="AJ38" s="9">
        <f t="shared" si="42"/>
        <v>5.64</v>
      </c>
      <c r="AK38" s="9">
        <f t="shared" si="56"/>
        <v>12.5</v>
      </c>
      <c r="AL38" s="9">
        <f t="shared" si="43"/>
        <v>5.64</v>
      </c>
      <c r="AM38" s="9">
        <f t="shared" si="44"/>
        <v>725</v>
      </c>
      <c r="AP38" s="8">
        <f t="shared" si="38"/>
        <v>-1.25</v>
      </c>
    </row>
    <row r="39" spans="1:42" x14ac:dyDescent="0.35">
      <c r="A39" s="9">
        <f t="shared" si="39"/>
        <v>21</v>
      </c>
      <c r="B39" s="9" t="s">
        <v>82</v>
      </c>
      <c r="C39" s="45">
        <v>46204</v>
      </c>
      <c r="D39" s="46">
        <v>31</v>
      </c>
      <c r="E39" s="11">
        <f t="shared" si="52"/>
        <v>644.4444444444448</v>
      </c>
      <c r="F39" s="9">
        <f t="shared" si="46"/>
        <v>4.93</v>
      </c>
      <c r="G39" s="10">
        <f t="shared" si="53"/>
        <v>11.111111111111111</v>
      </c>
      <c r="H39" s="9">
        <f t="shared" si="27"/>
        <v>4.93</v>
      </c>
      <c r="I39" s="11">
        <f t="shared" si="47"/>
        <v>633.33333333333371</v>
      </c>
      <c r="K39" s="9">
        <f t="shared" si="31"/>
        <v>21</v>
      </c>
      <c r="L39" s="9" t="s">
        <v>82</v>
      </c>
      <c r="M39" s="45">
        <v>46235</v>
      </c>
      <c r="N39" s="46">
        <v>31</v>
      </c>
      <c r="O39" s="11">
        <f t="shared" si="51"/>
        <v>805.5555555555552</v>
      </c>
      <c r="P39" s="9">
        <f t="shared" si="48"/>
        <v>6.16</v>
      </c>
      <c r="Q39" s="10">
        <f t="shared" si="54"/>
        <v>13.888888888888889</v>
      </c>
      <c r="R39" s="9">
        <f t="shared" si="29"/>
        <v>6.16</v>
      </c>
      <c r="S39" s="11">
        <f t="shared" si="49"/>
        <v>791.66666666666629</v>
      </c>
      <c r="U39" s="9">
        <f t="shared" si="33"/>
        <v>21</v>
      </c>
      <c r="V39" s="9" t="s">
        <v>82</v>
      </c>
      <c r="W39" s="45">
        <v>46266</v>
      </c>
      <c r="X39" s="46">
        <v>30</v>
      </c>
      <c r="Y39" s="9">
        <f t="shared" si="41"/>
        <v>725</v>
      </c>
      <c r="Z39" s="9">
        <f t="shared" si="57"/>
        <v>5.36</v>
      </c>
      <c r="AA39" s="9">
        <f t="shared" si="55"/>
        <v>12.5</v>
      </c>
      <c r="AB39" s="9">
        <f t="shared" si="35"/>
        <v>5.36</v>
      </c>
      <c r="AC39" s="9">
        <f t="shared" si="36"/>
        <v>712.5</v>
      </c>
      <c r="AE39" s="9">
        <f t="shared" si="37"/>
        <v>21</v>
      </c>
      <c r="AF39" s="9" t="s">
        <v>82</v>
      </c>
      <c r="AG39" s="45">
        <v>46266</v>
      </c>
      <c r="AH39" s="46">
        <v>30</v>
      </c>
      <c r="AI39" s="9">
        <f t="shared" si="45"/>
        <v>725</v>
      </c>
      <c r="AJ39" s="9">
        <f t="shared" si="42"/>
        <v>5.36</v>
      </c>
      <c r="AK39" s="9">
        <f t="shared" si="56"/>
        <v>12.5</v>
      </c>
      <c r="AL39" s="9">
        <f t="shared" si="43"/>
        <v>5.36</v>
      </c>
      <c r="AM39" s="9">
        <f t="shared" si="44"/>
        <v>712.5</v>
      </c>
      <c r="AP39" s="8">
        <f t="shared" si="38"/>
        <v>-1.2300000000000004</v>
      </c>
    </row>
    <row r="40" spans="1:42" x14ac:dyDescent="0.35">
      <c r="A40" s="9">
        <f t="shared" si="39"/>
        <v>22</v>
      </c>
      <c r="B40" s="9" t="s">
        <v>82</v>
      </c>
      <c r="C40" s="45">
        <v>46235</v>
      </c>
      <c r="D40" s="46">
        <v>30</v>
      </c>
      <c r="E40" s="11">
        <f t="shared" si="52"/>
        <v>633.33333333333371</v>
      </c>
      <c r="F40" s="9">
        <f t="shared" si="46"/>
        <v>4.68</v>
      </c>
      <c r="G40" s="10">
        <f t="shared" si="53"/>
        <v>11.111111111111111</v>
      </c>
      <c r="H40" s="9">
        <f t="shared" si="27"/>
        <v>4.68</v>
      </c>
      <c r="I40" s="11">
        <f t="shared" si="47"/>
        <v>622.22222222222263</v>
      </c>
      <c r="K40" s="9">
        <f t="shared" si="31"/>
        <v>22</v>
      </c>
      <c r="L40" s="9" t="s">
        <v>82</v>
      </c>
      <c r="M40" s="45">
        <v>46266</v>
      </c>
      <c r="N40" s="46">
        <v>30</v>
      </c>
      <c r="O40" s="11">
        <f t="shared" si="51"/>
        <v>791.66666666666629</v>
      </c>
      <c r="P40" s="9">
        <f t="shared" si="48"/>
        <v>5.86</v>
      </c>
      <c r="Q40" s="10">
        <f t="shared" si="54"/>
        <v>13.888888888888889</v>
      </c>
      <c r="R40" s="9">
        <f t="shared" si="29"/>
        <v>5.86</v>
      </c>
      <c r="S40" s="11">
        <f t="shared" si="49"/>
        <v>777.77777777777737</v>
      </c>
      <c r="U40" s="9">
        <f t="shared" si="33"/>
        <v>22</v>
      </c>
      <c r="V40" s="9" t="s">
        <v>82</v>
      </c>
      <c r="W40" s="45">
        <v>46296</v>
      </c>
      <c r="X40" s="46">
        <v>31</v>
      </c>
      <c r="Y40" s="9">
        <f t="shared" si="41"/>
        <v>712.5</v>
      </c>
      <c r="Z40" s="9">
        <f t="shared" si="57"/>
        <v>5.45</v>
      </c>
      <c r="AA40" s="9">
        <f t="shared" si="55"/>
        <v>12.5</v>
      </c>
      <c r="AB40" s="9">
        <f t="shared" si="35"/>
        <v>5.45</v>
      </c>
      <c r="AC40" s="9">
        <f t="shared" si="36"/>
        <v>700</v>
      </c>
      <c r="AE40" s="9">
        <f t="shared" si="37"/>
        <v>22</v>
      </c>
      <c r="AF40" s="9" t="s">
        <v>82</v>
      </c>
      <c r="AG40" s="45">
        <v>46296</v>
      </c>
      <c r="AH40" s="46">
        <v>31</v>
      </c>
      <c r="AI40" s="9">
        <f t="shared" si="45"/>
        <v>712.5</v>
      </c>
      <c r="AJ40" s="9">
        <f t="shared" si="42"/>
        <v>5.45</v>
      </c>
      <c r="AK40" s="9">
        <f t="shared" si="56"/>
        <v>12.5</v>
      </c>
      <c r="AL40" s="9">
        <f t="shared" si="43"/>
        <v>5.45</v>
      </c>
      <c r="AM40" s="9">
        <f t="shared" si="44"/>
        <v>700</v>
      </c>
      <c r="AP40" s="8">
        <f t="shared" si="38"/>
        <v>-1.1800000000000006</v>
      </c>
    </row>
    <row r="41" spans="1:42" x14ac:dyDescent="0.35">
      <c r="A41" s="9">
        <f t="shared" si="39"/>
        <v>23</v>
      </c>
      <c r="B41" s="9" t="s">
        <v>82</v>
      </c>
      <c r="C41" s="45">
        <v>46266</v>
      </c>
      <c r="D41" s="46">
        <v>31</v>
      </c>
      <c r="E41" s="11">
        <f t="shared" si="52"/>
        <v>622.22222222222263</v>
      </c>
      <c r="F41" s="9">
        <f t="shared" si="46"/>
        <v>4.76</v>
      </c>
      <c r="G41" s="10">
        <f t="shared" si="53"/>
        <v>11.111111111111111</v>
      </c>
      <c r="H41" s="9">
        <f t="shared" si="27"/>
        <v>4.76</v>
      </c>
      <c r="I41" s="11">
        <f t="shared" si="47"/>
        <v>611.11111111111154</v>
      </c>
      <c r="K41" s="9">
        <f t="shared" si="31"/>
        <v>23</v>
      </c>
      <c r="L41" s="9" t="s">
        <v>82</v>
      </c>
      <c r="M41" s="45">
        <v>46296</v>
      </c>
      <c r="N41" s="46">
        <v>31</v>
      </c>
      <c r="O41" s="11">
        <f t="shared" si="51"/>
        <v>777.77777777777737</v>
      </c>
      <c r="P41" s="9">
        <f t="shared" si="48"/>
        <v>5.95</v>
      </c>
      <c r="Q41" s="10">
        <f t="shared" si="54"/>
        <v>13.888888888888889</v>
      </c>
      <c r="R41" s="9">
        <f t="shared" si="29"/>
        <v>5.95</v>
      </c>
      <c r="S41" s="11">
        <f t="shared" si="49"/>
        <v>763.88888888888846</v>
      </c>
      <c r="U41" s="9">
        <f t="shared" si="33"/>
        <v>23</v>
      </c>
      <c r="V41" s="9" t="s">
        <v>82</v>
      </c>
      <c r="W41" s="45">
        <v>46327</v>
      </c>
      <c r="X41" s="46">
        <v>30</v>
      </c>
      <c r="Y41" s="9">
        <f t="shared" si="41"/>
        <v>700</v>
      </c>
      <c r="Z41" s="9">
        <f t="shared" si="57"/>
        <v>5.18</v>
      </c>
      <c r="AA41" s="9">
        <f t="shared" si="55"/>
        <v>12.5</v>
      </c>
      <c r="AB41" s="9">
        <f t="shared" si="35"/>
        <v>5.18</v>
      </c>
      <c r="AC41" s="9">
        <f t="shared" si="36"/>
        <v>687.5</v>
      </c>
      <c r="AE41" s="9">
        <f t="shared" si="37"/>
        <v>23</v>
      </c>
      <c r="AF41" s="9" t="s">
        <v>82</v>
      </c>
      <c r="AG41" s="45">
        <v>46327</v>
      </c>
      <c r="AH41" s="46">
        <v>30</v>
      </c>
      <c r="AI41" s="9">
        <f t="shared" si="45"/>
        <v>700</v>
      </c>
      <c r="AJ41" s="9">
        <f t="shared" si="42"/>
        <v>5.18</v>
      </c>
      <c r="AK41" s="9">
        <f t="shared" si="56"/>
        <v>12.5</v>
      </c>
      <c r="AL41" s="9">
        <f t="shared" si="43"/>
        <v>5.18</v>
      </c>
      <c r="AM41" s="9">
        <f t="shared" si="44"/>
        <v>687.5</v>
      </c>
      <c r="AP41" s="8">
        <f t="shared" si="38"/>
        <v>-1.1900000000000004</v>
      </c>
    </row>
    <row r="42" spans="1:42" x14ac:dyDescent="0.35">
      <c r="A42" s="9">
        <f t="shared" si="39"/>
        <v>24</v>
      </c>
      <c r="B42" s="9" t="s">
        <v>82</v>
      </c>
      <c r="C42" s="45">
        <v>46296</v>
      </c>
      <c r="D42" s="46">
        <v>30</v>
      </c>
      <c r="E42" s="11">
        <f t="shared" si="52"/>
        <v>611.11111111111154</v>
      </c>
      <c r="F42" s="9">
        <f t="shared" si="46"/>
        <v>4.5199999999999996</v>
      </c>
      <c r="G42" s="10">
        <f t="shared" si="53"/>
        <v>11.111111111111111</v>
      </c>
      <c r="H42" s="9">
        <f t="shared" si="27"/>
        <v>4.5199999999999996</v>
      </c>
      <c r="I42" s="11">
        <f t="shared" si="47"/>
        <v>600.00000000000045</v>
      </c>
      <c r="K42" s="9">
        <f t="shared" si="31"/>
        <v>24</v>
      </c>
      <c r="L42" s="9" t="s">
        <v>82</v>
      </c>
      <c r="M42" s="45">
        <v>46327</v>
      </c>
      <c r="N42" s="46">
        <v>30</v>
      </c>
      <c r="O42" s="11">
        <f t="shared" si="51"/>
        <v>763.88888888888846</v>
      </c>
      <c r="P42" s="9">
        <f t="shared" si="48"/>
        <v>5.65</v>
      </c>
      <c r="Q42" s="10">
        <f t="shared" si="54"/>
        <v>13.888888888888889</v>
      </c>
      <c r="R42" s="9">
        <f t="shared" si="29"/>
        <v>5.65</v>
      </c>
      <c r="S42" s="11">
        <f t="shared" si="49"/>
        <v>749.99999999999955</v>
      </c>
      <c r="U42" s="9">
        <f t="shared" si="33"/>
        <v>24</v>
      </c>
      <c r="V42" s="9" t="s">
        <v>82</v>
      </c>
      <c r="W42" s="45">
        <v>46357</v>
      </c>
      <c r="X42" s="46">
        <v>31</v>
      </c>
      <c r="Y42" s="9">
        <f t="shared" si="41"/>
        <v>687.5</v>
      </c>
      <c r="Z42" s="9">
        <f t="shared" si="57"/>
        <v>5.26</v>
      </c>
      <c r="AA42" s="9">
        <f t="shared" si="55"/>
        <v>12.5</v>
      </c>
      <c r="AB42" s="9">
        <f t="shared" si="35"/>
        <v>5.26</v>
      </c>
      <c r="AC42" s="9">
        <f t="shared" si="36"/>
        <v>675</v>
      </c>
      <c r="AE42" s="9">
        <f t="shared" si="37"/>
        <v>24</v>
      </c>
      <c r="AF42" s="9" t="s">
        <v>82</v>
      </c>
      <c r="AG42" s="45">
        <v>46357</v>
      </c>
      <c r="AH42" s="46">
        <v>31</v>
      </c>
      <c r="AI42" s="9">
        <f t="shared" si="45"/>
        <v>687.5</v>
      </c>
      <c r="AJ42" s="9">
        <f t="shared" si="42"/>
        <v>5.26</v>
      </c>
      <c r="AK42" s="9">
        <f t="shared" si="56"/>
        <v>12.5</v>
      </c>
      <c r="AL42" s="9">
        <f t="shared" si="43"/>
        <v>5.26</v>
      </c>
      <c r="AM42" s="9">
        <f t="shared" si="44"/>
        <v>675</v>
      </c>
      <c r="AP42" s="8">
        <f t="shared" si="38"/>
        <v>-1.1300000000000008</v>
      </c>
    </row>
    <row r="43" spans="1:42" x14ac:dyDescent="0.35">
      <c r="A43" s="9">
        <f t="shared" si="39"/>
        <v>25</v>
      </c>
      <c r="B43" s="9" t="s">
        <v>82</v>
      </c>
      <c r="C43" s="45">
        <v>46327</v>
      </c>
      <c r="D43" s="46">
        <v>31</v>
      </c>
      <c r="E43" s="11">
        <f t="shared" si="52"/>
        <v>600.00000000000045</v>
      </c>
      <c r="F43" s="9">
        <f t="shared" si="46"/>
        <v>4.59</v>
      </c>
      <c r="G43" s="10">
        <f t="shared" si="53"/>
        <v>11.111111111111111</v>
      </c>
      <c r="H43" s="9">
        <f t="shared" si="27"/>
        <v>4.59</v>
      </c>
      <c r="I43" s="11">
        <f t="shared" si="47"/>
        <v>588.88888888888937</v>
      </c>
      <c r="K43" s="9">
        <f t="shared" si="31"/>
        <v>25</v>
      </c>
      <c r="L43" s="9" t="s">
        <v>82</v>
      </c>
      <c r="M43" s="45">
        <v>46357</v>
      </c>
      <c r="N43" s="46">
        <v>31</v>
      </c>
      <c r="O43" s="11">
        <f t="shared" si="51"/>
        <v>749.99999999999955</v>
      </c>
      <c r="P43" s="9">
        <f t="shared" si="48"/>
        <v>5.73</v>
      </c>
      <c r="Q43" s="10">
        <f t="shared" si="54"/>
        <v>13.888888888888889</v>
      </c>
      <c r="R43" s="9">
        <f t="shared" si="29"/>
        <v>5.73</v>
      </c>
      <c r="S43" s="11">
        <f t="shared" si="49"/>
        <v>736.11111111111063</v>
      </c>
      <c r="U43" s="9">
        <f t="shared" si="33"/>
        <v>25</v>
      </c>
      <c r="V43" s="9" t="s">
        <v>82</v>
      </c>
      <c r="W43" s="45">
        <v>46388</v>
      </c>
      <c r="X43" s="46">
        <v>31</v>
      </c>
      <c r="Y43" s="9">
        <f t="shared" si="41"/>
        <v>675</v>
      </c>
      <c r="Z43" s="9">
        <f t="shared" si="57"/>
        <v>5.16</v>
      </c>
      <c r="AA43" s="9">
        <f t="shared" si="55"/>
        <v>12.5</v>
      </c>
      <c r="AB43" s="9">
        <f t="shared" si="35"/>
        <v>5.16</v>
      </c>
      <c r="AC43" s="9">
        <f t="shared" si="36"/>
        <v>662.5</v>
      </c>
      <c r="AE43" s="9">
        <f t="shared" si="37"/>
        <v>25</v>
      </c>
      <c r="AF43" s="9" t="s">
        <v>82</v>
      </c>
      <c r="AG43" s="45">
        <v>46388</v>
      </c>
      <c r="AH43" s="46">
        <v>31</v>
      </c>
      <c r="AI43" s="9">
        <f t="shared" si="45"/>
        <v>675</v>
      </c>
      <c r="AJ43" s="9">
        <f t="shared" si="42"/>
        <v>5.16</v>
      </c>
      <c r="AK43" s="9">
        <f t="shared" si="56"/>
        <v>12.5</v>
      </c>
      <c r="AL43" s="9">
        <f t="shared" si="43"/>
        <v>5.16</v>
      </c>
      <c r="AM43" s="9">
        <f t="shared" si="44"/>
        <v>662.5</v>
      </c>
      <c r="AP43" s="8">
        <f t="shared" si="38"/>
        <v>-1.1400000000000006</v>
      </c>
    </row>
    <row r="44" spans="1:42" x14ac:dyDescent="0.35">
      <c r="A44" s="9">
        <f t="shared" si="39"/>
        <v>26</v>
      </c>
      <c r="B44" s="9" t="s">
        <v>82</v>
      </c>
      <c r="C44" s="45">
        <v>46357</v>
      </c>
      <c r="D44" s="46">
        <v>31</v>
      </c>
      <c r="E44" s="11">
        <f t="shared" si="52"/>
        <v>588.88888888888937</v>
      </c>
      <c r="F44" s="9">
        <f t="shared" si="46"/>
        <v>4.5</v>
      </c>
      <c r="G44" s="10">
        <f t="shared" si="53"/>
        <v>11.111111111111111</v>
      </c>
      <c r="H44" s="9">
        <f t="shared" si="27"/>
        <v>4.5</v>
      </c>
      <c r="I44" s="11">
        <f t="shared" si="47"/>
        <v>577.77777777777828</v>
      </c>
      <c r="K44" s="9">
        <f t="shared" si="31"/>
        <v>26</v>
      </c>
      <c r="L44" s="9" t="s">
        <v>82</v>
      </c>
      <c r="M44" s="45">
        <v>46388</v>
      </c>
      <c r="N44" s="46">
        <v>31</v>
      </c>
      <c r="O44" s="11">
        <f t="shared" si="51"/>
        <v>736.11111111111063</v>
      </c>
      <c r="P44" s="9">
        <f t="shared" si="48"/>
        <v>5.63</v>
      </c>
      <c r="Q44" s="10">
        <f t="shared" si="54"/>
        <v>13.888888888888889</v>
      </c>
      <c r="R44" s="9">
        <f t="shared" si="29"/>
        <v>5.63</v>
      </c>
      <c r="S44" s="11">
        <f t="shared" si="49"/>
        <v>722.22222222222172</v>
      </c>
      <c r="U44" s="9">
        <f t="shared" si="33"/>
        <v>26</v>
      </c>
      <c r="V44" s="9" t="s">
        <v>82</v>
      </c>
      <c r="W44" s="45">
        <v>46419</v>
      </c>
      <c r="X44" s="46">
        <v>28</v>
      </c>
      <c r="Y44" s="9">
        <f t="shared" si="41"/>
        <v>662.5</v>
      </c>
      <c r="Z44" s="9">
        <f t="shared" si="57"/>
        <v>4.57</v>
      </c>
      <c r="AA44" s="9">
        <f t="shared" si="55"/>
        <v>12.5</v>
      </c>
      <c r="AB44" s="9">
        <f t="shared" si="35"/>
        <v>4.57</v>
      </c>
      <c r="AC44" s="9">
        <f t="shared" si="36"/>
        <v>650</v>
      </c>
      <c r="AE44" s="9">
        <f t="shared" si="37"/>
        <v>26</v>
      </c>
      <c r="AF44" s="9" t="s">
        <v>82</v>
      </c>
      <c r="AG44" s="45">
        <v>46419</v>
      </c>
      <c r="AH44" s="46">
        <v>28</v>
      </c>
      <c r="AI44" s="9">
        <f t="shared" si="45"/>
        <v>662.5</v>
      </c>
      <c r="AJ44" s="9">
        <f t="shared" si="42"/>
        <v>4.57</v>
      </c>
      <c r="AK44" s="9">
        <f t="shared" si="56"/>
        <v>12.5</v>
      </c>
      <c r="AL44" s="9">
        <f t="shared" si="43"/>
        <v>4.57</v>
      </c>
      <c r="AM44" s="9">
        <f t="shared" si="44"/>
        <v>650</v>
      </c>
      <c r="AP44" s="8">
        <f t="shared" si="38"/>
        <v>-1.1299999999999999</v>
      </c>
    </row>
    <row r="45" spans="1:42" x14ac:dyDescent="0.35">
      <c r="A45" s="9">
        <f t="shared" si="39"/>
        <v>27</v>
      </c>
      <c r="B45" s="9" t="s">
        <v>82</v>
      </c>
      <c r="C45" s="45">
        <v>46388</v>
      </c>
      <c r="D45" s="46">
        <v>28</v>
      </c>
      <c r="E45" s="11">
        <f t="shared" si="52"/>
        <v>577.77777777777828</v>
      </c>
      <c r="F45" s="9">
        <f t="shared" si="46"/>
        <v>3.99</v>
      </c>
      <c r="G45" s="10">
        <f t="shared" si="53"/>
        <v>11.111111111111111</v>
      </c>
      <c r="H45" s="9">
        <f t="shared" si="27"/>
        <v>3.99</v>
      </c>
      <c r="I45" s="11">
        <f t="shared" si="47"/>
        <v>566.6666666666672</v>
      </c>
      <c r="K45" s="9">
        <f t="shared" si="31"/>
        <v>27</v>
      </c>
      <c r="L45" s="9" t="s">
        <v>82</v>
      </c>
      <c r="M45" s="45">
        <v>46419</v>
      </c>
      <c r="N45" s="46">
        <v>28</v>
      </c>
      <c r="O45" s="11">
        <f t="shared" si="51"/>
        <v>722.22222222222172</v>
      </c>
      <c r="P45" s="9">
        <f t="shared" si="48"/>
        <v>4.99</v>
      </c>
      <c r="Q45" s="10">
        <f t="shared" si="54"/>
        <v>13.888888888888889</v>
      </c>
      <c r="R45" s="9">
        <f t="shared" si="29"/>
        <v>4.99</v>
      </c>
      <c r="S45" s="11">
        <f t="shared" si="49"/>
        <v>708.3333333333328</v>
      </c>
      <c r="U45" s="9">
        <f t="shared" si="33"/>
        <v>27</v>
      </c>
      <c r="V45" s="9" t="s">
        <v>82</v>
      </c>
      <c r="W45" s="45">
        <v>46447</v>
      </c>
      <c r="X45" s="46">
        <v>31</v>
      </c>
      <c r="Y45" s="9">
        <f t="shared" si="41"/>
        <v>650</v>
      </c>
      <c r="Z45" s="9">
        <f t="shared" si="57"/>
        <v>4.97</v>
      </c>
      <c r="AA45" s="9">
        <f t="shared" si="55"/>
        <v>12.5</v>
      </c>
      <c r="AB45" s="9">
        <f t="shared" si="35"/>
        <v>4.97</v>
      </c>
      <c r="AC45" s="9">
        <f t="shared" si="36"/>
        <v>637.5</v>
      </c>
      <c r="AE45" s="9">
        <f t="shared" si="37"/>
        <v>27</v>
      </c>
      <c r="AF45" s="9" t="s">
        <v>82</v>
      </c>
      <c r="AG45" s="45">
        <v>46447</v>
      </c>
      <c r="AH45" s="46">
        <v>31</v>
      </c>
      <c r="AI45" s="9">
        <f t="shared" si="45"/>
        <v>650</v>
      </c>
      <c r="AJ45" s="9">
        <f t="shared" si="42"/>
        <v>4.97</v>
      </c>
      <c r="AK45" s="9">
        <f t="shared" si="56"/>
        <v>12.5</v>
      </c>
      <c r="AL45" s="9">
        <f t="shared" si="43"/>
        <v>4.97</v>
      </c>
      <c r="AM45" s="9">
        <f t="shared" si="44"/>
        <v>637.5</v>
      </c>
      <c r="AP45" s="8">
        <f t="shared" si="38"/>
        <v>-1</v>
      </c>
    </row>
    <row r="46" spans="1:42" x14ac:dyDescent="0.35">
      <c r="A46" s="9">
        <f t="shared" si="39"/>
        <v>28</v>
      </c>
      <c r="B46" s="9" t="s">
        <v>82</v>
      </c>
      <c r="C46" s="45">
        <v>46419</v>
      </c>
      <c r="D46" s="46">
        <v>31</v>
      </c>
      <c r="E46" s="11">
        <f t="shared" si="52"/>
        <v>566.6666666666672</v>
      </c>
      <c r="F46" s="9">
        <f t="shared" si="46"/>
        <v>4.33</v>
      </c>
      <c r="G46" s="10">
        <f t="shared" si="53"/>
        <v>11.111111111111111</v>
      </c>
      <c r="H46" s="9">
        <f t="shared" si="27"/>
        <v>4.33</v>
      </c>
      <c r="I46" s="11">
        <f t="shared" si="47"/>
        <v>555.55555555555611</v>
      </c>
      <c r="K46" s="9">
        <f t="shared" si="31"/>
        <v>28</v>
      </c>
      <c r="L46" s="9" t="s">
        <v>82</v>
      </c>
      <c r="M46" s="45">
        <v>46447</v>
      </c>
      <c r="N46" s="46">
        <v>31</v>
      </c>
      <c r="O46" s="11">
        <f t="shared" si="51"/>
        <v>708.3333333333328</v>
      </c>
      <c r="P46" s="9">
        <f t="shared" si="48"/>
        <v>5.41</v>
      </c>
      <c r="Q46" s="10">
        <f t="shared" si="54"/>
        <v>13.888888888888889</v>
      </c>
      <c r="R46" s="9">
        <f t="shared" si="29"/>
        <v>5.41</v>
      </c>
      <c r="S46" s="11">
        <f t="shared" si="49"/>
        <v>694.44444444444389</v>
      </c>
      <c r="U46" s="9">
        <f t="shared" si="33"/>
        <v>28</v>
      </c>
      <c r="V46" s="9" t="s">
        <v>83</v>
      </c>
      <c r="W46" s="45">
        <v>46478</v>
      </c>
      <c r="X46" s="46">
        <v>30</v>
      </c>
      <c r="Y46" s="9">
        <f t="shared" si="41"/>
        <v>637.5</v>
      </c>
      <c r="Z46" s="9">
        <f t="shared" si="57"/>
        <v>4.72</v>
      </c>
      <c r="AA46" s="9">
        <f t="shared" si="55"/>
        <v>12.5</v>
      </c>
      <c r="AB46" s="9">
        <f t="shared" si="35"/>
        <v>4.72</v>
      </c>
      <c r="AC46" s="9">
        <f t="shared" si="36"/>
        <v>625</v>
      </c>
      <c r="AE46" s="9">
        <f t="shared" si="37"/>
        <v>28</v>
      </c>
      <c r="AF46" s="9" t="s">
        <v>83</v>
      </c>
      <c r="AG46" s="45">
        <v>46478</v>
      </c>
      <c r="AH46" s="46">
        <v>30</v>
      </c>
      <c r="AI46" s="9">
        <f t="shared" si="45"/>
        <v>637.5</v>
      </c>
      <c r="AJ46" s="9">
        <f t="shared" si="42"/>
        <v>4.72</v>
      </c>
      <c r="AK46" s="9">
        <f t="shared" si="56"/>
        <v>12.5</v>
      </c>
      <c r="AL46" s="9">
        <f t="shared" si="43"/>
        <v>4.72</v>
      </c>
      <c r="AM46" s="9">
        <f t="shared" si="44"/>
        <v>625</v>
      </c>
      <c r="AP46" s="8">
        <f t="shared" si="38"/>
        <v>-1.08</v>
      </c>
    </row>
    <row r="47" spans="1:42" x14ac:dyDescent="0.35">
      <c r="A47" s="9">
        <f t="shared" si="39"/>
        <v>29</v>
      </c>
      <c r="B47" s="9" t="s">
        <v>82</v>
      </c>
      <c r="C47" s="45">
        <v>46447</v>
      </c>
      <c r="D47" s="46">
        <v>30</v>
      </c>
      <c r="E47" s="11">
        <f t="shared" si="52"/>
        <v>555.55555555555611</v>
      </c>
      <c r="F47" s="9">
        <f t="shared" ref="F47:F58" si="58">ROUND(E47*$I$17*D47/366,2)</f>
        <v>4.0999999999999996</v>
      </c>
      <c r="G47" s="10">
        <f t="shared" si="53"/>
        <v>11.111111111111111</v>
      </c>
      <c r="H47" s="9">
        <f t="shared" si="27"/>
        <v>4.0999999999999996</v>
      </c>
      <c r="I47" s="11">
        <f t="shared" si="47"/>
        <v>544.44444444444503</v>
      </c>
      <c r="K47" s="9">
        <f t="shared" si="31"/>
        <v>29</v>
      </c>
      <c r="L47" s="9" t="s">
        <v>83</v>
      </c>
      <c r="M47" s="45">
        <v>46478</v>
      </c>
      <c r="N47" s="46">
        <v>30</v>
      </c>
      <c r="O47" s="11">
        <f t="shared" si="51"/>
        <v>694.44444444444389</v>
      </c>
      <c r="P47" s="9">
        <f t="shared" ref="P47:P58" si="59">ROUND(O47*$S$17*N47/366,2)</f>
        <v>5.12</v>
      </c>
      <c r="Q47" s="10">
        <f t="shared" si="54"/>
        <v>13.888888888888889</v>
      </c>
      <c r="R47" s="9">
        <f t="shared" si="29"/>
        <v>5.12</v>
      </c>
      <c r="S47" s="11">
        <f t="shared" si="49"/>
        <v>680.55555555555497</v>
      </c>
      <c r="U47" s="9">
        <f t="shared" si="33"/>
        <v>29</v>
      </c>
      <c r="V47" s="9" t="s">
        <v>83</v>
      </c>
      <c r="W47" s="45">
        <v>46508</v>
      </c>
      <c r="X47" s="46">
        <v>31</v>
      </c>
      <c r="Y47" s="9">
        <f t="shared" si="41"/>
        <v>625</v>
      </c>
      <c r="Z47" s="9">
        <f>ROUND(Y47*$AC$17*X47/366,2)</f>
        <v>4.76</v>
      </c>
      <c r="AA47" s="9">
        <f t="shared" si="55"/>
        <v>12.5</v>
      </c>
      <c r="AB47" s="9">
        <f t="shared" si="35"/>
        <v>4.76</v>
      </c>
      <c r="AC47" s="9">
        <f t="shared" si="36"/>
        <v>612.5</v>
      </c>
      <c r="AE47" s="9">
        <f t="shared" si="37"/>
        <v>29</v>
      </c>
      <c r="AF47" s="9" t="s">
        <v>83</v>
      </c>
      <c r="AG47" s="45">
        <v>46508</v>
      </c>
      <c r="AH47" s="46">
        <v>31</v>
      </c>
      <c r="AI47" s="9">
        <f t="shared" si="45"/>
        <v>625</v>
      </c>
      <c r="AJ47" s="9">
        <f>ROUND(AI47*$AM$17*AH47/366,2)</f>
        <v>4.76</v>
      </c>
      <c r="AK47" s="9">
        <f t="shared" si="56"/>
        <v>12.5</v>
      </c>
      <c r="AL47" s="9">
        <f t="shared" si="43"/>
        <v>4.76</v>
      </c>
      <c r="AM47" s="9">
        <f t="shared" si="44"/>
        <v>612.5</v>
      </c>
      <c r="AP47" s="8">
        <f t="shared" si="38"/>
        <v>-1.0200000000000005</v>
      </c>
    </row>
    <row r="48" spans="1:42" x14ac:dyDescent="0.35">
      <c r="A48" s="9">
        <f t="shared" si="39"/>
        <v>30</v>
      </c>
      <c r="B48" s="9" t="s">
        <v>83</v>
      </c>
      <c r="C48" s="45">
        <v>46478</v>
      </c>
      <c r="D48" s="46">
        <v>31</v>
      </c>
      <c r="E48" s="11">
        <f t="shared" si="52"/>
        <v>544.44444444444503</v>
      </c>
      <c r="F48" s="9">
        <f t="shared" si="58"/>
        <v>4.1500000000000004</v>
      </c>
      <c r="G48" s="10">
        <f t="shared" si="53"/>
        <v>11.111111111111111</v>
      </c>
      <c r="H48" s="9">
        <f t="shared" si="27"/>
        <v>4.1500000000000004</v>
      </c>
      <c r="I48" s="11">
        <f t="shared" si="47"/>
        <v>533.33333333333394</v>
      </c>
      <c r="K48" s="9">
        <f t="shared" si="31"/>
        <v>30</v>
      </c>
      <c r="L48" s="9" t="s">
        <v>83</v>
      </c>
      <c r="M48" s="45">
        <v>46508</v>
      </c>
      <c r="N48" s="46">
        <v>31</v>
      </c>
      <c r="O48" s="11">
        <f t="shared" si="51"/>
        <v>680.55555555555497</v>
      </c>
      <c r="P48" s="9">
        <f t="shared" si="59"/>
        <v>5.19</v>
      </c>
      <c r="Q48" s="10">
        <f t="shared" si="54"/>
        <v>13.888888888888889</v>
      </c>
      <c r="R48" s="9">
        <f t="shared" si="29"/>
        <v>5.19</v>
      </c>
      <c r="S48" s="11">
        <f t="shared" si="49"/>
        <v>666.66666666666606</v>
      </c>
      <c r="U48" s="9">
        <f t="shared" si="33"/>
        <v>30</v>
      </c>
      <c r="V48" s="9" t="s">
        <v>83</v>
      </c>
      <c r="W48" s="45">
        <v>46539</v>
      </c>
      <c r="X48" s="46">
        <v>30</v>
      </c>
      <c r="Y48" s="9">
        <f t="shared" si="41"/>
        <v>612.5</v>
      </c>
      <c r="Z48" s="9">
        <f t="shared" ref="Z48:Z58" si="60">ROUND(Y48*$AC$17*X48/366,2)</f>
        <v>4.5199999999999996</v>
      </c>
      <c r="AA48" s="9">
        <f t="shared" si="55"/>
        <v>12.5</v>
      </c>
      <c r="AB48" s="9">
        <f t="shared" si="35"/>
        <v>4.5199999999999996</v>
      </c>
      <c r="AC48" s="9">
        <f t="shared" si="36"/>
        <v>600</v>
      </c>
      <c r="AE48" s="9">
        <f t="shared" si="37"/>
        <v>30</v>
      </c>
      <c r="AF48" s="9" t="s">
        <v>83</v>
      </c>
      <c r="AG48" s="45">
        <v>46539</v>
      </c>
      <c r="AH48" s="46">
        <v>30</v>
      </c>
      <c r="AI48" s="9">
        <f t="shared" si="45"/>
        <v>612.5</v>
      </c>
      <c r="AJ48" s="9">
        <f t="shared" ref="AJ48:AJ58" si="61">ROUND(AI48*$AM$17*AH48/366,2)</f>
        <v>4.5199999999999996</v>
      </c>
      <c r="AK48" s="9">
        <f t="shared" si="56"/>
        <v>12.5</v>
      </c>
      <c r="AL48" s="9">
        <f t="shared" si="43"/>
        <v>4.5199999999999996</v>
      </c>
      <c r="AM48" s="9">
        <f t="shared" si="44"/>
        <v>600</v>
      </c>
      <c r="AP48" s="8">
        <f t="shared" si="38"/>
        <v>-1.04</v>
      </c>
    </row>
    <row r="49" spans="1:42" x14ac:dyDescent="0.35">
      <c r="A49" s="9">
        <f t="shared" si="39"/>
        <v>31</v>
      </c>
      <c r="B49" s="9" t="s">
        <v>83</v>
      </c>
      <c r="C49" s="45">
        <v>46508</v>
      </c>
      <c r="D49" s="46">
        <v>30</v>
      </c>
      <c r="E49" s="11">
        <f t="shared" si="52"/>
        <v>533.33333333333394</v>
      </c>
      <c r="F49" s="9">
        <f t="shared" si="58"/>
        <v>3.93</v>
      </c>
      <c r="G49" s="10">
        <f t="shared" si="53"/>
        <v>11.111111111111111</v>
      </c>
      <c r="H49" s="9">
        <f t="shared" si="27"/>
        <v>3.93</v>
      </c>
      <c r="I49" s="11">
        <f t="shared" si="47"/>
        <v>522.22222222222285</v>
      </c>
      <c r="K49" s="9">
        <f t="shared" si="31"/>
        <v>31</v>
      </c>
      <c r="L49" s="9" t="s">
        <v>83</v>
      </c>
      <c r="M49" s="45">
        <v>46539</v>
      </c>
      <c r="N49" s="46">
        <v>30</v>
      </c>
      <c r="O49" s="11">
        <f t="shared" si="51"/>
        <v>666.66666666666606</v>
      </c>
      <c r="P49" s="9">
        <f t="shared" si="59"/>
        <v>4.92</v>
      </c>
      <c r="Q49" s="10">
        <f t="shared" si="54"/>
        <v>13.888888888888889</v>
      </c>
      <c r="R49" s="9">
        <f t="shared" si="29"/>
        <v>4.92</v>
      </c>
      <c r="S49" s="11">
        <f t="shared" si="49"/>
        <v>652.77777777777715</v>
      </c>
      <c r="U49" s="9">
        <f t="shared" si="33"/>
        <v>31</v>
      </c>
      <c r="V49" s="9" t="s">
        <v>83</v>
      </c>
      <c r="W49" s="45">
        <v>46569</v>
      </c>
      <c r="X49" s="46">
        <v>31</v>
      </c>
      <c r="Y49" s="9">
        <f t="shared" si="41"/>
        <v>600</v>
      </c>
      <c r="Z49" s="9">
        <f t="shared" si="60"/>
        <v>4.57</v>
      </c>
      <c r="AA49" s="9">
        <f t="shared" si="55"/>
        <v>12.5</v>
      </c>
      <c r="AB49" s="9">
        <f t="shared" si="35"/>
        <v>4.57</v>
      </c>
      <c r="AC49" s="9">
        <f t="shared" si="36"/>
        <v>587.5</v>
      </c>
      <c r="AE49" s="9">
        <f t="shared" si="37"/>
        <v>31</v>
      </c>
      <c r="AF49" s="9" t="s">
        <v>83</v>
      </c>
      <c r="AG49" s="45">
        <v>46569</v>
      </c>
      <c r="AH49" s="46">
        <v>31</v>
      </c>
      <c r="AI49" s="9">
        <f t="shared" si="45"/>
        <v>600</v>
      </c>
      <c r="AJ49" s="9">
        <f t="shared" si="61"/>
        <v>4.57</v>
      </c>
      <c r="AK49" s="9">
        <f t="shared" si="56"/>
        <v>12.5</v>
      </c>
      <c r="AL49" s="9">
        <f t="shared" si="43"/>
        <v>4.57</v>
      </c>
      <c r="AM49" s="9">
        <f t="shared" si="44"/>
        <v>587.5</v>
      </c>
      <c r="AP49" s="8">
        <f t="shared" si="38"/>
        <v>-0.98999999999999977</v>
      </c>
    </row>
    <row r="50" spans="1:42" x14ac:dyDescent="0.35">
      <c r="A50" s="9">
        <f t="shared" si="39"/>
        <v>32</v>
      </c>
      <c r="B50" s="9" t="s">
        <v>83</v>
      </c>
      <c r="C50" s="45">
        <v>46539</v>
      </c>
      <c r="D50" s="46">
        <v>31</v>
      </c>
      <c r="E50" s="11">
        <f t="shared" si="52"/>
        <v>522.22222222222285</v>
      </c>
      <c r="F50" s="9">
        <f t="shared" si="58"/>
        <v>3.98</v>
      </c>
      <c r="G50" s="10">
        <f t="shared" si="53"/>
        <v>11.111111111111111</v>
      </c>
      <c r="H50" s="9">
        <f t="shared" ref="H50:H81" si="62">F50</f>
        <v>3.98</v>
      </c>
      <c r="I50" s="11">
        <f t="shared" si="47"/>
        <v>511.11111111111177</v>
      </c>
      <c r="K50" s="9">
        <f t="shared" si="31"/>
        <v>32</v>
      </c>
      <c r="L50" s="9" t="s">
        <v>83</v>
      </c>
      <c r="M50" s="45">
        <v>46569</v>
      </c>
      <c r="N50" s="46">
        <v>31</v>
      </c>
      <c r="O50" s="11">
        <f t="shared" si="51"/>
        <v>652.77777777777715</v>
      </c>
      <c r="P50" s="9">
        <f t="shared" si="59"/>
        <v>4.9800000000000004</v>
      </c>
      <c r="Q50" s="10">
        <f t="shared" si="54"/>
        <v>13.888888888888889</v>
      </c>
      <c r="R50" s="9">
        <f t="shared" ref="R50:R81" si="63">P50</f>
        <v>4.9800000000000004</v>
      </c>
      <c r="S50" s="11">
        <f t="shared" si="49"/>
        <v>638.88888888888823</v>
      </c>
      <c r="U50" s="9">
        <f t="shared" si="33"/>
        <v>32</v>
      </c>
      <c r="V50" s="9" t="s">
        <v>83</v>
      </c>
      <c r="W50" s="45">
        <v>46600</v>
      </c>
      <c r="X50" s="46">
        <v>31</v>
      </c>
      <c r="Y50" s="9">
        <f t="shared" si="41"/>
        <v>587.5</v>
      </c>
      <c r="Z50" s="9">
        <f t="shared" si="60"/>
        <v>4.4800000000000004</v>
      </c>
      <c r="AA50" s="9">
        <f t="shared" si="55"/>
        <v>12.5</v>
      </c>
      <c r="AB50" s="9">
        <f t="shared" si="35"/>
        <v>4.4800000000000004</v>
      </c>
      <c r="AC50" s="9">
        <f t="shared" si="36"/>
        <v>575</v>
      </c>
      <c r="AE50" s="9">
        <f t="shared" si="37"/>
        <v>32</v>
      </c>
      <c r="AF50" s="9" t="s">
        <v>83</v>
      </c>
      <c r="AG50" s="45">
        <v>46600</v>
      </c>
      <c r="AH50" s="46">
        <v>31</v>
      </c>
      <c r="AI50" s="9">
        <f t="shared" si="45"/>
        <v>587.5</v>
      </c>
      <c r="AJ50" s="9">
        <f t="shared" si="61"/>
        <v>4.4800000000000004</v>
      </c>
      <c r="AK50" s="9">
        <f t="shared" si="56"/>
        <v>12.5</v>
      </c>
      <c r="AL50" s="9">
        <f t="shared" si="43"/>
        <v>4.4800000000000004</v>
      </c>
      <c r="AM50" s="9">
        <f t="shared" si="44"/>
        <v>575</v>
      </c>
      <c r="AP50" s="8">
        <f t="shared" si="38"/>
        <v>-1.0000000000000004</v>
      </c>
    </row>
    <row r="51" spans="1:42" x14ac:dyDescent="0.35">
      <c r="A51" s="9">
        <f t="shared" si="39"/>
        <v>33</v>
      </c>
      <c r="B51" s="9" t="s">
        <v>83</v>
      </c>
      <c r="C51" s="45">
        <v>46569</v>
      </c>
      <c r="D51" s="46">
        <v>31</v>
      </c>
      <c r="E51" s="11">
        <f t="shared" si="52"/>
        <v>511.11111111111177</v>
      </c>
      <c r="F51" s="9">
        <f t="shared" si="58"/>
        <v>3.9</v>
      </c>
      <c r="G51" s="10">
        <f t="shared" si="53"/>
        <v>11.111111111111111</v>
      </c>
      <c r="H51" s="9">
        <f t="shared" si="62"/>
        <v>3.9</v>
      </c>
      <c r="I51" s="11">
        <f t="shared" si="47"/>
        <v>500.00000000000068</v>
      </c>
      <c r="K51" s="9">
        <f t="shared" ref="K51:K82" si="64">K50+1</f>
        <v>33</v>
      </c>
      <c r="L51" s="9" t="s">
        <v>83</v>
      </c>
      <c r="M51" s="45">
        <v>46600</v>
      </c>
      <c r="N51" s="46">
        <v>31</v>
      </c>
      <c r="O51" s="11">
        <f t="shared" si="51"/>
        <v>638.88888888888823</v>
      </c>
      <c r="P51" s="9">
        <f t="shared" si="59"/>
        <v>4.87</v>
      </c>
      <c r="Q51" s="10">
        <f t="shared" si="54"/>
        <v>13.888888888888889</v>
      </c>
      <c r="R51" s="9">
        <f t="shared" si="63"/>
        <v>4.87</v>
      </c>
      <c r="S51" s="11">
        <f t="shared" si="49"/>
        <v>624.99999999999932</v>
      </c>
      <c r="U51" s="9">
        <f t="shared" si="33"/>
        <v>33</v>
      </c>
      <c r="V51" s="9" t="s">
        <v>83</v>
      </c>
      <c r="W51" s="45">
        <v>46631</v>
      </c>
      <c r="X51" s="46">
        <v>30</v>
      </c>
      <c r="Y51" s="9">
        <f t="shared" si="41"/>
        <v>575</v>
      </c>
      <c r="Z51" s="9">
        <f t="shared" si="60"/>
        <v>4.24</v>
      </c>
      <c r="AA51" s="9">
        <f t="shared" si="55"/>
        <v>12.5</v>
      </c>
      <c r="AB51" s="9">
        <f t="shared" si="35"/>
        <v>4.24</v>
      </c>
      <c r="AC51" s="9">
        <f t="shared" si="36"/>
        <v>562.5</v>
      </c>
      <c r="AE51" s="9">
        <f t="shared" si="37"/>
        <v>33</v>
      </c>
      <c r="AF51" s="9" t="s">
        <v>83</v>
      </c>
      <c r="AG51" s="45">
        <v>46631</v>
      </c>
      <c r="AH51" s="46">
        <v>30</v>
      </c>
      <c r="AI51" s="9">
        <f t="shared" si="45"/>
        <v>575</v>
      </c>
      <c r="AJ51" s="9">
        <f t="shared" si="61"/>
        <v>4.24</v>
      </c>
      <c r="AK51" s="9">
        <f t="shared" si="56"/>
        <v>12.5</v>
      </c>
      <c r="AL51" s="9">
        <f t="shared" si="43"/>
        <v>4.24</v>
      </c>
      <c r="AM51" s="9">
        <f t="shared" si="44"/>
        <v>562.5</v>
      </c>
      <c r="AP51" s="8">
        <f t="shared" si="38"/>
        <v>-0.9700000000000002</v>
      </c>
    </row>
    <row r="52" spans="1:42" x14ac:dyDescent="0.35">
      <c r="A52" s="9">
        <f t="shared" si="39"/>
        <v>34</v>
      </c>
      <c r="B52" s="9" t="s">
        <v>83</v>
      </c>
      <c r="C52" s="45">
        <v>46600</v>
      </c>
      <c r="D52" s="46">
        <v>30</v>
      </c>
      <c r="E52" s="11">
        <f t="shared" si="52"/>
        <v>500.00000000000068</v>
      </c>
      <c r="F52" s="9">
        <f t="shared" si="58"/>
        <v>3.69</v>
      </c>
      <c r="G52" s="10">
        <f t="shared" si="53"/>
        <v>11.111111111111111</v>
      </c>
      <c r="H52" s="9">
        <f t="shared" si="62"/>
        <v>3.69</v>
      </c>
      <c r="I52" s="11">
        <f t="shared" si="47"/>
        <v>488.8888888888896</v>
      </c>
      <c r="K52" s="9">
        <f t="shared" si="64"/>
        <v>34</v>
      </c>
      <c r="L52" s="9" t="s">
        <v>83</v>
      </c>
      <c r="M52" s="45">
        <v>46631</v>
      </c>
      <c r="N52" s="46">
        <v>30</v>
      </c>
      <c r="O52" s="11">
        <f t="shared" si="51"/>
        <v>624.99999999999932</v>
      </c>
      <c r="P52" s="9">
        <f t="shared" si="59"/>
        <v>4.6100000000000003</v>
      </c>
      <c r="Q52" s="10">
        <f t="shared" si="54"/>
        <v>13.888888888888889</v>
      </c>
      <c r="R52" s="9">
        <f t="shared" si="63"/>
        <v>4.6100000000000003</v>
      </c>
      <c r="S52" s="11">
        <f t="shared" si="49"/>
        <v>611.1111111111104</v>
      </c>
      <c r="U52" s="9">
        <f t="shared" si="33"/>
        <v>34</v>
      </c>
      <c r="V52" s="9" t="s">
        <v>83</v>
      </c>
      <c r="W52" s="45">
        <v>46661</v>
      </c>
      <c r="X52" s="46">
        <v>31</v>
      </c>
      <c r="Y52" s="9">
        <f t="shared" si="41"/>
        <v>562.5</v>
      </c>
      <c r="Z52" s="9">
        <f t="shared" si="60"/>
        <v>4.29</v>
      </c>
      <c r="AA52" s="9">
        <f t="shared" si="55"/>
        <v>12.5</v>
      </c>
      <c r="AB52" s="9">
        <f t="shared" si="35"/>
        <v>4.29</v>
      </c>
      <c r="AC52" s="9">
        <f t="shared" si="36"/>
        <v>550</v>
      </c>
      <c r="AE52" s="9">
        <f t="shared" si="37"/>
        <v>34</v>
      </c>
      <c r="AF52" s="9" t="s">
        <v>83</v>
      </c>
      <c r="AG52" s="45">
        <v>46661</v>
      </c>
      <c r="AH52" s="46">
        <v>31</v>
      </c>
      <c r="AI52" s="9">
        <f t="shared" si="45"/>
        <v>562.5</v>
      </c>
      <c r="AJ52" s="9">
        <f t="shared" si="61"/>
        <v>4.29</v>
      </c>
      <c r="AK52" s="9">
        <f t="shared" si="56"/>
        <v>12.5</v>
      </c>
      <c r="AL52" s="9">
        <f t="shared" si="43"/>
        <v>4.29</v>
      </c>
      <c r="AM52" s="9">
        <f t="shared" si="44"/>
        <v>550</v>
      </c>
      <c r="AP52" s="8">
        <f t="shared" si="38"/>
        <v>-0.92000000000000037</v>
      </c>
    </row>
    <row r="53" spans="1:42" x14ac:dyDescent="0.35">
      <c r="A53" s="9">
        <f t="shared" si="39"/>
        <v>35</v>
      </c>
      <c r="B53" s="9" t="s">
        <v>83</v>
      </c>
      <c r="C53" s="45">
        <v>46631</v>
      </c>
      <c r="D53" s="46">
        <v>31</v>
      </c>
      <c r="E53" s="11">
        <f t="shared" si="52"/>
        <v>488.8888888888896</v>
      </c>
      <c r="F53" s="9">
        <f t="shared" si="58"/>
        <v>3.73</v>
      </c>
      <c r="G53" s="10">
        <f t="shared" si="53"/>
        <v>11.111111111111111</v>
      </c>
      <c r="H53" s="9">
        <f t="shared" si="62"/>
        <v>3.73</v>
      </c>
      <c r="I53" s="11">
        <f t="shared" si="47"/>
        <v>477.77777777777851</v>
      </c>
      <c r="K53" s="9">
        <f t="shared" si="64"/>
        <v>35</v>
      </c>
      <c r="L53" s="9" t="s">
        <v>83</v>
      </c>
      <c r="M53" s="45">
        <v>46661</v>
      </c>
      <c r="N53" s="46">
        <v>31</v>
      </c>
      <c r="O53" s="11">
        <f t="shared" si="51"/>
        <v>611.1111111111104</v>
      </c>
      <c r="P53" s="9">
        <f t="shared" si="59"/>
        <v>4.66</v>
      </c>
      <c r="Q53" s="10">
        <f t="shared" si="54"/>
        <v>13.888888888888889</v>
      </c>
      <c r="R53" s="9">
        <f t="shared" si="63"/>
        <v>4.66</v>
      </c>
      <c r="S53" s="11">
        <f t="shared" si="49"/>
        <v>597.22222222222149</v>
      </c>
      <c r="U53" s="9">
        <f t="shared" si="33"/>
        <v>35</v>
      </c>
      <c r="V53" s="9" t="s">
        <v>83</v>
      </c>
      <c r="W53" s="45">
        <v>46692</v>
      </c>
      <c r="X53" s="46">
        <v>30</v>
      </c>
      <c r="Y53" s="9">
        <f t="shared" si="41"/>
        <v>550</v>
      </c>
      <c r="Z53" s="9">
        <f t="shared" si="60"/>
        <v>4.0599999999999996</v>
      </c>
      <c r="AA53" s="9">
        <f t="shared" si="55"/>
        <v>12.5</v>
      </c>
      <c r="AB53" s="9">
        <f t="shared" si="35"/>
        <v>4.0599999999999996</v>
      </c>
      <c r="AC53" s="9">
        <f t="shared" si="36"/>
        <v>537.5</v>
      </c>
      <c r="AE53" s="9">
        <f t="shared" si="37"/>
        <v>35</v>
      </c>
      <c r="AF53" s="9" t="s">
        <v>83</v>
      </c>
      <c r="AG53" s="45">
        <v>46692</v>
      </c>
      <c r="AH53" s="46">
        <v>30</v>
      </c>
      <c r="AI53" s="9">
        <f t="shared" si="45"/>
        <v>550</v>
      </c>
      <c r="AJ53" s="9">
        <f t="shared" si="61"/>
        <v>4.0599999999999996</v>
      </c>
      <c r="AK53" s="9">
        <f t="shared" si="56"/>
        <v>12.5</v>
      </c>
      <c r="AL53" s="9">
        <f t="shared" si="43"/>
        <v>4.0599999999999996</v>
      </c>
      <c r="AM53" s="9">
        <f t="shared" si="44"/>
        <v>537.5</v>
      </c>
      <c r="AP53" s="8">
        <f t="shared" si="38"/>
        <v>-0.93000000000000016</v>
      </c>
    </row>
    <row r="54" spans="1:42" x14ac:dyDescent="0.35">
      <c r="A54" s="9">
        <f t="shared" si="39"/>
        <v>36</v>
      </c>
      <c r="B54" s="9" t="s">
        <v>83</v>
      </c>
      <c r="C54" s="45">
        <v>46661</v>
      </c>
      <c r="D54" s="46">
        <v>30</v>
      </c>
      <c r="E54" s="11">
        <f t="shared" si="52"/>
        <v>477.77777777777851</v>
      </c>
      <c r="F54" s="9">
        <f t="shared" si="58"/>
        <v>3.52</v>
      </c>
      <c r="G54" s="10">
        <f t="shared" si="53"/>
        <v>11.111111111111111</v>
      </c>
      <c r="H54" s="9">
        <f t="shared" si="62"/>
        <v>3.52</v>
      </c>
      <c r="I54" s="11">
        <f t="shared" si="47"/>
        <v>466.66666666666742</v>
      </c>
      <c r="K54" s="9">
        <f t="shared" si="64"/>
        <v>36</v>
      </c>
      <c r="L54" s="9" t="s">
        <v>83</v>
      </c>
      <c r="M54" s="45">
        <v>46692</v>
      </c>
      <c r="N54" s="46">
        <v>30</v>
      </c>
      <c r="O54" s="11">
        <f t="shared" si="51"/>
        <v>597.22222222222149</v>
      </c>
      <c r="P54" s="9">
        <f t="shared" si="59"/>
        <v>4.41</v>
      </c>
      <c r="Q54" s="10">
        <f t="shared" si="54"/>
        <v>13.888888888888889</v>
      </c>
      <c r="R54" s="9">
        <f t="shared" si="63"/>
        <v>4.41</v>
      </c>
      <c r="S54" s="11">
        <f t="shared" si="49"/>
        <v>583.33333333333258</v>
      </c>
      <c r="U54" s="9">
        <f t="shared" si="33"/>
        <v>36</v>
      </c>
      <c r="V54" s="9" t="s">
        <v>83</v>
      </c>
      <c r="W54" s="45">
        <v>46722</v>
      </c>
      <c r="X54" s="46">
        <v>31</v>
      </c>
      <c r="Y54" s="9">
        <f t="shared" si="41"/>
        <v>537.5</v>
      </c>
      <c r="Z54" s="9">
        <f t="shared" si="60"/>
        <v>4.0999999999999996</v>
      </c>
      <c r="AA54" s="9">
        <f t="shared" si="55"/>
        <v>12.5</v>
      </c>
      <c r="AB54" s="9">
        <f t="shared" si="35"/>
        <v>4.0999999999999996</v>
      </c>
      <c r="AC54" s="9">
        <f t="shared" si="36"/>
        <v>525</v>
      </c>
      <c r="AE54" s="9">
        <f t="shared" si="37"/>
        <v>36</v>
      </c>
      <c r="AF54" s="9" t="s">
        <v>83</v>
      </c>
      <c r="AG54" s="45">
        <v>46722</v>
      </c>
      <c r="AH54" s="46">
        <v>31</v>
      </c>
      <c r="AI54" s="9">
        <f t="shared" si="45"/>
        <v>537.5</v>
      </c>
      <c r="AJ54" s="9">
        <f t="shared" si="61"/>
        <v>4.0999999999999996</v>
      </c>
      <c r="AK54" s="9">
        <f t="shared" si="56"/>
        <v>12.5</v>
      </c>
      <c r="AL54" s="9">
        <f t="shared" si="43"/>
        <v>4.0999999999999996</v>
      </c>
      <c r="AM54" s="9">
        <f t="shared" si="44"/>
        <v>525</v>
      </c>
      <c r="AP54" s="8">
        <f t="shared" si="38"/>
        <v>-0.89000000000000012</v>
      </c>
    </row>
    <row r="55" spans="1:42" x14ac:dyDescent="0.35">
      <c r="A55" s="9">
        <f t="shared" si="39"/>
        <v>37</v>
      </c>
      <c r="B55" s="9" t="s">
        <v>83</v>
      </c>
      <c r="C55" s="45">
        <v>46692</v>
      </c>
      <c r="D55" s="46">
        <v>31</v>
      </c>
      <c r="E55" s="11">
        <f t="shared" si="52"/>
        <v>466.66666666666742</v>
      </c>
      <c r="F55" s="9">
        <f t="shared" si="58"/>
        <v>3.56</v>
      </c>
      <c r="G55" s="10">
        <f t="shared" si="53"/>
        <v>11.111111111111111</v>
      </c>
      <c r="H55" s="9">
        <f t="shared" si="62"/>
        <v>3.56</v>
      </c>
      <c r="I55" s="11">
        <f t="shared" ref="I55:I86" si="65">E55+F55-G55-H55</f>
        <v>455.55555555555634</v>
      </c>
      <c r="K55" s="9">
        <f t="shared" si="64"/>
        <v>37</v>
      </c>
      <c r="L55" s="9" t="s">
        <v>83</v>
      </c>
      <c r="M55" s="45">
        <v>46722</v>
      </c>
      <c r="N55" s="46">
        <v>31</v>
      </c>
      <c r="O55" s="11">
        <f t="shared" si="51"/>
        <v>583.33333333333258</v>
      </c>
      <c r="P55" s="9">
        <f t="shared" si="59"/>
        <v>4.45</v>
      </c>
      <c r="Q55" s="10">
        <f t="shared" si="54"/>
        <v>13.888888888888889</v>
      </c>
      <c r="R55" s="9">
        <f t="shared" si="63"/>
        <v>4.45</v>
      </c>
      <c r="S55" s="11">
        <f t="shared" si="49"/>
        <v>569.44444444444366</v>
      </c>
      <c r="U55" s="9">
        <f t="shared" si="33"/>
        <v>37</v>
      </c>
      <c r="V55" s="9" t="s">
        <v>83</v>
      </c>
      <c r="W55" s="45">
        <v>46753</v>
      </c>
      <c r="X55" s="46">
        <v>31</v>
      </c>
      <c r="Y55" s="9">
        <f t="shared" si="41"/>
        <v>525</v>
      </c>
      <c r="Z55" s="9">
        <f t="shared" si="60"/>
        <v>4</v>
      </c>
      <c r="AA55" s="9">
        <f t="shared" si="55"/>
        <v>12.5</v>
      </c>
      <c r="AB55" s="9">
        <f t="shared" si="35"/>
        <v>4</v>
      </c>
      <c r="AC55" s="9">
        <f t="shared" si="36"/>
        <v>512.5</v>
      </c>
      <c r="AE55" s="9">
        <f t="shared" si="37"/>
        <v>37</v>
      </c>
      <c r="AF55" s="9" t="s">
        <v>83</v>
      </c>
      <c r="AG55" s="45">
        <v>46753</v>
      </c>
      <c r="AH55" s="46">
        <v>31</v>
      </c>
      <c r="AI55" s="9">
        <f t="shared" si="45"/>
        <v>525</v>
      </c>
      <c r="AJ55" s="9">
        <f t="shared" si="61"/>
        <v>4</v>
      </c>
      <c r="AK55" s="9">
        <f t="shared" si="56"/>
        <v>12.5</v>
      </c>
      <c r="AL55" s="9">
        <f t="shared" si="43"/>
        <v>4</v>
      </c>
      <c r="AM55" s="9">
        <f t="shared" si="44"/>
        <v>512.5</v>
      </c>
      <c r="AP55" s="8">
        <f t="shared" si="38"/>
        <v>-0.89000000000000012</v>
      </c>
    </row>
    <row r="56" spans="1:42" x14ac:dyDescent="0.35">
      <c r="A56" s="9">
        <f t="shared" si="39"/>
        <v>38</v>
      </c>
      <c r="B56" s="9" t="s">
        <v>83</v>
      </c>
      <c r="C56" s="45">
        <v>46722</v>
      </c>
      <c r="D56" s="46">
        <v>31</v>
      </c>
      <c r="E56" s="11">
        <f t="shared" si="52"/>
        <v>455.55555555555634</v>
      </c>
      <c r="F56" s="9">
        <f t="shared" si="58"/>
        <v>3.47</v>
      </c>
      <c r="G56" s="10">
        <f t="shared" si="53"/>
        <v>11.111111111111111</v>
      </c>
      <c r="H56" s="9">
        <f t="shared" si="62"/>
        <v>3.47</v>
      </c>
      <c r="I56" s="11">
        <f t="shared" si="65"/>
        <v>444.44444444444525</v>
      </c>
      <c r="K56" s="9">
        <f t="shared" si="64"/>
        <v>38</v>
      </c>
      <c r="L56" s="9" t="s">
        <v>83</v>
      </c>
      <c r="M56" s="45">
        <v>46753</v>
      </c>
      <c r="N56" s="46">
        <v>31</v>
      </c>
      <c r="O56" s="11">
        <f t="shared" si="51"/>
        <v>569.44444444444366</v>
      </c>
      <c r="P56" s="9">
        <f t="shared" si="59"/>
        <v>4.34</v>
      </c>
      <c r="Q56" s="10">
        <f t="shared" si="54"/>
        <v>13.888888888888889</v>
      </c>
      <c r="R56" s="9">
        <f t="shared" si="63"/>
        <v>4.34</v>
      </c>
      <c r="S56" s="11">
        <f t="shared" si="49"/>
        <v>555.55555555555475</v>
      </c>
      <c r="U56" s="9">
        <f t="shared" si="33"/>
        <v>38</v>
      </c>
      <c r="V56" s="9" t="s">
        <v>83</v>
      </c>
      <c r="W56" s="45">
        <v>46784</v>
      </c>
      <c r="X56" s="46">
        <v>29</v>
      </c>
      <c r="Y56" s="9">
        <f t="shared" si="41"/>
        <v>512.5</v>
      </c>
      <c r="Z56" s="9">
        <f t="shared" si="60"/>
        <v>3.65</v>
      </c>
      <c r="AA56" s="9">
        <f t="shared" si="55"/>
        <v>12.5</v>
      </c>
      <c r="AB56" s="9">
        <f t="shared" si="35"/>
        <v>3.65</v>
      </c>
      <c r="AC56" s="9">
        <f t="shared" si="36"/>
        <v>500</v>
      </c>
      <c r="AE56" s="9">
        <f t="shared" si="37"/>
        <v>38</v>
      </c>
      <c r="AF56" s="9" t="s">
        <v>83</v>
      </c>
      <c r="AG56" s="45">
        <v>46784</v>
      </c>
      <c r="AH56" s="46">
        <v>29</v>
      </c>
      <c r="AI56" s="9">
        <f t="shared" si="45"/>
        <v>512.5</v>
      </c>
      <c r="AJ56" s="9">
        <f t="shared" si="61"/>
        <v>3.65</v>
      </c>
      <c r="AK56" s="9">
        <f t="shared" si="56"/>
        <v>12.5</v>
      </c>
      <c r="AL56" s="9">
        <f t="shared" si="43"/>
        <v>3.65</v>
      </c>
      <c r="AM56" s="9">
        <f t="shared" si="44"/>
        <v>500</v>
      </c>
      <c r="AP56" s="8">
        <f t="shared" si="38"/>
        <v>-0.86999999999999966</v>
      </c>
    </row>
    <row r="57" spans="1:42" x14ac:dyDescent="0.35">
      <c r="A57" s="9">
        <f t="shared" si="39"/>
        <v>39</v>
      </c>
      <c r="B57" s="9" t="s">
        <v>83</v>
      </c>
      <c r="C57" s="45">
        <v>46753</v>
      </c>
      <c r="D57" s="46">
        <v>29</v>
      </c>
      <c r="E57" s="11">
        <f t="shared" ref="E57:E88" si="66">I56</f>
        <v>444.44444444444525</v>
      </c>
      <c r="F57" s="9">
        <f t="shared" si="58"/>
        <v>3.17</v>
      </c>
      <c r="G57" s="10">
        <f t="shared" si="53"/>
        <v>11.111111111111111</v>
      </c>
      <c r="H57" s="9">
        <f t="shared" si="62"/>
        <v>3.17</v>
      </c>
      <c r="I57" s="11">
        <f t="shared" si="65"/>
        <v>433.33333333333417</v>
      </c>
      <c r="K57" s="9">
        <f t="shared" si="64"/>
        <v>39</v>
      </c>
      <c r="L57" s="9" t="s">
        <v>83</v>
      </c>
      <c r="M57" s="45">
        <v>46784</v>
      </c>
      <c r="N57" s="46">
        <v>29</v>
      </c>
      <c r="O57" s="11">
        <f t="shared" si="51"/>
        <v>555.55555555555475</v>
      </c>
      <c r="P57" s="9">
        <f t="shared" si="59"/>
        <v>3.96</v>
      </c>
      <c r="Q57" s="10">
        <f t="shared" si="54"/>
        <v>13.888888888888889</v>
      </c>
      <c r="R57" s="9">
        <f t="shared" si="63"/>
        <v>3.96</v>
      </c>
      <c r="S57" s="11">
        <f t="shared" si="49"/>
        <v>541.66666666666583</v>
      </c>
      <c r="U57" s="9">
        <f t="shared" si="33"/>
        <v>39</v>
      </c>
      <c r="V57" s="9" t="s">
        <v>83</v>
      </c>
      <c r="W57" s="45">
        <v>46813</v>
      </c>
      <c r="X57" s="46">
        <v>31</v>
      </c>
      <c r="Y57" s="9">
        <f t="shared" si="41"/>
        <v>500</v>
      </c>
      <c r="Z57" s="9">
        <f t="shared" si="60"/>
        <v>3.81</v>
      </c>
      <c r="AA57" s="9">
        <f t="shared" si="55"/>
        <v>12.5</v>
      </c>
      <c r="AB57" s="9">
        <f t="shared" si="35"/>
        <v>3.81</v>
      </c>
      <c r="AC57" s="9">
        <f t="shared" si="36"/>
        <v>487.5</v>
      </c>
      <c r="AE57" s="9">
        <f t="shared" si="37"/>
        <v>39</v>
      </c>
      <c r="AF57" s="9" t="s">
        <v>83</v>
      </c>
      <c r="AG57" s="45">
        <v>46813</v>
      </c>
      <c r="AH57" s="46">
        <v>31</v>
      </c>
      <c r="AI57" s="9">
        <f t="shared" si="45"/>
        <v>500</v>
      </c>
      <c r="AJ57" s="9">
        <f t="shared" si="61"/>
        <v>3.81</v>
      </c>
      <c r="AK57" s="9">
        <f t="shared" si="56"/>
        <v>12.5</v>
      </c>
      <c r="AL57" s="9">
        <f t="shared" si="43"/>
        <v>3.81</v>
      </c>
      <c r="AM57" s="9">
        <f t="shared" si="44"/>
        <v>487.5</v>
      </c>
      <c r="AP57" s="8">
        <f t="shared" si="38"/>
        <v>-0.79</v>
      </c>
    </row>
    <row r="58" spans="1:42" x14ac:dyDescent="0.35">
      <c r="A58" s="9">
        <f t="shared" si="39"/>
        <v>40</v>
      </c>
      <c r="B58" s="9" t="s">
        <v>83</v>
      </c>
      <c r="C58" s="45">
        <v>46784</v>
      </c>
      <c r="D58" s="46">
        <v>31</v>
      </c>
      <c r="E58" s="11">
        <f t="shared" si="66"/>
        <v>433.33333333333417</v>
      </c>
      <c r="F58" s="9">
        <f t="shared" si="58"/>
        <v>3.3</v>
      </c>
      <c r="G58" s="10">
        <f t="shared" si="53"/>
        <v>11.111111111111111</v>
      </c>
      <c r="H58" s="9">
        <f t="shared" si="62"/>
        <v>3.3</v>
      </c>
      <c r="I58" s="11">
        <f t="shared" si="65"/>
        <v>422.22222222222308</v>
      </c>
      <c r="K58" s="9">
        <f t="shared" si="64"/>
        <v>40</v>
      </c>
      <c r="L58" s="9" t="s">
        <v>83</v>
      </c>
      <c r="M58" s="45">
        <v>46813</v>
      </c>
      <c r="N58" s="46">
        <v>31</v>
      </c>
      <c r="O58" s="11">
        <f t="shared" si="51"/>
        <v>541.66666666666583</v>
      </c>
      <c r="P58" s="9">
        <f t="shared" si="59"/>
        <v>4.13</v>
      </c>
      <c r="Q58" s="10">
        <f t="shared" si="54"/>
        <v>13.888888888888889</v>
      </c>
      <c r="R58" s="9">
        <f t="shared" si="63"/>
        <v>4.13</v>
      </c>
      <c r="S58" s="11">
        <f t="shared" si="49"/>
        <v>527.77777777777692</v>
      </c>
      <c r="U58" s="9">
        <f t="shared" si="33"/>
        <v>40</v>
      </c>
      <c r="V58" s="9" t="s">
        <v>84</v>
      </c>
      <c r="W58" s="45">
        <v>46844</v>
      </c>
      <c r="X58" s="46">
        <v>30</v>
      </c>
      <c r="Y58" s="9">
        <f t="shared" si="41"/>
        <v>487.5</v>
      </c>
      <c r="Z58" s="9">
        <f t="shared" si="60"/>
        <v>3.6</v>
      </c>
      <c r="AA58" s="9">
        <f t="shared" si="55"/>
        <v>12.5</v>
      </c>
      <c r="AB58" s="9">
        <f t="shared" si="35"/>
        <v>3.6</v>
      </c>
      <c r="AC58" s="9">
        <f t="shared" si="36"/>
        <v>475</v>
      </c>
      <c r="AE58" s="9">
        <f t="shared" si="37"/>
        <v>40</v>
      </c>
      <c r="AF58" s="9" t="s">
        <v>84</v>
      </c>
      <c r="AG58" s="45">
        <v>46844</v>
      </c>
      <c r="AH58" s="46">
        <v>30</v>
      </c>
      <c r="AI58" s="9">
        <f t="shared" si="45"/>
        <v>487.5</v>
      </c>
      <c r="AJ58" s="9">
        <f t="shared" si="61"/>
        <v>3.6</v>
      </c>
      <c r="AK58" s="9">
        <f t="shared" si="56"/>
        <v>12.5</v>
      </c>
      <c r="AL58" s="9">
        <f t="shared" si="43"/>
        <v>3.6</v>
      </c>
      <c r="AM58" s="9">
        <f t="shared" si="44"/>
        <v>475</v>
      </c>
      <c r="AP58" s="8">
        <f t="shared" si="38"/>
        <v>-0.83000000000000007</v>
      </c>
    </row>
    <row r="59" spans="1:42" x14ac:dyDescent="0.35">
      <c r="A59" s="9">
        <f t="shared" si="39"/>
        <v>41</v>
      </c>
      <c r="B59" s="9" t="s">
        <v>83</v>
      </c>
      <c r="C59" s="45">
        <v>46813</v>
      </c>
      <c r="D59" s="46">
        <v>30</v>
      </c>
      <c r="E59" s="11">
        <f t="shared" si="66"/>
        <v>422.22222222222308</v>
      </c>
      <c r="F59" s="9">
        <f t="shared" ref="F59:F96" si="67">ROUND(E59*$I$17*D59/365,2)</f>
        <v>3.12</v>
      </c>
      <c r="G59" s="10">
        <f t="shared" si="53"/>
        <v>11.111111111111111</v>
      </c>
      <c r="H59" s="9">
        <f t="shared" si="62"/>
        <v>3.12</v>
      </c>
      <c r="I59" s="11">
        <f t="shared" si="65"/>
        <v>411.111111111112</v>
      </c>
      <c r="K59" s="9">
        <f t="shared" si="64"/>
        <v>41</v>
      </c>
      <c r="L59" s="9" t="s">
        <v>84</v>
      </c>
      <c r="M59" s="45">
        <v>46844</v>
      </c>
      <c r="N59" s="46">
        <v>30</v>
      </c>
      <c r="O59" s="11">
        <f t="shared" si="51"/>
        <v>527.77777777777692</v>
      </c>
      <c r="P59" s="9">
        <f t="shared" ref="P59:P96" si="68">ROUND(O59*$S$17*N59/365,2)</f>
        <v>3.9</v>
      </c>
      <c r="Q59" s="10">
        <f t="shared" si="54"/>
        <v>13.888888888888889</v>
      </c>
      <c r="R59" s="9">
        <f t="shared" si="63"/>
        <v>3.9</v>
      </c>
      <c r="S59" s="11">
        <f t="shared" si="49"/>
        <v>513.888888888888</v>
      </c>
      <c r="U59" s="9">
        <f t="shared" si="33"/>
        <v>41</v>
      </c>
      <c r="V59" s="9" t="s">
        <v>84</v>
      </c>
      <c r="W59" s="45">
        <v>46874</v>
      </c>
      <c r="X59" s="46">
        <v>31</v>
      </c>
      <c r="Y59" s="9">
        <f t="shared" si="41"/>
        <v>475</v>
      </c>
      <c r="Z59" s="9">
        <f>ROUND(Y59*$AC$17*X59/365,2)</f>
        <v>3.63</v>
      </c>
      <c r="AA59" s="9">
        <f t="shared" si="55"/>
        <v>12.5</v>
      </c>
      <c r="AB59" s="9">
        <f t="shared" si="35"/>
        <v>3.63</v>
      </c>
      <c r="AC59" s="9">
        <f t="shared" si="36"/>
        <v>462.5</v>
      </c>
      <c r="AE59" s="9">
        <f t="shared" si="37"/>
        <v>41</v>
      </c>
      <c r="AF59" s="9" t="s">
        <v>84</v>
      </c>
      <c r="AG59" s="45">
        <v>46874</v>
      </c>
      <c r="AH59" s="46">
        <v>31</v>
      </c>
      <c r="AI59" s="9">
        <f t="shared" si="45"/>
        <v>475</v>
      </c>
      <c r="AJ59" s="9">
        <f>ROUND(AI59*$AM$17*AH59/365,2)</f>
        <v>3.63</v>
      </c>
      <c r="AK59" s="9">
        <f t="shared" si="56"/>
        <v>12.5</v>
      </c>
      <c r="AL59" s="9">
        <f t="shared" si="43"/>
        <v>3.63</v>
      </c>
      <c r="AM59" s="9">
        <f t="shared" si="44"/>
        <v>462.5</v>
      </c>
      <c r="AP59" s="8">
        <f t="shared" si="38"/>
        <v>-0.7799999999999998</v>
      </c>
    </row>
    <row r="60" spans="1:42" x14ac:dyDescent="0.35">
      <c r="A60" s="9">
        <f t="shared" si="39"/>
        <v>42</v>
      </c>
      <c r="B60" s="9" t="s">
        <v>84</v>
      </c>
      <c r="C60" s="45">
        <v>46844</v>
      </c>
      <c r="D60" s="46">
        <v>31</v>
      </c>
      <c r="E60" s="11">
        <f t="shared" si="66"/>
        <v>411.111111111112</v>
      </c>
      <c r="F60" s="9">
        <f t="shared" si="67"/>
        <v>3.14</v>
      </c>
      <c r="G60" s="10">
        <f t="shared" si="53"/>
        <v>11.111111111111111</v>
      </c>
      <c r="H60" s="9">
        <f t="shared" si="62"/>
        <v>3.14</v>
      </c>
      <c r="I60" s="11">
        <f t="shared" si="65"/>
        <v>400.00000000000091</v>
      </c>
      <c r="K60" s="9">
        <f t="shared" si="64"/>
        <v>42</v>
      </c>
      <c r="L60" s="9" t="s">
        <v>84</v>
      </c>
      <c r="M60" s="45">
        <v>46874</v>
      </c>
      <c r="N60" s="46">
        <v>31</v>
      </c>
      <c r="O60" s="11">
        <f t="shared" si="51"/>
        <v>513.888888888888</v>
      </c>
      <c r="P60" s="9">
        <f t="shared" si="68"/>
        <v>3.93</v>
      </c>
      <c r="Q60" s="10">
        <f t="shared" si="54"/>
        <v>13.888888888888889</v>
      </c>
      <c r="R60" s="9">
        <f t="shared" si="63"/>
        <v>3.93</v>
      </c>
      <c r="S60" s="11">
        <f t="shared" si="49"/>
        <v>499.99999999999903</v>
      </c>
      <c r="U60" s="9">
        <f t="shared" si="33"/>
        <v>42</v>
      </c>
      <c r="V60" s="9" t="s">
        <v>84</v>
      </c>
      <c r="W60" s="45">
        <v>46905</v>
      </c>
      <c r="X60" s="46">
        <v>30</v>
      </c>
      <c r="Y60" s="9">
        <f t="shared" si="41"/>
        <v>462.5</v>
      </c>
      <c r="Z60" s="9">
        <f t="shared" ref="Z60:Z70" si="69">ROUND(Y60*$AC$17*X60/365,2)</f>
        <v>3.42</v>
      </c>
      <c r="AA60" s="9">
        <f t="shared" si="55"/>
        <v>12.5</v>
      </c>
      <c r="AB60" s="9">
        <f t="shared" si="35"/>
        <v>3.42</v>
      </c>
      <c r="AC60" s="9">
        <f t="shared" si="36"/>
        <v>450</v>
      </c>
      <c r="AE60" s="9">
        <f t="shared" si="37"/>
        <v>42</v>
      </c>
      <c r="AF60" s="9" t="s">
        <v>84</v>
      </c>
      <c r="AG60" s="45">
        <v>46905</v>
      </c>
      <c r="AH60" s="46">
        <v>30</v>
      </c>
      <c r="AI60" s="9">
        <f t="shared" si="45"/>
        <v>462.5</v>
      </c>
      <c r="AJ60" s="9">
        <f t="shared" ref="AJ60:AJ96" si="70">ROUND(AI60*$AM$17*AH60/365,2)</f>
        <v>3.42</v>
      </c>
      <c r="AK60" s="9">
        <f t="shared" si="56"/>
        <v>12.5</v>
      </c>
      <c r="AL60" s="9">
        <f t="shared" si="43"/>
        <v>3.42</v>
      </c>
      <c r="AM60" s="9">
        <f t="shared" si="44"/>
        <v>450</v>
      </c>
      <c r="AP60" s="8">
        <f t="shared" si="38"/>
        <v>-0.79</v>
      </c>
    </row>
    <row r="61" spans="1:42" x14ac:dyDescent="0.35">
      <c r="A61" s="9">
        <f t="shared" si="39"/>
        <v>43</v>
      </c>
      <c r="B61" s="9" t="s">
        <v>84</v>
      </c>
      <c r="C61" s="45">
        <v>46874</v>
      </c>
      <c r="D61" s="46">
        <v>30</v>
      </c>
      <c r="E61" s="11">
        <f t="shared" si="66"/>
        <v>400.00000000000091</v>
      </c>
      <c r="F61" s="9">
        <f t="shared" si="67"/>
        <v>2.96</v>
      </c>
      <c r="G61" s="10">
        <f t="shared" si="53"/>
        <v>11.111111111111111</v>
      </c>
      <c r="H61" s="9">
        <f t="shared" si="62"/>
        <v>2.96</v>
      </c>
      <c r="I61" s="11">
        <f t="shared" si="65"/>
        <v>388.88888888888982</v>
      </c>
      <c r="K61" s="9">
        <f t="shared" si="64"/>
        <v>43</v>
      </c>
      <c r="L61" s="9" t="s">
        <v>84</v>
      </c>
      <c r="M61" s="45">
        <v>46905</v>
      </c>
      <c r="N61" s="46">
        <v>30</v>
      </c>
      <c r="O61" s="11">
        <f t="shared" si="51"/>
        <v>499.99999999999903</v>
      </c>
      <c r="P61" s="9">
        <f t="shared" si="68"/>
        <v>3.7</v>
      </c>
      <c r="Q61" s="10">
        <f t="shared" si="54"/>
        <v>13.888888888888889</v>
      </c>
      <c r="R61" s="9">
        <f t="shared" si="63"/>
        <v>3.7</v>
      </c>
      <c r="S61" s="11">
        <f t="shared" si="49"/>
        <v>486.11111111111012</v>
      </c>
      <c r="U61" s="9">
        <f t="shared" si="33"/>
        <v>43</v>
      </c>
      <c r="V61" s="9" t="s">
        <v>84</v>
      </c>
      <c r="W61" s="45">
        <v>46935</v>
      </c>
      <c r="X61" s="46">
        <v>31</v>
      </c>
      <c r="Y61" s="9">
        <f t="shared" si="41"/>
        <v>450</v>
      </c>
      <c r="Z61" s="9">
        <f t="shared" si="69"/>
        <v>3.44</v>
      </c>
      <c r="AA61" s="9">
        <f t="shared" si="55"/>
        <v>12.5</v>
      </c>
      <c r="AB61" s="9">
        <f t="shared" si="35"/>
        <v>3.44</v>
      </c>
      <c r="AC61" s="9">
        <f t="shared" si="36"/>
        <v>437.5</v>
      </c>
      <c r="AE61" s="9">
        <f t="shared" si="37"/>
        <v>43</v>
      </c>
      <c r="AF61" s="9" t="s">
        <v>84</v>
      </c>
      <c r="AG61" s="45">
        <v>46935</v>
      </c>
      <c r="AH61" s="46">
        <v>31</v>
      </c>
      <c r="AI61" s="9">
        <f t="shared" si="45"/>
        <v>450</v>
      </c>
      <c r="AJ61" s="9">
        <f t="shared" si="70"/>
        <v>3.44</v>
      </c>
      <c r="AK61" s="9">
        <f t="shared" si="56"/>
        <v>12.5</v>
      </c>
      <c r="AL61" s="9">
        <f t="shared" si="43"/>
        <v>3.44</v>
      </c>
      <c r="AM61" s="9">
        <f t="shared" si="44"/>
        <v>437.5</v>
      </c>
      <c r="AP61" s="8">
        <f t="shared" si="38"/>
        <v>-0.74000000000000021</v>
      </c>
    </row>
    <row r="62" spans="1:42" x14ac:dyDescent="0.35">
      <c r="A62" s="9">
        <f t="shared" si="39"/>
        <v>44</v>
      </c>
      <c r="B62" s="9" t="s">
        <v>84</v>
      </c>
      <c r="C62" s="45">
        <v>46905</v>
      </c>
      <c r="D62" s="46">
        <v>31</v>
      </c>
      <c r="E62" s="11">
        <f t="shared" si="66"/>
        <v>388.88888888888982</v>
      </c>
      <c r="F62" s="9">
        <f t="shared" si="67"/>
        <v>2.97</v>
      </c>
      <c r="G62" s="10">
        <f t="shared" si="53"/>
        <v>11.111111111111111</v>
      </c>
      <c r="H62" s="9">
        <f t="shared" si="62"/>
        <v>2.97</v>
      </c>
      <c r="I62" s="11">
        <f t="shared" si="65"/>
        <v>377.77777777777874</v>
      </c>
      <c r="K62" s="9">
        <f t="shared" si="64"/>
        <v>44</v>
      </c>
      <c r="L62" s="9" t="s">
        <v>84</v>
      </c>
      <c r="M62" s="45">
        <v>46935</v>
      </c>
      <c r="N62" s="46">
        <v>31</v>
      </c>
      <c r="O62" s="11">
        <f t="shared" si="51"/>
        <v>486.11111111111012</v>
      </c>
      <c r="P62" s="9">
        <f t="shared" si="68"/>
        <v>3.72</v>
      </c>
      <c r="Q62" s="10">
        <f t="shared" si="54"/>
        <v>13.888888888888889</v>
      </c>
      <c r="R62" s="9">
        <f t="shared" si="63"/>
        <v>3.72</v>
      </c>
      <c r="S62" s="11">
        <f t="shared" si="49"/>
        <v>472.22222222222121</v>
      </c>
      <c r="U62" s="9">
        <f t="shared" si="33"/>
        <v>44</v>
      </c>
      <c r="V62" s="9" t="s">
        <v>84</v>
      </c>
      <c r="W62" s="45">
        <v>46966</v>
      </c>
      <c r="X62" s="46">
        <v>31</v>
      </c>
      <c r="Y62" s="9">
        <f t="shared" si="41"/>
        <v>437.5</v>
      </c>
      <c r="Z62" s="9">
        <f t="shared" si="69"/>
        <v>3.34</v>
      </c>
      <c r="AA62" s="9">
        <f t="shared" si="55"/>
        <v>12.5</v>
      </c>
      <c r="AB62" s="9">
        <f t="shared" si="35"/>
        <v>3.34</v>
      </c>
      <c r="AC62" s="9">
        <f t="shared" si="36"/>
        <v>425</v>
      </c>
      <c r="AE62" s="9">
        <f t="shared" si="37"/>
        <v>44</v>
      </c>
      <c r="AF62" s="9" t="s">
        <v>84</v>
      </c>
      <c r="AG62" s="45">
        <v>46966</v>
      </c>
      <c r="AH62" s="46">
        <v>31</v>
      </c>
      <c r="AI62" s="9">
        <f t="shared" si="45"/>
        <v>437.5</v>
      </c>
      <c r="AJ62" s="9">
        <f t="shared" si="70"/>
        <v>3.34</v>
      </c>
      <c r="AK62" s="9">
        <f t="shared" si="56"/>
        <v>12.5</v>
      </c>
      <c r="AL62" s="9">
        <f t="shared" si="43"/>
        <v>3.34</v>
      </c>
      <c r="AM62" s="9">
        <f t="shared" si="44"/>
        <v>425</v>
      </c>
      <c r="AP62" s="8">
        <f t="shared" si="38"/>
        <v>-0.75</v>
      </c>
    </row>
    <row r="63" spans="1:42" x14ac:dyDescent="0.35">
      <c r="A63" s="9">
        <f t="shared" si="39"/>
        <v>45</v>
      </c>
      <c r="B63" s="9" t="s">
        <v>84</v>
      </c>
      <c r="C63" s="45">
        <v>46935</v>
      </c>
      <c r="D63" s="46">
        <v>31</v>
      </c>
      <c r="E63" s="11">
        <f t="shared" si="66"/>
        <v>377.77777777777874</v>
      </c>
      <c r="F63" s="9">
        <f t="shared" si="67"/>
        <v>2.89</v>
      </c>
      <c r="G63" s="10">
        <f t="shared" si="53"/>
        <v>11.111111111111111</v>
      </c>
      <c r="H63" s="9">
        <f t="shared" si="62"/>
        <v>2.89</v>
      </c>
      <c r="I63" s="11">
        <f t="shared" si="65"/>
        <v>366.66666666666765</v>
      </c>
      <c r="K63" s="9">
        <f t="shared" si="64"/>
        <v>45</v>
      </c>
      <c r="L63" s="9" t="s">
        <v>84</v>
      </c>
      <c r="M63" s="45">
        <v>46966</v>
      </c>
      <c r="N63" s="46">
        <v>31</v>
      </c>
      <c r="O63" s="11">
        <f t="shared" si="51"/>
        <v>472.22222222222121</v>
      </c>
      <c r="P63" s="9">
        <f t="shared" si="68"/>
        <v>3.61</v>
      </c>
      <c r="Q63" s="10">
        <f t="shared" si="54"/>
        <v>13.888888888888889</v>
      </c>
      <c r="R63" s="9">
        <f t="shared" si="63"/>
        <v>3.61</v>
      </c>
      <c r="S63" s="11">
        <f t="shared" si="49"/>
        <v>458.33333333333229</v>
      </c>
      <c r="U63" s="9">
        <f t="shared" si="33"/>
        <v>45</v>
      </c>
      <c r="V63" s="9" t="s">
        <v>84</v>
      </c>
      <c r="W63" s="45">
        <v>46997</v>
      </c>
      <c r="X63" s="46">
        <v>30</v>
      </c>
      <c r="Y63" s="9">
        <f t="shared" si="41"/>
        <v>425</v>
      </c>
      <c r="Z63" s="9">
        <f t="shared" si="69"/>
        <v>3.14</v>
      </c>
      <c r="AA63" s="9">
        <f t="shared" si="55"/>
        <v>12.5</v>
      </c>
      <c r="AB63" s="9">
        <f t="shared" si="35"/>
        <v>3.14</v>
      </c>
      <c r="AC63" s="9">
        <f t="shared" si="36"/>
        <v>412.5</v>
      </c>
      <c r="AE63" s="9">
        <f t="shared" si="37"/>
        <v>45</v>
      </c>
      <c r="AF63" s="9" t="s">
        <v>84</v>
      </c>
      <c r="AG63" s="45">
        <v>46997</v>
      </c>
      <c r="AH63" s="46">
        <v>30</v>
      </c>
      <c r="AI63" s="9">
        <f t="shared" si="45"/>
        <v>425</v>
      </c>
      <c r="AJ63" s="9">
        <f t="shared" si="70"/>
        <v>3.14</v>
      </c>
      <c r="AK63" s="9">
        <f t="shared" si="56"/>
        <v>12.5</v>
      </c>
      <c r="AL63" s="9">
        <f t="shared" si="43"/>
        <v>3.14</v>
      </c>
      <c r="AM63" s="9">
        <f t="shared" si="44"/>
        <v>412.5</v>
      </c>
      <c r="AP63" s="8">
        <f t="shared" si="38"/>
        <v>-0.71999999999999975</v>
      </c>
    </row>
    <row r="64" spans="1:42" x14ac:dyDescent="0.35">
      <c r="A64" s="9">
        <f t="shared" si="39"/>
        <v>46</v>
      </c>
      <c r="B64" s="9" t="s">
        <v>84</v>
      </c>
      <c r="C64" s="45">
        <v>46966</v>
      </c>
      <c r="D64" s="46">
        <v>30</v>
      </c>
      <c r="E64" s="11">
        <f t="shared" si="66"/>
        <v>366.66666666666765</v>
      </c>
      <c r="F64" s="9">
        <f t="shared" si="67"/>
        <v>2.71</v>
      </c>
      <c r="G64" s="10">
        <f t="shared" si="53"/>
        <v>11.111111111111111</v>
      </c>
      <c r="H64" s="9">
        <f t="shared" si="62"/>
        <v>2.71</v>
      </c>
      <c r="I64" s="11">
        <f t="shared" si="65"/>
        <v>355.55555555555657</v>
      </c>
      <c r="K64" s="9">
        <f t="shared" si="64"/>
        <v>46</v>
      </c>
      <c r="L64" s="9" t="s">
        <v>84</v>
      </c>
      <c r="M64" s="45">
        <v>46997</v>
      </c>
      <c r="N64" s="46">
        <v>30</v>
      </c>
      <c r="O64" s="11">
        <f t="shared" si="51"/>
        <v>458.33333333333229</v>
      </c>
      <c r="P64" s="9">
        <f t="shared" si="68"/>
        <v>3.39</v>
      </c>
      <c r="Q64" s="10">
        <f t="shared" si="54"/>
        <v>13.888888888888889</v>
      </c>
      <c r="R64" s="9">
        <f t="shared" si="63"/>
        <v>3.39</v>
      </c>
      <c r="S64" s="11">
        <f t="shared" si="49"/>
        <v>444.44444444444338</v>
      </c>
      <c r="U64" s="9">
        <f t="shared" si="33"/>
        <v>46</v>
      </c>
      <c r="V64" s="9" t="s">
        <v>84</v>
      </c>
      <c r="W64" s="45">
        <v>47027</v>
      </c>
      <c r="X64" s="46">
        <v>31</v>
      </c>
      <c r="Y64" s="9">
        <f t="shared" si="41"/>
        <v>412.5</v>
      </c>
      <c r="Z64" s="9">
        <f t="shared" si="69"/>
        <v>3.15</v>
      </c>
      <c r="AA64" s="9">
        <f t="shared" si="55"/>
        <v>12.5</v>
      </c>
      <c r="AB64" s="9">
        <f t="shared" si="35"/>
        <v>3.15</v>
      </c>
      <c r="AC64" s="9">
        <f t="shared" si="36"/>
        <v>400</v>
      </c>
      <c r="AE64" s="9">
        <f t="shared" si="37"/>
        <v>46</v>
      </c>
      <c r="AF64" s="9" t="s">
        <v>84</v>
      </c>
      <c r="AG64" s="45">
        <v>47027</v>
      </c>
      <c r="AH64" s="46">
        <v>31</v>
      </c>
      <c r="AI64" s="9">
        <f t="shared" si="45"/>
        <v>412.5</v>
      </c>
      <c r="AJ64" s="9">
        <f t="shared" si="70"/>
        <v>3.15</v>
      </c>
      <c r="AK64" s="9">
        <f t="shared" si="56"/>
        <v>12.5</v>
      </c>
      <c r="AL64" s="9">
        <f t="shared" si="43"/>
        <v>3.15</v>
      </c>
      <c r="AM64" s="9">
        <f t="shared" si="44"/>
        <v>400</v>
      </c>
      <c r="AP64" s="8">
        <f t="shared" si="38"/>
        <v>-0.68000000000000016</v>
      </c>
    </row>
    <row r="65" spans="1:42" x14ac:dyDescent="0.35">
      <c r="A65" s="9">
        <f t="shared" si="39"/>
        <v>47</v>
      </c>
      <c r="B65" s="9" t="s">
        <v>84</v>
      </c>
      <c r="C65" s="45">
        <v>46997</v>
      </c>
      <c r="D65" s="46">
        <v>31</v>
      </c>
      <c r="E65" s="11">
        <f t="shared" si="66"/>
        <v>355.55555555555657</v>
      </c>
      <c r="F65" s="9">
        <f t="shared" si="67"/>
        <v>2.72</v>
      </c>
      <c r="G65" s="10">
        <f t="shared" si="53"/>
        <v>11.111111111111111</v>
      </c>
      <c r="H65" s="9">
        <f t="shared" si="62"/>
        <v>2.72</v>
      </c>
      <c r="I65" s="11">
        <f t="shared" si="65"/>
        <v>344.44444444444548</v>
      </c>
      <c r="K65" s="9">
        <f t="shared" si="64"/>
        <v>47</v>
      </c>
      <c r="L65" s="9" t="s">
        <v>84</v>
      </c>
      <c r="M65" s="45">
        <v>47027</v>
      </c>
      <c r="N65" s="46">
        <v>31</v>
      </c>
      <c r="O65" s="11">
        <f t="shared" ref="O65:O95" si="71">S64</f>
        <v>444.44444444444338</v>
      </c>
      <c r="P65" s="9">
        <f t="shared" si="68"/>
        <v>3.4</v>
      </c>
      <c r="Q65" s="10">
        <f t="shared" si="54"/>
        <v>13.888888888888889</v>
      </c>
      <c r="R65" s="9">
        <f t="shared" si="63"/>
        <v>3.4</v>
      </c>
      <c r="S65" s="11">
        <f t="shared" ref="S65:S96" si="72">O65+P65-Q65-R65</f>
        <v>430.55555555555446</v>
      </c>
      <c r="U65" s="9">
        <f t="shared" si="33"/>
        <v>47</v>
      </c>
      <c r="V65" s="9" t="s">
        <v>84</v>
      </c>
      <c r="W65" s="45">
        <v>47058</v>
      </c>
      <c r="X65" s="46">
        <v>30</v>
      </c>
      <c r="Y65" s="9">
        <f t="shared" si="41"/>
        <v>400</v>
      </c>
      <c r="Z65" s="9">
        <f t="shared" si="69"/>
        <v>2.96</v>
      </c>
      <c r="AA65" s="9">
        <f t="shared" si="55"/>
        <v>12.5</v>
      </c>
      <c r="AB65" s="9">
        <f t="shared" si="35"/>
        <v>2.96</v>
      </c>
      <c r="AC65" s="9">
        <f t="shared" si="36"/>
        <v>387.5</v>
      </c>
      <c r="AE65" s="9">
        <f t="shared" si="37"/>
        <v>47</v>
      </c>
      <c r="AF65" s="9" t="s">
        <v>84</v>
      </c>
      <c r="AG65" s="45">
        <v>47058</v>
      </c>
      <c r="AH65" s="46">
        <v>30</v>
      </c>
      <c r="AI65" s="9">
        <f t="shared" si="45"/>
        <v>400</v>
      </c>
      <c r="AJ65" s="9">
        <f t="shared" si="70"/>
        <v>2.96</v>
      </c>
      <c r="AK65" s="9">
        <f t="shared" si="56"/>
        <v>12.5</v>
      </c>
      <c r="AL65" s="9">
        <f t="shared" si="43"/>
        <v>2.96</v>
      </c>
      <c r="AM65" s="9">
        <f t="shared" si="44"/>
        <v>387.5</v>
      </c>
      <c r="AP65" s="8">
        <f t="shared" si="38"/>
        <v>-0.67999999999999972</v>
      </c>
    </row>
    <row r="66" spans="1:42" x14ac:dyDescent="0.35">
      <c r="A66" s="9">
        <f t="shared" si="39"/>
        <v>48</v>
      </c>
      <c r="B66" s="9" t="s">
        <v>84</v>
      </c>
      <c r="C66" s="45">
        <v>47027</v>
      </c>
      <c r="D66" s="46">
        <v>30</v>
      </c>
      <c r="E66" s="11">
        <f t="shared" si="66"/>
        <v>344.44444444444548</v>
      </c>
      <c r="F66" s="9">
        <f t="shared" si="67"/>
        <v>2.5499999999999998</v>
      </c>
      <c r="G66" s="10">
        <f t="shared" si="53"/>
        <v>11.111111111111111</v>
      </c>
      <c r="H66" s="9">
        <f t="shared" si="62"/>
        <v>2.5499999999999998</v>
      </c>
      <c r="I66" s="11">
        <f t="shared" si="65"/>
        <v>333.33333333333439</v>
      </c>
      <c r="K66" s="9">
        <f t="shared" si="64"/>
        <v>48</v>
      </c>
      <c r="L66" s="9" t="s">
        <v>84</v>
      </c>
      <c r="M66" s="45">
        <v>47058</v>
      </c>
      <c r="N66" s="46">
        <v>30</v>
      </c>
      <c r="O66" s="11">
        <f t="shared" si="71"/>
        <v>430.55555555555446</v>
      </c>
      <c r="P66" s="9">
        <f t="shared" si="68"/>
        <v>3.18</v>
      </c>
      <c r="Q66" s="10">
        <f t="shared" si="54"/>
        <v>13.888888888888889</v>
      </c>
      <c r="R66" s="9">
        <f t="shared" si="63"/>
        <v>3.18</v>
      </c>
      <c r="S66" s="11">
        <f t="shared" si="72"/>
        <v>416.66666666666555</v>
      </c>
      <c r="U66" s="9">
        <f t="shared" si="33"/>
        <v>48</v>
      </c>
      <c r="V66" s="9" t="s">
        <v>84</v>
      </c>
      <c r="W66" s="45">
        <v>47088</v>
      </c>
      <c r="X66" s="46">
        <v>31</v>
      </c>
      <c r="Y66" s="9">
        <f t="shared" si="41"/>
        <v>387.5</v>
      </c>
      <c r="Z66" s="9">
        <f t="shared" si="69"/>
        <v>2.96</v>
      </c>
      <c r="AA66" s="9">
        <f t="shared" si="55"/>
        <v>12.5</v>
      </c>
      <c r="AB66" s="9">
        <f t="shared" si="35"/>
        <v>2.96</v>
      </c>
      <c r="AC66" s="9">
        <f t="shared" si="36"/>
        <v>375</v>
      </c>
      <c r="AE66" s="9">
        <f t="shared" si="37"/>
        <v>48</v>
      </c>
      <c r="AF66" s="9" t="s">
        <v>84</v>
      </c>
      <c r="AG66" s="45">
        <v>47088</v>
      </c>
      <c r="AH66" s="46">
        <v>31</v>
      </c>
      <c r="AI66" s="9">
        <f t="shared" si="45"/>
        <v>387.5</v>
      </c>
      <c r="AJ66" s="9">
        <f t="shared" si="70"/>
        <v>2.96</v>
      </c>
      <c r="AK66" s="9">
        <f t="shared" si="56"/>
        <v>12.5</v>
      </c>
      <c r="AL66" s="9">
        <f t="shared" si="43"/>
        <v>2.96</v>
      </c>
      <c r="AM66" s="9">
        <f t="shared" si="44"/>
        <v>375</v>
      </c>
      <c r="AP66" s="8">
        <f t="shared" si="38"/>
        <v>-0.63000000000000034</v>
      </c>
    </row>
    <row r="67" spans="1:42" x14ac:dyDescent="0.35">
      <c r="A67" s="9">
        <f t="shared" si="39"/>
        <v>49</v>
      </c>
      <c r="B67" s="9" t="s">
        <v>84</v>
      </c>
      <c r="C67" s="45">
        <v>47058</v>
      </c>
      <c r="D67" s="46">
        <v>31</v>
      </c>
      <c r="E67" s="11">
        <f t="shared" si="66"/>
        <v>333.33333333333439</v>
      </c>
      <c r="F67" s="9">
        <f t="shared" si="67"/>
        <v>2.5499999999999998</v>
      </c>
      <c r="G67" s="10">
        <f t="shared" si="53"/>
        <v>11.111111111111111</v>
      </c>
      <c r="H67" s="9">
        <f t="shared" si="62"/>
        <v>2.5499999999999998</v>
      </c>
      <c r="I67" s="11">
        <f t="shared" si="65"/>
        <v>322.22222222222331</v>
      </c>
      <c r="K67" s="9">
        <f t="shared" si="64"/>
        <v>49</v>
      </c>
      <c r="L67" s="9" t="s">
        <v>84</v>
      </c>
      <c r="M67" s="45">
        <v>47088</v>
      </c>
      <c r="N67" s="46">
        <v>31</v>
      </c>
      <c r="O67" s="11">
        <f t="shared" si="71"/>
        <v>416.66666666666555</v>
      </c>
      <c r="P67" s="9">
        <f t="shared" si="68"/>
        <v>3.18</v>
      </c>
      <c r="Q67" s="10">
        <f t="shared" si="54"/>
        <v>13.888888888888889</v>
      </c>
      <c r="R67" s="9">
        <f t="shared" si="63"/>
        <v>3.18</v>
      </c>
      <c r="S67" s="11">
        <f t="shared" si="72"/>
        <v>402.77777777777663</v>
      </c>
      <c r="U67" s="9">
        <f t="shared" si="33"/>
        <v>49</v>
      </c>
      <c r="V67" s="9" t="s">
        <v>84</v>
      </c>
      <c r="W67" s="45">
        <v>47119</v>
      </c>
      <c r="X67" s="46">
        <v>31</v>
      </c>
      <c r="Y67" s="9">
        <f t="shared" si="41"/>
        <v>375</v>
      </c>
      <c r="Z67" s="9">
        <f t="shared" si="69"/>
        <v>2.87</v>
      </c>
      <c r="AA67" s="9">
        <f t="shared" si="55"/>
        <v>12.5</v>
      </c>
      <c r="AB67" s="9">
        <f t="shared" si="35"/>
        <v>2.87</v>
      </c>
      <c r="AC67" s="9">
        <f t="shared" si="36"/>
        <v>362.5</v>
      </c>
      <c r="AE67" s="9">
        <f t="shared" si="37"/>
        <v>49</v>
      </c>
      <c r="AF67" s="9" t="s">
        <v>84</v>
      </c>
      <c r="AG67" s="45">
        <v>47119</v>
      </c>
      <c r="AH67" s="46">
        <v>31</v>
      </c>
      <c r="AI67" s="9">
        <f t="shared" si="45"/>
        <v>375</v>
      </c>
      <c r="AJ67" s="9">
        <f t="shared" si="70"/>
        <v>2.87</v>
      </c>
      <c r="AK67" s="9">
        <f t="shared" si="56"/>
        <v>12.5</v>
      </c>
      <c r="AL67" s="9">
        <f t="shared" si="43"/>
        <v>2.87</v>
      </c>
      <c r="AM67" s="9">
        <f t="shared" si="44"/>
        <v>362.5</v>
      </c>
      <c r="AP67" s="8">
        <f t="shared" si="38"/>
        <v>-0.63000000000000034</v>
      </c>
    </row>
    <row r="68" spans="1:42" x14ac:dyDescent="0.35">
      <c r="A68" s="9">
        <f t="shared" si="39"/>
        <v>50</v>
      </c>
      <c r="B68" s="9" t="s">
        <v>84</v>
      </c>
      <c r="C68" s="45">
        <v>47088</v>
      </c>
      <c r="D68" s="46">
        <v>31</v>
      </c>
      <c r="E68" s="11">
        <f t="shared" si="66"/>
        <v>322.22222222222331</v>
      </c>
      <c r="F68" s="9">
        <f t="shared" si="67"/>
        <v>2.46</v>
      </c>
      <c r="G68" s="10">
        <f t="shared" si="53"/>
        <v>11.111111111111111</v>
      </c>
      <c r="H68" s="9">
        <f t="shared" si="62"/>
        <v>2.46</v>
      </c>
      <c r="I68" s="11">
        <f t="shared" si="65"/>
        <v>311.11111111111222</v>
      </c>
      <c r="K68" s="9">
        <f t="shared" si="64"/>
        <v>50</v>
      </c>
      <c r="L68" s="9" t="s">
        <v>84</v>
      </c>
      <c r="M68" s="45">
        <v>47119</v>
      </c>
      <c r="N68" s="46">
        <v>31</v>
      </c>
      <c r="O68" s="11">
        <f t="shared" si="71"/>
        <v>402.77777777777663</v>
      </c>
      <c r="P68" s="9">
        <f t="shared" si="68"/>
        <v>3.08</v>
      </c>
      <c r="Q68" s="10">
        <f t="shared" si="54"/>
        <v>13.888888888888889</v>
      </c>
      <c r="R68" s="9">
        <f t="shared" si="63"/>
        <v>3.08</v>
      </c>
      <c r="S68" s="11">
        <f t="shared" si="72"/>
        <v>388.88888888888772</v>
      </c>
      <c r="U68" s="9">
        <f t="shared" si="33"/>
        <v>50</v>
      </c>
      <c r="V68" s="9" t="s">
        <v>84</v>
      </c>
      <c r="W68" s="45">
        <v>47150</v>
      </c>
      <c r="X68" s="46">
        <v>28</v>
      </c>
      <c r="Y68" s="9">
        <f t="shared" si="41"/>
        <v>362.5</v>
      </c>
      <c r="Z68" s="9">
        <f t="shared" si="69"/>
        <v>2.5</v>
      </c>
      <c r="AA68" s="9">
        <f t="shared" si="55"/>
        <v>12.5</v>
      </c>
      <c r="AB68" s="9">
        <f t="shared" si="35"/>
        <v>2.5</v>
      </c>
      <c r="AC68" s="9">
        <f t="shared" si="36"/>
        <v>350</v>
      </c>
      <c r="AE68" s="9">
        <f t="shared" si="37"/>
        <v>50</v>
      </c>
      <c r="AF68" s="9" t="s">
        <v>84</v>
      </c>
      <c r="AG68" s="45">
        <v>47150</v>
      </c>
      <c r="AH68" s="46">
        <v>28</v>
      </c>
      <c r="AI68" s="9">
        <f t="shared" si="45"/>
        <v>362.5</v>
      </c>
      <c r="AJ68" s="9">
        <f t="shared" si="70"/>
        <v>2.5</v>
      </c>
      <c r="AK68" s="9">
        <f t="shared" si="56"/>
        <v>12.5</v>
      </c>
      <c r="AL68" s="9">
        <f t="shared" si="43"/>
        <v>2.5</v>
      </c>
      <c r="AM68" s="9">
        <f t="shared" si="44"/>
        <v>350</v>
      </c>
      <c r="AP68" s="8">
        <f t="shared" si="38"/>
        <v>-0.62000000000000011</v>
      </c>
    </row>
    <row r="69" spans="1:42" x14ac:dyDescent="0.35">
      <c r="A69" s="9">
        <f t="shared" si="39"/>
        <v>51</v>
      </c>
      <c r="B69" s="9" t="s">
        <v>84</v>
      </c>
      <c r="C69" s="45">
        <v>47119</v>
      </c>
      <c r="D69" s="46">
        <v>28</v>
      </c>
      <c r="E69" s="11">
        <f t="shared" si="66"/>
        <v>311.11111111111222</v>
      </c>
      <c r="F69" s="9">
        <f t="shared" si="67"/>
        <v>2.15</v>
      </c>
      <c r="G69" s="10">
        <f t="shared" si="53"/>
        <v>11.111111111111111</v>
      </c>
      <c r="H69" s="9">
        <f t="shared" si="62"/>
        <v>2.15</v>
      </c>
      <c r="I69" s="11">
        <f t="shared" si="65"/>
        <v>300.00000000000114</v>
      </c>
      <c r="K69" s="9">
        <f t="shared" si="64"/>
        <v>51</v>
      </c>
      <c r="L69" s="9" t="s">
        <v>84</v>
      </c>
      <c r="M69" s="45">
        <v>47150</v>
      </c>
      <c r="N69" s="46">
        <v>28</v>
      </c>
      <c r="O69" s="11">
        <f t="shared" si="71"/>
        <v>388.88888888888772</v>
      </c>
      <c r="P69" s="9">
        <f t="shared" si="68"/>
        <v>2.68</v>
      </c>
      <c r="Q69" s="10">
        <f t="shared" si="54"/>
        <v>13.888888888888889</v>
      </c>
      <c r="R69" s="9">
        <f t="shared" si="63"/>
        <v>2.68</v>
      </c>
      <c r="S69" s="11">
        <f t="shared" si="72"/>
        <v>374.99999999999881</v>
      </c>
      <c r="U69" s="9">
        <f t="shared" si="33"/>
        <v>51</v>
      </c>
      <c r="V69" s="9" t="s">
        <v>84</v>
      </c>
      <c r="W69" s="45">
        <v>47178</v>
      </c>
      <c r="X69" s="46">
        <v>31</v>
      </c>
      <c r="Y69" s="9">
        <f t="shared" si="41"/>
        <v>350</v>
      </c>
      <c r="Z69" s="9">
        <f t="shared" si="69"/>
        <v>2.68</v>
      </c>
      <c r="AA69" s="9">
        <f t="shared" si="55"/>
        <v>12.5</v>
      </c>
      <c r="AB69" s="9">
        <f t="shared" si="35"/>
        <v>2.68</v>
      </c>
      <c r="AC69" s="9">
        <f t="shared" si="36"/>
        <v>337.5</v>
      </c>
      <c r="AE69" s="9">
        <f t="shared" si="37"/>
        <v>51</v>
      </c>
      <c r="AF69" s="9" t="s">
        <v>84</v>
      </c>
      <c r="AG69" s="45">
        <v>47178</v>
      </c>
      <c r="AH69" s="46">
        <v>31</v>
      </c>
      <c r="AI69" s="9">
        <f t="shared" si="45"/>
        <v>350</v>
      </c>
      <c r="AJ69" s="9">
        <f t="shared" si="70"/>
        <v>2.68</v>
      </c>
      <c r="AK69" s="9">
        <f t="shared" si="56"/>
        <v>12.5</v>
      </c>
      <c r="AL69" s="9">
        <f t="shared" si="43"/>
        <v>2.68</v>
      </c>
      <c r="AM69" s="9">
        <f t="shared" si="44"/>
        <v>337.5</v>
      </c>
      <c r="AP69" s="8">
        <f t="shared" si="38"/>
        <v>-0.53000000000000025</v>
      </c>
    </row>
    <row r="70" spans="1:42" x14ac:dyDescent="0.35">
      <c r="A70" s="9">
        <f t="shared" si="39"/>
        <v>52</v>
      </c>
      <c r="B70" s="9" t="s">
        <v>84</v>
      </c>
      <c r="C70" s="45">
        <v>47150</v>
      </c>
      <c r="D70" s="46">
        <v>31</v>
      </c>
      <c r="E70" s="11">
        <f t="shared" si="66"/>
        <v>300.00000000000114</v>
      </c>
      <c r="F70" s="9">
        <f t="shared" si="67"/>
        <v>2.29</v>
      </c>
      <c r="G70" s="10">
        <f t="shared" si="53"/>
        <v>11.111111111111111</v>
      </c>
      <c r="H70" s="9">
        <f t="shared" si="62"/>
        <v>2.29</v>
      </c>
      <c r="I70" s="11">
        <f t="shared" si="65"/>
        <v>288.88888888889005</v>
      </c>
      <c r="K70" s="9">
        <f t="shared" si="64"/>
        <v>52</v>
      </c>
      <c r="L70" s="9" t="s">
        <v>84</v>
      </c>
      <c r="M70" s="45">
        <v>47178</v>
      </c>
      <c r="N70" s="46">
        <v>31</v>
      </c>
      <c r="O70" s="11">
        <f t="shared" si="71"/>
        <v>374.99999999999881</v>
      </c>
      <c r="P70" s="9">
        <f t="shared" si="68"/>
        <v>2.87</v>
      </c>
      <c r="Q70" s="10">
        <f t="shared" si="54"/>
        <v>13.888888888888889</v>
      </c>
      <c r="R70" s="9">
        <f t="shared" si="63"/>
        <v>2.87</v>
      </c>
      <c r="S70" s="11">
        <f t="shared" si="72"/>
        <v>361.11111111110989</v>
      </c>
      <c r="U70" s="9">
        <f t="shared" si="33"/>
        <v>52</v>
      </c>
      <c r="V70" s="9" t="s">
        <v>85</v>
      </c>
      <c r="W70" s="45">
        <v>47209</v>
      </c>
      <c r="X70" s="46">
        <v>30</v>
      </c>
      <c r="Y70" s="9">
        <f t="shared" si="41"/>
        <v>337.5</v>
      </c>
      <c r="Z70" s="9">
        <f t="shared" si="69"/>
        <v>2.5</v>
      </c>
      <c r="AA70" s="9">
        <f t="shared" si="55"/>
        <v>12.5</v>
      </c>
      <c r="AB70" s="9">
        <f t="shared" si="35"/>
        <v>2.5</v>
      </c>
      <c r="AC70" s="9">
        <f t="shared" si="36"/>
        <v>325</v>
      </c>
      <c r="AE70" s="9">
        <f t="shared" si="37"/>
        <v>52</v>
      </c>
      <c r="AF70" s="9" t="s">
        <v>85</v>
      </c>
      <c r="AG70" s="45">
        <v>47209</v>
      </c>
      <c r="AH70" s="46">
        <v>30</v>
      </c>
      <c r="AI70" s="9">
        <f t="shared" si="45"/>
        <v>337.5</v>
      </c>
      <c r="AJ70" s="9">
        <f t="shared" si="70"/>
        <v>2.5</v>
      </c>
      <c r="AK70" s="9">
        <f t="shared" si="56"/>
        <v>12.5</v>
      </c>
      <c r="AL70" s="9">
        <f t="shared" si="43"/>
        <v>2.5</v>
      </c>
      <c r="AM70" s="9">
        <f t="shared" si="44"/>
        <v>325</v>
      </c>
      <c r="AP70" s="8">
        <f t="shared" si="38"/>
        <v>-0.58000000000000007</v>
      </c>
    </row>
    <row r="71" spans="1:42" x14ac:dyDescent="0.35">
      <c r="A71" s="9">
        <f t="shared" si="39"/>
        <v>53</v>
      </c>
      <c r="B71" s="9" t="s">
        <v>84</v>
      </c>
      <c r="C71" s="45">
        <v>47178</v>
      </c>
      <c r="D71" s="46">
        <v>30</v>
      </c>
      <c r="E71" s="11">
        <f t="shared" si="66"/>
        <v>288.88888888889005</v>
      </c>
      <c r="F71" s="9">
        <f t="shared" si="67"/>
        <v>2.14</v>
      </c>
      <c r="G71" s="10">
        <f t="shared" si="53"/>
        <v>11.111111111111111</v>
      </c>
      <c r="H71" s="9">
        <f t="shared" si="62"/>
        <v>2.14</v>
      </c>
      <c r="I71" s="11">
        <f t="shared" si="65"/>
        <v>277.77777777777897</v>
      </c>
      <c r="K71" s="9">
        <f t="shared" si="64"/>
        <v>53</v>
      </c>
      <c r="L71" s="9" t="s">
        <v>85</v>
      </c>
      <c r="M71" s="45">
        <v>47209</v>
      </c>
      <c r="N71" s="46">
        <v>30</v>
      </c>
      <c r="O71" s="11">
        <f t="shared" si="71"/>
        <v>361.11111111110989</v>
      </c>
      <c r="P71" s="9">
        <f t="shared" si="68"/>
        <v>2.67</v>
      </c>
      <c r="Q71" s="10">
        <f t="shared" si="54"/>
        <v>13.888888888888889</v>
      </c>
      <c r="R71" s="9">
        <f t="shared" si="63"/>
        <v>2.67</v>
      </c>
      <c r="S71" s="11">
        <f t="shared" si="72"/>
        <v>347.22222222222098</v>
      </c>
      <c r="U71" s="9">
        <f t="shared" si="33"/>
        <v>53</v>
      </c>
      <c r="V71" s="9" t="s">
        <v>85</v>
      </c>
      <c r="W71" s="45">
        <v>47239</v>
      </c>
      <c r="X71" s="46">
        <v>31</v>
      </c>
      <c r="Y71" s="9">
        <f t="shared" si="41"/>
        <v>325</v>
      </c>
      <c r="Z71" s="9">
        <f>ROUND(Y71*$AC$17*X71/365,2)</f>
        <v>2.48</v>
      </c>
      <c r="AA71" s="9">
        <f t="shared" si="55"/>
        <v>12.5</v>
      </c>
      <c r="AB71" s="9">
        <f t="shared" si="35"/>
        <v>2.48</v>
      </c>
      <c r="AC71" s="9">
        <f t="shared" si="36"/>
        <v>312.5</v>
      </c>
      <c r="AE71" s="9">
        <f t="shared" si="37"/>
        <v>53</v>
      </c>
      <c r="AF71" s="9" t="s">
        <v>85</v>
      </c>
      <c r="AG71" s="45">
        <v>47239</v>
      </c>
      <c r="AH71" s="46">
        <v>31</v>
      </c>
      <c r="AI71" s="9">
        <f t="shared" si="45"/>
        <v>325</v>
      </c>
      <c r="AJ71" s="9">
        <f t="shared" si="70"/>
        <v>2.48</v>
      </c>
      <c r="AK71" s="9">
        <f t="shared" si="56"/>
        <v>12.5</v>
      </c>
      <c r="AL71" s="9">
        <f t="shared" si="43"/>
        <v>2.48</v>
      </c>
      <c r="AM71" s="9">
        <f t="shared" si="44"/>
        <v>312.5</v>
      </c>
      <c r="AP71" s="8">
        <f t="shared" si="38"/>
        <v>-0.5299999999999998</v>
      </c>
    </row>
    <row r="72" spans="1:42" x14ac:dyDescent="0.35">
      <c r="A72" s="9">
        <f t="shared" si="39"/>
        <v>54</v>
      </c>
      <c r="B72" s="9" t="s">
        <v>85</v>
      </c>
      <c r="C72" s="45">
        <v>47209</v>
      </c>
      <c r="D72" s="46">
        <v>31</v>
      </c>
      <c r="E72" s="11">
        <f t="shared" si="66"/>
        <v>277.77777777777897</v>
      </c>
      <c r="F72" s="9">
        <f t="shared" si="67"/>
        <v>2.12</v>
      </c>
      <c r="G72" s="10">
        <f t="shared" si="53"/>
        <v>11.111111111111111</v>
      </c>
      <c r="H72" s="9">
        <f t="shared" si="62"/>
        <v>2.12</v>
      </c>
      <c r="I72" s="11">
        <f t="shared" si="65"/>
        <v>266.66666666666788</v>
      </c>
      <c r="K72" s="9">
        <f t="shared" si="64"/>
        <v>54</v>
      </c>
      <c r="L72" s="9" t="s">
        <v>85</v>
      </c>
      <c r="M72" s="45">
        <v>47239</v>
      </c>
      <c r="N72" s="46">
        <v>31</v>
      </c>
      <c r="O72" s="11">
        <f t="shared" si="71"/>
        <v>347.22222222222098</v>
      </c>
      <c r="P72" s="9">
        <f t="shared" si="68"/>
        <v>2.65</v>
      </c>
      <c r="Q72" s="10">
        <f t="shared" si="54"/>
        <v>13.888888888888889</v>
      </c>
      <c r="R72" s="9">
        <f t="shared" si="63"/>
        <v>2.65</v>
      </c>
      <c r="S72" s="11">
        <f t="shared" si="72"/>
        <v>333.33333333333206</v>
      </c>
      <c r="U72" s="9">
        <f t="shared" si="33"/>
        <v>54</v>
      </c>
      <c r="V72" s="9" t="s">
        <v>85</v>
      </c>
      <c r="W72" s="45">
        <v>47270</v>
      </c>
      <c r="X72" s="46">
        <v>30</v>
      </c>
      <c r="Y72" s="9">
        <f t="shared" si="41"/>
        <v>312.5</v>
      </c>
      <c r="Z72" s="9">
        <f t="shared" ref="Z72:Z82" si="73">ROUND(Y72*$AC$17*X72/365,2)</f>
        <v>2.31</v>
      </c>
      <c r="AA72" s="9">
        <f t="shared" si="55"/>
        <v>12.5</v>
      </c>
      <c r="AB72" s="9">
        <f t="shared" si="35"/>
        <v>2.31</v>
      </c>
      <c r="AC72" s="9">
        <f t="shared" si="36"/>
        <v>300</v>
      </c>
      <c r="AE72" s="9">
        <f t="shared" si="37"/>
        <v>54</v>
      </c>
      <c r="AF72" s="9" t="s">
        <v>85</v>
      </c>
      <c r="AG72" s="45">
        <v>47270</v>
      </c>
      <c r="AH72" s="46">
        <v>30</v>
      </c>
      <c r="AI72" s="9">
        <f t="shared" si="45"/>
        <v>312.5</v>
      </c>
      <c r="AJ72" s="9">
        <f t="shared" si="70"/>
        <v>2.31</v>
      </c>
      <c r="AK72" s="9">
        <f t="shared" si="56"/>
        <v>12.5</v>
      </c>
      <c r="AL72" s="9">
        <f t="shared" si="43"/>
        <v>2.31</v>
      </c>
      <c r="AM72" s="9">
        <f t="shared" si="44"/>
        <v>300</v>
      </c>
      <c r="AP72" s="8">
        <f t="shared" si="38"/>
        <v>-0.5299999999999998</v>
      </c>
    </row>
    <row r="73" spans="1:42" x14ac:dyDescent="0.35">
      <c r="A73" s="9">
        <f t="shared" si="39"/>
        <v>55</v>
      </c>
      <c r="B73" s="9" t="s">
        <v>85</v>
      </c>
      <c r="C73" s="45">
        <v>47239</v>
      </c>
      <c r="D73" s="46">
        <v>30</v>
      </c>
      <c r="E73" s="11">
        <f t="shared" si="66"/>
        <v>266.66666666666788</v>
      </c>
      <c r="F73" s="9">
        <f t="shared" si="67"/>
        <v>1.97</v>
      </c>
      <c r="G73" s="10">
        <f t="shared" si="53"/>
        <v>11.111111111111111</v>
      </c>
      <c r="H73" s="9">
        <f t="shared" si="62"/>
        <v>1.97</v>
      </c>
      <c r="I73" s="11">
        <f t="shared" si="65"/>
        <v>255.55555555555682</v>
      </c>
      <c r="K73" s="9">
        <f t="shared" si="64"/>
        <v>55</v>
      </c>
      <c r="L73" s="9" t="s">
        <v>85</v>
      </c>
      <c r="M73" s="45">
        <v>47270</v>
      </c>
      <c r="N73" s="46">
        <v>30</v>
      </c>
      <c r="O73" s="11">
        <f t="shared" si="71"/>
        <v>333.33333333333206</v>
      </c>
      <c r="P73" s="9">
        <f t="shared" si="68"/>
        <v>2.4700000000000002</v>
      </c>
      <c r="Q73" s="10">
        <f t="shared" si="54"/>
        <v>13.888888888888889</v>
      </c>
      <c r="R73" s="9">
        <f t="shared" si="63"/>
        <v>2.4700000000000002</v>
      </c>
      <c r="S73" s="11">
        <f t="shared" si="72"/>
        <v>319.44444444444315</v>
      </c>
      <c r="U73" s="9">
        <f t="shared" si="33"/>
        <v>55</v>
      </c>
      <c r="V73" s="9" t="s">
        <v>85</v>
      </c>
      <c r="W73" s="45">
        <v>47300</v>
      </c>
      <c r="X73" s="46">
        <v>31</v>
      </c>
      <c r="Y73" s="9">
        <f t="shared" si="41"/>
        <v>300</v>
      </c>
      <c r="Z73" s="9">
        <f t="shared" si="73"/>
        <v>2.29</v>
      </c>
      <c r="AA73" s="9">
        <f t="shared" si="55"/>
        <v>12.5</v>
      </c>
      <c r="AB73" s="9">
        <f t="shared" si="35"/>
        <v>2.29</v>
      </c>
      <c r="AC73" s="9">
        <f t="shared" si="36"/>
        <v>287.5</v>
      </c>
      <c r="AE73" s="9">
        <f t="shared" si="37"/>
        <v>55</v>
      </c>
      <c r="AF73" s="9" t="s">
        <v>85</v>
      </c>
      <c r="AG73" s="45">
        <v>47300</v>
      </c>
      <c r="AH73" s="46">
        <v>31</v>
      </c>
      <c r="AI73" s="9">
        <f t="shared" si="45"/>
        <v>300</v>
      </c>
      <c r="AJ73" s="9">
        <f t="shared" si="70"/>
        <v>2.29</v>
      </c>
      <c r="AK73" s="9">
        <f t="shared" si="56"/>
        <v>12.5</v>
      </c>
      <c r="AL73" s="9">
        <f t="shared" si="43"/>
        <v>2.29</v>
      </c>
      <c r="AM73" s="9">
        <f t="shared" si="44"/>
        <v>287.5</v>
      </c>
      <c r="AP73" s="8">
        <f t="shared" si="38"/>
        <v>-0.50000000000000022</v>
      </c>
    </row>
    <row r="74" spans="1:42" x14ac:dyDescent="0.35">
      <c r="A74" s="9">
        <f t="shared" si="39"/>
        <v>56</v>
      </c>
      <c r="B74" s="9" t="s">
        <v>85</v>
      </c>
      <c r="C74" s="45">
        <v>47270</v>
      </c>
      <c r="D74" s="46">
        <v>31</v>
      </c>
      <c r="E74" s="11">
        <f t="shared" si="66"/>
        <v>255.55555555555682</v>
      </c>
      <c r="F74" s="9">
        <f t="shared" si="67"/>
        <v>1.95</v>
      </c>
      <c r="G74" s="10">
        <f t="shared" si="53"/>
        <v>11.111111111111111</v>
      </c>
      <c r="H74" s="9">
        <f t="shared" si="62"/>
        <v>1.95</v>
      </c>
      <c r="I74" s="11">
        <f t="shared" si="65"/>
        <v>244.44444444444574</v>
      </c>
      <c r="K74" s="9">
        <f t="shared" si="64"/>
        <v>56</v>
      </c>
      <c r="L74" s="9" t="s">
        <v>85</v>
      </c>
      <c r="M74" s="45">
        <v>47300</v>
      </c>
      <c r="N74" s="46">
        <v>31</v>
      </c>
      <c r="O74" s="11">
        <f t="shared" si="71"/>
        <v>319.44444444444315</v>
      </c>
      <c r="P74" s="9">
        <f t="shared" si="68"/>
        <v>2.44</v>
      </c>
      <c r="Q74" s="10">
        <f t="shared" si="54"/>
        <v>13.888888888888889</v>
      </c>
      <c r="R74" s="9">
        <f t="shared" si="63"/>
        <v>2.44</v>
      </c>
      <c r="S74" s="11">
        <f t="shared" si="72"/>
        <v>305.55555555555424</v>
      </c>
      <c r="U74" s="9">
        <f t="shared" si="33"/>
        <v>56</v>
      </c>
      <c r="V74" s="9" t="s">
        <v>85</v>
      </c>
      <c r="W74" s="45">
        <v>47331</v>
      </c>
      <c r="X74" s="46">
        <v>31</v>
      </c>
      <c r="Y74" s="9">
        <f t="shared" si="41"/>
        <v>287.5</v>
      </c>
      <c r="Z74" s="9">
        <f t="shared" si="73"/>
        <v>2.2000000000000002</v>
      </c>
      <c r="AA74" s="9">
        <f t="shared" si="55"/>
        <v>12.5</v>
      </c>
      <c r="AB74" s="9">
        <f t="shared" si="35"/>
        <v>2.2000000000000002</v>
      </c>
      <c r="AC74" s="9">
        <f t="shared" si="36"/>
        <v>275</v>
      </c>
      <c r="AE74" s="9">
        <f t="shared" si="37"/>
        <v>56</v>
      </c>
      <c r="AF74" s="9" t="s">
        <v>85</v>
      </c>
      <c r="AG74" s="45">
        <v>47331</v>
      </c>
      <c r="AH74" s="46">
        <v>31</v>
      </c>
      <c r="AI74" s="9">
        <f t="shared" si="45"/>
        <v>287.5</v>
      </c>
      <c r="AJ74" s="9">
        <f t="shared" si="70"/>
        <v>2.2000000000000002</v>
      </c>
      <c r="AK74" s="9">
        <f t="shared" si="56"/>
        <v>12.5</v>
      </c>
      <c r="AL74" s="9">
        <f t="shared" si="43"/>
        <v>2.2000000000000002</v>
      </c>
      <c r="AM74" s="9">
        <f t="shared" si="44"/>
        <v>275</v>
      </c>
      <c r="AP74" s="8">
        <f t="shared" si="38"/>
        <v>-0.49</v>
      </c>
    </row>
    <row r="75" spans="1:42" x14ac:dyDescent="0.35">
      <c r="A75" s="9">
        <f t="shared" si="39"/>
        <v>57</v>
      </c>
      <c r="B75" s="9" t="s">
        <v>85</v>
      </c>
      <c r="C75" s="45">
        <v>47300</v>
      </c>
      <c r="D75" s="46">
        <v>31</v>
      </c>
      <c r="E75" s="11">
        <f t="shared" si="66"/>
        <v>244.44444444444574</v>
      </c>
      <c r="F75" s="9">
        <f t="shared" si="67"/>
        <v>1.87</v>
      </c>
      <c r="G75" s="10">
        <f t="shared" si="53"/>
        <v>11.111111111111111</v>
      </c>
      <c r="H75" s="9">
        <f t="shared" si="62"/>
        <v>1.87</v>
      </c>
      <c r="I75" s="11">
        <f t="shared" si="65"/>
        <v>233.33333333333462</v>
      </c>
      <c r="K75" s="9">
        <f t="shared" si="64"/>
        <v>57</v>
      </c>
      <c r="L75" s="9" t="s">
        <v>85</v>
      </c>
      <c r="M75" s="45">
        <v>47331</v>
      </c>
      <c r="N75" s="46">
        <v>31</v>
      </c>
      <c r="O75" s="11">
        <f t="shared" si="71"/>
        <v>305.55555555555424</v>
      </c>
      <c r="P75" s="9">
        <f t="shared" si="68"/>
        <v>2.34</v>
      </c>
      <c r="Q75" s="10">
        <f t="shared" si="54"/>
        <v>13.888888888888889</v>
      </c>
      <c r="R75" s="9">
        <f t="shared" si="63"/>
        <v>2.34</v>
      </c>
      <c r="S75" s="11">
        <f t="shared" si="72"/>
        <v>291.66666666666532</v>
      </c>
      <c r="U75" s="9">
        <f t="shared" si="33"/>
        <v>57</v>
      </c>
      <c r="V75" s="9" t="s">
        <v>85</v>
      </c>
      <c r="W75" s="45">
        <v>47362</v>
      </c>
      <c r="X75" s="46">
        <v>30</v>
      </c>
      <c r="Y75" s="9">
        <f t="shared" si="41"/>
        <v>275</v>
      </c>
      <c r="Z75" s="9">
        <f t="shared" si="73"/>
        <v>2.0299999999999998</v>
      </c>
      <c r="AA75" s="9">
        <f t="shared" si="55"/>
        <v>12.5</v>
      </c>
      <c r="AB75" s="9">
        <f t="shared" si="35"/>
        <v>2.0299999999999998</v>
      </c>
      <c r="AC75" s="9">
        <f t="shared" si="36"/>
        <v>262.5</v>
      </c>
      <c r="AE75" s="9">
        <f t="shared" si="37"/>
        <v>57</v>
      </c>
      <c r="AF75" s="9" t="s">
        <v>85</v>
      </c>
      <c r="AG75" s="45">
        <v>47362</v>
      </c>
      <c r="AH75" s="46">
        <v>30</v>
      </c>
      <c r="AI75" s="9">
        <f t="shared" si="45"/>
        <v>275</v>
      </c>
      <c r="AJ75" s="9">
        <f t="shared" si="70"/>
        <v>2.0299999999999998</v>
      </c>
      <c r="AK75" s="9">
        <f t="shared" si="56"/>
        <v>12.5</v>
      </c>
      <c r="AL75" s="9">
        <f t="shared" si="43"/>
        <v>2.0299999999999998</v>
      </c>
      <c r="AM75" s="9">
        <f t="shared" si="44"/>
        <v>262.5</v>
      </c>
      <c r="AP75" s="8">
        <f t="shared" si="38"/>
        <v>-0.46999999999999975</v>
      </c>
    </row>
    <row r="76" spans="1:42" x14ac:dyDescent="0.35">
      <c r="A76" s="9">
        <f t="shared" si="39"/>
        <v>58</v>
      </c>
      <c r="B76" s="9" t="s">
        <v>85</v>
      </c>
      <c r="C76" s="45">
        <v>47331</v>
      </c>
      <c r="D76" s="46">
        <v>30</v>
      </c>
      <c r="E76" s="11">
        <f t="shared" si="66"/>
        <v>233.33333333333462</v>
      </c>
      <c r="F76" s="9">
        <f t="shared" si="67"/>
        <v>1.73</v>
      </c>
      <c r="G76" s="10">
        <f t="shared" si="53"/>
        <v>11.111111111111111</v>
      </c>
      <c r="H76" s="9">
        <f t="shared" si="62"/>
        <v>1.73</v>
      </c>
      <c r="I76" s="11">
        <f t="shared" si="65"/>
        <v>222.22222222222351</v>
      </c>
      <c r="K76" s="9">
        <f t="shared" si="64"/>
        <v>58</v>
      </c>
      <c r="L76" s="9" t="s">
        <v>85</v>
      </c>
      <c r="M76" s="45">
        <v>47362</v>
      </c>
      <c r="N76" s="46">
        <v>30</v>
      </c>
      <c r="O76" s="11">
        <f t="shared" si="71"/>
        <v>291.66666666666532</v>
      </c>
      <c r="P76" s="9">
        <f t="shared" si="68"/>
        <v>2.16</v>
      </c>
      <c r="Q76" s="10">
        <f t="shared" si="54"/>
        <v>13.888888888888889</v>
      </c>
      <c r="R76" s="9">
        <f t="shared" si="63"/>
        <v>2.16</v>
      </c>
      <c r="S76" s="11">
        <f t="shared" si="72"/>
        <v>277.77777777777641</v>
      </c>
      <c r="U76" s="9">
        <f t="shared" si="33"/>
        <v>58</v>
      </c>
      <c r="V76" s="9" t="s">
        <v>85</v>
      </c>
      <c r="W76" s="45">
        <v>47392</v>
      </c>
      <c r="X76" s="46">
        <v>31</v>
      </c>
      <c r="Y76" s="9">
        <f t="shared" si="41"/>
        <v>262.5</v>
      </c>
      <c r="Z76" s="9">
        <f t="shared" si="73"/>
        <v>2.0099999999999998</v>
      </c>
      <c r="AA76" s="9">
        <f t="shared" si="55"/>
        <v>12.5</v>
      </c>
      <c r="AB76" s="9">
        <f t="shared" si="35"/>
        <v>2.0099999999999998</v>
      </c>
      <c r="AC76" s="9">
        <f t="shared" si="36"/>
        <v>250</v>
      </c>
      <c r="AE76" s="9">
        <f t="shared" si="37"/>
        <v>58</v>
      </c>
      <c r="AF76" s="9" t="s">
        <v>85</v>
      </c>
      <c r="AG76" s="45">
        <v>47392</v>
      </c>
      <c r="AH76" s="46">
        <v>31</v>
      </c>
      <c r="AI76" s="9">
        <f t="shared" si="45"/>
        <v>262.5</v>
      </c>
      <c r="AJ76" s="9">
        <f t="shared" si="70"/>
        <v>2.0099999999999998</v>
      </c>
      <c r="AK76" s="9">
        <f t="shared" si="56"/>
        <v>12.5</v>
      </c>
      <c r="AL76" s="9">
        <f t="shared" si="43"/>
        <v>2.0099999999999998</v>
      </c>
      <c r="AM76" s="9">
        <f t="shared" si="44"/>
        <v>250</v>
      </c>
      <c r="AP76" s="8">
        <f t="shared" si="38"/>
        <v>-0.43000000000000016</v>
      </c>
    </row>
    <row r="77" spans="1:42" x14ac:dyDescent="0.35">
      <c r="A77" s="9">
        <f t="shared" si="39"/>
        <v>59</v>
      </c>
      <c r="B77" s="9" t="s">
        <v>85</v>
      </c>
      <c r="C77" s="45">
        <v>47362</v>
      </c>
      <c r="D77" s="46">
        <v>31</v>
      </c>
      <c r="E77" s="11">
        <f t="shared" si="66"/>
        <v>222.22222222222351</v>
      </c>
      <c r="F77" s="9">
        <f t="shared" si="67"/>
        <v>1.7</v>
      </c>
      <c r="G77" s="10">
        <f t="shared" si="53"/>
        <v>11.111111111111111</v>
      </c>
      <c r="H77" s="9">
        <f t="shared" si="62"/>
        <v>1.7</v>
      </c>
      <c r="I77" s="11">
        <f t="shared" si="65"/>
        <v>211.11111111111239</v>
      </c>
      <c r="K77" s="9">
        <f t="shared" si="64"/>
        <v>59</v>
      </c>
      <c r="L77" s="9" t="s">
        <v>85</v>
      </c>
      <c r="M77" s="45">
        <v>47392</v>
      </c>
      <c r="N77" s="46">
        <v>31</v>
      </c>
      <c r="O77" s="11">
        <f t="shared" si="71"/>
        <v>277.77777777777641</v>
      </c>
      <c r="P77" s="9">
        <f t="shared" si="68"/>
        <v>2.12</v>
      </c>
      <c r="Q77" s="10">
        <f t="shared" si="54"/>
        <v>13.888888888888889</v>
      </c>
      <c r="R77" s="9">
        <f t="shared" si="63"/>
        <v>2.12</v>
      </c>
      <c r="S77" s="11">
        <f t="shared" si="72"/>
        <v>263.88888888888749</v>
      </c>
      <c r="U77" s="9">
        <f t="shared" si="33"/>
        <v>59</v>
      </c>
      <c r="V77" s="9" t="s">
        <v>85</v>
      </c>
      <c r="W77" s="45">
        <v>47423</v>
      </c>
      <c r="X77" s="46">
        <v>30</v>
      </c>
      <c r="Y77" s="9">
        <f t="shared" si="41"/>
        <v>250</v>
      </c>
      <c r="Z77" s="9">
        <f t="shared" si="73"/>
        <v>1.85</v>
      </c>
      <c r="AA77" s="9">
        <f t="shared" si="55"/>
        <v>12.5</v>
      </c>
      <c r="AB77" s="9">
        <f t="shared" si="35"/>
        <v>1.85</v>
      </c>
      <c r="AC77" s="9">
        <f t="shared" si="36"/>
        <v>237.5</v>
      </c>
      <c r="AE77" s="9">
        <f t="shared" si="37"/>
        <v>59</v>
      </c>
      <c r="AF77" s="9" t="s">
        <v>85</v>
      </c>
      <c r="AG77" s="45">
        <v>47423</v>
      </c>
      <c r="AH77" s="46">
        <v>30</v>
      </c>
      <c r="AI77" s="9">
        <f t="shared" si="45"/>
        <v>250</v>
      </c>
      <c r="AJ77" s="9">
        <f t="shared" si="70"/>
        <v>1.85</v>
      </c>
      <c r="AK77" s="9">
        <f t="shared" si="56"/>
        <v>12.5</v>
      </c>
      <c r="AL77" s="9">
        <f t="shared" si="43"/>
        <v>1.85</v>
      </c>
      <c r="AM77" s="9">
        <f t="shared" si="44"/>
        <v>237.5</v>
      </c>
      <c r="AP77" s="8">
        <f t="shared" si="38"/>
        <v>-0.42000000000000015</v>
      </c>
    </row>
    <row r="78" spans="1:42" x14ac:dyDescent="0.35">
      <c r="A78" s="9">
        <f t="shared" si="39"/>
        <v>60</v>
      </c>
      <c r="B78" s="9" t="s">
        <v>85</v>
      </c>
      <c r="C78" s="45">
        <v>47392</v>
      </c>
      <c r="D78" s="46">
        <v>30</v>
      </c>
      <c r="E78" s="11">
        <f t="shared" si="66"/>
        <v>211.11111111111239</v>
      </c>
      <c r="F78" s="9">
        <f t="shared" si="67"/>
        <v>1.56</v>
      </c>
      <c r="G78" s="10">
        <f t="shared" si="53"/>
        <v>11.111111111111111</v>
      </c>
      <c r="H78" s="9">
        <f t="shared" si="62"/>
        <v>1.56</v>
      </c>
      <c r="I78" s="11">
        <f t="shared" si="65"/>
        <v>200.00000000000128</v>
      </c>
      <c r="K78" s="9">
        <f t="shared" si="64"/>
        <v>60</v>
      </c>
      <c r="L78" s="9" t="s">
        <v>85</v>
      </c>
      <c r="M78" s="45">
        <v>47423</v>
      </c>
      <c r="N78" s="46">
        <v>30</v>
      </c>
      <c r="O78" s="11">
        <f t="shared" si="71"/>
        <v>263.88888888888749</v>
      </c>
      <c r="P78" s="9">
        <f t="shared" si="68"/>
        <v>1.95</v>
      </c>
      <c r="Q78" s="10">
        <f t="shared" si="54"/>
        <v>13.888888888888889</v>
      </c>
      <c r="R78" s="9">
        <f t="shared" si="63"/>
        <v>1.95</v>
      </c>
      <c r="S78" s="11">
        <f t="shared" si="72"/>
        <v>249.99999999999861</v>
      </c>
      <c r="U78" s="9">
        <f t="shared" si="33"/>
        <v>60</v>
      </c>
      <c r="V78" s="9" t="s">
        <v>85</v>
      </c>
      <c r="W78" s="45">
        <v>47453</v>
      </c>
      <c r="X78" s="46">
        <v>31</v>
      </c>
      <c r="Y78" s="9">
        <f t="shared" si="41"/>
        <v>237.5</v>
      </c>
      <c r="Z78" s="9">
        <f t="shared" si="73"/>
        <v>1.82</v>
      </c>
      <c r="AA78" s="9">
        <f t="shared" si="55"/>
        <v>12.5</v>
      </c>
      <c r="AB78" s="9">
        <f t="shared" si="35"/>
        <v>1.82</v>
      </c>
      <c r="AC78" s="9">
        <f t="shared" si="36"/>
        <v>225</v>
      </c>
      <c r="AE78" s="9">
        <f t="shared" si="37"/>
        <v>60</v>
      </c>
      <c r="AF78" s="9" t="s">
        <v>85</v>
      </c>
      <c r="AG78" s="45">
        <v>47453</v>
      </c>
      <c r="AH78" s="46">
        <v>31</v>
      </c>
      <c r="AI78" s="9">
        <f t="shared" si="45"/>
        <v>237.5</v>
      </c>
      <c r="AJ78" s="9">
        <f t="shared" si="70"/>
        <v>1.82</v>
      </c>
      <c r="AK78" s="9">
        <f t="shared" si="56"/>
        <v>12.5</v>
      </c>
      <c r="AL78" s="9">
        <f t="shared" si="43"/>
        <v>1.82</v>
      </c>
      <c r="AM78" s="9">
        <f t="shared" si="44"/>
        <v>225</v>
      </c>
      <c r="AP78" s="8">
        <f t="shared" si="38"/>
        <v>-0.3899999999999999</v>
      </c>
    </row>
    <row r="79" spans="1:42" x14ac:dyDescent="0.35">
      <c r="A79" s="9">
        <f t="shared" si="39"/>
        <v>61</v>
      </c>
      <c r="B79" s="9" t="s">
        <v>85</v>
      </c>
      <c r="C79" s="45">
        <v>47423</v>
      </c>
      <c r="D79" s="46">
        <v>31</v>
      </c>
      <c r="E79" s="11">
        <f t="shared" si="66"/>
        <v>200.00000000000128</v>
      </c>
      <c r="F79" s="9">
        <f t="shared" si="67"/>
        <v>1.53</v>
      </c>
      <c r="G79" s="10">
        <f t="shared" si="53"/>
        <v>11.111111111111111</v>
      </c>
      <c r="H79" s="9">
        <f t="shared" si="62"/>
        <v>1.53</v>
      </c>
      <c r="I79" s="11">
        <f t="shared" si="65"/>
        <v>188.88888888889016</v>
      </c>
      <c r="K79" s="9">
        <f t="shared" si="64"/>
        <v>61</v>
      </c>
      <c r="L79" s="9" t="s">
        <v>85</v>
      </c>
      <c r="M79" s="45">
        <v>47453</v>
      </c>
      <c r="N79" s="46">
        <v>31</v>
      </c>
      <c r="O79" s="11">
        <f t="shared" si="71"/>
        <v>249.99999999999861</v>
      </c>
      <c r="P79" s="9">
        <f t="shared" si="68"/>
        <v>1.91</v>
      </c>
      <c r="Q79" s="10">
        <f t="shared" si="54"/>
        <v>13.888888888888889</v>
      </c>
      <c r="R79" s="9">
        <f t="shared" si="63"/>
        <v>1.91</v>
      </c>
      <c r="S79" s="11">
        <f t="shared" si="72"/>
        <v>236.11111111110972</v>
      </c>
      <c r="U79" s="9">
        <f t="shared" si="33"/>
        <v>61</v>
      </c>
      <c r="V79" s="9" t="s">
        <v>85</v>
      </c>
      <c r="W79" s="45">
        <v>47484</v>
      </c>
      <c r="X79" s="46">
        <v>31</v>
      </c>
      <c r="Y79" s="9">
        <f t="shared" si="41"/>
        <v>225</v>
      </c>
      <c r="Z79" s="9">
        <f t="shared" si="73"/>
        <v>1.72</v>
      </c>
      <c r="AA79" s="9">
        <f t="shared" si="55"/>
        <v>12.5</v>
      </c>
      <c r="AB79" s="9">
        <f t="shared" si="35"/>
        <v>1.72</v>
      </c>
      <c r="AC79" s="9">
        <f t="shared" si="36"/>
        <v>212.5</v>
      </c>
      <c r="AE79" s="9">
        <f t="shared" si="37"/>
        <v>61</v>
      </c>
      <c r="AF79" s="9" t="s">
        <v>85</v>
      </c>
      <c r="AG79" s="45">
        <v>47484</v>
      </c>
      <c r="AH79" s="46">
        <v>31</v>
      </c>
      <c r="AI79" s="9">
        <f t="shared" si="45"/>
        <v>225</v>
      </c>
      <c r="AJ79" s="9">
        <f t="shared" si="70"/>
        <v>1.72</v>
      </c>
      <c r="AK79" s="9">
        <f t="shared" si="56"/>
        <v>12.5</v>
      </c>
      <c r="AL79" s="9">
        <f t="shared" si="43"/>
        <v>1.72</v>
      </c>
      <c r="AM79" s="9">
        <f t="shared" si="44"/>
        <v>212.5</v>
      </c>
      <c r="AP79" s="8">
        <f t="shared" si="38"/>
        <v>-0.37999999999999989</v>
      </c>
    </row>
    <row r="80" spans="1:42" x14ac:dyDescent="0.35">
      <c r="A80" s="9">
        <f t="shared" si="39"/>
        <v>62</v>
      </c>
      <c r="B80" s="9" t="s">
        <v>85</v>
      </c>
      <c r="C80" s="45">
        <v>47453</v>
      </c>
      <c r="D80" s="46">
        <v>31</v>
      </c>
      <c r="E80" s="11">
        <f t="shared" si="66"/>
        <v>188.88888888889016</v>
      </c>
      <c r="F80" s="9">
        <f t="shared" si="67"/>
        <v>1.44</v>
      </c>
      <c r="G80" s="10">
        <f t="shared" si="53"/>
        <v>11.111111111111111</v>
      </c>
      <c r="H80" s="9">
        <f t="shared" si="62"/>
        <v>1.44</v>
      </c>
      <c r="I80" s="11">
        <f t="shared" si="65"/>
        <v>177.77777777777905</v>
      </c>
      <c r="K80" s="9">
        <f t="shared" si="64"/>
        <v>62</v>
      </c>
      <c r="L80" s="9" t="s">
        <v>85</v>
      </c>
      <c r="M80" s="45">
        <v>47484</v>
      </c>
      <c r="N80" s="46">
        <v>31</v>
      </c>
      <c r="O80" s="11">
        <f t="shared" si="71"/>
        <v>236.11111111110972</v>
      </c>
      <c r="P80" s="9">
        <f t="shared" si="68"/>
        <v>1.8</v>
      </c>
      <c r="Q80" s="10">
        <f t="shared" si="54"/>
        <v>13.888888888888889</v>
      </c>
      <c r="R80" s="9">
        <f t="shared" si="63"/>
        <v>1.8</v>
      </c>
      <c r="S80" s="11">
        <f t="shared" si="72"/>
        <v>222.22222222222084</v>
      </c>
      <c r="U80" s="9">
        <f t="shared" si="33"/>
        <v>62</v>
      </c>
      <c r="V80" s="9" t="s">
        <v>85</v>
      </c>
      <c r="W80" s="45">
        <v>47515</v>
      </c>
      <c r="X80" s="46">
        <v>28</v>
      </c>
      <c r="Y80" s="9">
        <f t="shared" si="41"/>
        <v>212.5</v>
      </c>
      <c r="Z80" s="9">
        <f t="shared" si="73"/>
        <v>1.47</v>
      </c>
      <c r="AA80" s="9">
        <f t="shared" si="55"/>
        <v>12.5</v>
      </c>
      <c r="AB80" s="9">
        <f t="shared" si="35"/>
        <v>1.47</v>
      </c>
      <c r="AC80" s="9">
        <f t="shared" si="36"/>
        <v>200</v>
      </c>
      <c r="AE80" s="9">
        <f t="shared" si="37"/>
        <v>62</v>
      </c>
      <c r="AF80" s="9" t="s">
        <v>85</v>
      </c>
      <c r="AG80" s="45">
        <v>47515</v>
      </c>
      <c r="AH80" s="46">
        <v>28</v>
      </c>
      <c r="AI80" s="9">
        <f t="shared" si="45"/>
        <v>212.5</v>
      </c>
      <c r="AJ80" s="9">
        <f t="shared" si="70"/>
        <v>1.47</v>
      </c>
      <c r="AK80" s="9">
        <f t="shared" si="56"/>
        <v>12.5</v>
      </c>
      <c r="AL80" s="9">
        <f t="shared" si="43"/>
        <v>1.47</v>
      </c>
      <c r="AM80" s="9">
        <f t="shared" si="44"/>
        <v>200</v>
      </c>
      <c r="AP80" s="8">
        <f t="shared" si="38"/>
        <v>-0.3600000000000001</v>
      </c>
    </row>
    <row r="81" spans="1:42" x14ac:dyDescent="0.35">
      <c r="A81" s="9">
        <f t="shared" si="39"/>
        <v>63</v>
      </c>
      <c r="B81" s="9" t="s">
        <v>85</v>
      </c>
      <c r="C81" s="45">
        <v>47484</v>
      </c>
      <c r="D81" s="46">
        <v>28</v>
      </c>
      <c r="E81" s="11">
        <f t="shared" si="66"/>
        <v>177.77777777777905</v>
      </c>
      <c r="F81" s="9">
        <f t="shared" si="67"/>
        <v>1.23</v>
      </c>
      <c r="G81" s="10">
        <f t="shared" si="53"/>
        <v>11.111111111111111</v>
      </c>
      <c r="H81" s="9">
        <f t="shared" si="62"/>
        <v>1.23</v>
      </c>
      <c r="I81" s="11">
        <f t="shared" si="65"/>
        <v>166.66666666666794</v>
      </c>
      <c r="K81" s="9">
        <f t="shared" si="64"/>
        <v>63</v>
      </c>
      <c r="L81" s="9" t="s">
        <v>85</v>
      </c>
      <c r="M81" s="45">
        <v>47515</v>
      </c>
      <c r="N81" s="46">
        <v>28</v>
      </c>
      <c r="O81" s="11">
        <f t="shared" si="71"/>
        <v>222.22222222222084</v>
      </c>
      <c r="P81" s="9">
        <f t="shared" si="68"/>
        <v>1.53</v>
      </c>
      <c r="Q81" s="10">
        <f t="shared" si="54"/>
        <v>13.888888888888889</v>
      </c>
      <c r="R81" s="9">
        <f t="shared" si="63"/>
        <v>1.53</v>
      </c>
      <c r="S81" s="11">
        <f t="shared" si="72"/>
        <v>208.33333333333195</v>
      </c>
      <c r="U81" s="9">
        <f t="shared" si="33"/>
        <v>63</v>
      </c>
      <c r="V81" s="9" t="s">
        <v>85</v>
      </c>
      <c r="W81" s="45">
        <v>47543</v>
      </c>
      <c r="X81" s="46">
        <v>31</v>
      </c>
      <c r="Y81" s="9">
        <f t="shared" si="41"/>
        <v>200</v>
      </c>
      <c r="Z81" s="9">
        <f t="shared" si="73"/>
        <v>1.53</v>
      </c>
      <c r="AA81" s="9">
        <f t="shared" si="55"/>
        <v>12.5</v>
      </c>
      <c r="AB81" s="9">
        <f t="shared" si="35"/>
        <v>1.53</v>
      </c>
      <c r="AC81" s="9">
        <f t="shared" si="36"/>
        <v>187.5</v>
      </c>
      <c r="AE81" s="9">
        <f t="shared" si="37"/>
        <v>63</v>
      </c>
      <c r="AF81" s="9" t="s">
        <v>85</v>
      </c>
      <c r="AG81" s="45">
        <v>47543</v>
      </c>
      <c r="AH81" s="46">
        <v>31</v>
      </c>
      <c r="AI81" s="9">
        <f t="shared" si="45"/>
        <v>200</v>
      </c>
      <c r="AJ81" s="9">
        <f t="shared" si="70"/>
        <v>1.53</v>
      </c>
      <c r="AK81" s="9">
        <f t="shared" si="56"/>
        <v>12.5</v>
      </c>
      <c r="AL81" s="9">
        <f t="shared" si="43"/>
        <v>1.53</v>
      </c>
      <c r="AM81" s="9">
        <f t="shared" si="44"/>
        <v>187.5</v>
      </c>
      <c r="AP81" s="8">
        <f t="shared" si="38"/>
        <v>-0.30000000000000004</v>
      </c>
    </row>
    <row r="82" spans="1:42" x14ac:dyDescent="0.35">
      <c r="A82" s="9">
        <f t="shared" si="39"/>
        <v>64</v>
      </c>
      <c r="B82" s="9" t="s">
        <v>85</v>
      </c>
      <c r="C82" s="45">
        <v>47515</v>
      </c>
      <c r="D82" s="46">
        <v>31</v>
      </c>
      <c r="E82" s="11">
        <f t="shared" si="66"/>
        <v>166.66666666666794</v>
      </c>
      <c r="F82" s="9">
        <f t="shared" si="67"/>
        <v>1.27</v>
      </c>
      <c r="G82" s="10">
        <f t="shared" si="53"/>
        <v>11.111111111111111</v>
      </c>
      <c r="H82" s="9">
        <f t="shared" ref="H82:H96" si="74">F82</f>
        <v>1.27</v>
      </c>
      <c r="I82" s="11">
        <f t="shared" si="65"/>
        <v>155.55555555555682</v>
      </c>
      <c r="K82" s="9">
        <f t="shared" si="64"/>
        <v>64</v>
      </c>
      <c r="L82" s="9" t="s">
        <v>85</v>
      </c>
      <c r="M82" s="45">
        <v>47543</v>
      </c>
      <c r="N82" s="46">
        <v>31</v>
      </c>
      <c r="O82" s="11">
        <f t="shared" si="71"/>
        <v>208.33333333333195</v>
      </c>
      <c r="P82" s="9">
        <f t="shared" si="68"/>
        <v>1.59</v>
      </c>
      <c r="Q82" s="10">
        <f t="shared" si="54"/>
        <v>13.888888888888889</v>
      </c>
      <c r="R82" s="9">
        <f t="shared" ref="R82:R96" si="75">P82</f>
        <v>1.59</v>
      </c>
      <c r="S82" s="11">
        <f t="shared" si="72"/>
        <v>194.44444444444306</v>
      </c>
      <c r="U82" s="9">
        <f t="shared" si="33"/>
        <v>64</v>
      </c>
      <c r="V82" s="9" t="s">
        <v>86</v>
      </c>
      <c r="W82" s="45">
        <v>47574</v>
      </c>
      <c r="X82" s="46">
        <v>30</v>
      </c>
      <c r="Y82" s="9">
        <f t="shared" si="41"/>
        <v>187.5</v>
      </c>
      <c r="Z82" s="9">
        <f t="shared" si="73"/>
        <v>1.39</v>
      </c>
      <c r="AA82" s="9">
        <f t="shared" si="55"/>
        <v>12.5</v>
      </c>
      <c r="AB82" s="9">
        <f t="shared" si="35"/>
        <v>1.39</v>
      </c>
      <c r="AC82" s="9">
        <f t="shared" si="36"/>
        <v>175</v>
      </c>
      <c r="AE82" s="9">
        <f t="shared" si="37"/>
        <v>64</v>
      </c>
      <c r="AF82" s="9" t="s">
        <v>86</v>
      </c>
      <c r="AG82" s="45">
        <v>47574</v>
      </c>
      <c r="AH82" s="46">
        <v>30</v>
      </c>
      <c r="AI82" s="9">
        <f t="shared" si="45"/>
        <v>187.5</v>
      </c>
      <c r="AJ82" s="9">
        <f t="shared" si="70"/>
        <v>1.39</v>
      </c>
      <c r="AK82" s="9">
        <f t="shared" si="56"/>
        <v>12.5</v>
      </c>
      <c r="AL82" s="9">
        <f t="shared" si="43"/>
        <v>1.39</v>
      </c>
      <c r="AM82" s="9">
        <f t="shared" si="44"/>
        <v>175</v>
      </c>
      <c r="AP82" s="8">
        <f t="shared" si="38"/>
        <v>-0.32000000000000006</v>
      </c>
    </row>
    <row r="83" spans="1:42" x14ac:dyDescent="0.35">
      <c r="A83" s="9">
        <f t="shared" si="39"/>
        <v>65</v>
      </c>
      <c r="B83" s="9" t="s">
        <v>85</v>
      </c>
      <c r="C83" s="45">
        <v>47543</v>
      </c>
      <c r="D83" s="46">
        <v>30</v>
      </c>
      <c r="E83" s="11">
        <f t="shared" si="66"/>
        <v>155.55555555555682</v>
      </c>
      <c r="F83" s="9">
        <f t="shared" si="67"/>
        <v>1.1499999999999999</v>
      </c>
      <c r="G83" s="10">
        <f t="shared" si="53"/>
        <v>11.111111111111111</v>
      </c>
      <c r="H83" s="9">
        <f t="shared" si="74"/>
        <v>1.1499999999999999</v>
      </c>
      <c r="I83" s="11">
        <f t="shared" si="65"/>
        <v>144.44444444444571</v>
      </c>
      <c r="K83" s="9">
        <f t="shared" ref="K83:K95" si="76">K82+1</f>
        <v>65</v>
      </c>
      <c r="L83" s="9" t="s">
        <v>86</v>
      </c>
      <c r="M83" s="45">
        <v>47574</v>
      </c>
      <c r="N83" s="46">
        <v>30</v>
      </c>
      <c r="O83" s="11">
        <f t="shared" si="71"/>
        <v>194.44444444444306</v>
      </c>
      <c r="P83" s="9">
        <f t="shared" si="68"/>
        <v>1.44</v>
      </c>
      <c r="Q83" s="10">
        <f t="shared" si="54"/>
        <v>13.888888888888889</v>
      </c>
      <c r="R83" s="9">
        <f t="shared" si="75"/>
        <v>1.44</v>
      </c>
      <c r="S83" s="11">
        <f t="shared" si="72"/>
        <v>180.55555555555418</v>
      </c>
      <c r="U83" s="9">
        <f t="shared" ref="U83:U94" si="77">U82+1</f>
        <v>65</v>
      </c>
      <c r="V83" s="9" t="s">
        <v>86</v>
      </c>
      <c r="W83" s="45">
        <v>47604</v>
      </c>
      <c r="X83" s="46">
        <v>31</v>
      </c>
      <c r="Y83" s="9">
        <f t="shared" si="41"/>
        <v>175</v>
      </c>
      <c r="Z83" s="9">
        <f>ROUND(Y83*$AC$17*X83/365,2)</f>
        <v>1.34</v>
      </c>
      <c r="AA83" s="9">
        <f t="shared" si="55"/>
        <v>12.5</v>
      </c>
      <c r="AB83" s="9">
        <f t="shared" si="35"/>
        <v>1.34</v>
      </c>
      <c r="AC83" s="9">
        <f t="shared" si="36"/>
        <v>162.5</v>
      </c>
      <c r="AE83" s="9">
        <f t="shared" ref="AE83:AE94" si="78">AE82+1</f>
        <v>65</v>
      </c>
      <c r="AF83" s="9" t="s">
        <v>86</v>
      </c>
      <c r="AG83" s="45">
        <v>47604</v>
      </c>
      <c r="AH83" s="46">
        <v>31</v>
      </c>
      <c r="AI83" s="9">
        <f t="shared" si="45"/>
        <v>175</v>
      </c>
      <c r="AJ83" s="9">
        <f t="shared" si="70"/>
        <v>1.34</v>
      </c>
      <c r="AK83" s="9">
        <f t="shared" si="56"/>
        <v>12.5</v>
      </c>
      <c r="AL83" s="9">
        <f t="shared" si="43"/>
        <v>1.34</v>
      </c>
      <c r="AM83" s="9">
        <f t="shared" si="44"/>
        <v>162.5</v>
      </c>
      <c r="AP83" s="8">
        <f t="shared" si="38"/>
        <v>-0.29000000000000004</v>
      </c>
    </row>
    <row r="84" spans="1:42" x14ac:dyDescent="0.35">
      <c r="A84" s="9">
        <f t="shared" si="39"/>
        <v>66</v>
      </c>
      <c r="B84" s="9" t="s">
        <v>86</v>
      </c>
      <c r="C84" s="45">
        <v>47574</v>
      </c>
      <c r="D84" s="46">
        <v>31</v>
      </c>
      <c r="E84" s="11">
        <f t="shared" si="66"/>
        <v>144.44444444444571</v>
      </c>
      <c r="F84" s="9">
        <f t="shared" si="67"/>
        <v>1.1000000000000001</v>
      </c>
      <c r="G84" s="10">
        <f t="shared" si="53"/>
        <v>11.111111111111111</v>
      </c>
      <c r="H84" s="9">
        <f t="shared" si="74"/>
        <v>1.1000000000000001</v>
      </c>
      <c r="I84" s="11">
        <f t="shared" si="65"/>
        <v>133.33333333333459</v>
      </c>
      <c r="K84" s="9">
        <f t="shared" si="76"/>
        <v>66</v>
      </c>
      <c r="L84" s="9" t="s">
        <v>86</v>
      </c>
      <c r="M84" s="45">
        <v>47604</v>
      </c>
      <c r="N84" s="46">
        <v>31</v>
      </c>
      <c r="O84" s="11">
        <f t="shared" si="71"/>
        <v>180.55555555555418</v>
      </c>
      <c r="P84" s="9">
        <f t="shared" si="68"/>
        <v>1.38</v>
      </c>
      <c r="Q84" s="10">
        <f t="shared" si="54"/>
        <v>13.888888888888889</v>
      </c>
      <c r="R84" s="9">
        <f t="shared" si="75"/>
        <v>1.38</v>
      </c>
      <c r="S84" s="11">
        <f t="shared" si="72"/>
        <v>166.66666666666529</v>
      </c>
      <c r="U84" s="9">
        <f t="shared" si="77"/>
        <v>66</v>
      </c>
      <c r="V84" s="9" t="s">
        <v>86</v>
      </c>
      <c r="W84" s="45">
        <v>47635</v>
      </c>
      <c r="X84" s="46">
        <v>30</v>
      </c>
      <c r="Y84" s="9">
        <f t="shared" si="41"/>
        <v>162.5</v>
      </c>
      <c r="Z84" s="9">
        <f t="shared" ref="Z84:Z96" si="79">ROUND(Y84*$AC$17*X84/365,2)</f>
        <v>1.2</v>
      </c>
      <c r="AA84" s="9">
        <f t="shared" si="55"/>
        <v>12.5</v>
      </c>
      <c r="AB84" s="9">
        <f t="shared" ref="AB84:AB96" si="80">Z84</f>
        <v>1.2</v>
      </c>
      <c r="AC84" s="9">
        <f t="shared" ref="AC84:AC96" si="81">Y84+Z84-AA84-AB84</f>
        <v>150</v>
      </c>
      <c r="AE84" s="9">
        <f t="shared" si="78"/>
        <v>66</v>
      </c>
      <c r="AF84" s="9" t="s">
        <v>86</v>
      </c>
      <c r="AG84" s="45">
        <v>47635</v>
      </c>
      <c r="AH84" s="46">
        <v>30</v>
      </c>
      <c r="AI84" s="9">
        <f t="shared" si="45"/>
        <v>162.5</v>
      </c>
      <c r="AJ84" s="9">
        <f t="shared" si="70"/>
        <v>1.2</v>
      </c>
      <c r="AK84" s="9">
        <f t="shared" si="56"/>
        <v>12.5</v>
      </c>
      <c r="AL84" s="9">
        <f t="shared" si="43"/>
        <v>1.2</v>
      </c>
      <c r="AM84" s="9">
        <f t="shared" si="44"/>
        <v>150</v>
      </c>
      <c r="AP84" s="8">
        <f t="shared" ref="AP84:AP96" si="82">F84-P84</f>
        <v>-0.2799999999999998</v>
      </c>
    </row>
    <row r="85" spans="1:42" x14ac:dyDescent="0.35">
      <c r="A85" s="9">
        <f t="shared" ref="A85:A96" si="83">A84+1</f>
        <v>67</v>
      </c>
      <c r="B85" s="9" t="s">
        <v>86</v>
      </c>
      <c r="C85" s="45">
        <v>47604</v>
      </c>
      <c r="D85" s="46">
        <v>30</v>
      </c>
      <c r="E85" s="11">
        <f t="shared" si="66"/>
        <v>133.33333333333459</v>
      </c>
      <c r="F85" s="9">
        <f t="shared" si="67"/>
        <v>0.99</v>
      </c>
      <c r="G85" s="10">
        <f t="shared" si="53"/>
        <v>11.111111111111111</v>
      </c>
      <c r="H85" s="9">
        <f t="shared" si="74"/>
        <v>0.99</v>
      </c>
      <c r="I85" s="11">
        <f t="shared" si="65"/>
        <v>122.22222222222349</v>
      </c>
      <c r="K85" s="9">
        <f t="shared" si="76"/>
        <v>67</v>
      </c>
      <c r="L85" s="9" t="s">
        <v>86</v>
      </c>
      <c r="M85" s="45">
        <v>47635</v>
      </c>
      <c r="N85" s="46">
        <v>30</v>
      </c>
      <c r="O85" s="11">
        <f t="shared" si="71"/>
        <v>166.66666666666529</v>
      </c>
      <c r="P85" s="9">
        <f t="shared" si="68"/>
        <v>1.23</v>
      </c>
      <c r="Q85" s="10">
        <f t="shared" si="54"/>
        <v>13.888888888888889</v>
      </c>
      <c r="R85" s="9">
        <f t="shared" si="75"/>
        <v>1.23</v>
      </c>
      <c r="S85" s="11">
        <f t="shared" si="72"/>
        <v>152.77777777777641</v>
      </c>
      <c r="U85" s="9">
        <f t="shared" si="77"/>
        <v>67</v>
      </c>
      <c r="V85" s="9" t="s">
        <v>86</v>
      </c>
      <c r="W85" s="45">
        <v>47665</v>
      </c>
      <c r="X85" s="46">
        <v>31</v>
      </c>
      <c r="Y85" s="9">
        <f t="shared" ref="Y85:Y94" si="84">AC84</f>
        <v>150</v>
      </c>
      <c r="Z85" s="9">
        <f t="shared" si="79"/>
        <v>1.1499999999999999</v>
      </c>
      <c r="AA85" s="9">
        <f t="shared" si="55"/>
        <v>12.5</v>
      </c>
      <c r="AB85" s="9">
        <f t="shared" si="80"/>
        <v>1.1499999999999999</v>
      </c>
      <c r="AC85" s="9">
        <f t="shared" si="81"/>
        <v>137.5</v>
      </c>
      <c r="AE85" s="9">
        <f t="shared" si="78"/>
        <v>67</v>
      </c>
      <c r="AF85" s="9" t="s">
        <v>86</v>
      </c>
      <c r="AG85" s="45">
        <v>47665</v>
      </c>
      <c r="AH85" s="46">
        <v>31</v>
      </c>
      <c r="AI85" s="9">
        <f t="shared" si="45"/>
        <v>150</v>
      </c>
      <c r="AJ85" s="9">
        <f t="shared" si="70"/>
        <v>1.1499999999999999</v>
      </c>
      <c r="AK85" s="9">
        <f t="shared" si="56"/>
        <v>12.5</v>
      </c>
      <c r="AL85" s="9">
        <f t="shared" ref="AL85:AL96" si="85">AJ85</f>
        <v>1.1499999999999999</v>
      </c>
      <c r="AM85" s="9">
        <f t="shared" ref="AM85:AM96" si="86">AI85+AJ85-AK85-AL85</f>
        <v>137.5</v>
      </c>
      <c r="AP85" s="8">
        <f t="shared" si="82"/>
        <v>-0.24</v>
      </c>
    </row>
    <row r="86" spans="1:42" x14ac:dyDescent="0.35">
      <c r="A86" s="9">
        <f t="shared" si="83"/>
        <v>68</v>
      </c>
      <c r="B86" s="9" t="s">
        <v>86</v>
      </c>
      <c r="C86" s="45">
        <v>47635</v>
      </c>
      <c r="D86" s="46">
        <v>31</v>
      </c>
      <c r="E86" s="11">
        <f t="shared" si="66"/>
        <v>122.22222222222349</v>
      </c>
      <c r="F86" s="9">
        <f t="shared" si="67"/>
        <v>0.93</v>
      </c>
      <c r="G86" s="10">
        <f t="shared" si="53"/>
        <v>11.111111111111111</v>
      </c>
      <c r="H86" s="9">
        <f t="shared" si="74"/>
        <v>0.93</v>
      </c>
      <c r="I86" s="11">
        <f t="shared" si="65"/>
        <v>111.11111111111238</v>
      </c>
      <c r="K86" s="9">
        <f t="shared" si="76"/>
        <v>68</v>
      </c>
      <c r="L86" s="9" t="s">
        <v>86</v>
      </c>
      <c r="M86" s="45">
        <v>47665</v>
      </c>
      <c r="N86" s="46">
        <v>31</v>
      </c>
      <c r="O86" s="11">
        <f t="shared" si="71"/>
        <v>152.77777777777641</v>
      </c>
      <c r="P86" s="9">
        <f t="shared" si="68"/>
        <v>1.17</v>
      </c>
      <c r="Q86" s="10">
        <f t="shared" si="54"/>
        <v>13.888888888888889</v>
      </c>
      <c r="R86" s="9">
        <f t="shared" si="75"/>
        <v>1.17</v>
      </c>
      <c r="S86" s="11">
        <f t="shared" si="72"/>
        <v>138.88888888888752</v>
      </c>
      <c r="U86" s="9">
        <f t="shared" si="77"/>
        <v>68</v>
      </c>
      <c r="V86" s="9" t="s">
        <v>86</v>
      </c>
      <c r="W86" s="45">
        <v>47696</v>
      </c>
      <c r="X86" s="46">
        <v>31</v>
      </c>
      <c r="Y86" s="9">
        <f t="shared" si="84"/>
        <v>137.5</v>
      </c>
      <c r="Z86" s="9">
        <f t="shared" si="79"/>
        <v>1.05</v>
      </c>
      <c r="AA86" s="9">
        <f t="shared" si="55"/>
        <v>12.5</v>
      </c>
      <c r="AB86" s="9">
        <f t="shared" si="80"/>
        <v>1.05</v>
      </c>
      <c r="AC86" s="9">
        <f t="shared" si="81"/>
        <v>125.00000000000001</v>
      </c>
      <c r="AE86" s="9">
        <f t="shared" si="78"/>
        <v>68</v>
      </c>
      <c r="AF86" s="9" t="s">
        <v>86</v>
      </c>
      <c r="AG86" s="45">
        <v>47696</v>
      </c>
      <c r="AH86" s="46">
        <v>31</v>
      </c>
      <c r="AI86" s="9">
        <f t="shared" ref="AI86:AI96" si="87">AM85</f>
        <v>137.5</v>
      </c>
      <c r="AJ86" s="9">
        <f t="shared" si="70"/>
        <v>1.05</v>
      </c>
      <c r="AK86" s="9">
        <f t="shared" si="56"/>
        <v>12.5</v>
      </c>
      <c r="AL86" s="9">
        <f t="shared" si="85"/>
        <v>1.05</v>
      </c>
      <c r="AM86" s="9">
        <f t="shared" si="86"/>
        <v>125.00000000000001</v>
      </c>
      <c r="AP86" s="8">
        <f t="shared" si="82"/>
        <v>-0.23999999999999988</v>
      </c>
    </row>
    <row r="87" spans="1:42" x14ac:dyDescent="0.35">
      <c r="A87" s="9">
        <f t="shared" si="83"/>
        <v>69</v>
      </c>
      <c r="B87" s="9" t="s">
        <v>86</v>
      </c>
      <c r="C87" s="45">
        <v>47665</v>
      </c>
      <c r="D87" s="46">
        <v>31</v>
      </c>
      <c r="E87" s="11">
        <f t="shared" si="66"/>
        <v>111.11111111111238</v>
      </c>
      <c r="F87" s="9">
        <f t="shared" si="67"/>
        <v>0.85</v>
      </c>
      <c r="G87" s="10">
        <f t="shared" si="53"/>
        <v>11.111111111111111</v>
      </c>
      <c r="H87" s="9">
        <f t="shared" si="74"/>
        <v>0.85</v>
      </c>
      <c r="I87" s="11">
        <f t="shared" ref="I87:I96" si="88">E87+F87-G87-H87</f>
        <v>100.00000000000126</v>
      </c>
      <c r="K87" s="9">
        <f t="shared" si="76"/>
        <v>69</v>
      </c>
      <c r="L87" s="9" t="s">
        <v>86</v>
      </c>
      <c r="M87" s="45">
        <v>47696</v>
      </c>
      <c r="N87" s="46">
        <v>31</v>
      </c>
      <c r="O87" s="11">
        <f t="shared" si="71"/>
        <v>138.88888888888752</v>
      </c>
      <c r="P87" s="9">
        <f t="shared" si="68"/>
        <v>1.06</v>
      </c>
      <c r="Q87" s="10">
        <f t="shared" si="54"/>
        <v>13.888888888888889</v>
      </c>
      <c r="R87" s="9">
        <f t="shared" si="75"/>
        <v>1.06</v>
      </c>
      <c r="S87" s="11">
        <f t="shared" si="72"/>
        <v>124.99999999999864</v>
      </c>
      <c r="U87" s="9">
        <f t="shared" si="77"/>
        <v>69</v>
      </c>
      <c r="V87" s="9" t="s">
        <v>86</v>
      </c>
      <c r="W87" s="45">
        <v>47727</v>
      </c>
      <c r="X87" s="46">
        <v>30</v>
      </c>
      <c r="Y87" s="9">
        <f t="shared" si="84"/>
        <v>125.00000000000001</v>
      </c>
      <c r="Z87" s="9">
        <f t="shared" si="79"/>
        <v>0.92</v>
      </c>
      <c r="AA87" s="9">
        <f t="shared" si="55"/>
        <v>12.5</v>
      </c>
      <c r="AB87" s="9">
        <f t="shared" si="80"/>
        <v>0.92</v>
      </c>
      <c r="AC87" s="9">
        <f t="shared" si="81"/>
        <v>112.50000000000001</v>
      </c>
      <c r="AE87" s="9">
        <f t="shared" si="78"/>
        <v>69</v>
      </c>
      <c r="AF87" s="9" t="s">
        <v>86</v>
      </c>
      <c r="AG87" s="45">
        <v>47727</v>
      </c>
      <c r="AH87" s="46">
        <v>30</v>
      </c>
      <c r="AI87" s="9">
        <f t="shared" si="87"/>
        <v>125.00000000000001</v>
      </c>
      <c r="AJ87" s="9">
        <f t="shared" si="70"/>
        <v>0.92</v>
      </c>
      <c r="AK87" s="9">
        <f t="shared" si="56"/>
        <v>12.5</v>
      </c>
      <c r="AL87" s="9">
        <f t="shared" si="85"/>
        <v>0.92</v>
      </c>
      <c r="AM87" s="9">
        <f t="shared" si="86"/>
        <v>112.50000000000001</v>
      </c>
      <c r="AP87" s="8">
        <f t="shared" si="82"/>
        <v>-0.21000000000000008</v>
      </c>
    </row>
    <row r="88" spans="1:42" x14ac:dyDescent="0.35">
      <c r="A88" s="9">
        <f t="shared" si="83"/>
        <v>70</v>
      </c>
      <c r="B88" s="9" t="s">
        <v>86</v>
      </c>
      <c r="C88" s="45">
        <v>47696</v>
      </c>
      <c r="D88" s="46">
        <v>30</v>
      </c>
      <c r="E88" s="11">
        <f t="shared" si="66"/>
        <v>100.00000000000126</v>
      </c>
      <c r="F88" s="9">
        <f t="shared" si="67"/>
        <v>0.74</v>
      </c>
      <c r="G88" s="10">
        <f t="shared" si="53"/>
        <v>11.111111111111111</v>
      </c>
      <c r="H88" s="9">
        <f t="shared" si="74"/>
        <v>0.74</v>
      </c>
      <c r="I88" s="11">
        <f t="shared" si="88"/>
        <v>88.88888888889015</v>
      </c>
      <c r="K88" s="9">
        <f t="shared" si="76"/>
        <v>70</v>
      </c>
      <c r="L88" s="9" t="s">
        <v>86</v>
      </c>
      <c r="M88" s="45">
        <v>47727</v>
      </c>
      <c r="N88" s="46">
        <v>30</v>
      </c>
      <c r="O88" s="11">
        <f t="shared" si="71"/>
        <v>124.99999999999864</v>
      </c>
      <c r="P88" s="9">
        <f t="shared" si="68"/>
        <v>0.92</v>
      </c>
      <c r="Q88" s="10">
        <f t="shared" si="54"/>
        <v>13.888888888888889</v>
      </c>
      <c r="R88" s="9">
        <f t="shared" si="75"/>
        <v>0.92</v>
      </c>
      <c r="S88" s="11">
        <f t="shared" si="72"/>
        <v>111.11111111110975</v>
      </c>
      <c r="U88" s="9">
        <f t="shared" si="77"/>
        <v>70</v>
      </c>
      <c r="V88" s="9" t="s">
        <v>86</v>
      </c>
      <c r="W88" s="45">
        <v>47757</v>
      </c>
      <c r="X88" s="46">
        <v>31</v>
      </c>
      <c r="Y88" s="9">
        <f t="shared" si="84"/>
        <v>112.50000000000001</v>
      </c>
      <c r="Z88" s="9">
        <f t="shared" si="79"/>
        <v>0.86</v>
      </c>
      <c r="AA88" s="9">
        <f t="shared" si="55"/>
        <v>12.5</v>
      </c>
      <c r="AB88" s="9">
        <f t="shared" si="80"/>
        <v>0.86</v>
      </c>
      <c r="AC88" s="9">
        <f t="shared" si="81"/>
        <v>100.00000000000001</v>
      </c>
      <c r="AE88" s="9">
        <f t="shared" si="78"/>
        <v>70</v>
      </c>
      <c r="AF88" s="9" t="s">
        <v>86</v>
      </c>
      <c r="AG88" s="45">
        <v>47757</v>
      </c>
      <c r="AH88" s="46">
        <v>31</v>
      </c>
      <c r="AI88" s="9">
        <f t="shared" si="87"/>
        <v>112.50000000000001</v>
      </c>
      <c r="AJ88" s="9">
        <f t="shared" si="70"/>
        <v>0.86</v>
      </c>
      <c r="AK88" s="9">
        <f t="shared" si="56"/>
        <v>12.5</v>
      </c>
      <c r="AL88" s="9">
        <f t="shared" si="85"/>
        <v>0.86</v>
      </c>
      <c r="AM88" s="9">
        <f t="shared" si="86"/>
        <v>100.00000000000001</v>
      </c>
      <c r="AP88" s="8">
        <f t="shared" si="82"/>
        <v>-0.18000000000000005</v>
      </c>
    </row>
    <row r="89" spans="1:42" x14ac:dyDescent="0.35">
      <c r="A89" s="9">
        <f t="shared" si="83"/>
        <v>71</v>
      </c>
      <c r="B89" s="9" t="s">
        <v>86</v>
      </c>
      <c r="C89" s="45">
        <v>47727</v>
      </c>
      <c r="D89" s="46">
        <v>31</v>
      </c>
      <c r="E89" s="11">
        <f t="shared" ref="E89:E94" si="89">I88</f>
        <v>88.88888888889015</v>
      </c>
      <c r="F89" s="9">
        <f t="shared" si="67"/>
        <v>0.68</v>
      </c>
      <c r="G89" s="10">
        <f t="shared" si="53"/>
        <v>11.111111111111111</v>
      </c>
      <c r="H89" s="9">
        <f t="shared" si="74"/>
        <v>0.68</v>
      </c>
      <c r="I89" s="11">
        <f t="shared" si="88"/>
        <v>77.777777777779036</v>
      </c>
      <c r="K89" s="9">
        <f t="shared" si="76"/>
        <v>71</v>
      </c>
      <c r="L89" s="9" t="s">
        <v>86</v>
      </c>
      <c r="M89" s="45">
        <v>47757</v>
      </c>
      <c r="N89" s="46">
        <v>31</v>
      </c>
      <c r="O89" s="11">
        <f t="shared" si="71"/>
        <v>111.11111111110975</v>
      </c>
      <c r="P89" s="9">
        <f t="shared" si="68"/>
        <v>0.85</v>
      </c>
      <c r="Q89" s="10">
        <f t="shared" si="54"/>
        <v>13.888888888888889</v>
      </c>
      <c r="R89" s="9">
        <f t="shared" si="75"/>
        <v>0.85</v>
      </c>
      <c r="S89" s="11">
        <f t="shared" si="72"/>
        <v>97.222222222220864</v>
      </c>
      <c r="U89" s="9">
        <f t="shared" si="77"/>
        <v>71</v>
      </c>
      <c r="V89" s="9" t="s">
        <v>86</v>
      </c>
      <c r="W89" s="45">
        <v>47788</v>
      </c>
      <c r="X89" s="46">
        <v>30</v>
      </c>
      <c r="Y89" s="9">
        <f t="shared" si="84"/>
        <v>100.00000000000001</v>
      </c>
      <c r="Z89" s="9">
        <f t="shared" si="79"/>
        <v>0.74</v>
      </c>
      <c r="AA89" s="9">
        <f t="shared" si="55"/>
        <v>12.5</v>
      </c>
      <c r="AB89" s="9">
        <f t="shared" si="80"/>
        <v>0.74</v>
      </c>
      <c r="AC89" s="9">
        <f t="shared" si="81"/>
        <v>87.500000000000014</v>
      </c>
      <c r="AE89" s="9">
        <f t="shared" si="78"/>
        <v>71</v>
      </c>
      <c r="AF89" s="9" t="s">
        <v>86</v>
      </c>
      <c r="AG89" s="45">
        <v>47788</v>
      </c>
      <c r="AH89" s="46">
        <v>30</v>
      </c>
      <c r="AI89" s="9">
        <f t="shared" si="87"/>
        <v>100.00000000000001</v>
      </c>
      <c r="AJ89" s="9">
        <f t="shared" si="70"/>
        <v>0.74</v>
      </c>
      <c r="AK89" s="9">
        <f t="shared" si="56"/>
        <v>12.5</v>
      </c>
      <c r="AL89" s="9">
        <f t="shared" si="85"/>
        <v>0.74</v>
      </c>
      <c r="AM89" s="9">
        <f t="shared" si="86"/>
        <v>87.500000000000014</v>
      </c>
      <c r="AP89" s="8">
        <f t="shared" si="82"/>
        <v>-0.16999999999999993</v>
      </c>
    </row>
    <row r="90" spans="1:42" x14ac:dyDescent="0.35">
      <c r="A90" s="9">
        <f t="shared" si="83"/>
        <v>72</v>
      </c>
      <c r="B90" s="9" t="s">
        <v>86</v>
      </c>
      <c r="C90" s="45">
        <v>47757</v>
      </c>
      <c r="D90" s="46">
        <v>30</v>
      </c>
      <c r="E90" s="11">
        <f t="shared" si="89"/>
        <v>77.777777777779036</v>
      </c>
      <c r="F90" s="9">
        <f t="shared" si="67"/>
        <v>0.57999999999999996</v>
      </c>
      <c r="G90" s="10">
        <f t="shared" ref="G90:G96" si="90">$E$25/72</f>
        <v>11.111111111111111</v>
      </c>
      <c r="H90" s="9">
        <f t="shared" si="74"/>
        <v>0.57999999999999996</v>
      </c>
      <c r="I90" s="11">
        <f t="shared" si="88"/>
        <v>66.666666666667922</v>
      </c>
      <c r="K90" s="9">
        <f t="shared" si="76"/>
        <v>72</v>
      </c>
      <c r="L90" s="9" t="s">
        <v>86</v>
      </c>
      <c r="M90" s="45">
        <v>47788</v>
      </c>
      <c r="N90" s="46">
        <v>30</v>
      </c>
      <c r="O90" s="11">
        <f t="shared" si="71"/>
        <v>97.222222222220864</v>
      </c>
      <c r="P90" s="9">
        <f t="shared" si="68"/>
        <v>0.72</v>
      </c>
      <c r="Q90" s="10">
        <f t="shared" ref="Q90:Q96" si="91">$O$25/72</f>
        <v>13.888888888888889</v>
      </c>
      <c r="R90" s="9">
        <f t="shared" si="75"/>
        <v>0.72</v>
      </c>
      <c r="S90" s="11">
        <f t="shared" si="72"/>
        <v>83.333333333331979</v>
      </c>
      <c r="U90" s="9">
        <f t="shared" si="77"/>
        <v>72</v>
      </c>
      <c r="V90" s="9" t="s">
        <v>86</v>
      </c>
      <c r="W90" s="45">
        <v>47818</v>
      </c>
      <c r="X90" s="46">
        <v>31</v>
      </c>
      <c r="Y90" s="9">
        <f t="shared" si="84"/>
        <v>87.500000000000014</v>
      </c>
      <c r="Z90" s="9">
        <f t="shared" si="79"/>
        <v>0.67</v>
      </c>
      <c r="AA90" s="9">
        <f t="shared" ref="AA90:AA96" si="92">ROUND($Y$25/72,2)</f>
        <v>12.5</v>
      </c>
      <c r="AB90" s="9">
        <f t="shared" si="80"/>
        <v>0.67</v>
      </c>
      <c r="AC90" s="9">
        <f t="shared" si="81"/>
        <v>75.000000000000014</v>
      </c>
      <c r="AE90" s="9">
        <f t="shared" si="78"/>
        <v>72</v>
      </c>
      <c r="AF90" s="9" t="s">
        <v>86</v>
      </c>
      <c r="AG90" s="45">
        <v>47818</v>
      </c>
      <c r="AH90" s="46">
        <v>31</v>
      </c>
      <c r="AI90" s="9">
        <f t="shared" si="87"/>
        <v>87.500000000000014</v>
      </c>
      <c r="AJ90" s="9">
        <f t="shared" si="70"/>
        <v>0.67</v>
      </c>
      <c r="AK90" s="9">
        <f t="shared" ref="AK90:AK96" si="93">ROUND($AI$25/72,2)</f>
        <v>12.5</v>
      </c>
      <c r="AL90" s="9">
        <f t="shared" si="85"/>
        <v>0.67</v>
      </c>
      <c r="AM90" s="9">
        <f t="shared" si="86"/>
        <v>75.000000000000014</v>
      </c>
      <c r="AP90" s="8">
        <f t="shared" si="82"/>
        <v>-0.14000000000000001</v>
      </c>
    </row>
    <row r="91" spans="1:42" x14ac:dyDescent="0.35">
      <c r="A91" s="9">
        <f t="shared" si="83"/>
        <v>73</v>
      </c>
      <c r="B91" s="9" t="s">
        <v>86</v>
      </c>
      <c r="C91" s="45">
        <v>47788</v>
      </c>
      <c r="D91" s="46">
        <v>31</v>
      </c>
      <c r="E91" s="11">
        <f t="shared" si="89"/>
        <v>66.666666666667922</v>
      </c>
      <c r="F91" s="9">
        <f t="shared" si="67"/>
        <v>0.51</v>
      </c>
      <c r="G91" s="10">
        <f t="shared" si="90"/>
        <v>11.111111111111111</v>
      </c>
      <c r="H91" s="9">
        <f t="shared" si="74"/>
        <v>0.51</v>
      </c>
      <c r="I91" s="11">
        <f t="shared" si="88"/>
        <v>55.555555555556815</v>
      </c>
      <c r="K91" s="9">
        <f t="shared" si="76"/>
        <v>73</v>
      </c>
      <c r="L91" s="9" t="s">
        <v>86</v>
      </c>
      <c r="M91" s="45">
        <v>47818</v>
      </c>
      <c r="N91" s="46">
        <v>31</v>
      </c>
      <c r="O91" s="11">
        <f t="shared" si="71"/>
        <v>83.333333333331979</v>
      </c>
      <c r="P91" s="9">
        <f t="shared" si="68"/>
        <v>0.64</v>
      </c>
      <c r="Q91" s="10">
        <f t="shared" si="91"/>
        <v>13.888888888888889</v>
      </c>
      <c r="R91" s="9">
        <f t="shared" si="75"/>
        <v>0.64</v>
      </c>
      <c r="S91" s="11">
        <f t="shared" si="72"/>
        <v>69.444444444443093</v>
      </c>
      <c r="U91" s="9">
        <f t="shared" si="77"/>
        <v>73</v>
      </c>
      <c r="V91" s="9" t="s">
        <v>86</v>
      </c>
      <c r="W91" s="45">
        <v>47849</v>
      </c>
      <c r="X91" s="46">
        <v>31</v>
      </c>
      <c r="Y91" s="9">
        <f t="shared" si="84"/>
        <v>75.000000000000014</v>
      </c>
      <c r="Z91" s="9">
        <f t="shared" si="79"/>
        <v>0.56999999999999995</v>
      </c>
      <c r="AA91" s="9">
        <f t="shared" si="92"/>
        <v>12.5</v>
      </c>
      <c r="AB91" s="9">
        <f t="shared" si="80"/>
        <v>0.56999999999999995</v>
      </c>
      <c r="AC91" s="9">
        <f t="shared" si="81"/>
        <v>62.500000000000007</v>
      </c>
      <c r="AE91" s="9">
        <f t="shared" si="78"/>
        <v>73</v>
      </c>
      <c r="AF91" s="9" t="s">
        <v>86</v>
      </c>
      <c r="AG91" s="45">
        <v>47849</v>
      </c>
      <c r="AH91" s="46">
        <v>31</v>
      </c>
      <c r="AI91" s="9">
        <f t="shared" si="87"/>
        <v>75.000000000000014</v>
      </c>
      <c r="AJ91" s="9">
        <f t="shared" si="70"/>
        <v>0.56999999999999995</v>
      </c>
      <c r="AK91" s="9">
        <f t="shared" si="93"/>
        <v>12.5</v>
      </c>
      <c r="AL91" s="9">
        <f t="shared" si="85"/>
        <v>0.56999999999999995</v>
      </c>
      <c r="AM91" s="9">
        <f t="shared" si="86"/>
        <v>62.500000000000007</v>
      </c>
      <c r="AP91" s="8">
        <f t="shared" si="82"/>
        <v>-0.13</v>
      </c>
    </row>
    <row r="92" spans="1:42" x14ac:dyDescent="0.35">
      <c r="A92" s="9">
        <f t="shared" si="83"/>
        <v>74</v>
      </c>
      <c r="B92" s="9" t="s">
        <v>86</v>
      </c>
      <c r="C92" s="45">
        <v>47818</v>
      </c>
      <c r="D92" s="46">
        <v>31</v>
      </c>
      <c r="E92" s="11">
        <f t="shared" si="89"/>
        <v>55.555555555556815</v>
      </c>
      <c r="F92" s="9">
        <f t="shared" si="67"/>
        <v>0.42</v>
      </c>
      <c r="G92" s="10">
        <f t="shared" si="90"/>
        <v>11.111111111111111</v>
      </c>
      <c r="H92" s="9">
        <f t="shared" si="74"/>
        <v>0.42</v>
      </c>
      <c r="I92" s="11">
        <f t="shared" si="88"/>
        <v>44.444444444445708</v>
      </c>
      <c r="K92" s="9">
        <f t="shared" si="76"/>
        <v>74</v>
      </c>
      <c r="L92" s="9" t="s">
        <v>86</v>
      </c>
      <c r="M92" s="45">
        <v>47849</v>
      </c>
      <c r="N92" s="46">
        <v>31</v>
      </c>
      <c r="O92" s="11">
        <f t="shared" si="71"/>
        <v>69.444444444443093</v>
      </c>
      <c r="P92" s="9">
        <f t="shared" si="68"/>
        <v>0.53</v>
      </c>
      <c r="Q92" s="10">
        <f t="shared" si="91"/>
        <v>13.888888888888889</v>
      </c>
      <c r="R92" s="9">
        <f t="shared" si="75"/>
        <v>0.53</v>
      </c>
      <c r="S92" s="11">
        <f t="shared" si="72"/>
        <v>55.555555555554207</v>
      </c>
      <c r="U92" s="9">
        <f t="shared" si="77"/>
        <v>74</v>
      </c>
      <c r="V92" s="9" t="s">
        <v>86</v>
      </c>
      <c r="W92" s="45">
        <v>47880</v>
      </c>
      <c r="X92" s="46">
        <v>28</v>
      </c>
      <c r="Y92" s="9">
        <f t="shared" si="84"/>
        <v>62.500000000000007</v>
      </c>
      <c r="Z92" s="9">
        <f t="shared" si="79"/>
        <v>0.43</v>
      </c>
      <c r="AA92" s="9">
        <f t="shared" si="92"/>
        <v>12.5</v>
      </c>
      <c r="AB92" s="9">
        <f t="shared" si="80"/>
        <v>0.43</v>
      </c>
      <c r="AC92" s="9">
        <f t="shared" si="81"/>
        <v>50.000000000000007</v>
      </c>
      <c r="AE92" s="9">
        <f t="shared" si="78"/>
        <v>74</v>
      </c>
      <c r="AF92" s="9" t="s">
        <v>86</v>
      </c>
      <c r="AG92" s="45">
        <v>47880</v>
      </c>
      <c r="AH92" s="46">
        <v>28</v>
      </c>
      <c r="AI92" s="9">
        <f t="shared" si="87"/>
        <v>62.500000000000007</v>
      </c>
      <c r="AJ92" s="9">
        <f t="shared" si="70"/>
        <v>0.43</v>
      </c>
      <c r="AK92" s="9">
        <f t="shared" si="93"/>
        <v>12.5</v>
      </c>
      <c r="AL92" s="9">
        <f t="shared" si="85"/>
        <v>0.43</v>
      </c>
      <c r="AM92" s="9">
        <f t="shared" si="86"/>
        <v>50.000000000000007</v>
      </c>
      <c r="AP92" s="8">
        <f t="shared" si="82"/>
        <v>-0.11000000000000004</v>
      </c>
    </row>
    <row r="93" spans="1:42" x14ac:dyDescent="0.35">
      <c r="A93" s="9">
        <f t="shared" si="83"/>
        <v>75</v>
      </c>
      <c r="B93" s="9" t="s">
        <v>86</v>
      </c>
      <c r="C93" s="45">
        <v>47849</v>
      </c>
      <c r="D93" s="46">
        <v>28</v>
      </c>
      <c r="E93" s="11">
        <f t="shared" si="89"/>
        <v>44.444444444445708</v>
      </c>
      <c r="F93" s="9">
        <f t="shared" si="67"/>
        <v>0.31</v>
      </c>
      <c r="G93" s="10">
        <f t="shared" si="90"/>
        <v>11.111111111111111</v>
      </c>
      <c r="H93" s="9">
        <f t="shared" si="74"/>
        <v>0.31</v>
      </c>
      <c r="I93" s="11">
        <f t="shared" si="88"/>
        <v>33.333333333334593</v>
      </c>
      <c r="K93" s="9">
        <f t="shared" si="76"/>
        <v>75</v>
      </c>
      <c r="L93" s="9" t="s">
        <v>86</v>
      </c>
      <c r="M93" s="45">
        <v>47880</v>
      </c>
      <c r="N93" s="46">
        <v>28</v>
      </c>
      <c r="O93" s="11">
        <f t="shared" si="71"/>
        <v>55.555555555554207</v>
      </c>
      <c r="P93" s="9">
        <f t="shared" si="68"/>
        <v>0.38</v>
      </c>
      <c r="Q93" s="10">
        <f t="shared" si="91"/>
        <v>13.888888888888889</v>
      </c>
      <c r="R93" s="9">
        <f t="shared" si="75"/>
        <v>0.38</v>
      </c>
      <c r="S93" s="11">
        <f t="shared" si="72"/>
        <v>41.666666666665314</v>
      </c>
      <c r="U93" s="9">
        <f t="shared" si="77"/>
        <v>75</v>
      </c>
      <c r="V93" s="9" t="s">
        <v>86</v>
      </c>
      <c r="W93" s="45">
        <v>47908</v>
      </c>
      <c r="X93" s="46">
        <v>31</v>
      </c>
      <c r="Y93" s="9">
        <f t="shared" si="84"/>
        <v>50.000000000000007</v>
      </c>
      <c r="Z93" s="9">
        <f t="shared" si="79"/>
        <v>0.38</v>
      </c>
      <c r="AA93" s="9">
        <f t="shared" si="92"/>
        <v>12.5</v>
      </c>
      <c r="AB93" s="9">
        <f t="shared" si="80"/>
        <v>0.38</v>
      </c>
      <c r="AC93" s="9">
        <f t="shared" si="81"/>
        <v>37.500000000000007</v>
      </c>
      <c r="AE93" s="9">
        <f t="shared" si="78"/>
        <v>75</v>
      </c>
      <c r="AF93" s="9" t="s">
        <v>86</v>
      </c>
      <c r="AG93" s="45">
        <v>47908</v>
      </c>
      <c r="AH93" s="46">
        <v>31</v>
      </c>
      <c r="AI93" s="9">
        <f t="shared" si="87"/>
        <v>50.000000000000007</v>
      </c>
      <c r="AJ93" s="9">
        <f t="shared" si="70"/>
        <v>0.38</v>
      </c>
      <c r="AK93" s="9">
        <f t="shared" si="93"/>
        <v>12.5</v>
      </c>
      <c r="AL93" s="9">
        <f t="shared" si="85"/>
        <v>0.38</v>
      </c>
      <c r="AM93" s="9">
        <f t="shared" si="86"/>
        <v>37.500000000000007</v>
      </c>
      <c r="AP93" s="8">
        <f t="shared" si="82"/>
        <v>-7.0000000000000007E-2</v>
      </c>
    </row>
    <row r="94" spans="1:42" x14ac:dyDescent="0.35">
      <c r="A94" s="9">
        <f t="shared" si="83"/>
        <v>76</v>
      </c>
      <c r="B94" s="9" t="s">
        <v>86</v>
      </c>
      <c r="C94" s="45">
        <v>47880</v>
      </c>
      <c r="D94" s="46">
        <v>31</v>
      </c>
      <c r="E94" s="11">
        <f t="shared" si="89"/>
        <v>33.333333333334593</v>
      </c>
      <c r="F94" s="9">
        <f t="shared" si="67"/>
        <v>0.25</v>
      </c>
      <c r="G94" s="10">
        <f t="shared" si="90"/>
        <v>11.111111111111111</v>
      </c>
      <c r="H94" s="9">
        <f t="shared" si="74"/>
        <v>0.25</v>
      </c>
      <c r="I94" s="11">
        <f t="shared" si="88"/>
        <v>22.222222222223483</v>
      </c>
      <c r="K94" s="9">
        <f t="shared" si="76"/>
        <v>76</v>
      </c>
      <c r="L94" s="9" t="s">
        <v>86</v>
      </c>
      <c r="M94" s="45">
        <v>47908</v>
      </c>
      <c r="N94" s="46">
        <v>31</v>
      </c>
      <c r="O94" s="11">
        <f t="shared" si="71"/>
        <v>41.666666666665314</v>
      </c>
      <c r="P94" s="9">
        <f t="shared" si="68"/>
        <v>0.32</v>
      </c>
      <c r="Q94" s="10">
        <f t="shared" si="91"/>
        <v>13.888888888888889</v>
      </c>
      <c r="R94" s="9">
        <f t="shared" si="75"/>
        <v>0.32</v>
      </c>
      <c r="S94" s="11">
        <f t="shared" si="72"/>
        <v>27.777777777776425</v>
      </c>
      <c r="U94" s="9">
        <f t="shared" si="77"/>
        <v>76</v>
      </c>
      <c r="V94" s="9" t="s">
        <v>87</v>
      </c>
      <c r="W94" s="45">
        <v>48305</v>
      </c>
      <c r="X94" s="46">
        <v>30</v>
      </c>
      <c r="Y94" s="9">
        <f t="shared" si="84"/>
        <v>37.500000000000007</v>
      </c>
      <c r="Z94" s="9">
        <f t="shared" si="79"/>
        <v>0.28000000000000003</v>
      </c>
      <c r="AA94" s="9">
        <f t="shared" si="92"/>
        <v>12.5</v>
      </c>
      <c r="AB94" s="9">
        <f t="shared" si="80"/>
        <v>0.28000000000000003</v>
      </c>
      <c r="AC94" s="9">
        <f t="shared" si="81"/>
        <v>25.000000000000007</v>
      </c>
      <c r="AE94" s="9">
        <f t="shared" si="78"/>
        <v>76</v>
      </c>
      <c r="AF94" s="9" t="s">
        <v>87</v>
      </c>
      <c r="AG94" s="45">
        <v>48305</v>
      </c>
      <c r="AH94" s="46">
        <v>30</v>
      </c>
      <c r="AI94" s="9">
        <f t="shared" si="87"/>
        <v>37.500000000000007</v>
      </c>
      <c r="AJ94" s="9">
        <f t="shared" si="70"/>
        <v>0.28000000000000003</v>
      </c>
      <c r="AK94" s="9">
        <f t="shared" si="93"/>
        <v>12.5</v>
      </c>
      <c r="AL94" s="9">
        <f t="shared" si="85"/>
        <v>0.28000000000000003</v>
      </c>
      <c r="AM94" s="9">
        <f t="shared" si="86"/>
        <v>25.000000000000007</v>
      </c>
      <c r="AP94" s="8">
        <f t="shared" si="82"/>
        <v>-7.0000000000000007E-2</v>
      </c>
    </row>
    <row r="95" spans="1:42" x14ac:dyDescent="0.35">
      <c r="A95" s="9">
        <f t="shared" si="83"/>
        <v>77</v>
      </c>
      <c r="B95" s="9" t="s">
        <v>86</v>
      </c>
      <c r="C95" s="45">
        <v>47908</v>
      </c>
      <c r="D95" s="46">
        <v>30</v>
      </c>
      <c r="E95" s="11">
        <f>I94</f>
        <v>22.222222222223483</v>
      </c>
      <c r="F95" s="9">
        <f t="shared" si="67"/>
        <v>0.16</v>
      </c>
      <c r="G95" s="10">
        <f t="shared" si="90"/>
        <v>11.111111111111111</v>
      </c>
      <c r="H95" s="9">
        <f t="shared" si="74"/>
        <v>0.16</v>
      </c>
      <c r="I95" s="11">
        <f t="shared" si="88"/>
        <v>11.111111111112372</v>
      </c>
      <c r="K95" s="9">
        <f t="shared" si="76"/>
        <v>77</v>
      </c>
      <c r="L95" s="9" t="s">
        <v>87</v>
      </c>
      <c r="M95" s="45">
        <v>48305</v>
      </c>
      <c r="N95" s="46">
        <v>30</v>
      </c>
      <c r="O95" s="11">
        <f t="shared" si="71"/>
        <v>27.777777777776425</v>
      </c>
      <c r="P95" s="9">
        <f t="shared" si="68"/>
        <v>0.21</v>
      </c>
      <c r="Q95" s="10">
        <f t="shared" si="91"/>
        <v>13.888888888888889</v>
      </c>
      <c r="R95" s="9">
        <f t="shared" si="75"/>
        <v>0.21</v>
      </c>
      <c r="S95" s="10">
        <f t="shared" si="72"/>
        <v>13.888888888887536</v>
      </c>
      <c r="U95" s="9">
        <v>77</v>
      </c>
      <c r="V95" s="9" t="s">
        <v>87</v>
      </c>
      <c r="W95" s="45">
        <v>48335</v>
      </c>
      <c r="X95" s="46">
        <v>31</v>
      </c>
      <c r="Y95" s="9">
        <f>AC94</f>
        <v>25.000000000000007</v>
      </c>
      <c r="Z95" s="9">
        <f t="shared" si="79"/>
        <v>0.19</v>
      </c>
      <c r="AA95" s="9">
        <f t="shared" si="92"/>
        <v>12.5</v>
      </c>
      <c r="AB95" s="9">
        <f t="shared" si="80"/>
        <v>0.19</v>
      </c>
      <c r="AC95" s="9">
        <f t="shared" si="81"/>
        <v>12.500000000000009</v>
      </c>
      <c r="AE95" s="9">
        <v>77</v>
      </c>
      <c r="AF95" s="9" t="s">
        <v>87</v>
      </c>
      <c r="AG95" s="45">
        <v>48335</v>
      </c>
      <c r="AH95" s="46">
        <v>31</v>
      </c>
      <c r="AI95" s="9">
        <f t="shared" si="87"/>
        <v>25.000000000000007</v>
      </c>
      <c r="AJ95" s="9">
        <f t="shared" si="70"/>
        <v>0.19</v>
      </c>
      <c r="AK95" s="9">
        <f t="shared" si="93"/>
        <v>12.5</v>
      </c>
      <c r="AL95" s="9">
        <f t="shared" si="85"/>
        <v>0.19</v>
      </c>
      <c r="AM95" s="9">
        <f t="shared" si="86"/>
        <v>12.500000000000009</v>
      </c>
      <c r="AP95" s="8">
        <f t="shared" si="82"/>
        <v>-4.9999999999999989E-2</v>
      </c>
    </row>
    <row r="96" spans="1:42" x14ac:dyDescent="0.35">
      <c r="A96" s="9">
        <f t="shared" si="83"/>
        <v>78</v>
      </c>
      <c r="B96" s="9" t="s">
        <v>87</v>
      </c>
      <c r="C96" s="45">
        <v>47939</v>
      </c>
      <c r="D96" s="46">
        <v>31</v>
      </c>
      <c r="E96" s="11">
        <f>I95</f>
        <v>11.111111111112372</v>
      </c>
      <c r="F96" s="10">
        <f t="shared" si="67"/>
        <v>0.08</v>
      </c>
      <c r="G96" s="10">
        <f t="shared" si="90"/>
        <v>11.111111111111111</v>
      </c>
      <c r="H96" s="10">
        <f t="shared" si="74"/>
        <v>0.08</v>
      </c>
      <c r="I96" s="11">
        <f t="shared" si="88"/>
        <v>1.2612827449132169E-12</v>
      </c>
      <c r="K96" s="9">
        <v>78</v>
      </c>
      <c r="L96" s="9" t="s">
        <v>87</v>
      </c>
      <c r="M96" s="45">
        <v>48335</v>
      </c>
      <c r="N96" s="46">
        <v>31</v>
      </c>
      <c r="O96" s="11">
        <f>S95</f>
        <v>13.888888888887536</v>
      </c>
      <c r="P96" s="9">
        <f t="shared" si="68"/>
        <v>0.11</v>
      </c>
      <c r="Q96" s="10">
        <f t="shared" si="91"/>
        <v>13.888888888888889</v>
      </c>
      <c r="R96" s="9">
        <f t="shared" si="75"/>
        <v>0.11</v>
      </c>
      <c r="S96" s="10">
        <f t="shared" si="72"/>
        <v>-1.3541529009231112E-12</v>
      </c>
      <c r="U96" s="9">
        <v>78</v>
      </c>
      <c r="V96" s="9" t="s">
        <v>87</v>
      </c>
      <c r="W96" s="45">
        <v>48366</v>
      </c>
      <c r="X96" s="46">
        <v>30</v>
      </c>
      <c r="Y96" s="9">
        <f>AC95</f>
        <v>12.500000000000009</v>
      </c>
      <c r="Z96" s="9">
        <f t="shared" si="79"/>
        <v>0.09</v>
      </c>
      <c r="AA96" s="9">
        <f t="shared" si="92"/>
        <v>12.5</v>
      </c>
      <c r="AB96" s="9">
        <f t="shared" si="80"/>
        <v>0.09</v>
      </c>
      <c r="AC96" s="10">
        <f t="shared" si="81"/>
        <v>8.7430063189231078E-15</v>
      </c>
      <c r="AE96" s="9">
        <v>78</v>
      </c>
      <c r="AF96" s="9" t="s">
        <v>87</v>
      </c>
      <c r="AG96" s="45">
        <v>48366</v>
      </c>
      <c r="AH96" s="46">
        <v>30</v>
      </c>
      <c r="AI96" s="9">
        <f t="shared" si="87"/>
        <v>12.500000000000009</v>
      </c>
      <c r="AJ96" s="9">
        <f t="shared" si="70"/>
        <v>0.09</v>
      </c>
      <c r="AK96" s="9">
        <f t="shared" si="93"/>
        <v>12.5</v>
      </c>
      <c r="AL96" s="9">
        <f t="shared" si="85"/>
        <v>0.09</v>
      </c>
      <c r="AM96" s="10">
        <f t="shared" si="86"/>
        <v>8.7430063189231078E-15</v>
      </c>
      <c r="AP96" s="8">
        <f t="shared" si="82"/>
        <v>-0.03</v>
      </c>
    </row>
    <row r="97" spans="1:39" x14ac:dyDescent="0.35">
      <c r="A97" s="9"/>
      <c r="B97" s="9"/>
      <c r="C97" s="45"/>
      <c r="D97" s="46"/>
      <c r="E97" s="9" t="s">
        <v>292</v>
      </c>
      <c r="F97" s="10">
        <f>SUM(F19:F96)</f>
        <v>254.89000000000004</v>
      </c>
      <c r="G97" s="11">
        <f>SUM(G23:G96)</f>
        <v>799.99999999999886</v>
      </c>
      <c r="H97" s="9">
        <f>SUM(H19:H96)</f>
        <v>254.89000000000004</v>
      </c>
      <c r="I97" s="9"/>
      <c r="K97" s="9"/>
      <c r="L97" s="9"/>
      <c r="M97" s="45"/>
      <c r="N97" s="46"/>
      <c r="O97" s="9"/>
      <c r="P97" s="9">
        <f>SUM(P19:P96)</f>
        <v>318.61</v>
      </c>
      <c r="Q97" s="9">
        <f>SUM(Q19:Q96)</f>
        <v>1000.0000000000013</v>
      </c>
      <c r="R97" s="9">
        <f>SUM(R19:R96)</f>
        <v>318.61</v>
      </c>
      <c r="S97" s="9"/>
      <c r="U97" s="9"/>
      <c r="V97" s="9"/>
      <c r="W97" s="45"/>
      <c r="X97" s="46"/>
      <c r="Y97" s="9"/>
      <c r="Z97" s="9">
        <f>SUM(Z19:Z96)</f>
        <v>286.68999999999994</v>
      </c>
      <c r="AA97" s="9">
        <f>SUM(AA19:AA96)</f>
        <v>900</v>
      </c>
      <c r="AB97" s="9">
        <f>SUM(AB19:AB96)</f>
        <v>286.68999999999994</v>
      </c>
      <c r="AC97" s="9"/>
      <c r="AE97" s="9"/>
      <c r="AF97" s="9"/>
      <c r="AG97" s="45"/>
      <c r="AH97" s="46"/>
      <c r="AI97" s="9"/>
      <c r="AJ97" s="9">
        <f>SUM(AJ19:AJ96)</f>
        <v>286.68999999999994</v>
      </c>
      <c r="AK97" s="9">
        <f>SUM(AK19:AK96)</f>
        <v>900</v>
      </c>
      <c r="AL97" s="9">
        <f>SUM(AL19:AL96)</f>
        <v>286.68999999999994</v>
      </c>
      <c r="AM97" s="9"/>
    </row>
    <row r="98" spans="1:39" x14ac:dyDescent="0.35">
      <c r="A98" s="27"/>
      <c r="B98" s="27"/>
      <c r="C98" s="78"/>
      <c r="D98" s="79"/>
      <c r="E98" s="27"/>
      <c r="F98" s="27"/>
      <c r="G98" s="27"/>
      <c r="H98" s="27"/>
      <c r="I98" s="27"/>
      <c r="K98" s="9"/>
      <c r="L98" s="9"/>
      <c r="M98" s="45"/>
      <c r="N98" s="46"/>
      <c r="O98" s="9"/>
      <c r="P98" s="9"/>
      <c r="Q98" s="9"/>
      <c r="R98" s="9"/>
      <c r="S98" s="9"/>
      <c r="U98" s="9"/>
      <c r="V98" s="9"/>
      <c r="W98" s="45"/>
      <c r="X98" s="46"/>
      <c r="Y98" s="9"/>
      <c r="Z98" s="9"/>
      <c r="AA98" s="9"/>
      <c r="AB98" s="9"/>
      <c r="AC98" s="9"/>
      <c r="AE98" s="9"/>
      <c r="AF98" s="9"/>
      <c r="AG98" s="45"/>
      <c r="AH98" s="46"/>
      <c r="AI98" s="9"/>
      <c r="AJ98" s="9"/>
      <c r="AK98" s="9"/>
      <c r="AL98" s="9"/>
      <c r="AM98" s="9"/>
    </row>
    <row r="99" spans="1:39" x14ac:dyDescent="0.35">
      <c r="B99" s="9" t="s">
        <v>81</v>
      </c>
      <c r="G99" t="s">
        <v>293</v>
      </c>
      <c r="AE99" s="9"/>
      <c r="AF99" s="9"/>
      <c r="AG99" s="9"/>
      <c r="AH99" s="9"/>
      <c r="AI99" s="9"/>
      <c r="AJ99" s="9"/>
      <c r="AK99" s="9"/>
      <c r="AL99" s="9"/>
      <c r="AM99" s="9"/>
    </row>
    <row r="100" spans="1:39" x14ac:dyDescent="0.35">
      <c r="B100" s="9" t="s">
        <v>82</v>
      </c>
    </row>
    <row r="101" spans="1:39" x14ac:dyDescent="0.35">
      <c r="B101" s="9" t="s">
        <v>83</v>
      </c>
    </row>
    <row r="102" spans="1:39" x14ac:dyDescent="0.35">
      <c r="B102" s="9" t="s">
        <v>84</v>
      </c>
    </row>
    <row r="103" spans="1:39" x14ac:dyDescent="0.35">
      <c r="B103" s="9" t="s">
        <v>85</v>
      </c>
    </row>
    <row r="104" spans="1:39" x14ac:dyDescent="0.35">
      <c r="B104" s="9" t="s">
        <v>86</v>
      </c>
    </row>
    <row r="105" spans="1:39" x14ac:dyDescent="0.35">
      <c r="B105" s="9" t="s">
        <v>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topLeftCell="C1" workbookViewId="0">
      <selection activeCell="L28" sqref="L28"/>
    </sheetView>
  </sheetViews>
  <sheetFormatPr defaultRowHeight="14.5" x14ac:dyDescent="0.35"/>
  <cols>
    <col min="1" max="1" width="4.1796875" customWidth="1"/>
    <col min="2" max="2" width="23.26953125" customWidth="1"/>
    <col min="3" max="3" width="12.7265625" customWidth="1"/>
    <col min="4" max="4" width="11.26953125" customWidth="1"/>
    <col min="5" max="5" width="12.81640625" customWidth="1"/>
    <col min="6" max="6" width="11.81640625" customWidth="1"/>
    <col min="7" max="7" width="13.7265625" customWidth="1"/>
    <col min="8" max="8" width="15.1796875" customWidth="1"/>
    <col min="9" max="9" width="15.54296875" customWidth="1"/>
    <col min="10" max="12" width="14.81640625" customWidth="1"/>
  </cols>
  <sheetData>
    <row r="1" spans="1:13" ht="29.15" customHeight="1" x14ac:dyDescent="0.35">
      <c r="A1" s="81" t="s">
        <v>30</v>
      </c>
      <c r="B1" s="81" t="s">
        <v>31</v>
      </c>
      <c r="C1" s="82" t="s">
        <v>93</v>
      </c>
      <c r="D1" s="82" t="s">
        <v>94</v>
      </c>
      <c r="E1" s="82" t="s">
        <v>95</v>
      </c>
      <c r="F1" s="82" t="s">
        <v>96</v>
      </c>
      <c r="G1" s="82" t="s">
        <v>97</v>
      </c>
      <c r="H1" s="82" t="s">
        <v>98</v>
      </c>
      <c r="I1" s="82" t="s">
        <v>99</v>
      </c>
      <c r="J1" s="82" t="s">
        <v>100</v>
      </c>
      <c r="K1" s="82" t="s">
        <v>306</v>
      </c>
      <c r="L1" s="82" t="s">
        <v>304</v>
      </c>
      <c r="M1" s="82" t="s">
        <v>112</v>
      </c>
    </row>
    <row r="2" spans="1:13" x14ac:dyDescent="0.35">
      <c r="A2" s="9">
        <v>1</v>
      </c>
      <c r="B2" s="9" t="s">
        <v>68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35">
      <c r="A3" s="9"/>
      <c r="B3" s="9" t="s">
        <v>108</v>
      </c>
      <c r="C3" s="9">
        <v>2</v>
      </c>
      <c r="D3" s="9">
        <v>12</v>
      </c>
      <c r="E3" s="9">
        <v>12</v>
      </c>
      <c r="F3" s="9">
        <v>12</v>
      </c>
      <c r="G3" s="9">
        <v>12</v>
      </c>
      <c r="H3" s="9">
        <v>12</v>
      </c>
      <c r="I3" s="9">
        <v>12</v>
      </c>
      <c r="J3" s="9">
        <v>12</v>
      </c>
      <c r="K3" s="9">
        <v>12</v>
      </c>
      <c r="L3" s="9">
        <v>12</v>
      </c>
      <c r="M3" s="9">
        <f>SUM(C3:L3)</f>
        <v>110</v>
      </c>
    </row>
    <row r="4" spans="1:13" x14ac:dyDescent="0.35">
      <c r="A4" s="9"/>
      <c r="B4" s="9" t="s">
        <v>109</v>
      </c>
      <c r="C4" s="10">
        <v>1100</v>
      </c>
      <c r="D4" s="10">
        <f t="shared" ref="D4:J4" si="0">C6</f>
        <v>1072.5</v>
      </c>
      <c r="E4" s="10">
        <f t="shared" si="0"/>
        <v>911.625</v>
      </c>
      <c r="F4" s="10">
        <f t="shared" si="0"/>
        <v>774.88125000000002</v>
      </c>
      <c r="G4" s="10">
        <f t="shared" si="0"/>
        <v>658.64906250000001</v>
      </c>
      <c r="H4" s="10">
        <f t="shared" si="0"/>
        <v>559.85170312499997</v>
      </c>
      <c r="I4" s="10">
        <f t="shared" si="0"/>
        <v>475.87394765624998</v>
      </c>
      <c r="J4" s="10">
        <f t="shared" si="0"/>
        <v>404.49285550781246</v>
      </c>
      <c r="K4" s="10">
        <f>J6</f>
        <v>343.81892718164062</v>
      </c>
      <c r="L4" s="10">
        <f>K6</f>
        <v>292.24608810439452</v>
      </c>
      <c r="M4" s="11">
        <f>C4</f>
        <v>1100</v>
      </c>
    </row>
    <row r="5" spans="1:13" x14ac:dyDescent="0.35">
      <c r="A5" s="9"/>
      <c r="B5" s="9" t="s">
        <v>110</v>
      </c>
      <c r="C5" s="10">
        <f>C4*15%*2/12</f>
        <v>27.5</v>
      </c>
      <c r="D5" s="10">
        <f t="shared" ref="D5:L5" si="1">D4*15%</f>
        <v>160.875</v>
      </c>
      <c r="E5" s="10">
        <f t="shared" si="1"/>
        <v>136.74375000000001</v>
      </c>
      <c r="F5" s="10">
        <f t="shared" si="1"/>
        <v>116.23218749999999</v>
      </c>
      <c r="G5" s="10">
        <f t="shared" si="1"/>
        <v>98.797359374999999</v>
      </c>
      <c r="H5" s="10">
        <f t="shared" si="1"/>
        <v>83.97775546874999</v>
      </c>
      <c r="I5" s="10">
        <f t="shared" si="1"/>
        <v>71.381092148437489</v>
      </c>
      <c r="J5" s="10">
        <f t="shared" si="1"/>
        <v>60.673928326171868</v>
      </c>
      <c r="K5" s="10">
        <f t="shared" si="1"/>
        <v>51.572839077246094</v>
      </c>
      <c r="L5" s="10">
        <f t="shared" si="1"/>
        <v>43.836913215659173</v>
      </c>
      <c r="M5" s="11">
        <f>SUM(C5:J5)</f>
        <v>756.18107281835933</v>
      </c>
    </row>
    <row r="6" spans="1:13" x14ac:dyDescent="0.35">
      <c r="A6" s="9"/>
      <c r="B6" s="9" t="s">
        <v>111</v>
      </c>
      <c r="C6" s="10">
        <f t="shared" ref="C6:M6" si="2">C4-C5</f>
        <v>1072.5</v>
      </c>
      <c r="D6" s="10">
        <f t="shared" si="2"/>
        <v>911.625</v>
      </c>
      <c r="E6" s="10">
        <f t="shared" si="2"/>
        <v>774.88125000000002</v>
      </c>
      <c r="F6" s="10">
        <f t="shared" si="2"/>
        <v>658.64906250000001</v>
      </c>
      <c r="G6" s="10">
        <f t="shared" si="2"/>
        <v>559.85170312499997</v>
      </c>
      <c r="H6" s="10">
        <f t="shared" si="2"/>
        <v>475.87394765624998</v>
      </c>
      <c r="I6" s="10">
        <f t="shared" si="2"/>
        <v>404.49285550781246</v>
      </c>
      <c r="J6" s="10">
        <f t="shared" si="2"/>
        <v>343.81892718164062</v>
      </c>
      <c r="K6" s="10">
        <f t="shared" si="2"/>
        <v>292.24608810439452</v>
      </c>
      <c r="L6" s="10">
        <f t="shared" si="2"/>
        <v>248.40917488873535</v>
      </c>
      <c r="M6" s="11">
        <f t="shared" si="2"/>
        <v>343.81892718164067</v>
      </c>
    </row>
    <row r="7" spans="1:13" x14ac:dyDescent="0.35">
      <c r="A7" s="9">
        <v>2</v>
      </c>
      <c r="B7" s="9" t="s">
        <v>234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35">
      <c r="A8" s="9"/>
      <c r="B8" s="9" t="s">
        <v>108</v>
      </c>
      <c r="C8" s="9">
        <v>1</v>
      </c>
      <c r="D8" s="9">
        <v>12</v>
      </c>
      <c r="E8" s="9">
        <v>12</v>
      </c>
      <c r="F8" s="9">
        <v>12</v>
      </c>
      <c r="G8" s="9">
        <v>12</v>
      </c>
      <c r="H8" s="9">
        <v>12</v>
      </c>
      <c r="I8" s="9">
        <v>12</v>
      </c>
      <c r="J8" s="9">
        <v>12</v>
      </c>
      <c r="K8" s="9">
        <v>12</v>
      </c>
      <c r="L8" s="9">
        <v>12</v>
      </c>
      <c r="M8" s="9">
        <f>SUM(C8:L8)</f>
        <v>109</v>
      </c>
    </row>
    <row r="9" spans="1:13" x14ac:dyDescent="0.35">
      <c r="A9" s="9"/>
      <c r="B9" s="9" t="s">
        <v>109</v>
      </c>
      <c r="C9" s="10">
        <v>1300</v>
      </c>
      <c r="D9" s="10">
        <f t="shared" ref="D9:J9" si="3">C11</f>
        <v>1283.75</v>
      </c>
      <c r="E9" s="10">
        <f t="shared" si="3"/>
        <v>1091.1875</v>
      </c>
      <c r="F9" s="10">
        <f t="shared" si="3"/>
        <v>927.50937499999998</v>
      </c>
      <c r="G9" s="10">
        <f t="shared" si="3"/>
        <v>788.38296874999992</v>
      </c>
      <c r="H9" s="10">
        <f t="shared" si="3"/>
        <v>670.12552343749996</v>
      </c>
      <c r="I9" s="10">
        <f t="shared" si="3"/>
        <v>569.60669492187503</v>
      </c>
      <c r="J9" s="10">
        <f t="shared" si="3"/>
        <v>484.16569068359377</v>
      </c>
      <c r="K9" s="10">
        <f>J11</f>
        <v>411.54083708105469</v>
      </c>
      <c r="L9" s="10">
        <f>K11</f>
        <v>349.80971151889651</v>
      </c>
      <c r="M9" s="11">
        <f>C9</f>
        <v>1300</v>
      </c>
    </row>
    <row r="10" spans="1:13" x14ac:dyDescent="0.35">
      <c r="A10" s="9"/>
      <c r="B10" s="9" t="s">
        <v>110</v>
      </c>
      <c r="C10" s="10">
        <f>C9*15%*1/12</f>
        <v>16.25</v>
      </c>
      <c r="D10" s="10">
        <f t="shared" ref="D10:L10" si="4">D9*15%</f>
        <v>192.5625</v>
      </c>
      <c r="E10" s="10">
        <f t="shared" si="4"/>
        <v>163.67812499999999</v>
      </c>
      <c r="F10" s="10">
        <f t="shared" si="4"/>
        <v>139.12640625</v>
      </c>
      <c r="G10" s="10">
        <f t="shared" si="4"/>
        <v>118.25744531249998</v>
      </c>
      <c r="H10" s="10">
        <f t="shared" si="4"/>
        <v>100.51882851562499</v>
      </c>
      <c r="I10" s="10">
        <f t="shared" si="4"/>
        <v>85.441004238281252</v>
      </c>
      <c r="J10" s="10">
        <f t="shared" si="4"/>
        <v>72.624853602539062</v>
      </c>
      <c r="K10" s="10">
        <f t="shared" si="4"/>
        <v>61.731125562158198</v>
      </c>
      <c r="L10" s="10">
        <f t="shared" si="4"/>
        <v>52.471456727834472</v>
      </c>
      <c r="M10" s="11">
        <f>SUM(C10:J10)</f>
        <v>888.45916291894525</v>
      </c>
    </row>
    <row r="11" spans="1:13" x14ac:dyDescent="0.35">
      <c r="A11" s="9"/>
      <c r="B11" s="9" t="s">
        <v>111</v>
      </c>
      <c r="C11" s="10">
        <f t="shared" ref="C11:M11" si="5">C9-C10</f>
        <v>1283.75</v>
      </c>
      <c r="D11" s="10">
        <f t="shared" si="5"/>
        <v>1091.1875</v>
      </c>
      <c r="E11" s="10">
        <f t="shared" si="5"/>
        <v>927.50937499999998</v>
      </c>
      <c r="F11" s="10">
        <f t="shared" si="5"/>
        <v>788.38296874999992</v>
      </c>
      <c r="G11" s="10">
        <f t="shared" si="5"/>
        <v>670.12552343749996</v>
      </c>
      <c r="H11" s="10">
        <f t="shared" si="5"/>
        <v>569.60669492187503</v>
      </c>
      <c r="I11" s="10">
        <f t="shared" si="5"/>
        <v>484.16569068359377</v>
      </c>
      <c r="J11" s="10">
        <f t="shared" si="5"/>
        <v>411.54083708105469</v>
      </c>
      <c r="K11" s="10">
        <f t="shared" si="5"/>
        <v>349.80971151889651</v>
      </c>
      <c r="L11" s="10">
        <f t="shared" si="5"/>
        <v>297.33825479106201</v>
      </c>
      <c r="M11" s="11">
        <f t="shared" si="5"/>
        <v>411.54083708105475</v>
      </c>
    </row>
    <row r="12" spans="1:13" x14ac:dyDescent="0.35">
      <c r="A12" s="9">
        <v>3</v>
      </c>
      <c r="B12" s="9" t="s">
        <v>89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35">
      <c r="A13" s="9"/>
      <c r="B13" s="9" t="s">
        <v>108</v>
      </c>
      <c r="C13" s="9">
        <v>0</v>
      </c>
      <c r="D13" s="9">
        <v>12</v>
      </c>
      <c r="E13" s="9">
        <v>12</v>
      </c>
      <c r="F13" s="9">
        <v>12</v>
      </c>
      <c r="G13" s="9">
        <v>12</v>
      </c>
      <c r="H13" s="9">
        <v>12</v>
      </c>
      <c r="I13" s="9">
        <v>12</v>
      </c>
      <c r="J13" s="9">
        <v>12</v>
      </c>
      <c r="K13" s="9">
        <v>12</v>
      </c>
      <c r="L13" s="9">
        <v>12</v>
      </c>
      <c r="M13" s="9">
        <f>SUM(C13:L13)</f>
        <v>108</v>
      </c>
    </row>
    <row r="14" spans="1:13" x14ac:dyDescent="0.35">
      <c r="A14" s="9"/>
      <c r="B14" s="9" t="s">
        <v>109</v>
      </c>
      <c r="C14" s="9"/>
      <c r="D14" s="11">
        <v>1200</v>
      </c>
      <c r="E14" s="11">
        <f>D16</f>
        <v>1020</v>
      </c>
      <c r="F14" s="11">
        <f t="shared" ref="F14:J14" si="6">E16</f>
        <v>867</v>
      </c>
      <c r="G14" s="11">
        <f t="shared" si="6"/>
        <v>736.95</v>
      </c>
      <c r="H14" s="11">
        <f t="shared" si="6"/>
        <v>626.40750000000003</v>
      </c>
      <c r="I14" s="11">
        <f t="shared" si="6"/>
        <v>532.44637499999999</v>
      </c>
      <c r="J14" s="11">
        <f t="shared" si="6"/>
        <v>452.57941875</v>
      </c>
      <c r="K14" s="11">
        <f>J16</f>
        <v>384.69250593750002</v>
      </c>
      <c r="L14" s="11">
        <f>K16</f>
        <v>326.98863004687502</v>
      </c>
      <c r="M14" s="11">
        <f>D14</f>
        <v>1200</v>
      </c>
    </row>
    <row r="15" spans="1:13" x14ac:dyDescent="0.35">
      <c r="A15" s="9"/>
      <c r="B15" s="9" t="s">
        <v>110</v>
      </c>
      <c r="C15" s="10"/>
      <c r="D15" s="11">
        <f>D14*15%</f>
        <v>180</v>
      </c>
      <c r="E15" s="11">
        <f t="shared" ref="E15:L15" si="7">E14*15%</f>
        <v>153</v>
      </c>
      <c r="F15" s="11">
        <f t="shared" si="7"/>
        <v>130.04999999999998</v>
      </c>
      <c r="G15" s="11">
        <f t="shared" si="7"/>
        <v>110.5425</v>
      </c>
      <c r="H15" s="11">
        <f t="shared" si="7"/>
        <v>93.961124999999996</v>
      </c>
      <c r="I15" s="11">
        <f t="shared" si="7"/>
        <v>79.866956250000001</v>
      </c>
      <c r="J15" s="11">
        <f t="shared" si="7"/>
        <v>67.8869128125</v>
      </c>
      <c r="K15" s="11">
        <f t="shared" si="7"/>
        <v>57.703875890625</v>
      </c>
      <c r="L15" s="11">
        <f t="shared" si="7"/>
        <v>49.048294507031251</v>
      </c>
      <c r="M15" s="11">
        <f>SUM(C15:J15)</f>
        <v>815.30749406250004</v>
      </c>
    </row>
    <row r="16" spans="1:13" x14ac:dyDescent="0.35">
      <c r="A16" s="9"/>
      <c r="B16" s="9" t="s">
        <v>111</v>
      </c>
      <c r="C16" s="11"/>
      <c r="D16" s="11">
        <f t="shared" ref="D16" si="8">D14-D15</f>
        <v>1020</v>
      </c>
      <c r="E16" s="11">
        <f t="shared" ref="E16" si="9">E14-E15</f>
        <v>867</v>
      </c>
      <c r="F16" s="11">
        <f t="shared" ref="F16" si="10">F14-F15</f>
        <v>736.95</v>
      </c>
      <c r="G16" s="11">
        <f t="shared" ref="G16" si="11">G14-G15</f>
        <v>626.40750000000003</v>
      </c>
      <c r="H16" s="11">
        <f t="shared" ref="H16" si="12">H14-H15</f>
        <v>532.44637499999999</v>
      </c>
      <c r="I16" s="11">
        <f t="shared" ref="I16" si="13">I14-I15</f>
        <v>452.57941875</v>
      </c>
      <c r="J16" s="11">
        <f t="shared" ref="J16:L16" si="14">J14-J15</f>
        <v>384.69250593750002</v>
      </c>
      <c r="K16" s="11">
        <f t="shared" si="14"/>
        <v>326.98863004687502</v>
      </c>
      <c r="L16" s="11">
        <f t="shared" si="14"/>
        <v>277.94033553984377</v>
      </c>
      <c r="M16" s="11">
        <f>M14-M15</f>
        <v>384.69250593749996</v>
      </c>
    </row>
    <row r="17" spans="1:13" x14ac:dyDescent="0.35">
      <c r="A17" s="9">
        <v>4</v>
      </c>
      <c r="B17" s="9" t="s">
        <v>270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35">
      <c r="A18" s="9"/>
      <c r="B18" s="9" t="s">
        <v>108</v>
      </c>
      <c r="C18" s="9">
        <v>0</v>
      </c>
      <c r="D18" s="9">
        <v>12</v>
      </c>
      <c r="E18" s="9">
        <v>12</v>
      </c>
      <c r="F18" s="9">
        <v>12</v>
      </c>
      <c r="G18" s="9">
        <v>12</v>
      </c>
      <c r="H18" s="9">
        <v>12</v>
      </c>
      <c r="I18" s="9">
        <v>12</v>
      </c>
      <c r="J18" s="9">
        <v>12</v>
      </c>
      <c r="K18" s="9">
        <v>12</v>
      </c>
      <c r="L18" s="9">
        <v>12</v>
      </c>
      <c r="M18" s="9">
        <f>SUM(C18:L18)</f>
        <v>108</v>
      </c>
    </row>
    <row r="19" spans="1:13" x14ac:dyDescent="0.35">
      <c r="A19" s="9"/>
      <c r="B19" s="9" t="s">
        <v>109</v>
      </c>
      <c r="C19" s="9"/>
      <c r="D19" s="11">
        <v>1200</v>
      </c>
      <c r="E19" s="11">
        <f t="shared" ref="E19:J19" si="15">D21</f>
        <v>1020</v>
      </c>
      <c r="F19" s="11">
        <f t="shared" si="15"/>
        <v>867</v>
      </c>
      <c r="G19" s="11">
        <f t="shared" si="15"/>
        <v>736.95</v>
      </c>
      <c r="H19" s="11">
        <f t="shared" si="15"/>
        <v>626.40750000000003</v>
      </c>
      <c r="I19" s="11">
        <f t="shared" si="15"/>
        <v>532.44637499999999</v>
      </c>
      <c r="J19" s="11">
        <f t="shared" si="15"/>
        <v>452.57941875</v>
      </c>
      <c r="K19" s="11">
        <f>J21</f>
        <v>384.69250593750002</v>
      </c>
      <c r="L19" s="11">
        <f>K21</f>
        <v>326.98863004687502</v>
      </c>
      <c r="M19" s="11">
        <f>D19</f>
        <v>1200</v>
      </c>
    </row>
    <row r="20" spans="1:13" x14ac:dyDescent="0.35">
      <c r="A20" s="9"/>
      <c r="B20" s="9" t="s">
        <v>110</v>
      </c>
      <c r="C20" s="10"/>
      <c r="D20" s="11">
        <f>D19*15%</f>
        <v>180</v>
      </c>
      <c r="E20" s="11">
        <f t="shared" ref="E20:L20" si="16">E19*15%</f>
        <v>153</v>
      </c>
      <c r="F20" s="11">
        <f t="shared" si="16"/>
        <v>130.04999999999998</v>
      </c>
      <c r="G20" s="11">
        <f t="shared" si="16"/>
        <v>110.5425</v>
      </c>
      <c r="H20" s="11">
        <f t="shared" si="16"/>
        <v>93.961124999999996</v>
      </c>
      <c r="I20" s="11">
        <f t="shared" si="16"/>
        <v>79.866956250000001</v>
      </c>
      <c r="J20" s="11">
        <f t="shared" si="16"/>
        <v>67.8869128125</v>
      </c>
      <c r="K20" s="11">
        <f t="shared" si="16"/>
        <v>57.703875890625</v>
      </c>
      <c r="L20" s="11">
        <f t="shared" si="16"/>
        <v>49.048294507031251</v>
      </c>
      <c r="M20" s="11">
        <f>SUM(C20:J20)</f>
        <v>815.30749406250004</v>
      </c>
    </row>
    <row r="21" spans="1:13" x14ac:dyDescent="0.35">
      <c r="A21" s="9"/>
      <c r="B21" s="9" t="s">
        <v>111</v>
      </c>
      <c r="C21" s="11"/>
      <c r="D21" s="11">
        <f t="shared" ref="D21:L21" si="17">D19-D20</f>
        <v>1020</v>
      </c>
      <c r="E21" s="11">
        <f t="shared" si="17"/>
        <v>867</v>
      </c>
      <c r="F21" s="11">
        <f t="shared" si="17"/>
        <v>736.95</v>
      </c>
      <c r="G21" s="11">
        <f t="shared" si="17"/>
        <v>626.40750000000003</v>
      </c>
      <c r="H21" s="11">
        <f t="shared" si="17"/>
        <v>532.44637499999999</v>
      </c>
      <c r="I21" s="11">
        <f t="shared" si="17"/>
        <v>452.57941875</v>
      </c>
      <c r="J21" s="11">
        <f t="shared" si="17"/>
        <v>384.69250593750002</v>
      </c>
      <c r="K21" s="11">
        <f t="shared" si="17"/>
        <v>326.98863004687502</v>
      </c>
      <c r="L21" s="11">
        <f t="shared" si="17"/>
        <v>277.94033553984377</v>
      </c>
      <c r="M21" s="11">
        <f>M19-M20</f>
        <v>384.69250593749996</v>
      </c>
    </row>
    <row r="23" spans="1:13" x14ac:dyDescent="0.35">
      <c r="A23">
        <v>1</v>
      </c>
      <c r="B23" t="s">
        <v>109</v>
      </c>
      <c r="C23" s="8">
        <f>C4+C9+C14+C19</f>
        <v>2400</v>
      </c>
      <c r="D23" s="8">
        <f t="shared" ref="D23:L23" si="18">D4+D9+D14+D19</f>
        <v>4756.25</v>
      </c>
      <c r="E23" s="8">
        <f t="shared" si="18"/>
        <v>4042.8125</v>
      </c>
      <c r="F23" s="8">
        <f t="shared" si="18"/>
        <v>3436.390625</v>
      </c>
      <c r="G23" s="8">
        <f t="shared" si="18"/>
        <v>2920.9320312499995</v>
      </c>
      <c r="H23" s="8">
        <f t="shared" si="18"/>
        <v>2482.7922265625002</v>
      </c>
      <c r="I23" s="8">
        <f t="shared" si="18"/>
        <v>2110.3733925781253</v>
      </c>
      <c r="J23" s="8">
        <f t="shared" si="18"/>
        <v>1793.8173836914063</v>
      </c>
      <c r="K23" s="8">
        <f t="shared" si="18"/>
        <v>1524.7447761376955</v>
      </c>
      <c r="L23" s="8">
        <f t="shared" si="18"/>
        <v>1296.0330597170409</v>
      </c>
    </row>
    <row r="24" spans="1:13" x14ac:dyDescent="0.35">
      <c r="A24">
        <v>2</v>
      </c>
      <c r="B24" t="s">
        <v>296</v>
      </c>
      <c r="C24" s="8">
        <v>2400</v>
      </c>
      <c r="D24" s="8">
        <f>C24+D14+D19</f>
        <v>4800</v>
      </c>
      <c r="E24" s="8">
        <f>D24</f>
        <v>4800</v>
      </c>
      <c r="F24" s="8">
        <f t="shared" ref="F24:L24" si="19">E24</f>
        <v>4800</v>
      </c>
      <c r="G24" s="8">
        <f t="shared" si="19"/>
        <v>4800</v>
      </c>
      <c r="H24" s="8">
        <f t="shared" si="19"/>
        <v>4800</v>
      </c>
      <c r="I24" s="8">
        <f t="shared" si="19"/>
        <v>4800</v>
      </c>
      <c r="J24" s="8">
        <f t="shared" si="19"/>
        <v>4800</v>
      </c>
      <c r="K24" s="8">
        <f t="shared" si="19"/>
        <v>4800</v>
      </c>
      <c r="L24" s="8">
        <f t="shared" si="19"/>
        <v>4800</v>
      </c>
    </row>
    <row r="25" spans="1:13" x14ac:dyDescent="0.35">
      <c r="A25">
        <v>3</v>
      </c>
      <c r="B25" t="s">
        <v>297</v>
      </c>
      <c r="C25" s="8">
        <f>C5+C10+C15+C20</f>
        <v>43.75</v>
      </c>
      <c r="D25" s="8">
        <f t="shared" ref="D25:L25" si="20">D5+D10+D15+D20</f>
        <v>713.4375</v>
      </c>
      <c r="E25" s="8">
        <f t="shared" si="20"/>
        <v>606.421875</v>
      </c>
      <c r="F25" s="8">
        <f t="shared" si="20"/>
        <v>515.45859374999998</v>
      </c>
      <c r="G25" s="8">
        <f t="shared" si="20"/>
        <v>438.13980468750003</v>
      </c>
      <c r="H25" s="8">
        <f t="shared" si="20"/>
        <v>372.41883398437494</v>
      </c>
      <c r="I25" s="8">
        <f t="shared" si="20"/>
        <v>316.5560088867187</v>
      </c>
      <c r="J25" s="8">
        <f t="shared" si="20"/>
        <v>269.0726075537109</v>
      </c>
      <c r="K25" s="8">
        <f t="shared" si="20"/>
        <v>228.71171642065428</v>
      </c>
      <c r="L25" s="8">
        <f t="shared" si="20"/>
        <v>194.40495895755615</v>
      </c>
      <c r="M25" s="7"/>
    </row>
    <row r="26" spans="1:13" x14ac:dyDescent="0.35">
      <c r="A26">
        <v>4</v>
      </c>
      <c r="B26" t="s">
        <v>298</v>
      </c>
      <c r="C26" s="8">
        <f>C25</f>
        <v>43.75</v>
      </c>
      <c r="D26" s="8">
        <f>C25+D25</f>
        <v>757.1875</v>
      </c>
      <c r="E26" s="7">
        <f>D26+E25</f>
        <v>1363.609375</v>
      </c>
      <c r="F26" s="7">
        <f t="shared" ref="F26:L26" si="21">E26+F25</f>
        <v>1879.0679687500001</v>
      </c>
      <c r="G26" s="7">
        <f t="shared" si="21"/>
        <v>2317.2077734375002</v>
      </c>
      <c r="H26" s="7">
        <f t="shared" si="21"/>
        <v>2689.6266074218752</v>
      </c>
      <c r="I26" s="7">
        <f t="shared" si="21"/>
        <v>3006.1826163085939</v>
      </c>
      <c r="J26" s="7">
        <f t="shared" si="21"/>
        <v>3275.2552238623048</v>
      </c>
      <c r="K26" s="7">
        <f t="shared" si="21"/>
        <v>3503.9669402829591</v>
      </c>
      <c r="L26" s="7">
        <f t="shared" si="21"/>
        <v>3698.3718992405152</v>
      </c>
      <c r="M26" s="7"/>
    </row>
    <row r="27" spans="1:13" x14ac:dyDescent="0.35">
      <c r="A27">
        <v>5</v>
      </c>
      <c r="B27" t="s">
        <v>299</v>
      </c>
      <c r="C27" s="8">
        <f>C23-C25</f>
        <v>2356.25</v>
      </c>
      <c r="D27" s="8">
        <f t="shared" ref="D27:L27" si="22">D23-D25</f>
        <v>4042.8125</v>
      </c>
      <c r="E27" s="8">
        <f t="shared" si="22"/>
        <v>3436.390625</v>
      </c>
      <c r="F27" s="8">
        <f t="shared" si="22"/>
        <v>2920.9320312499999</v>
      </c>
      <c r="G27" s="8">
        <f t="shared" si="22"/>
        <v>2482.7922265624993</v>
      </c>
      <c r="H27" s="8">
        <f t="shared" si="22"/>
        <v>2110.3733925781253</v>
      </c>
      <c r="I27" s="8">
        <f t="shared" si="22"/>
        <v>1793.8173836914066</v>
      </c>
      <c r="J27" s="8">
        <f t="shared" si="22"/>
        <v>1524.7447761376955</v>
      </c>
      <c r="K27" s="8">
        <f t="shared" si="22"/>
        <v>1296.0330597170412</v>
      </c>
      <c r="L27" s="8">
        <f t="shared" si="22"/>
        <v>1101.6281007594848</v>
      </c>
      <c r="M27" s="8"/>
    </row>
    <row r="28" spans="1:13" x14ac:dyDescent="0.35">
      <c r="A28">
        <v>6</v>
      </c>
      <c r="B28" t="s">
        <v>300</v>
      </c>
      <c r="C28" s="132">
        <f>C24-C26</f>
        <v>2356.25</v>
      </c>
      <c r="D28" s="132">
        <f t="shared" ref="D28:L28" si="23">D24-D26</f>
        <v>4042.8125</v>
      </c>
      <c r="E28" s="132">
        <f t="shared" si="23"/>
        <v>3436.390625</v>
      </c>
      <c r="F28" s="132">
        <f t="shared" si="23"/>
        <v>2920.9320312499999</v>
      </c>
      <c r="G28" s="132">
        <f t="shared" si="23"/>
        <v>2482.7922265624998</v>
      </c>
      <c r="H28" s="132">
        <f t="shared" si="23"/>
        <v>2110.3733925781248</v>
      </c>
      <c r="I28" s="132">
        <f t="shared" si="23"/>
        <v>1793.8173836914061</v>
      </c>
      <c r="J28" s="132">
        <f t="shared" si="23"/>
        <v>1524.7447761376952</v>
      </c>
      <c r="K28" s="132">
        <f t="shared" si="23"/>
        <v>1296.0330597170409</v>
      </c>
      <c r="L28" s="132">
        <f t="shared" si="23"/>
        <v>1101.6281007594848</v>
      </c>
    </row>
    <row r="29" spans="1:13" x14ac:dyDescent="0.35">
      <c r="C29" s="132">
        <f>C27-C28</f>
        <v>0</v>
      </c>
      <c r="D29" s="132">
        <f t="shared" ref="D29:J29" si="24">D27-D28</f>
        <v>0</v>
      </c>
      <c r="E29" s="132">
        <f t="shared" si="24"/>
        <v>0</v>
      </c>
      <c r="F29" s="132">
        <f t="shared" si="24"/>
        <v>0</v>
      </c>
      <c r="G29" s="132">
        <f t="shared" si="24"/>
        <v>0</v>
      </c>
      <c r="H29" s="132">
        <f t="shared" si="24"/>
        <v>0</v>
      </c>
      <c r="I29" s="132">
        <f t="shared" si="24"/>
        <v>0</v>
      </c>
      <c r="J29" s="132">
        <f t="shared" si="24"/>
        <v>0</v>
      </c>
      <c r="K29" s="132"/>
      <c r="L29" s="13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07"/>
  <sheetViews>
    <sheetView topLeftCell="A17" workbookViewId="0">
      <selection activeCell="A23" sqref="A23"/>
    </sheetView>
  </sheetViews>
  <sheetFormatPr defaultRowHeight="14.5" x14ac:dyDescent="0.35"/>
  <cols>
    <col min="1" max="1" width="5.1796875" customWidth="1"/>
    <col min="3" max="3" width="10.453125" bestFit="1" customWidth="1"/>
    <col min="5" max="5" width="10.453125" bestFit="1" customWidth="1"/>
    <col min="6" max="6" width="9.54296875" bestFit="1" customWidth="1"/>
    <col min="9" max="9" width="5.26953125" customWidth="1"/>
    <col min="11" max="11" width="10.1796875" bestFit="1" customWidth="1"/>
    <col min="19" max="19" width="11.1796875" customWidth="1"/>
    <col min="27" max="27" width="10.54296875" bestFit="1" customWidth="1"/>
  </cols>
  <sheetData>
    <row r="1" spans="1:31" ht="15" x14ac:dyDescent="0.25">
      <c r="B1" s="43" t="s">
        <v>31</v>
      </c>
      <c r="C1" s="17"/>
      <c r="D1" s="1" t="s">
        <v>68</v>
      </c>
      <c r="F1" s="1" t="s">
        <v>75</v>
      </c>
      <c r="G1" s="48"/>
      <c r="J1" s="43" t="s">
        <v>31</v>
      </c>
      <c r="K1" s="17"/>
      <c r="L1" s="1" t="s">
        <v>234</v>
      </c>
      <c r="N1" s="1" t="s">
        <v>75</v>
      </c>
      <c r="O1" s="48"/>
      <c r="R1" s="43" t="s">
        <v>31</v>
      </c>
      <c r="S1" s="17"/>
      <c r="T1" s="1" t="s">
        <v>89</v>
      </c>
      <c r="V1" s="1" t="s">
        <v>75</v>
      </c>
      <c r="W1" s="48"/>
      <c r="Z1" s="43" t="s">
        <v>31</v>
      </c>
      <c r="AA1" s="17"/>
      <c r="AB1" t="s">
        <v>270</v>
      </c>
      <c r="AD1" s="1" t="s">
        <v>75</v>
      </c>
      <c r="AE1" s="48"/>
    </row>
    <row r="2" spans="1:31" ht="60" x14ac:dyDescent="0.25">
      <c r="A2" s="40" t="s">
        <v>30</v>
      </c>
      <c r="B2" s="40" t="s">
        <v>79</v>
      </c>
      <c r="C2" s="44" t="s">
        <v>31</v>
      </c>
      <c r="D2" s="41" t="s">
        <v>108</v>
      </c>
      <c r="E2" s="41" t="s">
        <v>263</v>
      </c>
      <c r="F2" s="41" t="s">
        <v>264</v>
      </c>
      <c r="G2" s="41" t="s">
        <v>77</v>
      </c>
      <c r="I2" s="40" t="s">
        <v>30</v>
      </c>
      <c r="J2" s="40" t="s">
        <v>79</v>
      </c>
      <c r="K2" s="44" t="s">
        <v>31</v>
      </c>
      <c r="L2" s="41" t="s">
        <v>108</v>
      </c>
      <c r="M2" s="41" t="s">
        <v>263</v>
      </c>
      <c r="N2" s="41" t="s">
        <v>264</v>
      </c>
      <c r="O2" s="41" t="s">
        <v>77</v>
      </c>
      <c r="Q2" s="40" t="s">
        <v>30</v>
      </c>
      <c r="R2" s="40" t="s">
        <v>79</v>
      </c>
      <c r="S2" s="44" t="s">
        <v>31</v>
      </c>
      <c r="T2" s="41" t="s">
        <v>108</v>
      </c>
      <c r="U2" s="41" t="s">
        <v>263</v>
      </c>
      <c r="V2" s="41" t="s">
        <v>264</v>
      </c>
      <c r="W2" s="41" t="s">
        <v>77</v>
      </c>
      <c r="Y2" s="40" t="s">
        <v>30</v>
      </c>
      <c r="Z2" s="40" t="s">
        <v>79</v>
      </c>
      <c r="AA2" s="44" t="s">
        <v>31</v>
      </c>
      <c r="AB2" s="41" t="s">
        <v>108</v>
      </c>
      <c r="AC2" s="41" t="s">
        <v>263</v>
      </c>
      <c r="AD2" s="41" t="s">
        <v>264</v>
      </c>
      <c r="AE2" s="41" t="s">
        <v>77</v>
      </c>
    </row>
    <row r="3" spans="1:31" ht="15" x14ac:dyDescent="0.25">
      <c r="A3" s="9">
        <v>1</v>
      </c>
      <c r="B3" s="9" t="s">
        <v>80</v>
      </c>
      <c r="C3" s="45" t="s">
        <v>68</v>
      </c>
      <c r="D3" s="9">
        <v>2</v>
      </c>
      <c r="E3" s="10">
        <f>SUMIFS($E$23:$E$106,$B$23:$B$106,$B3)</f>
        <v>25.271999999999998</v>
      </c>
      <c r="F3" s="10">
        <f>SUMIFS($F$23:$F$106,$B$23:$B$106,$B3)</f>
        <v>11</v>
      </c>
      <c r="G3" s="11">
        <f>SUM(E3:F3)</f>
        <v>36.271999999999998</v>
      </c>
      <c r="I3" s="9">
        <v>1</v>
      </c>
      <c r="J3" s="9" t="s">
        <v>80</v>
      </c>
      <c r="K3" s="45" t="s">
        <v>234</v>
      </c>
      <c r="L3" s="9">
        <v>1</v>
      </c>
      <c r="M3" s="10">
        <f>SUMIFS($M$23:$M$106,$J$23:$J$106,$J3)</f>
        <v>27.378</v>
      </c>
      <c r="N3" s="10">
        <f t="shared" ref="N3:N10" si="0">SUMIFS($N$23:$N$107,$J$23:$J$107,$J3)</f>
        <v>0</v>
      </c>
      <c r="O3" s="11">
        <f t="shared" ref="O3:O10" si="1">SUM(M3:N3)</f>
        <v>27.378</v>
      </c>
      <c r="Q3" s="9">
        <v>1</v>
      </c>
      <c r="R3" s="9" t="s">
        <v>80</v>
      </c>
      <c r="S3" s="45" t="s">
        <v>89</v>
      </c>
      <c r="T3" s="10">
        <v>0</v>
      </c>
      <c r="U3" s="10">
        <f>SUMIFS($U$23:$U$106,$R$23:$R$106,$R3)</f>
        <v>0</v>
      </c>
      <c r="V3" s="10">
        <f t="shared" ref="V3:V10" si="2">SUMIFS($N$23:$N$107,$J$23:$J$107,$J3)</f>
        <v>0</v>
      </c>
      <c r="W3" s="11">
        <f t="shared" ref="W3:W10" si="3">SUM(U3:V3)</f>
        <v>0</v>
      </c>
      <c r="Y3" s="9">
        <v>1</v>
      </c>
      <c r="Z3" s="9" t="s">
        <v>80</v>
      </c>
      <c r="AA3" t="s">
        <v>270</v>
      </c>
      <c r="AB3" s="10">
        <v>0</v>
      </c>
      <c r="AC3" s="10">
        <f>SUMIFS($U$23:$U$106,$R$23:$R$106,$R3)</f>
        <v>0</v>
      </c>
      <c r="AD3" s="10">
        <f t="shared" ref="AD3:AD10" si="4">SUMIFS($N$23:$N$107,$J$23:$J$107,$J3)</f>
        <v>0</v>
      </c>
      <c r="AE3" s="11">
        <f t="shared" ref="AE3:AE10" si="5">SUM(AC3:AD3)</f>
        <v>0</v>
      </c>
    </row>
    <row r="4" spans="1:31" ht="15" x14ac:dyDescent="0.25">
      <c r="A4" s="9">
        <v>2</v>
      </c>
      <c r="B4" s="9" t="s">
        <v>81</v>
      </c>
      <c r="C4" s="45" t="s">
        <v>68</v>
      </c>
      <c r="D4" s="9">
        <v>12</v>
      </c>
      <c r="E4" s="10">
        <f t="shared" ref="E4:E10" si="6">SUMIFS($E$23:$E$106,$B$23:$B$106,$B4)</f>
        <v>151.63199999999998</v>
      </c>
      <c r="F4" s="10">
        <f t="shared" ref="F4:F10" si="7">SUMIFS($F$23:$F$106,$B$23:$B$106,$B4)</f>
        <v>66</v>
      </c>
      <c r="G4" s="11">
        <f t="shared" ref="G4:G10" si="8">SUM(E4:F4)</f>
        <v>217.63199999999998</v>
      </c>
      <c r="I4" s="9">
        <v>2</v>
      </c>
      <c r="J4" s="9" t="s">
        <v>81</v>
      </c>
      <c r="K4" s="45" t="s">
        <v>234</v>
      </c>
      <c r="L4" s="9">
        <v>12</v>
      </c>
      <c r="M4" s="10">
        <f t="shared" ref="M4:M10" si="9">SUMIFS($M$23:$M$107,$J$23:$J$107,$J4)</f>
        <v>328.53599999999989</v>
      </c>
      <c r="N4" s="10">
        <f t="shared" si="0"/>
        <v>0</v>
      </c>
      <c r="O4" s="11">
        <f t="shared" si="1"/>
        <v>328.53599999999989</v>
      </c>
      <c r="Q4" s="9">
        <v>2</v>
      </c>
      <c r="R4" s="9" t="s">
        <v>81</v>
      </c>
      <c r="S4" s="45" t="s">
        <v>89</v>
      </c>
      <c r="T4" s="9">
        <v>12</v>
      </c>
      <c r="U4" s="10">
        <f t="shared" ref="U4:U10" si="10">SUMIFS($U$23:$U$106,$R$23:$R$106,$R4)</f>
        <v>343.20000000000005</v>
      </c>
      <c r="V4" s="10">
        <f t="shared" si="2"/>
        <v>0</v>
      </c>
      <c r="W4" s="11">
        <f t="shared" si="3"/>
        <v>343.20000000000005</v>
      </c>
      <c r="Y4" s="9">
        <v>2</v>
      </c>
      <c r="Z4" s="9" t="s">
        <v>81</v>
      </c>
      <c r="AA4" t="s">
        <v>270</v>
      </c>
      <c r="AB4" s="9">
        <v>12</v>
      </c>
      <c r="AC4" s="10">
        <f t="shared" ref="AC4:AC10" si="11">SUMIFS($U$23:$U$106,$R$23:$R$106,$R4)</f>
        <v>343.20000000000005</v>
      </c>
      <c r="AD4" s="10">
        <f t="shared" si="4"/>
        <v>0</v>
      </c>
      <c r="AE4" s="11">
        <f t="shared" si="5"/>
        <v>343.20000000000005</v>
      </c>
    </row>
    <row r="5" spans="1:31" ht="15" x14ac:dyDescent="0.25">
      <c r="A5" s="9">
        <v>3</v>
      </c>
      <c r="B5" s="9" t="s">
        <v>82</v>
      </c>
      <c r="C5" s="45" t="s">
        <v>68</v>
      </c>
      <c r="D5" s="9">
        <v>12</v>
      </c>
      <c r="E5" s="10">
        <f t="shared" si="6"/>
        <v>151.63199999999998</v>
      </c>
      <c r="F5" s="10">
        <f t="shared" si="7"/>
        <v>66</v>
      </c>
      <c r="G5" s="11">
        <f t="shared" si="8"/>
        <v>217.63199999999998</v>
      </c>
      <c r="I5" s="9">
        <v>3</v>
      </c>
      <c r="J5" s="9" t="s">
        <v>82</v>
      </c>
      <c r="K5" s="45" t="s">
        <v>234</v>
      </c>
      <c r="L5" s="9">
        <v>12</v>
      </c>
      <c r="M5" s="10">
        <f t="shared" si="9"/>
        <v>328.53599999999989</v>
      </c>
      <c r="N5" s="10">
        <f t="shared" si="0"/>
        <v>0</v>
      </c>
      <c r="O5" s="11">
        <f t="shared" si="1"/>
        <v>328.53599999999989</v>
      </c>
      <c r="Q5" s="9">
        <v>3</v>
      </c>
      <c r="R5" s="9" t="s">
        <v>82</v>
      </c>
      <c r="S5" s="45" t="s">
        <v>89</v>
      </c>
      <c r="T5" s="9">
        <v>12</v>
      </c>
      <c r="U5" s="10">
        <f t="shared" si="10"/>
        <v>343.20000000000005</v>
      </c>
      <c r="V5" s="10">
        <f t="shared" si="2"/>
        <v>0</v>
      </c>
      <c r="W5" s="11">
        <f t="shared" si="3"/>
        <v>343.20000000000005</v>
      </c>
      <c r="Y5" s="9">
        <v>3</v>
      </c>
      <c r="Z5" s="9" t="s">
        <v>82</v>
      </c>
      <c r="AA5" t="s">
        <v>270</v>
      </c>
      <c r="AB5" s="9">
        <v>12</v>
      </c>
      <c r="AC5" s="10">
        <f t="shared" si="11"/>
        <v>343.20000000000005</v>
      </c>
      <c r="AD5" s="10">
        <f t="shared" si="4"/>
        <v>0</v>
      </c>
      <c r="AE5" s="11">
        <f t="shared" si="5"/>
        <v>343.20000000000005</v>
      </c>
    </row>
    <row r="6" spans="1:31" ht="15" x14ac:dyDescent="0.25">
      <c r="A6" s="9">
        <v>4</v>
      </c>
      <c r="B6" s="9" t="s">
        <v>83</v>
      </c>
      <c r="C6" s="45" t="s">
        <v>68</v>
      </c>
      <c r="D6" s="9">
        <v>12</v>
      </c>
      <c r="E6" s="10">
        <f t="shared" si="6"/>
        <v>151.63199999999998</v>
      </c>
      <c r="F6" s="10">
        <f t="shared" si="7"/>
        <v>66</v>
      </c>
      <c r="G6" s="11">
        <f t="shared" si="8"/>
        <v>217.63199999999998</v>
      </c>
      <c r="I6" s="9">
        <v>4</v>
      </c>
      <c r="J6" s="9" t="s">
        <v>83</v>
      </c>
      <c r="K6" s="45" t="s">
        <v>234</v>
      </c>
      <c r="L6" s="9">
        <v>12</v>
      </c>
      <c r="M6" s="10">
        <f t="shared" si="9"/>
        <v>328.53599999999989</v>
      </c>
      <c r="N6" s="10">
        <f t="shared" si="0"/>
        <v>0</v>
      </c>
      <c r="O6" s="11">
        <f t="shared" si="1"/>
        <v>328.53599999999989</v>
      </c>
      <c r="Q6" s="9">
        <v>4</v>
      </c>
      <c r="R6" s="9" t="s">
        <v>83</v>
      </c>
      <c r="S6" s="45" t="s">
        <v>89</v>
      </c>
      <c r="T6" s="9">
        <v>12</v>
      </c>
      <c r="U6" s="10">
        <f t="shared" si="10"/>
        <v>343.20000000000005</v>
      </c>
      <c r="V6" s="10">
        <f t="shared" si="2"/>
        <v>0</v>
      </c>
      <c r="W6" s="11">
        <f t="shared" si="3"/>
        <v>343.20000000000005</v>
      </c>
      <c r="Y6" s="9">
        <v>4</v>
      </c>
      <c r="Z6" s="9" t="s">
        <v>83</v>
      </c>
      <c r="AA6" t="s">
        <v>270</v>
      </c>
      <c r="AB6" s="9">
        <v>12</v>
      </c>
      <c r="AC6" s="10">
        <f t="shared" si="11"/>
        <v>343.20000000000005</v>
      </c>
      <c r="AD6" s="10">
        <f t="shared" si="4"/>
        <v>0</v>
      </c>
      <c r="AE6" s="11">
        <f t="shared" si="5"/>
        <v>343.20000000000005</v>
      </c>
    </row>
    <row r="7" spans="1:31" ht="15" x14ac:dyDescent="0.25">
      <c r="A7" s="9">
        <v>5</v>
      </c>
      <c r="B7" s="9" t="s">
        <v>84</v>
      </c>
      <c r="C7" s="45" t="s">
        <v>68</v>
      </c>
      <c r="D7" s="9">
        <v>12</v>
      </c>
      <c r="E7" s="10">
        <f t="shared" si="6"/>
        <v>151.63199999999998</v>
      </c>
      <c r="F7" s="10">
        <f t="shared" si="7"/>
        <v>66</v>
      </c>
      <c r="G7" s="11">
        <f t="shared" si="8"/>
        <v>217.63199999999998</v>
      </c>
      <c r="I7" s="9">
        <v>5</v>
      </c>
      <c r="J7" s="9" t="s">
        <v>84</v>
      </c>
      <c r="K7" s="45" t="s">
        <v>234</v>
      </c>
      <c r="L7" s="9">
        <v>12</v>
      </c>
      <c r="M7" s="10">
        <f t="shared" si="9"/>
        <v>328.53599999999989</v>
      </c>
      <c r="N7" s="10">
        <f t="shared" si="0"/>
        <v>0</v>
      </c>
      <c r="O7" s="11">
        <f t="shared" si="1"/>
        <v>328.53599999999989</v>
      </c>
      <c r="Q7" s="9">
        <v>5</v>
      </c>
      <c r="R7" s="9" t="s">
        <v>84</v>
      </c>
      <c r="S7" s="45" t="s">
        <v>89</v>
      </c>
      <c r="T7" s="9">
        <v>12</v>
      </c>
      <c r="U7" s="10">
        <f t="shared" si="10"/>
        <v>343.20000000000005</v>
      </c>
      <c r="V7" s="10">
        <f t="shared" si="2"/>
        <v>0</v>
      </c>
      <c r="W7" s="11">
        <f t="shared" si="3"/>
        <v>343.20000000000005</v>
      </c>
      <c r="Y7" s="9">
        <v>5</v>
      </c>
      <c r="Z7" s="9" t="s">
        <v>84</v>
      </c>
      <c r="AA7" t="s">
        <v>270</v>
      </c>
      <c r="AB7" s="9">
        <v>12</v>
      </c>
      <c r="AC7" s="10">
        <f t="shared" si="11"/>
        <v>343.20000000000005</v>
      </c>
      <c r="AD7" s="10">
        <f t="shared" si="4"/>
        <v>0</v>
      </c>
      <c r="AE7" s="11">
        <f t="shared" si="5"/>
        <v>343.20000000000005</v>
      </c>
    </row>
    <row r="8" spans="1:31" ht="15" x14ac:dyDescent="0.25">
      <c r="A8" s="9">
        <v>6</v>
      </c>
      <c r="B8" s="9" t="s">
        <v>85</v>
      </c>
      <c r="C8" s="45" t="s">
        <v>68</v>
      </c>
      <c r="D8" s="9">
        <v>12</v>
      </c>
      <c r="E8" s="10">
        <f t="shared" si="6"/>
        <v>151.63199999999998</v>
      </c>
      <c r="F8" s="10">
        <f t="shared" si="7"/>
        <v>66</v>
      </c>
      <c r="G8" s="11">
        <f t="shared" si="8"/>
        <v>217.63199999999998</v>
      </c>
      <c r="I8" s="9">
        <v>6</v>
      </c>
      <c r="J8" s="9" t="s">
        <v>85</v>
      </c>
      <c r="K8" s="45" t="s">
        <v>234</v>
      </c>
      <c r="L8" s="9">
        <v>12</v>
      </c>
      <c r="M8" s="10">
        <f t="shared" si="9"/>
        <v>328.53599999999989</v>
      </c>
      <c r="N8" s="10">
        <f t="shared" si="0"/>
        <v>0</v>
      </c>
      <c r="O8" s="11">
        <f t="shared" si="1"/>
        <v>328.53599999999989</v>
      </c>
      <c r="Q8" s="9">
        <v>6</v>
      </c>
      <c r="R8" s="9" t="s">
        <v>85</v>
      </c>
      <c r="S8" s="45" t="s">
        <v>89</v>
      </c>
      <c r="T8" s="9">
        <v>12</v>
      </c>
      <c r="U8" s="10">
        <f t="shared" si="10"/>
        <v>343.20000000000005</v>
      </c>
      <c r="V8" s="10">
        <f t="shared" si="2"/>
        <v>0</v>
      </c>
      <c r="W8" s="11">
        <f t="shared" si="3"/>
        <v>343.20000000000005</v>
      </c>
      <c r="Y8" s="9">
        <v>6</v>
      </c>
      <c r="Z8" s="9" t="s">
        <v>85</v>
      </c>
      <c r="AA8" t="s">
        <v>270</v>
      </c>
      <c r="AB8" s="9">
        <v>12</v>
      </c>
      <c r="AC8" s="10">
        <f t="shared" si="11"/>
        <v>343.20000000000005</v>
      </c>
      <c r="AD8" s="10">
        <f t="shared" si="4"/>
        <v>0</v>
      </c>
      <c r="AE8" s="11">
        <f t="shared" si="5"/>
        <v>343.20000000000005</v>
      </c>
    </row>
    <row r="9" spans="1:31" ht="15" x14ac:dyDescent="0.25">
      <c r="A9" s="9">
        <v>7</v>
      </c>
      <c r="B9" s="9" t="s">
        <v>86</v>
      </c>
      <c r="C9" s="45" t="s">
        <v>68</v>
      </c>
      <c r="D9" s="9">
        <v>12</v>
      </c>
      <c r="E9" s="10">
        <f t="shared" si="6"/>
        <v>151.63199999999998</v>
      </c>
      <c r="F9" s="10">
        <f t="shared" si="7"/>
        <v>66</v>
      </c>
      <c r="G9" s="11">
        <f t="shared" si="8"/>
        <v>217.63199999999998</v>
      </c>
      <c r="I9" s="9">
        <v>7</v>
      </c>
      <c r="J9" s="9" t="s">
        <v>86</v>
      </c>
      <c r="K9" s="45" t="s">
        <v>234</v>
      </c>
      <c r="L9" s="9">
        <v>12</v>
      </c>
      <c r="M9" s="10">
        <f t="shared" si="9"/>
        <v>328.53599999999989</v>
      </c>
      <c r="N9" s="10">
        <f t="shared" si="0"/>
        <v>0</v>
      </c>
      <c r="O9" s="11">
        <f t="shared" si="1"/>
        <v>328.53599999999989</v>
      </c>
      <c r="Q9" s="9">
        <v>7</v>
      </c>
      <c r="R9" s="9" t="s">
        <v>86</v>
      </c>
      <c r="S9" s="45" t="s">
        <v>89</v>
      </c>
      <c r="T9" s="9">
        <v>12</v>
      </c>
      <c r="U9" s="10">
        <f t="shared" si="10"/>
        <v>343.20000000000005</v>
      </c>
      <c r="V9" s="10">
        <f t="shared" si="2"/>
        <v>0</v>
      </c>
      <c r="W9" s="11">
        <f t="shared" si="3"/>
        <v>343.20000000000005</v>
      </c>
      <c r="Y9" s="9">
        <v>7</v>
      </c>
      <c r="Z9" s="9" t="s">
        <v>86</v>
      </c>
      <c r="AA9" t="s">
        <v>270</v>
      </c>
      <c r="AB9" s="9">
        <v>12</v>
      </c>
      <c r="AC9" s="10">
        <f t="shared" si="11"/>
        <v>343.20000000000005</v>
      </c>
      <c r="AD9" s="10">
        <f t="shared" si="4"/>
        <v>0</v>
      </c>
      <c r="AE9" s="11">
        <f t="shared" si="5"/>
        <v>343.20000000000005</v>
      </c>
    </row>
    <row r="10" spans="1:31" ht="15" x14ac:dyDescent="0.25">
      <c r="A10" s="9">
        <v>8</v>
      </c>
      <c r="B10" s="9" t="s">
        <v>87</v>
      </c>
      <c r="C10" s="45" t="s">
        <v>68</v>
      </c>
      <c r="D10" s="9">
        <v>11</v>
      </c>
      <c r="E10" s="10">
        <f t="shared" si="6"/>
        <v>126.35999999999997</v>
      </c>
      <c r="F10" s="10">
        <f t="shared" si="7"/>
        <v>55</v>
      </c>
      <c r="G10" s="11">
        <f t="shared" si="8"/>
        <v>181.35999999999996</v>
      </c>
      <c r="I10" s="9">
        <v>8</v>
      </c>
      <c r="J10" s="9" t="s">
        <v>87</v>
      </c>
      <c r="K10" s="45" t="s">
        <v>234</v>
      </c>
      <c r="L10" s="9">
        <v>11</v>
      </c>
      <c r="M10" s="10">
        <f t="shared" si="9"/>
        <v>301.1579999999999</v>
      </c>
      <c r="N10" s="10">
        <f t="shared" si="0"/>
        <v>0</v>
      </c>
      <c r="O10" s="11">
        <f t="shared" si="1"/>
        <v>301.1579999999999</v>
      </c>
      <c r="Q10" s="9">
        <v>8</v>
      </c>
      <c r="R10" s="9" t="s">
        <v>87</v>
      </c>
      <c r="S10" s="45" t="s">
        <v>89</v>
      </c>
      <c r="T10" s="9">
        <v>12</v>
      </c>
      <c r="U10" s="10">
        <f t="shared" si="10"/>
        <v>343.20000000000005</v>
      </c>
      <c r="V10" s="10">
        <f t="shared" si="2"/>
        <v>0</v>
      </c>
      <c r="W10" s="11">
        <f t="shared" si="3"/>
        <v>343.20000000000005</v>
      </c>
      <c r="Y10" s="9">
        <v>8</v>
      </c>
      <c r="Z10" s="9" t="s">
        <v>87</v>
      </c>
      <c r="AA10" t="s">
        <v>270</v>
      </c>
      <c r="AB10" s="9">
        <v>12</v>
      </c>
      <c r="AC10" s="10">
        <f t="shared" si="11"/>
        <v>343.20000000000005</v>
      </c>
      <c r="AD10" s="10">
        <f t="shared" si="4"/>
        <v>0</v>
      </c>
      <c r="AE10" s="11">
        <f t="shared" si="5"/>
        <v>343.20000000000005</v>
      </c>
    </row>
    <row r="11" spans="1:31" ht="15" x14ac:dyDescent="0.25">
      <c r="A11" s="9"/>
      <c r="B11" s="9"/>
      <c r="C11" s="45"/>
      <c r="D11" s="9"/>
      <c r="E11" s="10">
        <f>SUMIFS($E$23:$E$102,$B$23:$B$102,B11)</f>
        <v>0</v>
      </c>
      <c r="F11" s="10">
        <f>SUMIFS($F$23:$F$102,$B$23:$B$102,$B11)</f>
        <v>0</v>
      </c>
      <c r="G11" s="9"/>
      <c r="I11" s="9"/>
      <c r="J11" s="9"/>
      <c r="K11" s="45"/>
      <c r="L11" s="9"/>
      <c r="M11" s="10">
        <f>SUMIFS($E$23:$E$102,$B$23:$B$102,J11)</f>
        <v>0</v>
      </c>
      <c r="N11" s="10">
        <f>SUMIFS($F$23:$F$102,$B$23:$B$102,$B11)</f>
        <v>0</v>
      </c>
      <c r="O11" s="9"/>
      <c r="Q11" s="9"/>
      <c r="R11" s="9"/>
      <c r="S11" s="45"/>
      <c r="T11" s="9"/>
      <c r="U11" s="10">
        <f>SUMIFS($E$23:$E$102,$B$23:$B$102,R11)</f>
        <v>0</v>
      </c>
      <c r="V11" s="10">
        <f>SUMIFS($F$23:$F$102,$B$23:$B$102,$B11)</f>
        <v>0</v>
      </c>
      <c r="W11" s="9"/>
      <c r="Y11" s="9"/>
      <c r="Z11" s="9"/>
      <c r="AA11" s="45"/>
      <c r="AB11" s="9"/>
      <c r="AC11" s="10">
        <f>SUMIFS($E$23:$E$102,$B$23:$B$102,Z11)</f>
        <v>0</v>
      </c>
      <c r="AD11" s="10">
        <f>SUMIFS($F$23:$F$102,$B$23:$B$102,$B11)</f>
        <v>0</v>
      </c>
      <c r="AE11" s="9"/>
    </row>
    <row r="12" spans="1:31" ht="15" x14ac:dyDescent="0.25">
      <c r="A12" s="9"/>
      <c r="B12" s="9"/>
      <c r="C12" s="9"/>
      <c r="D12" s="9">
        <f>SUM(D3:D11)</f>
        <v>85</v>
      </c>
      <c r="E12" s="10">
        <f t="shared" ref="E12:G12" si="12">SUM(E3:E11)</f>
        <v>1061.4239999999998</v>
      </c>
      <c r="F12" s="10">
        <f>SUM(F3:F11)</f>
        <v>462</v>
      </c>
      <c r="G12" s="10">
        <f t="shared" si="12"/>
        <v>1523.4239999999998</v>
      </c>
      <c r="I12" s="9"/>
      <c r="J12" s="9"/>
      <c r="K12" s="9"/>
      <c r="L12" s="9">
        <f>SUM(L3:L11)</f>
        <v>84</v>
      </c>
      <c r="M12" s="10">
        <f t="shared" ref="M12" si="13">SUM(M3:M11)</f>
        <v>2299.751999999999</v>
      </c>
      <c r="N12" s="10">
        <f>SUM(N3:N11)</f>
        <v>0</v>
      </c>
      <c r="O12" s="10">
        <f t="shared" ref="O12" si="14">SUM(O3:O11)</f>
        <v>2299.751999999999</v>
      </c>
      <c r="Q12" s="9"/>
      <c r="R12" s="9"/>
      <c r="S12" s="9"/>
      <c r="T12" s="9">
        <f>SUM(T3:T11)</f>
        <v>84</v>
      </c>
      <c r="U12" s="10">
        <f t="shared" ref="U12" si="15">SUM(U3:U11)</f>
        <v>2402.4000000000005</v>
      </c>
      <c r="V12" s="10">
        <f>SUM(V3:V11)</f>
        <v>0</v>
      </c>
      <c r="W12" s="10">
        <f t="shared" ref="W12" si="16">SUM(W3:W11)</f>
        <v>2402.4000000000005</v>
      </c>
      <c r="Y12" s="9"/>
      <c r="Z12" s="9"/>
      <c r="AA12" s="9"/>
      <c r="AB12" s="9">
        <f>SUM(AB3:AB11)</f>
        <v>84</v>
      </c>
      <c r="AC12" s="10">
        <f t="shared" ref="AC12" si="17">SUM(AC3:AC11)</f>
        <v>2402.4000000000005</v>
      </c>
      <c r="AD12" s="10">
        <f>SUM(AD3:AD11)</f>
        <v>0</v>
      </c>
      <c r="AE12" s="10">
        <f t="shared" ref="AE12" si="18">SUM(AE3:AE11)</f>
        <v>2402.4000000000005</v>
      </c>
    </row>
    <row r="13" spans="1:31" ht="15" x14ac:dyDescent="0.25">
      <c r="E13" s="7">
        <f>E107</f>
        <v>1061.4239999999991</v>
      </c>
      <c r="F13" s="51">
        <f t="shared" ref="F13:G13" si="19">F107</f>
        <v>462</v>
      </c>
      <c r="G13" s="7">
        <f t="shared" si="19"/>
        <v>1523.4239999999986</v>
      </c>
      <c r="M13" s="7">
        <f>M107</f>
        <v>2299.7519999999995</v>
      </c>
      <c r="N13" s="7">
        <f>N107</f>
        <v>0</v>
      </c>
      <c r="O13" s="7">
        <f>O107</f>
        <v>2299.7519999999995</v>
      </c>
    </row>
    <row r="14" spans="1:31" ht="15" x14ac:dyDescent="0.25">
      <c r="E14" s="7">
        <f>E12-E13</f>
        <v>0</v>
      </c>
      <c r="F14" s="7">
        <f t="shared" ref="F14:G14" si="20">F12-F13</f>
        <v>0</v>
      </c>
      <c r="G14" s="7">
        <f t="shared" si="20"/>
        <v>0</v>
      </c>
      <c r="M14" s="7">
        <f>M12-M13</f>
        <v>0</v>
      </c>
      <c r="N14" s="7">
        <f>N12-N13</f>
        <v>0</v>
      </c>
      <c r="O14" s="7">
        <f>O12-O13</f>
        <v>0</v>
      </c>
    </row>
    <row r="21" spans="1:31" ht="15" x14ac:dyDescent="0.25">
      <c r="B21" s="43" t="s">
        <v>31</v>
      </c>
      <c r="C21" s="17"/>
      <c r="D21" s="1" t="s">
        <v>68</v>
      </c>
      <c r="F21" s="1" t="s">
        <v>75</v>
      </c>
      <c r="G21" s="48"/>
      <c r="J21" s="43" t="s">
        <v>31</v>
      </c>
      <c r="K21" s="17"/>
      <c r="L21" s="1" t="s">
        <v>234</v>
      </c>
      <c r="N21" s="1" t="s">
        <v>75</v>
      </c>
      <c r="O21" s="48">
        <v>0.115</v>
      </c>
      <c r="R21" s="43" t="s">
        <v>31</v>
      </c>
      <c r="S21" s="17"/>
      <c r="T21" s="1" t="s">
        <v>89</v>
      </c>
      <c r="V21" s="1" t="s">
        <v>75</v>
      </c>
      <c r="W21" s="48"/>
      <c r="Z21" s="43" t="s">
        <v>31</v>
      </c>
      <c r="AA21" s="17"/>
      <c r="AB21" s="1" t="s">
        <v>270</v>
      </c>
      <c r="AD21" s="1" t="s">
        <v>75</v>
      </c>
      <c r="AE21" s="48"/>
    </row>
    <row r="22" spans="1:31" ht="58" x14ac:dyDescent="0.35">
      <c r="A22" s="40" t="s">
        <v>30</v>
      </c>
      <c r="B22" s="40" t="s">
        <v>79</v>
      </c>
      <c r="C22" s="44" t="s">
        <v>69</v>
      </c>
      <c r="D22" s="41" t="s">
        <v>108</v>
      </c>
      <c r="E22" s="41" t="s">
        <v>290</v>
      </c>
      <c r="F22" s="41" t="s">
        <v>287</v>
      </c>
      <c r="G22" s="41" t="s">
        <v>77</v>
      </c>
      <c r="I22" s="40" t="s">
        <v>30</v>
      </c>
      <c r="J22" s="40" t="s">
        <v>79</v>
      </c>
      <c r="K22" s="44" t="s">
        <v>69</v>
      </c>
      <c r="L22" s="41" t="s">
        <v>108</v>
      </c>
      <c r="M22" s="41" t="s">
        <v>290</v>
      </c>
      <c r="N22" s="41" t="s">
        <v>289</v>
      </c>
      <c r="O22" s="41" t="s">
        <v>77</v>
      </c>
      <c r="Q22" s="40" t="s">
        <v>30</v>
      </c>
      <c r="R22" s="40" t="s">
        <v>79</v>
      </c>
      <c r="S22" s="44" t="s">
        <v>69</v>
      </c>
      <c r="T22" s="41" t="s">
        <v>108</v>
      </c>
      <c r="U22" s="41" t="s">
        <v>290</v>
      </c>
      <c r="V22" s="41" t="s">
        <v>289</v>
      </c>
      <c r="W22" s="41" t="s">
        <v>77</v>
      </c>
      <c r="Y22" s="40" t="s">
        <v>30</v>
      </c>
      <c r="Z22" s="40" t="s">
        <v>79</v>
      </c>
      <c r="AA22" s="44" t="s">
        <v>69</v>
      </c>
      <c r="AB22" s="41" t="s">
        <v>108</v>
      </c>
      <c r="AC22" s="41" t="s">
        <v>290</v>
      </c>
      <c r="AD22" s="41" t="s">
        <v>289</v>
      </c>
      <c r="AE22" s="41" t="s">
        <v>77</v>
      </c>
    </row>
    <row r="23" spans="1:31" x14ac:dyDescent="0.35">
      <c r="A23" s="9">
        <v>1</v>
      </c>
      <c r="B23" s="9" t="s">
        <v>80</v>
      </c>
      <c r="C23" s="45">
        <v>45689</v>
      </c>
      <c r="D23" s="9">
        <v>1</v>
      </c>
      <c r="E23" s="47">
        <f>(1053*1200)/10^5</f>
        <v>12.635999999999999</v>
      </c>
      <c r="F23" s="9">
        <v>5.5</v>
      </c>
      <c r="G23" s="47">
        <f t="shared" ref="G23:G86" si="21">SUM(E23:F23)</f>
        <v>18.135999999999999</v>
      </c>
      <c r="I23" s="9">
        <v>1</v>
      </c>
      <c r="J23" s="9" t="s">
        <v>80</v>
      </c>
      <c r="K23" s="45">
        <v>45717</v>
      </c>
      <c r="L23" s="9">
        <v>1</v>
      </c>
      <c r="M23" s="47">
        <f>(1053*2600)/10^5</f>
        <v>27.378</v>
      </c>
      <c r="N23" s="10">
        <v>0</v>
      </c>
      <c r="O23" s="47">
        <f t="shared" ref="O23:O84" si="22">SUM(M23:N23)</f>
        <v>27.378</v>
      </c>
      <c r="Q23" s="9">
        <v>1</v>
      </c>
      <c r="R23" s="9" t="s">
        <v>81</v>
      </c>
      <c r="S23" s="45">
        <v>45748</v>
      </c>
      <c r="T23" s="9">
        <v>1</v>
      </c>
      <c r="U23" s="47">
        <f>(1100*2600)/10^5</f>
        <v>28.6</v>
      </c>
      <c r="V23" s="10">
        <v>0</v>
      </c>
      <c r="W23" s="47">
        <f t="shared" ref="W23:W84" si="23">SUM(U23:V23)</f>
        <v>28.6</v>
      </c>
      <c r="Y23" s="9">
        <v>1</v>
      </c>
      <c r="Z23" s="9" t="s">
        <v>81</v>
      </c>
      <c r="AA23" s="45">
        <v>45748</v>
      </c>
      <c r="AB23" s="9">
        <v>1</v>
      </c>
      <c r="AC23" s="47">
        <f>(1100*2600)/10^5</f>
        <v>28.6</v>
      </c>
      <c r="AD23" s="10">
        <v>0</v>
      </c>
      <c r="AE23" s="47">
        <f t="shared" ref="AE23:AE84" si="24">SUM(AC23:AD23)</f>
        <v>28.6</v>
      </c>
    </row>
    <row r="24" spans="1:31" x14ac:dyDescent="0.35">
      <c r="A24" s="9">
        <f t="shared" ref="A24:A84" si="25">A23+1</f>
        <v>2</v>
      </c>
      <c r="B24" s="9" t="s">
        <v>80</v>
      </c>
      <c r="C24" s="45">
        <v>45717</v>
      </c>
      <c r="D24" s="9">
        <v>1</v>
      </c>
      <c r="E24" s="47">
        <f t="shared" ref="E24:E87" si="26">(1053*1200)/10^5</f>
        <v>12.635999999999999</v>
      </c>
      <c r="F24" s="9">
        <v>5.5</v>
      </c>
      <c r="G24" s="47">
        <f t="shared" si="21"/>
        <v>18.135999999999999</v>
      </c>
      <c r="I24" s="9">
        <f>I23+1</f>
        <v>2</v>
      </c>
      <c r="J24" s="9" t="s">
        <v>81</v>
      </c>
      <c r="K24" s="45">
        <v>45748</v>
      </c>
      <c r="L24" s="9">
        <v>1</v>
      </c>
      <c r="M24" s="47">
        <f t="shared" ref="M24:M87" si="27">(1053*2600)/10^5</f>
        <v>27.378</v>
      </c>
      <c r="N24" s="10">
        <v>0</v>
      </c>
      <c r="O24" s="47">
        <f t="shared" si="22"/>
        <v>27.378</v>
      </c>
      <c r="Q24" s="9">
        <f>Q23+1</f>
        <v>2</v>
      </c>
      <c r="R24" s="9" t="s">
        <v>81</v>
      </c>
      <c r="S24" s="45">
        <v>45778</v>
      </c>
      <c r="T24" s="9">
        <v>1</v>
      </c>
      <c r="U24" s="47">
        <f t="shared" ref="U24:U87" si="28">(1100*2600)/10^5</f>
        <v>28.6</v>
      </c>
      <c r="V24" s="10">
        <v>0</v>
      </c>
      <c r="W24" s="47">
        <f t="shared" si="23"/>
        <v>28.6</v>
      </c>
      <c r="Y24" s="9">
        <f>Y23+1</f>
        <v>2</v>
      </c>
      <c r="Z24" s="9" t="s">
        <v>81</v>
      </c>
      <c r="AA24" s="45">
        <v>45778</v>
      </c>
      <c r="AB24" s="9">
        <v>1</v>
      </c>
      <c r="AC24" s="47">
        <f t="shared" ref="AC24:AC87" si="29">(1100*2600)/10^5</f>
        <v>28.6</v>
      </c>
      <c r="AD24" s="10">
        <v>0</v>
      </c>
      <c r="AE24" s="47">
        <f t="shared" si="24"/>
        <v>28.6</v>
      </c>
    </row>
    <row r="25" spans="1:31" x14ac:dyDescent="0.35">
      <c r="A25" s="9">
        <f t="shared" si="25"/>
        <v>3</v>
      </c>
      <c r="B25" s="9" t="s">
        <v>81</v>
      </c>
      <c r="C25" s="45">
        <v>45748</v>
      </c>
      <c r="D25" s="9">
        <v>1</v>
      </c>
      <c r="E25" s="47">
        <f t="shared" si="26"/>
        <v>12.635999999999999</v>
      </c>
      <c r="F25" s="9">
        <v>5.5</v>
      </c>
      <c r="G25" s="47">
        <f t="shared" si="21"/>
        <v>18.135999999999999</v>
      </c>
      <c r="I25" s="9">
        <f t="shared" ref="I25:I88" si="30">I24+1</f>
        <v>3</v>
      </c>
      <c r="J25" s="9" t="s">
        <v>81</v>
      </c>
      <c r="K25" s="45">
        <v>45778</v>
      </c>
      <c r="L25" s="9">
        <v>1</v>
      </c>
      <c r="M25" s="47">
        <f t="shared" si="27"/>
        <v>27.378</v>
      </c>
      <c r="N25" s="10">
        <v>0</v>
      </c>
      <c r="O25" s="47">
        <f t="shared" si="22"/>
        <v>27.378</v>
      </c>
      <c r="Q25" s="9">
        <f t="shared" ref="Q25:Q88" si="31">Q24+1</f>
        <v>3</v>
      </c>
      <c r="R25" s="9" t="s">
        <v>81</v>
      </c>
      <c r="S25" s="45">
        <v>45809</v>
      </c>
      <c r="T25" s="9">
        <v>1</v>
      </c>
      <c r="U25" s="47">
        <f t="shared" si="28"/>
        <v>28.6</v>
      </c>
      <c r="V25" s="10">
        <v>0</v>
      </c>
      <c r="W25" s="47">
        <f t="shared" si="23"/>
        <v>28.6</v>
      </c>
      <c r="Y25" s="9">
        <f t="shared" ref="Y25:Y88" si="32">Y24+1</f>
        <v>3</v>
      </c>
      <c r="Z25" s="9" t="s">
        <v>81</v>
      </c>
      <c r="AA25" s="45">
        <v>45809</v>
      </c>
      <c r="AB25" s="9">
        <v>1</v>
      </c>
      <c r="AC25" s="47">
        <f t="shared" si="29"/>
        <v>28.6</v>
      </c>
      <c r="AD25" s="10">
        <v>0</v>
      </c>
      <c r="AE25" s="47">
        <f t="shared" si="24"/>
        <v>28.6</v>
      </c>
    </row>
    <row r="26" spans="1:31" x14ac:dyDescent="0.35">
      <c r="A26" s="9">
        <f t="shared" si="25"/>
        <v>4</v>
      </c>
      <c r="B26" s="9" t="s">
        <v>81</v>
      </c>
      <c r="C26" s="45">
        <v>45778</v>
      </c>
      <c r="D26" s="9">
        <v>1</v>
      </c>
      <c r="E26" s="47">
        <f t="shared" si="26"/>
        <v>12.635999999999999</v>
      </c>
      <c r="F26" s="9">
        <v>5.5</v>
      </c>
      <c r="G26" s="47">
        <f t="shared" si="21"/>
        <v>18.135999999999999</v>
      </c>
      <c r="I26" s="9">
        <f t="shared" si="30"/>
        <v>4</v>
      </c>
      <c r="J26" s="9" t="s">
        <v>81</v>
      </c>
      <c r="K26" s="45">
        <v>45809</v>
      </c>
      <c r="L26" s="9">
        <v>1</v>
      </c>
      <c r="M26" s="47">
        <f t="shared" si="27"/>
        <v>27.378</v>
      </c>
      <c r="N26" s="10">
        <v>0</v>
      </c>
      <c r="O26" s="47">
        <f t="shared" si="22"/>
        <v>27.378</v>
      </c>
      <c r="Q26" s="9">
        <f t="shared" si="31"/>
        <v>4</v>
      </c>
      <c r="R26" s="9" t="s">
        <v>81</v>
      </c>
      <c r="S26" s="45">
        <v>45839</v>
      </c>
      <c r="T26" s="9">
        <v>1</v>
      </c>
      <c r="U26" s="47">
        <f t="shared" si="28"/>
        <v>28.6</v>
      </c>
      <c r="V26" s="10">
        <v>0</v>
      </c>
      <c r="W26" s="47">
        <f t="shared" si="23"/>
        <v>28.6</v>
      </c>
      <c r="Y26" s="9">
        <f t="shared" si="32"/>
        <v>4</v>
      </c>
      <c r="Z26" s="9" t="s">
        <v>81</v>
      </c>
      <c r="AA26" s="45">
        <v>45839</v>
      </c>
      <c r="AB26" s="9">
        <v>1</v>
      </c>
      <c r="AC26" s="47">
        <f t="shared" si="29"/>
        <v>28.6</v>
      </c>
      <c r="AD26" s="10">
        <v>0</v>
      </c>
      <c r="AE26" s="47">
        <f t="shared" si="24"/>
        <v>28.6</v>
      </c>
    </row>
    <row r="27" spans="1:31" x14ac:dyDescent="0.35">
      <c r="A27" s="9">
        <f t="shared" si="25"/>
        <v>5</v>
      </c>
      <c r="B27" s="9" t="s">
        <v>81</v>
      </c>
      <c r="C27" s="45">
        <v>45809</v>
      </c>
      <c r="D27" s="9">
        <v>1</v>
      </c>
      <c r="E27" s="47">
        <f t="shared" si="26"/>
        <v>12.635999999999999</v>
      </c>
      <c r="F27" s="9">
        <v>5.5</v>
      </c>
      <c r="G27" s="47">
        <f t="shared" si="21"/>
        <v>18.135999999999999</v>
      </c>
      <c r="I27" s="9">
        <f t="shared" si="30"/>
        <v>5</v>
      </c>
      <c r="J27" s="9" t="s">
        <v>81</v>
      </c>
      <c r="K27" s="45">
        <v>45839</v>
      </c>
      <c r="L27" s="9">
        <v>1</v>
      </c>
      <c r="M27" s="47">
        <f t="shared" si="27"/>
        <v>27.378</v>
      </c>
      <c r="N27" s="10">
        <v>0</v>
      </c>
      <c r="O27" s="47">
        <f t="shared" si="22"/>
        <v>27.378</v>
      </c>
      <c r="Q27" s="9">
        <f t="shared" si="31"/>
        <v>5</v>
      </c>
      <c r="R27" s="9" t="s">
        <v>81</v>
      </c>
      <c r="S27" s="45">
        <v>45870</v>
      </c>
      <c r="T27" s="9">
        <v>1</v>
      </c>
      <c r="U27" s="47">
        <f t="shared" si="28"/>
        <v>28.6</v>
      </c>
      <c r="V27" s="10">
        <v>0</v>
      </c>
      <c r="W27" s="47">
        <f t="shared" si="23"/>
        <v>28.6</v>
      </c>
      <c r="Y27" s="9">
        <f t="shared" si="32"/>
        <v>5</v>
      </c>
      <c r="Z27" s="9" t="s">
        <v>81</v>
      </c>
      <c r="AA27" s="45">
        <v>45870</v>
      </c>
      <c r="AB27" s="9">
        <v>1</v>
      </c>
      <c r="AC27" s="47">
        <f t="shared" si="29"/>
        <v>28.6</v>
      </c>
      <c r="AD27" s="10">
        <v>0</v>
      </c>
      <c r="AE27" s="47">
        <f t="shared" si="24"/>
        <v>28.6</v>
      </c>
    </row>
    <row r="28" spans="1:31" x14ac:dyDescent="0.35">
      <c r="A28" s="9">
        <f t="shared" si="25"/>
        <v>6</v>
      </c>
      <c r="B28" s="9" t="s">
        <v>81</v>
      </c>
      <c r="C28" s="45">
        <v>45839</v>
      </c>
      <c r="D28" s="9">
        <v>1</v>
      </c>
      <c r="E28" s="47">
        <f t="shared" si="26"/>
        <v>12.635999999999999</v>
      </c>
      <c r="F28" s="9">
        <v>5.5</v>
      </c>
      <c r="G28" s="47">
        <f t="shared" si="21"/>
        <v>18.135999999999999</v>
      </c>
      <c r="I28" s="9">
        <f t="shared" si="30"/>
        <v>6</v>
      </c>
      <c r="J28" s="9" t="s">
        <v>81</v>
      </c>
      <c r="K28" s="45">
        <v>45870</v>
      </c>
      <c r="L28" s="9">
        <v>1</v>
      </c>
      <c r="M28" s="47">
        <f t="shared" si="27"/>
        <v>27.378</v>
      </c>
      <c r="N28" s="10">
        <v>0</v>
      </c>
      <c r="O28" s="47">
        <f t="shared" si="22"/>
        <v>27.378</v>
      </c>
      <c r="Q28" s="9">
        <f t="shared" si="31"/>
        <v>6</v>
      </c>
      <c r="R28" s="9" t="s">
        <v>81</v>
      </c>
      <c r="S28" s="45">
        <v>45901</v>
      </c>
      <c r="T28" s="9">
        <v>1</v>
      </c>
      <c r="U28" s="47">
        <f t="shared" si="28"/>
        <v>28.6</v>
      </c>
      <c r="V28" s="10">
        <v>0</v>
      </c>
      <c r="W28" s="47">
        <f t="shared" si="23"/>
        <v>28.6</v>
      </c>
      <c r="Y28" s="9">
        <f t="shared" si="32"/>
        <v>6</v>
      </c>
      <c r="Z28" s="9" t="s">
        <v>81</v>
      </c>
      <c r="AA28" s="45">
        <v>45901</v>
      </c>
      <c r="AB28" s="9">
        <v>1</v>
      </c>
      <c r="AC28" s="47">
        <f t="shared" si="29"/>
        <v>28.6</v>
      </c>
      <c r="AD28" s="10">
        <v>0</v>
      </c>
      <c r="AE28" s="47">
        <f t="shared" si="24"/>
        <v>28.6</v>
      </c>
    </row>
    <row r="29" spans="1:31" x14ac:dyDescent="0.35">
      <c r="A29" s="9">
        <f t="shared" si="25"/>
        <v>7</v>
      </c>
      <c r="B29" s="9" t="s">
        <v>81</v>
      </c>
      <c r="C29" s="45">
        <v>45870</v>
      </c>
      <c r="D29" s="9">
        <v>1</v>
      </c>
      <c r="E29" s="47">
        <f t="shared" si="26"/>
        <v>12.635999999999999</v>
      </c>
      <c r="F29" s="9">
        <v>5.5</v>
      </c>
      <c r="G29" s="47">
        <f t="shared" si="21"/>
        <v>18.135999999999999</v>
      </c>
      <c r="I29" s="9">
        <f t="shared" si="30"/>
        <v>7</v>
      </c>
      <c r="J29" s="9" t="s">
        <v>81</v>
      </c>
      <c r="K29" s="45">
        <v>45901</v>
      </c>
      <c r="L29" s="9">
        <v>1</v>
      </c>
      <c r="M29" s="47">
        <f t="shared" si="27"/>
        <v>27.378</v>
      </c>
      <c r="N29" s="10">
        <v>0</v>
      </c>
      <c r="O29" s="47">
        <f t="shared" si="22"/>
        <v>27.378</v>
      </c>
      <c r="Q29" s="9">
        <f t="shared" si="31"/>
        <v>7</v>
      </c>
      <c r="R29" s="9" t="s">
        <v>81</v>
      </c>
      <c r="S29" s="45">
        <v>45931</v>
      </c>
      <c r="T29" s="9">
        <v>1</v>
      </c>
      <c r="U29" s="47">
        <f t="shared" si="28"/>
        <v>28.6</v>
      </c>
      <c r="V29" s="10">
        <v>0</v>
      </c>
      <c r="W29" s="47">
        <f t="shared" si="23"/>
        <v>28.6</v>
      </c>
      <c r="Y29" s="9">
        <f t="shared" si="32"/>
        <v>7</v>
      </c>
      <c r="Z29" s="9" t="s">
        <v>81</v>
      </c>
      <c r="AA29" s="45">
        <v>45931</v>
      </c>
      <c r="AB29" s="9">
        <v>1</v>
      </c>
      <c r="AC29" s="47">
        <f t="shared" si="29"/>
        <v>28.6</v>
      </c>
      <c r="AD29" s="10">
        <v>0</v>
      </c>
      <c r="AE29" s="47">
        <f t="shared" si="24"/>
        <v>28.6</v>
      </c>
    </row>
    <row r="30" spans="1:31" x14ac:dyDescent="0.35">
      <c r="A30" s="9">
        <f t="shared" si="25"/>
        <v>8</v>
      </c>
      <c r="B30" s="9" t="s">
        <v>81</v>
      </c>
      <c r="C30" s="45">
        <v>45901</v>
      </c>
      <c r="D30" s="9">
        <v>1</v>
      </c>
      <c r="E30" s="47">
        <f t="shared" si="26"/>
        <v>12.635999999999999</v>
      </c>
      <c r="F30" s="9">
        <v>5.5</v>
      </c>
      <c r="G30" s="47">
        <f t="shared" si="21"/>
        <v>18.135999999999999</v>
      </c>
      <c r="I30" s="9">
        <f t="shared" si="30"/>
        <v>8</v>
      </c>
      <c r="J30" s="9" t="s">
        <v>81</v>
      </c>
      <c r="K30" s="45">
        <v>45931</v>
      </c>
      <c r="L30" s="9">
        <v>1</v>
      </c>
      <c r="M30" s="47">
        <f t="shared" si="27"/>
        <v>27.378</v>
      </c>
      <c r="N30" s="10">
        <v>0</v>
      </c>
      <c r="O30" s="47">
        <f t="shared" si="22"/>
        <v>27.378</v>
      </c>
      <c r="Q30" s="9">
        <f t="shared" si="31"/>
        <v>8</v>
      </c>
      <c r="R30" s="9" t="s">
        <v>81</v>
      </c>
      <c r="S30" s="45">
        <v>45962</v>
      </c>
      <c r="T30" s="9">
        <v>1</v>
      </c>
      <c r="U30" s="47">
        <f t="shared" si="28"/>
        <v>28.6</v>
      </c>
      <c r="V30" s="10">
        <v>0</v>
      </c>
      <c r="W30" s="47">
        <f t="shared" si="23"/>
        <v>28.6</v>
      </c>
      <c r="Y30" s="9">
        <f t="shared" si="32"/>
        <v>8</v>
      </c>
      <c r="Z30" s="9" t="s">
        <v>81</v>
      </c>
      <c r="AA30" s="45">
        <v>45962</v>
      </c>
      <c r="AB30" s="9">
        <v>1</v>
      </c>
      <c r="AC30" s="47">
        <f t="shared" si="29"/>
        <v>28.6</v>
      </c>
      <c r="AD30" s="10">
        <v>0</v>
      </c>
      <c r="AE30" s="47">
        <f t="shared" si="24"/>
        <v>28.6</v>
      </c>
    </row>
    <row r="31" spans="1:31" x14ac:dyDescent="0.35">
      <c r="A31" s="9">
        <f t="shared" si="25"/>
        <v>9</v>
      </c>
      <c r="B31" s="9" t="s">
        <v>81</v>
      </c>
      <c r="C31" s="45">
        <v>45931</v>
      </c>
      <c r="D31" s="9">
        <v>1</v>
      </c>
      <c r="E31" s="47">
        <f t="shared" si="26"/>
        <v>12.635999999999999</v>
      </c>
      <c r="F31" s="9">
        <v>5.5</v>
      </c>
      <c r="G31" s="47">
        <f t="shared" si="21"/>
        <v>18.135999999999999</v>
      </c>
      <c r="I31" s="9">
        <f t="shared" si="30"/>
        <v>9</v>
      </c>
      <c r="J31" s="9" t="s">
        <v>81</v>
      </c>
      <c r="K31" s="45">
        <v>45962</v>
      </c>
      <c r="L31" s="9">
        <v>1</v>
      </c>
      <c r="M31" s="47">
        <f t="shared" si="27"/>
        <v>27.378</v>
      </c>
      <c r="N31" s="10">
        <v>0</v>
      </c>
      <c r="O31" s="47">
        <f t="shared" si="22"/>
        <v>27.378</v>
      </c>
      <c r="Q31" s="9">
        <f t="shared" si="31"/>
        <v>9</v>
      </c>
      <c r="R31" s="9" t="s">
        <v>81</v>
      </c>
      <c r="S31" s="45">
        <v>45992</v>
      </c>
      <c r="T31" s="9">
        <v>1</v>
      </c>
      <c r="U31" s="47">
        <f t="shared" si="28"/>
        <v>28.6</v>
      </c>
      <c r="V31" s="10">
        <v>0</v>
      </c>
      <c r="W31" s="47">
        <f t="shared" si="23"/>
        <v>28.6</v>
      </c>
      <c r="Y31" s="9">
        <f t="shared" si="32"/>
        <v>9</v>
      </c>
      <c r="Z31" s="9" t="s">
        <v>81</v>
      </c>
      <c r="AA31" s="45">
        <v>45992</v>
      </c>
      <c r="AB31" s="9">
        <v>1</v>
      </c>
      <c r="AC31" s="47">
        <f t="shared" si="29"/>
        <v>28.6</v>
      </c>
      <c r="AD31" s="10">
        <v>0</v>
      </c>
      <c r="AE31" s="47">
        <f t="shared" si="24"/>
        <v>28.6</v>
      </c>
    </row>
    <row r="32" spans="1:31" x14ac:dyDescent="0.35">
      <c r="A32" s="9">
        <f t="shared" si="25"/>
        <v>10</v>
      </c>
      <c r="B32" s="9" t="s">
        <v>81</v>
      </c>
      <c r="C32" s="45">
        <v>45962</v>
      </c>
      <c r="D32" s="9">
        <v>1</v>
      </c>
      <c r="E32" s="47">
        <f t="shared" si="26"/>
        <v>12.635999999999999</v>
      </c>
      <c r="F32" s="9">
        <v>5.5</v>
      </c>
      <c r="G32" s="47">
        <f t="shared" si="21"/>
        <v>18.135999999999999</v>
      </c>
      <c r="I32" s="9">
        <f t="shared" si="30"/>
        <v>10</v>
      </c>
      <c r="J32" s="9" t="s">
        <v>81</v>
      </c>
      <c r="K32" s="45">
        <v>45992</v>
      </c>
      <c r="L32" s="9">
        <v>1</v>
      </c>
      <c r="M32" s="47">
        <f t="shared" si="27"/>
        <v>27.378</v>
      </c>
      <c r="N32" s="10">
        <v>0</v>
      </c>
      <c r="O32" s="47">
        <f t="shared" si="22"/>
        <v>27.378</v>
      </c>
      <c r="Q32" s="9">
        <f t="shared" si="31"/>
        <v>10</v>
      </c>
      <c r="R32" s="9" t="s">
        <v>81</v>
      </c>
      <c r="S32" s="45">
        <v>46023</v>
      </c>
      <c r="T32" s="9">
        <v>1</v>
      </c>
      <c r="U32" s="47">
        <f t="shared" si="28"/>
        <v>28.6</v>
      </c>
      <c r="V32" s="10">
        <v>0</v>
      </c>
      <c r="W32" s="47">
        <f t="shared" si="23"/>
        <v>28.6</v>
      </c>
      <c r="Y32" s="9">
        <f t="shared" si="32"/>
        <v>10</v>
      </c>
      <c r="Z32" s="9" t="s">
        <v>81</v>
      </c>
      <c r="AA32" s="45">
        <v>46023</v>
      </c>
      <c r="AB32" s="9">
        <v>1</v>
      </c>
      <c r="AC32" s="47">
        <f t="shared" si="29"/>
        <v>28.6</v>
      </c>
      <c r="AD32" s="10">
        <v>0</v>
      </c>
      <c r="AE32" s="47">
        <f t="shared" si="24"/>
        <v>28.6</v>
      </c>
    </row>
    <row r="33" spans="1:31" x14ac:dyDescent="0.35">
      <c r="A33" s="9">
        <f t="shared" si="25"/>
        <v>11</v>
      </c>
      <c r="B33" s="9" t="s">
        <v>81</v>
      </c>
      <c r="C33" s="45">
        <v>45992</v>
      </c>
      <c r="D33" s="9">
        <v>1</v>
      </c>
      <c r="E33" s="47">
        <f t="shared" si="26"/>
        <v>12.635999999999999</v>
      </c>
      <c r="F33" s="9">
        <v>5.5</v>
      </c>
      <c r="G33" s="47">
        <f t="shared" si="21"/>
        <v>18.135999999999999</v>
      </c>
      <c r="I33" s="9">
        <f t="shared" si="30"/>
        <v>11</v>
      </c>
      <c r="J33" s="9" t="s">
        <v>81</v>
      </c>
      <c r="K33" s="45">
        <v>46023</v>
      </c>
      <c r="L33" s="9">
        <v>1</v>
      </c>
      <c r="M33" s="47">
        <f t="shared" si="27"/>
        <v>27.378</v>
      </c>
      <c r="N33" s="10">
        <v>0</v>
      </c>
      <c r="O33" s="47">
        <f t="shared" si="22"/>
        <v>27.378</v>
      </c>
      <c r="Q33" s="9">
        <f t="shared" si="31"/>
        <v>11</v>
      </c>
      <c r="R33" s="9" t="s">
        <v>81</v>
      </c>
      <c r="S33" s="45">
        <v>46054</v>
      </c>
      <c r="T33" s="9">
        <v>1</v>
      </c>
      <c r="U33" s="47">
        <f t="shared" si="28"/>
        <v>28.6</v>
      </c>
      <c r="V33" s="10">
        <v>0</v>
      </c>
      <c r="W33" s="47">
        <f t="shared" si="23"/>
        <v>28.6</v>
      </c>
      <c r="Y33" s="9">
        <f t="shared" si="32"/>
        <v>11</v>
      </c>
      <c r="Z33" s="9" t="s">
        <v>81</v>
      </c>
      <c r="AA33" s="45">
        <v>46054</v>
      </c>
      <c r="AB33" s="9">
        <v>1</v>
      </c>
      <c r="AC33" s="47">
        <f t="shared" si="29"/>
        <v>28.6</v>
      </c>
      <c r="AD33" s="10">
        <v>0</v>
      </c>
      <c r="AE33" s="47">
        <f t="shared" si="24"/>
        <v>28.6</v>
      </c>
    </row>
    <row r="34" spans="1:31" x14ac:dyDescent="0.35">
      <c r="A34" s="9">
        <f t="shared" si="25"/>
        <v>12</v>
      </c>
      <c r="B34" s="9" t="s">
        <v>81</v>
      </c>
      <c r="C34" s="45">
        <v>46023</v>
      </c>
      <c r="D34" s="9">
        <v>1</v>
      </c>
      <c r="E34" s="47">
        <f t="shared" si="26"/>
        <v>12.635999999999999</v>
      </c>
      <c r="F34" s="9">
        <v>5.5</v>
      </c>
      <c r="G34" s="47">
        <f t="shared" si="21"/>
        <v>18.135999999999999</v>
      </c>
      <c r="I34" s="9">
        <f t="shared" si="30"/>
        <v>12</v>
      </c>
      <c r="J34" s="9" t="s">
        <v>81</v>
      </c>
      <c r="K34" s="45">
        <v>46054</v>
      </c>
      <c r="L34" s="9">
        <v>1</v>
      </c>
      <c r="M34" s="47">
        <f t="shared" si="27"/>
        <v>27.378</v>
      </c>
      <c r="N34" s="10">
        <v>0</v>
      </c>
      <c r="O34" s="47">
        <f t="shared" si="22"/>
        <v>27.378</v>
      </c>
      <c r="Q34" s="9">
        <f t="shared" si="31"/>
        <v>12</v>
      </c>
      <c r="R34" s="9" t="s">
        <v>81</v>
      </c>
      <c r="S34" s="45">
        <v>46082</v>
      </c>
      <c r="T34" s="9">
        <v>1</v>
      </c>
      <c r="U34" s="47">
        <f t="shared" si="28"/>
        <v>28.6</v>
      </c>
      <c r="V34" s="10">
        <v>0</v>
      </c>
      <c r="W34" s="47">
        <f t="shared" si="23"/>
        <v>28.6</v>
      </c>
      <c r="Y34" s="9">
        <f t="shared" si="32"/>
        <v>12</v>
      </c>
      <c r="Z34" s="9" t="s">
        <v>81</v>
      </c>
      <c r="AA34" s="45">
        <v>46082</v>
      </c>
      <c r="AB34" s="9">
        <v>1</v>
      </c>
      <c r="AC34" s="47">
        <f t="shared" si="29"/>
        <v>28.6</v>
      </c>
      <c r="AD34" s="10">
        <v>0</v>
      </c>
      <c r="AE34" s="47">
        <f t="shared" si="24"/>
        <v>28.6</v>
      </c>
    </row>
    <row r="35" spans="1:31" x14ac:dyDescent="0.35">
      <c r="A35" s="9">
        <f t="shared" si="25"/>
        <v>13</v>
      </c>
      <c r="B35" s="9" t="s">
        <v>81</v>
      </c>
      <c r="C35" s="45">
        <v>46054</v>
      </c>
      <c r="D35" s="9">
        <v>1</v>
      </c>
      <c r="E35" s="47">
        <f t="shared" si="26"/>
        <v>12.635999999999999</v>
      </c>
      <c r="F35" s="9">
        <v>5.5</v>
      </c>
      <c r="G35" s="47">
        <f t="shared" si="21"/>
        <v>18.135999999999999</v>
      </c>
      <c r="I35" s="9">
        <f t="shared" si="30"/>
        <v>13</v>
      </c>
      <c r="J35" s="9" t="s">
        <v>81</v>
      </c>
      <c r="K35" s="45">
        <v>46082</v>
      </c>
      <c r="L35" s="9">
        <v>1</v>
      </c>
      <c r="M35" s="47">
        <f t="shared" si="27"/>
        <v>27.378</v>
      </c>
      <c r="N35" s="10">
        <v>0</v>
      </c>
      <c r="O35" s="47">
        <f t="shared" si="22"/>
        <v>27.378</v>
      </c>
      <c r="Q35" s="9">
        <f t="shared" si="31"/>
        <v>13</v>
      </c>
      <c r="R35" s="9" t="s">
        <v>82</v>
      </c>
      <c r="S35" s="45">
        <v>46113</v>
      </c>
      <c r="T35" s="9">
        <v>1</v>
      </c>
      <c r="U35" s="47">
        <f t="shared" si="28"/>
        <v>28.6</v>
      </c>
      <c r="V35" s="10">
        <v>0</v>
      </c>
      <c r="W35" s="47">
        <f t="shared" si="23"/>
        <v>28.6</v>
      </c>
      <c r="Y35" s="9">
        <f t="shared" si="32"/>
        <v>13</v>
      </c>
      <c r="Z35" s="9" t="s">
        <v>82</v>
      </c>
      <c r="AA35" s="45">
        <v>46113</v>
      </c>
      <c r="AB35" s="9">
        <v>1</v>
      </c>
      <c r="AC35" s="47">
        <f t="shared" si="29"/>
        <v>28.6</v>
      </c>
      <c r="AD35" s="10">
        <v>0</v>
      </c>
      <c r="AE35" s="47">
        <f t="shared" si="24"/>
        <v>28.6</v>
      </c>
    </row>
    <row r="36" spans="1:31" x14ac:dyDescent="0.35">
      <c r="A36" s="9">
        <f t="shared" si="25"/>
        <v>14</v>
      </c>
      <c r="B36" s="9" t="s">
        <v>81</v>
      </c>
      <c r="C36" s="45">
        <v>46082</v>
      </c>
      <c r="D36" s="9">
        <v>1</v>
      </c>
      <c r="E36" s="47">
        <f t="shared" si="26"/>
        <v>12.635999999999999</v>
      </c>
      <c r="F36" s="9">
        <v>5.5</v>
      </c>
      <c r="G36" s="47">
        <f t="shared" si="21"/>
        <v>18.135999999999999</v>
      </c>
      <c r="I36" s="9">
        <f t="shared" si="30"/>
        <v>14</v>
      </c>
      <c r="J36" s="9" t="s">
        <v>82</v>
      </c>
      <c r="K36" s="45">
        <v>46113</v>
      </c>
      <c r="L36" s="9">
        <v>1</v>
      </c>
      <c r="M36" s="47">
        <f t="shared" si="27"/>
        <v>27.378</v>
      </c>
      <c r="N36" s="10">
        <v>0</v>
      </c>
      <c r="O36" s="47">
        <f t="shared" si="22"/>
        <v>27.378</v>
      </c>
      <c r="Q36" s="9">
        <f t="shared" si="31"/>
        <v>14</v>
      </c>
      <c r="R36" s="9" t="s">
        <v>82</v>
      </c>
      <c r="S36" s="45">
        <v>46143</v>
      </c>
      <c r="T36" s="9">
        <v>1</v>
      </c>
      <c r="U36" s="47">
        <f t="shared" si="28"/>
        <v>28.6</v>
      </c>
      <c r="V36" s="10">
        <v>0</v>
      </c>
      <c r="W36" s="47">
        <f t="shared" si="23"/>
        <v>28.6</v>
      </c>
      <c r="Y36" s="9">
        <f t="shared" si="32"/>
        <v>14</v>
      </c>
      <c r="Z36" s="9" t="s">
        <v>82</v>
      </c>
      <c r="AA36" s="45">
        <v>46143</v>
      </c>
      <c r="AB36" s="9">
        <v>1</v>
      </c>
      <c r="AC36" s="47">
        <f t="shared" si="29"/>
        <v>28.6</v>
      </c>
      <c r="AD36" s="10">
        <v>0</v>
      </c>
      <c r="AE36" s="47">
        <f t="shared" si="24"/>
        <v>28.6</v>
      </c>
    </row>
    <row r="37" spans="1:31" x14ac:dyDescent="0.35">
      <c r="A37" s="9">
        <f t="shared" si="25"/>
        <v>15</v>
      </c>
      <c r="B37" s="9" t="s">
        <v>82</v>
      </c>
      <c r="C37" s="45">
        <v>46113</v>
      </c>
      <c r="D37" s="9">
        <v>1</v>
      </c>
      <c r="E37" s="47">
        <f t="shared" si="26"/>
        <v>12.635999999999999</v>
      </c>
      <c r="F37" s="9">
        <v>5.5</v>
      </c>
      <c r="G37" s="47">
        <f t="shared" si="21"/>
        <v>18.135999999999999</v>
      </c>
      <c r="I37" s="9">
        <f t="shared" si="30"/>
        <v>15</v>
      </c>
      <c r="J37" s="9" t="s">
        <v>82</v>
      </c>
      <c r="K37" s="45">
        <v>46143</v>
      </c>
      <c r="L37" s="9">
        <v>1</v>
      </c>
      <c r="M37" s="47">
        <f t="shared" si="27"/>
        <v>27.378</v>
      </c>
      <c r="N37" s="10">
        <v>0</v>
      </c>
      <c r="O37" s="47">
        <f t="shared" si="22"/>
        <v>27.378</v>
      </c>
      <c r="Q37" s="9">
        <f t="shared" si="31"/>
        <v>15</v>
      </c>
      <c r="R37" s="9" t="s">
        <v>82</v>
      </c>
      <c r="S37" s="45">
        <v>46174</v>
      </c>
      <c r="T37" s="9">
        <v>1</v>
      </c>
      <c r="U37" s="47">
        <f t="shared" si="28"/>
        <v>28.6</v>
      </c>
      <c r="V37" s="10">
        <v>0</v>
      </c>
      <c r="W37" s="47">
        <f t="shared" si="23"/>
        <v>28.6</v>
      </c>
      <c r="Y37" s="9">
        <f t="shared" si="32"/>
        <v>15</v>
      </c>
      <c r="Z37" s="9" t="s">
        <v>82</v>
      </c>
      <c r="AA37" s="45">
        <v>46174</v>
      </c>
      <c r="AB37" s="9">
        <v>1</v>
      </c>
      <c r="AC37" s="47">
        <f t="shared" si="29"/>
        <v>28.6</v>
      </c>
      <c r="AD37" s="10">
        <v>0</v>
      </c>
      <c r="AE37" s="47">
        <f t="shared" si="24"/>
        <v>28.6</v>
      </c>
    </row>
    <row r="38" spans="1:31" x14ac:dyDescent="0.35">
      <c r="A38" s="9">
        <f t="shared" si="25"/>
        <v>16</v>
      </c>
      <c r="B38" s="9" t="s">
        <v>82</v>
      </c>
      <c r="C38" s="45">
        <v>46143</v>
      </c>
      <c r="D38" s="9">
        <v>1</v>
      </c>
      <c r="E38" s="47">
        <f t="shared" si="26"/>
        <v>12.635999999999999</v>
      </c>
      <c r="F38" s="9">
        <v>5.5</v>
      </c>
      <c r="G38" s="47">
        <f t="shared" si="21"/>
        <v>18.135999999999999</v>
      </c>
      <c r="I38" s="9">
        <f t="shared" si="30"/>
        <v>16</v>
      </c>
      <c r="J38" s="9" t="s">
        <v>82</v>
      </c>
      <c r="K38" s="45">
        <v>46174</v>
      </c>
      <c r="L38" s="9">
        <v>1</v>
      </c>
      <c r="M38" s="47">
        <f t="shared" si="27"/>
        <v>27.378</v>
      </c>
      <c r="N38" s="10">
        <v>0</v>
      </c>
      <c r="O38" s="47">
        <f t="shared" si="22"/>
        <v>27.378</v>
      </c>
      <c r="Q38" s="9">
        <f t="shared" si="31"/>
        <v>16</v>
      </c>
      <c r="R38" s="9" t="s">
        <v>82</v>
      </c>
      <c r="S38" s="45">
        <v>46204</v>
      </c>
      <c r="T38" s="9">
        <v>1</v>
      </c>
      <c r="U38" s="47">
        <f t="shared" si="28"/>
        <v>28.6</v>
      </c>
      <c r="V38" s="10">
        <v>0</v>
      </c>
      <c r="W38" s="47">
        <f t="shared" si="23"/>
        <v>28.6</v>
      </c>
      <c r="Y38" s="9">
        <f t="shared" si="32"/>
        <v>16</v>
      </c>
      <c r="Z38" s="9" t="s">
        <v>82</v>
      </c>
      <c r="AA38" s="45">
        <v>46204</v>
      </c>
      <c r="AB38" s="9">
        <v>1</v>
      </c>
      <c r="AC38" s="47">
        <f t="shared" si="29"/>
        <v>28.6</v>
      </c>
      <c r="AD38" s="10">
        <v>0</v>
      </c>
      <c r="AE38" s="47">
        <f t="shared" si="24"/>
        <v>28.6</v>
      </c>
    </row>
    <row r="39" spans="1:31" x14ac:dyDescent="0.35">
      <c r="A39" s="9">
        <f t="shared" si="25"/>
        <v>17</v>
      </c>
      <c r="B39" s="9" t="s">
        <v>82</v>
      </c>
      <c r="C39" s="45">
        <v>46174</v>
      </c>
      <c r="D39" s="9">
        <v>1</v>
      </c>
      <c r="E39" s="47">
        <f t="shared" si="26"/>
        <v>12.635999999999999</v>
      </c>
      <c r="F39" s="9">
        <v>5.5</v>
      </c>
      <c r="G39" s="47">
        <f t="shared" si="21"/>
        <v>18.135999999999999</v>
      </c>
      <c r="I39" s="9">
        <f t="shared" si="30"/>
        <v>17</v>
      </c>
      <c r="J39" s="9" t="s">
        <v>82</v>
      </c>
      <c r="K39" s="45">
        <v>46204</v>
      </c>
      <c r="L39" s="9">
        <v>1</v>
      </c>
      <c r="M39" s="47">
        <f t="shared" si="27"/>
        <v>27.378</v>
      </c>
      <c r="N39" s="10">
        <v>0</v>
      </c>
      <c r="O39" s="47">
        <f t="shared" si="22"/>
        <v>27.378</v>
      </c>
      <c r="Q39" s="9">
        <f t="shared" si="31"/>
        <v>17</v>
      </c>
      <c r="R39" s="9" t="s">
        <v>82</v>
      </c>
      <c r="S39" s="45">
        <v>46235</v>
      </c>
      <c r="T39" s="9">
        <v>1</v>
      </c>
      <c r="U39" s="47">
        <f t="shared" si="28"/>
        <v>28.6</v>
      </c>
      <c r="V39" s="10">
        <v>0</v>
      </c>
      <c r="W39" s="47">
        <f t="shared" si="23"/>
        <v>28.6</v>
      </c>
      <c r="Y39" s="9">
        <f t="shared" si="32"/>
        <v>17</v>
      </c>
      <c r="Z39" s="9" t="s">
        <v>82</v>
      </c>
      <c r="AA39" s="45">
        <v>46235</v>
      </c>
      <c r="AB39" s="9">
        <v>1</v>
      </c>
      <c r="AC39" s="47">
        <f t="shared" si="29"/>
        <v>28.6</v>
      </c>
      <c r="AD39" s="10">
        <v>0</v>
      </c>
      <c r="AE39" s="47">
        <f t="shared" si="24"/>
        <v>28.6</v>
      </c>
    </row>
    <row r="40" spans="1:31" x14ac:dyDescent="0.35">
      <c r="A40" s="9">
        <f t="shared" si="25"/>
        <v>18</v>
      </c>
      <c r="B40" s="9" t="s">
        <v>82</v>
      </c>
      <c r="C40" s="45">
        <v>46204</v>
      </c>
      <c r="D40" s="9">
        <v>1</v>
      </c>
      <c r="E40" s="47">
        <f t="shared" si="26"/>
        <v>12.635999999999999</v>
      </c>
      <c r="F40" s="9">
        <v>5.5</v>
      </c>
      <c r="G40" s="47">
        <f t="shared" si="21"/>
        <v>18.135999999999999</v>
      </c>
      <c r="I40" s="9">
        <f t="shared" si="30"/>
        <v>18</v>
      </c>
      <c r="J40" s="9" t="s">
        <v>82</v>
      </c>
      <c r="K40" s="45">
        <v>46235</v>
      </c>
      <c r="L40" s="9">
        <v>1</v>
      </c>
      <c r="M40" s="47">
        <f t="shared" si="27"/>
        <v>27.378</v>
      </c>
      <c r="N40" s="10">
        <v>0</v>
      </c>
      <c r="O40" s="47">
        <f t="shared" si="22"/>
        <v>27.378</v>
      </c>
      <c r="Q40" s="9">
        <f t="shared" si="31"/>
        <v>18</v>
      </c>
      <c r="R40" s="9" t="s">
        <v>82</v>
      </c>
      <c r="S40" s="45">
        <v>46266</v>
      </c>
      <c r="T40" s="9">
        <v>1</v>
      </c>
      <c r="U40" s="47">
        <f t="shared" si="28"/>
        <v>28.6</v>
      </c>
      <c r="V40" s="10">
        <v>0</v>
      </c>
      <c r="W40" s="47">
        <f t="shared" si="23"/>
        <v>28.6</v>
      </c>
      <c r="Y40" s="9">
        <f t="shared" si="32"/>
        <v>18</v>
      </c>
      <c r="Z40" s="9" t="s">
        <v>82</v>
      </c>
      <c r="AA40" s="45">
        <v>46266</v>
      </c>
      <c r="AB40" s="9">
        <v>1</v>
      </c>
      <c r="AC40" s="47">
        <f t="shared" si="29"/>
        <v>28.6</v>
      </c>
      <c r="AD40" s="10">
        <v>0</v>
      </c>
      <c r="AE40" s="47">
        <f t="shared" si="24"/>
        <v>28.6</v>
      </c>
    </row>
    <row r="41" spans="1:31" x14ac:dyDescent="0.35">
      <c r="A41" s="9">
        <f t="shared" si="25"/>
        <v>19</v>
      </c>
      <c r="B41" s="9" t="s">
        <v>82</v>
      </c>
      <c r="C41" s="45">
        <v>46235</v>
      </c>
      <c r="D41" s="9">
        <v>1</v>
      </c>
      <c r="E41" s="47">
        <f t="shared" si="26"/>
        <v>12.635999999999999</v>
      </c>
      <c r="F41" s="9">
        <v>5.5</v>
      </c>
      <c r="G41" s="47">
        <f t="shared" si="21"/>
        <v>18.135999999999999</v>
      </c>
      <c r="I41" s="9">
        <f t="shared" si="30"/>
        <v>19</v>
      </c>
      <c r="J41" s="9" t="s">
        <v>82</v>
      </c>
      <c r="K41" s="45">
        <v>46266</v>
      </c>
      <c r="L41" s="9">
        <v>1</v>
      </c>
      <c r="M41" s="47">
        <f t="shared" si="27"/>
        <v>27.378</v>
      </c>
      <c r="N41" s="10">
        <v>0</v>
      </c>
      <c r="O41" s="47">
        <f t="shared" si="22"/>
        <v>27.378</v>
      </c>
      <c r="Q41" s="9">
        <f t="shared" si="31"/>
        <v>19</v>
      </c>
      <c r="R41" s="9" t="s">
        <v>82</v>
      </c>
      <c r="S41" s="45">
        <v>46296</v>
      </c>
      <c r="T41" s="9">
        <v>1</v>
      </c>
      <c r="U41" s="47">
        <f t="shared" si="28"/>
        <v>28.6</v>
      </c>
      <c r="V41" s="10">
        <v>0</v>
      </c>
      <c r="W41" s="47">
        <f t="shared" si="23"/>
        <v>28.6</v>
      </c>
      <c r="Y41" s="9">
        <f t="shared" si="32"/>
        <v>19</v>
      </c>
      <c r="Z41" s="9" t="s">
        <v>82</v>
      </c>
      <c r="AA41" s="45">
        <v>46296</v>
      </c>
      <c r="AB41" s="9">
        <v>1</v>
      </c>
      <c r="AC41" s="47">
        <f t="shared" si="29"/>
        <v>28.6</v>
      </c>
      <c r="AD41" s="10">
        <v>0</v>
      </c>
      <c r="AE41" s="47">
        <f t="shared" si="24"/>
        <v>28.6</v>
      </c>
    </row>
    <row r="42" spans="1:31" x14ac:dyDescent="0.35">
      <c r="A42" s="9">
        <f t="shared" si="25"/>
        <v>20</v>
      </c>
      <c r="B42" s="9" t="s">
        <v>82</v>
      </c>
      <c r="C42" s="45">
        <v>46266</v>
      </c>
      <c r="D42" s="9">
        <v>1</v>
      </c>
      <c r="E42" s="47">
        <f t="shared" si="26"/>
        <v>12.635999999999999</v>
      </c>
      <c r="F42" s="9">
        <v>5.5</v>
      </c>
      <c r="G42" s="47">
        <f t="shared" si="21"/>
        <v>18.135999999999999</v>
      </c>
      <c r="I42" s="9">
        <f t="shared" si="30"/>
        <v>20</v>
      </c>
      <c r="J42" s="9" t="s">
        <v>82</v>
      </c>
      <c r="K42" s="45">
        <v>46296</v>
      </c>
      <c r="L42" s="9">
        <v>1</v>
      </c>
      <c r="M42" s="47">
        <f t="shared" si="27"/>
        <v>27.378</v>
      </c>
      <c r="N42" s="10">
        <v>0</v>
      </c>
      <c r="O42" s="47">
        <f t="shared" si="22"/>
        <v>27.378</v>
      </c>
      <c r="Q42" s="9">
        <f t="shared" si="31"/>
        <v>20</v>
      </c>
      <c r="R42" s="9" t="s">
        <v>82</v>
      </c>
      <c r="S42" s="45">
        <v>46327</v>
      </c>
      <c r="T42" s="9">
        <v>1</v>
      </c>
      <c r="U42" s="47">
        <f t="shared" si="28"/>
        <v>28.6</v>
      </c>
      <c r="V42" s="10">
        <v>0</v>
      </c>
      <c r="W42" s="47">
        <f t="shared" si="23"/>
        <v>28.6</v>
      </c>
      <c r="Y42" s="9">
        <f t="shared" si="32"/>
        <v>20</v>
      </c>
      <c r="Z42" s="9" t="s">
        <v>82</v>
      </c>
      <c r="AA42" s="45">
        <v>46327</v>
      </c>
      <c r="AB42" s="9">
        <v>1</v>
      </c>
      <c r="AC42" s="47">
        <f t="shared" si="29"/>
        <v>28.6</v>
      </c>
      <c r="AD42" s="10">
        <v>0</v>
      </c>
      <c r="AE42" s="47">
        <f t="shared" si="24"/>
        <v>28.6</v>
      </c>
    </row>
    <row r="43" spans="1:31" x14ac:dyDescent="0.35">
      <c r="A43" s="9">
        <f t="shared" si="25"/>
        <v>21</v>
      </c>
      <c r="B43" s="9" t="s">
        <v>82</v>
      </c>
      <c r="C43" s="45">
        <v>46296</v>
      </c>
      <c r="D43" s="9">
        <v>1</v>
      </c>
      <c r="E43" s="47">
        <f t="shared" si="26"/>
        <v>12.635999999999999</v>
      </c>
      <c r="F43" s="9">
        <v>5.5</v>
      </c>
      <c r="G43" s="47">
        <f t="shared" si="21"/>
        <v>18.135999999999999</v>
      </c>
      <c r="I43" s="9">
        <f t="shared" si="30"/>
        <v>21</v>
      </c>
      <c r="J43" s="9" t="s">
        <v>82</v>
      </c>
      <c r="K43" s="45">
        <v>46327</v>
      </c>
      <c r="L43" s="9">
        <v>1</v>
      </c>
      <c r="M43" s="47">
        <f t="shared" si="27"/>
        <v>27.378</v>
      </c>
      <c r="N43" s="10">
        <v>0</v>
      </c>
      <c r="O43" s="47">
        <f t="shared" si="22"/>
        <v>27.378</v>
      </c>
      <c r="Q43" s="9">
        <f t="shared" si="31"/>
        <v>21</v>
      </c>
      <c r="R43" s="9" t="s">
        <v>82</v>
      </c>
      <c r="S43" s="45">
        <v>46357</v>
      </c>
      <c r="T43" s="9">
        <v>1</v>
      </c>
      <c r="U43" s="47">
        <f t="shared" si="28"/>
        <v>28.6</v>
      </c>
      <c r="V43" s="10">
        <v>0</v>
      </c>
      <c r="W43" s="47">
        <f t="shared" si="23"/>
        <v>28.6</v>
      </c>
      <c r="Y43" s="9">
        <f t="shared" si="32"/>
        <v>21</v>
      </c>
      <c r="Z43" s="9" t="s">
        <v>82</v>
      </c>
      <c r="AA43" s="45">
        <v>46357</v>
      </c>
      <c r="AB43" s="9">
        <v>1</v>
      </c>
      <c r="AC43" s="47">
        <f t="shared" si="29"/>
        <v>28.6</v>
      </c>
      <c r="AD43" s="10">
        <v>0</v>
      </c>
      <c r="AE43" s="47">
        <f t="shared" si="24"/>
        <v>28.6</v>
      </c>
    </row>
    <row r="44" spans="1:31" x14ac:dyDescent="0.35">
      <c r="A44" s="9">
        <f t="shared" si="25"/>
        <v>22</v>
      </c>
      <c r="B44" s="9" t="s">
        <v>82</v>
      </c>
      <c r="C44" s="45">
        <v>46327</v>
      </c>
      <c r="D44" s="9">
        <v>1</v>
      </c>
      <c r="E44" s="47">
        <f t="shared" si="26"/>
        <v>12.635999999999999</v>
      </c>
      <c r="F44" s="9">
        <v>5.5</v>
      </c>
      <c r="G44" s="47">
        <f t="shared" si="21"/>
        <v>18.135999999999999</v>
      </c>
      <c r="I44" s="9">
        <f t="shared" si="30"/>
        <v>22</v>
      </c>
      <c r="J44" s="9" t="s">
        <v>82</v>
      </c>
      <c r="K44" s="45">
        <v>46357</v>
      </c>
      <c r="L44" s="9">
        <v>1</v>
      </c>
      <c r="M44" s="47">
        <f t="shared" si="27"/>
        <v>27.378</v>
      </c>
      <c r="N44" s="10">
        <v>0</v>
      </c>
      <c r="O44" s="47">
        <f t="shared" si="22"/>
        <v>27.378</v>
      </c>
      <c r="Q44" s="9">
        <f t="shared" si="31"/>
        <v>22</v>
      </c>
      <c r="R44" s="9" t="s">
        <v>82</v>
      </c>
      <c r="S44" s="45">
        <v>46388</v>
      </c>
      <c r="T44" s="9">
        <v>1</v>
      </c>
      <c r="U44" s="47">
        <f t="shared" si="28"/>
        <v>28.6</v>
      </c>
      <c r="V44" s="10">
        <v>0</v>
      </c>
      <c r="W44" s="47">
        <f t="shared" si="23"/>
        <v>28.6</v>
      </c>
      <c r="Y44" s="9">
        <f t="shared" si="32"/>
        <v>22</v>
      </c>
      <c r="Z44" s="9" t="s">
        <v>82</v>
      </c>
      <c r="AA44" s="45">
        <v>46388</v>
      </c>
      <c r="AB44" s="9">
        <v>1</v>
      </c>
      <c r="AC44" s="47">
        <f t="shared" si="29"/>
        <v>28.6</v>
      </c>
      <c r="AD44" s="10">
        <v>0</v>
      </c>
      <c r="AE44" s="47">
        <f t="shared" si="24"/>
        <v>28.6</v>
      </c>
    </row>
    <row r="45" spans="1:31" x14ac:dyDescent="0.35">
      <c r="A45" s="9">
        <f t="shared" si="25"/>
        <v>23</v>
      </c>
      <c r="B45" s="9" t="s">
        <v>82</v>
      </c>
      <c r="C45" s="45">
        <v>46357</v>
      </c>
      <c r="D45" s="9">
        <v>1</v>
      </c>
      <c r="E45" s="47">
        <f t="shared" si="26"/>
        <v>12.635999999999999</v>
      </c>
      <c r="F45" s="9">
        <v>5.5</v>
      </c>
      <c r="G45" s="47">
        <f t="shared" si="21"/>
        <v>18.135999999999999</v>
      </c>
      <c r="I45" s="9">
        <f t="shared" si="30"/>
        <v>23</v>
      </c>
      <c r="J45" s="9" t="s">
        <v>82</v>
      </c>
      <c r="K45" s="45">
        <v>46388</v>
      </c>
      <c r="L45" s="9">
        <v>1</v>
      </c>
      <c r="M45" s="47">
        <f t="shared" si="27"/>
        <v>27.378</v>
      </c>
      <c r="N45" s="10">
        <v>0</v>
      </c>
      <c r="O45" s="47">
        <f t="shared" si="22"/>
        <v>27.378</v>
      </c>
      <c r="Q45" s="9">
        <f t="shared" si="31"/>
        <v>23</v>
      </c>
      <c r="R45" s="9" t="s">
        <v>82</v>
      </c>
      <c r="S45" s="45">
        <v>46419</v>
      </c>
      <c r="T45" s="9">
        <v>1</v>
      </c>
      <c r="U45" s="47">
        <f t="shared" si="28"/>
        <v>28.6</v>
      </c>
      <c r="V45" s="10">
        <v>0</v>
      </c>
      <c r="W45" s="47">
        <f t="shared" si="23"/>
        <v>28.6</v>
      </c>
      <c r="Y45" s="9">
        <f t="shared" si="32"/>
        <v>23</v>
      </c>
      <c r="Z45" s="9" t="s">
        <v>82</v>
      </c>
      <c r="AA45" s="45">
        <v>46419</v>
      </c>
      <c r="AB45" s="9">
        <v>1</v>
      </c>
      <c r="AC45" s="47">
        <f t="shared" si="29"/>
        <v>28.6</v>
      </c>
      <c r="AD45" s="10">
        <v>0</v>
      </c>
      <c r="AE45" s="47">
        <f t="shared" si="24"/>
        <v>28.6</v>
      </c>
    </row>
    <row r="46" spans="1:31" x14ac:dyDescent="0.35">
      <c r="A46" s="9">
        <f t="shared" si="25"/>
        <v>24</v>
      </c>
      <c r="B46" s="9" t="s">
        <v>82</v>
      </c>
      <c r="C46" s="45">
        <v>46388</v>
      </c>
      <c r="D46" s="9">
        <v>1</v>
      </c>
      <c r="E46" s="47">
        <f t="shared" si="26"/>
        <v>12.635999999999999</v>
      </c>
      <c r="F46" s="9">
        <v>5.5</v>
      </c>
      <c r="G46" s="47">
        <f t="shared" si="21"/>
        <v>18.135999999999999</v>
      </c>
      <c r="I46" s="9">
        <f t="shared" si="30"/>
        <v>24</v>
      </c>
      <c r="J46" s="9" t="s">
        <v>82</v>
      </c>
      <c r="K46" s="45">
        <v>46419</v>
      </c>
      <c r="L46" s="9">
        <v>1</v>
      </c>
      <c r="M46" s="47">
        <f t="shared" si="27"/>
        <v>27.378</v>
      </c>
      <c r="N46" s="10">
        <v>0</v>
      </c>
      <c r="O46" s="47">
        <f t="shared" si="22"/>
        <v>27.378</v>
      </c>
      <c r="Q46" s="9">
        <f t="shared" si="31"/>
        <v>24</v>
      </c>
      <c r="R46" s="9" t="s">
        <v>82</v>
      </c>
      <c r="S46" s="45">
        <v>46447</v>
      </c>
      <c r="T46" s="9">
        <v>1</v>
      </c>
      <c r="U46" s="47">
        <f t="shared" si="28"/>
        <v>28.6</v>
      </c>
      <c r="V46" s="10">
        <v>0</v>
      </c>
      <c r="W46" s="47">
        <f t="shared" si="23"/>
        <v>28.6</v>
      </c>
      <c r="Y46" s="9">
        <f t="shared" si="32"/>
        <v>24</v>
      </c>
      <c r="Z46" s="9" t="s">
        <v>82</v>
      </c>
      <c r="AA46" s="45">
        <v>46447</v>
      </c>
      <c r="AB46" s="9">
        <v>1</v>
      </c>
      <c r="AC46" s="47">
        <f t="shared" si="29"/>
        <v>28.6</v>
      </c>
      <c r="AD46" s="10">
        <v>0</v>
      </c>
      <c r="AE46" s="47">
        <f t="shared" si="24"/>
        <v>28.6</v>
      </c>
    </row>
    <row r="47" spans="1:31" x14ac:dyDescent="0.35">
      <c r="A47" s="9">
        <f t="shared" si="25"/>
        <v>25</v>
      </c>
      <c r="B47" s="9" t="s">
        <v>82</v>
      </c>
      <c r="C47" s="45">
        <v>46419</v>
      </c>
      <c r="D47" s="9">
        <v>1</v>
      </c>
      <c r="E47" s="47">
        <f t="shared" si="26"/>
        <v>12.635999999999999</v>
      </c>
      <c r="F47" s="9">
        <v>5.5</v>
      </c>
      <c r="G47" s="47">
        <f t="shared" si="21"/>
        <v>18.135999999999999</v>
      </c>
      <c r="I47" s="9">
        <f t="shared" si="30"/>
        <v>25</v>
      </c>
      <c r="J47" s="9" t="s">
        <v>82</v>
      </c>
      <c r="K47" s="45">
        <v>46447</v>
      </c>
      <c r="L47" s="9">
        <v>1</v>
      </c>
      <c r="M47" s="47">
        <f t="shared" si="27"/>
        <v>27.378</v>
      </c>
      <c r="N47" s="10">
        <v>0</v>
      </c>
      <c r="O47" s="47">
        <f t="shared" si="22"/>
        <v>27.378</v>
      </c>
      <c r="Q47" s="9">
        <f t="shared" si="31"/>
        <v>25</v>
      </c>
      <c r="R47" s="9" t="s">
        <v>83</v>
      </c>
      <c r="S47" s="45">
        <v>46478</v>
      </c>
      <c r="T47" s="9">
        <v>1</v>
      </c>
      <c r="U47" s="47">
        <f t="shared" si="28"/>
        <v>28.6</v>
      </c>
      <c r="V47" s="10">
        <v>0</v>
      </c>
      <c r="W47" s="47">
        <f t="shared" si="23"/>
        <v>28.6</v>
      </c>
      <c r="Y47" s="9">
        <f t="shared" si="32"/>
        <v>25</v>
      </c>
      <c r="Z47" s="9" t="s">
        <v>83</v>
      </c>
      <c r="AA47" s="45">
        <v>46478</v>
      </c>
      <c r="AB47" s="9">
        <v>1</v>
      </c>
      <c r="AC47" s="47">
        <f t="shared" si="29"/>
        <v>28.6</v>
      </c>
      <c r="AD47" s="10">
        <v>0</v>
      </c>
      <c r="AE47" s="47">
        <f t="shared" si="24"/>
        <v>28.6</v>
      </c>
    </row>
    <row r="48" spans="1:31" x14ac:dyDescent="0.35">
      <c r="A48" s="9">
        <f t="shared" si="25"/>
        <v>26</v>
      </c>
      <c r="B48" s="9" t="s">
        <v>82</v>
      </c>
      <c r="C48" s="45">
        <v>46447</v>
      </c>
      <c r="D48" s="9">
        <v>1</v>
      </c>
      <c r="E48" s="47">
        <f t="shared" si="26"/>
        <v>12.635999999999999</v>
      </c>
      <c r="F48" s="9">
        <v>5.5</v>
      </c>
      <c r="G48" s="47">
        <f t="shared" si="21"/>
        <v>18.135999999999999</v>
      </c>
      <c r="I48" s="9">
        <f t="shared" si="30"/>
        <v>26</v>
      </c>
      <c r="J48" s="9" t="s">
        <v>83</v>
      </c>
      <c r="K48" s="45">
        <v>46478</v>
      </c>
      <c r="L48" s="9">
        <v>1</v>
      </c>
      <c r="M48" s="47">
        <f t="shared" si="27"/>
        <v>27.378</v>
      </c>
      <c r="N48" s="10">
        <v>0</v>
      </c>
      <c r="O48" s="47">
        <f t="shared" si="22"/>
        <v>27.378</v>
      </c>
      <c r="Q48" s="9">
        <f t="shared" si="31"/>
        <v>26</v>
      </c>
      <c r="R48" s="9" t="s">
        <v>83</v>
      </c>
      <c r="S48" s="45">
        <v>46508</v>
      </c>
      <c r="T48" s="9">
        <v>1</v>
      </c>
      <c r="U48" s="47">
        <f t="shared" si="28"/>
        <v>28.6</v>
      </c>
      <c r="V48" s="10">
        <v>0</v>
      </c>
      <c r="W48" s="47">
        <f t="shared" si="23"/>
        <v>28.6</v>
      </c>
      <c r="Y48" s="9">
        <f t="shared" si="32"/>
        <v>26</v>
      </c>
      <c r="Z48" s="9" t="s">
        <v>83</v>
      </c>
      <c r="AA48" s="45">
        <v>46508</v>
      </c>
      <c r="AB48" s="9">
        <v>1</v>
      </c>
      <c r="AC48" s="47">
        <f t="shared" si="29"/>
        <v>28.6</v>
      </c>
      <c r="AD48" s="10">
        <v>0</v>
      </c>
      <c r="AE48" s="47">
        <f t="shared" si="24"/>
        <v>28.6</v>
      </c>
    </row>
    <row r="49" spans="1:31" x14ac:dyDescent="0.35">
      <c r="A49" s="9">
        <f t="shared" si="25"/>
        <v>27</v>
      </c>
      <c r="B49" s="9" t="s">
        <v>83</v>
      </c>
      <c r="C49" s="45">
        <v>46478</v>
      </c>
      <c r="D49" s="9">
        <v>1</v>
      </c>
      <c r="E49" s="47">
        <f t="shared" si="26"/>
        <v>12.635999999999999</v>
      </c>
      <c r="F49" s="9">
        <v>5.5</v>
      </c>
      <c r="G49" s="47">
        <f t="shared" si="21"/>
        <v>18.135999999999999</v>
      </c>
      <c r="I49" s="9">
        <f t="shared" si="30"/>
        <v>27</v>
      </c>
      <c r="J49" s="9" t="s">
        <v>83</v>
      </c>
      <c r="K49" s="45">
        <v>46508</v>
      </c>
      <c r="L49" s="9">
        <v>1</v>
      </c>
      <c r="M49" s="47">
        <f t="shared" si="27"/>
        <v>27.378</v>
      </c>
      <c r="N49" s="10">
        <v>0</v>
      </c>
      <c r="O49" s="47">
        <f t="shared" si="22"/>
        <v>27.378</v>
      </c>
      <c r="Q49" s="9">
        <f t="shared" si="31"/>
        <v>27</v>
      </c>
      <c r="R49" s="9" t="s">
        <v>83</v>
      </c>
      <c r="S49" s="45">
        <v>46539</v>
      </c>
      <c r="T49" s="9">
        <v>1</v>
      </c>
      <c r="U49" s="47">
        <f t="shared" si="28"/>
        <v>28.6</v>
      </c>
      <c r="V49" s="10">
        <v>0</v>
      </c>
      <c r="W49" s="47">
        <f t="shared" si="23"/>
        <v>28.6</v>
      </c>
      <c r="Y49" s="9">
        <f t="shared" si="32"/>
        <v>27</v>
      </c>
      <c r="Z49" s="9" t="s">
        <v>83</v>
      </c>
      <c r="AA49" s="45">
        <v>46539</v>
      </c>
      <c r="AB49" s="9">
        <v>1</v>
      </c>
      <c r="AC49" s="47">
        <f t="shared" si="29"/>
        <v>28.6</v>
      </c>
      <c r="AD49" s="10">
        <v>0</v>
      </c>
      <c r="AE49" s="47">
        <f t="shared" si="24"/>
        <v>28.6</v>
      </c>
    </row>
    <row r="50" spans="1:31" x14ac:dyDescent="0.35">
      <c r="A50" s="9">
        <f t="shared" si="25"/>
        <v>28</v>
      </c>
      <c r="B50" s="9" t="s">
        <v>83</v>
      </c>
      <c r="C50" s="45">
        <v>46508</v>
      </c>
      <c r="D50" s="9">
        <v>1</v>
      </c>
      <c r="E50" s="47">
        <f t="shared" si="26"/>
        <v>12.635999999999999</v>
      </c>
      <c r="F50" s="9">
        <v>5.5</v>
      </c>
      <c r="G50" s="47">
        <f t="shared" si="21"/>
        <v>18.135999999999999</v>
      </c>
      <c r="I50" s="9">
        <f t="shared" si="30"/>
        <v>28</v>
      </c>
      <c r="J50" s="9" t="s">
        <v>83</v>
      </c>
      <c r="K50" s="45">
        <v>46539</v>
      </c>
      <c r="L50" s="9">
        <v>1</v>
      </c>
      <c r="M50" s="47">
        <f t="shared" si="27"/>
        <v>27.378</v>
      </c>
      <c r="N50" s="10">
        <v>0</v>
      </c>
      <c r="O50" s="47">
        <f t="shared" si="22"/>
        <v>27.378</v>
      </c>
      <c r="Q50" s="9">
        <f t="shared" si="31"/>
        <v>28</v>
      </c>
      <c r="R50" s="9" t="s">
        <v>83</v>
      </c>
      <c r="S50" s="45">
        <v>46569</v>
      </c>
      <c r="T50" s="9">
        <v>1</v>
      </c>
      <c r="U50" s="47">
        <f t="shared" si="28"/>
        <v>28.6</v>
      </c>
      <c r="V50" s="10">
        <v>0</v>
      </c>
      <c r="W50" s="47">
        <f t="shared" si="23"/>
        <v>28.6</v>
      </c>
      <c r="Y50" s="9">
        <f t="shared" si="32"/>
        <v>28</v>
      </c>
      <c r="Z50" s="9" t="s">
        <v>83</v>
      </c>
      <c r="AA50" s="45">
        <v>46569</v>
      </c>
      <c r="AB50" s="9">
        <v>1</v>
      </c>
      <c r="AC50" s="47">
        <f t="shared" si="29"/>
        <v>28.6</v>
      </c>
      <c r="AD50" s="10">
        <v>0</v>
      </c>
      <c r="AE50" s="47">
        <f t="shared" si="24"/>
        <v>28.6</v>
      </c>
    </row>
    <row r="51" spans="1:31" x14ac:dyDescent="0.35">
      <c r="A51" s="9">
        <f t="shared" si="25"/>
        <v>29</v>
      </c>
      <c r="B51" s="9" t="s">
        <v>83</v>
      </c>
      <c r="C51" s="45">
        <v>46539</v>
      </c>
      <c r="D51" s="9">
        <v>1</v>
      </c>
      <c r="E51" s="47">
        <f t="shared" si="26"/>
        <v>12.635999999999999</v>
      </c>
      <c r="F51" s="9">
        <v>5.5</v>
      </c>
      <c r="G51" s="47">
        <f t="shared" si="21"/>
        <v>18.135999999999999</v>
      </c>
      <c r="I51" s="9">
        <f t="shared" si="30"/>
        <v>29</v>
      </c>
      <c r="J51" s="9" t="s">
        <v>83</v>
      </c>
      <c r="K51" s="45">
        <v>46569</v>
      </c>
      <c r="L51" s="9">
        <v>1</v>
      </c>
      <c r="M51" s="47">
        <f t="shared" si="27"/>
        <v>27.378</v>
      </c>
      <c r="N51" s="10">
        <v>0</v>
      </c>
      <c r="O51" s="47">
        <f t="shared" si="22"/>
        <v>27.378</v>
      </c>
      <c r="Q51" s="9">
        <f t="shared" si="31"/>
        <v>29</v>
      </c>
      <c r="R51" s="9" t="s">
        <v>83</v>
      </c>
      <c r="S51" s="45">
        <v>46600</v>
      </c>
      <c r="T51" s="9">
        <v>1</v>
      </c>
      <c r="U51" s="47">
        <f t="shared" si="28"/>
        <v>28.6</v>
      </c>
      <c r="V51" s="10">
        <v>0</v>
      </c>
      <c r="W51" s="47">
        <f t="shared" si="23"/>
        <v>28.6</v>
      </c>
      <c r="Y51" s="9">
        <f t="shared" si="32"/>
        <v>29</v>
      </c>
      <c r="Z51" s="9" t="s">
        <v>83</v>
      </c>
      <c r="AA51" s="45">
        <v>46600</v>
      </c>
      <c r="AB51" s="9">
        <v>1</v>
      </c>
      <c r="AC51" s="47">
        <f t="shared" si="29"/>
        <v>28.6</v>
      </c>
      <c r="AD51" s="10">
        <v>0</v>
      </c>
      <c r="AE51" s="47">
        <f t="shared" si="24"/>
        <v>28.6</v>
      </c>
    </row>
    <row r="52" spans="1:31" x14ac:dyDescent="0.35">
      <c r="A52" s="9">
        <f t="shared" si="25"/>
        <v>30</v>
      </c>
      <c r="B52" s="9" t="s">
        <v>83</v>
      </c>
      <c r="C52" s="45">
        <v>46569</v>
      </c>
      <c r="D52" s="9">
        <v>1</v>
      </c>
      <c r="E52" s="47">
        <f t="shared" si="26"/>
        <v>12.635999999999999</v>
      </c>
      <c r="F52" s="9">
        <v>5.5</v>
      </c>
      <c r="G52" s="47">
        <f t="shared" si="21"/>
        <v>18.135999999999999</v>
      </c>
      <c r="I52" s="9">
        <f t="shared" si="30"/>
        <v>30</v>
      </c>
      <c r="J52" s="9" t="s">
        <v>83</v>
      </c>
      <c r="K52" s="45">
        <v>46600</v>
      </c>
      <c r="L52" s="9">
        <v>1</v>
      </c>
      <c r="M52" s="47">
        <f t="shared" si="27"/>
        <v>27.378</v>
      </c>
      <c r="N52" s="10">
        <v>0</v>
      </c>
      <c r="O52" s="47">
        <f t="shared" si="22"/>
        <v>27.378</v>
      </c>
      <c r="Q52" s="9">
        <f t="shared" si="31"/>
        <v>30</v>
      </c>
      <c r="R52" s="9" t="s">
        <v>83</v>
      </c>
      <c r="S52" s="45">
        <v>46631</v>
      </c>
      <c r="T52" s="9">
        <v>1</v>
      </c>
      <c r="U52" s="47">
        <f t="shared" si="28"/>
        <v>28.6</v>
      </c>
      <c r="V52" s="10">
        <v>0</v>
      </c>
      <c r="W52" s="47">
        <f t="shared" si="23"/>
        <v>28.6</v>
      </c>
      <c r="Y52" s="9">
        <f t="shared" si="32"/>
        <v>30</v>
      </c>
      <c r="Z52" s="9" t="s">
        <v>83</v>
      </c>
      <c r="AA52" s="45">
        <v>46631</v>
      </c>
      <c r="AB52" s="9">
        <v>1</v>
      </c>
      <c r="AC52" s="47">
        <f t="shared" si="29"/>
        <v>28.6</v>
      </c>
      <c r="AD52" s="10">
        <v>0</v>
      </c>
      <c r="AE52" s="47">
        <f t="shared" si="24"/>
        <v>28.6</v>
      </c>
    </row>
    <row r="53" spans="1:31" x14ac:dyDescent="0.35">
      <c r="A53" s="9">
        <f t="shared" si="25"/>
        <v>31</v>
      </c>
      <c r="B53" s="9" t="s">
        <v>83</v>
      </c>
      <c r="C53" s="45">
        <v>46600</v>
      </c>
      <c r="D53" s="9">
        <v>1</v>
      </c>
      <c r="E53" s="47">
        <f t="shared" si="26"/>
        <v>12.635999999999999</v>
      </c>
      <c r="F53" s="9">
        <v>5.5</v>
      </c>
      <c r="G53" s="47">
        <f t="shared" si="21"/>
        <v>18.135999999999999</v>
      </c>
      <c r="I53" s="9">
        <f t="shared" si="30"/>
        <v>31</v>
      </c>
      <c r="J53" s="9" t="s">
        <v>83</v>
      </c>
      <c r="K53" s="45">
        <v>46631</v>
      </c>
      <c r="L53" s="9">
        <v>1</v>
      </c>
      <c r="M53" s="47">
        <f t="shared" si="27"/>
        <v>27.378</v>
      </c>
      <c r="N53" s="10">
        <v>0</v>
      </c>
      <c r="O53" s="47">
        <f t="shared" si="22"/>
        <v>27.378</v>
      </c>
      <c r="Q53" s="9">
        <f t="shared" si="31"/>
        <v>31</v>
      </c>
      <c r="R53" s="9" t="s">
        <v>83</v>
      </c>
      <c r="S53" s="45">
        <v>46661</v>
      </c>
      <c r="T53" s="9">
        <v>1</v>
      </c>
      <c r="U53" s="47">
        <f t="shared" si="28"/>
        <v>28.6</v>
      </c>
      <c r="V53" s="10">
        <v>0</v>
      </c>
      <c r="W53" s="47">
        <f t="shared" si="23"/>
        <v>28.6</v>
      </c>
      <c r="Y53" s="9">
        <f t="shared" si="32"/>
        <v>31</v>
      </c>
      <c r="Z53" s="9" t="s">
        <v>83</v>
      </c>
      <c r="AA53" s="45">
        <v>46661</v>
      </c>
      <c r="AB53" s="9">
        <v>1</v>
      </c>
      <c r="AC53" s="47">
        <f t="shared" si="29"/>
        <v>28.6</v>
      </c>
      <c r="AD53" s="10">
        <v>0</v>
      </c>
      <c r="AE53" s="47">
        <f t="shared" si="24"/>
        <v>28.6</v>
      </c>
    </row>
    <row r="54" spans="1:31" x14ac:dyDescent="0.35">
      <c r="A54" s="9">
        <f t="shared" si="25"/>
        <v>32</v>
      </c>
      <c r="B54" s="9" t="s">
        <v>83</v>
      </c>
      <c r="C54" s="45">
        <v>46631</v>
      </c>
      <c r="D54" s="9">
        <v>1</v>
      </c>
      <c r="E54" s="47">
        <f t="shared" si="26"/>
        <v>12.635999999999999</v>
      </c>
      <c r="F54" s="9">
        <v>5.5</v>
      </c>
      <c r="G54" s="47">
        <f t="shared" si="21"/>
        <v>18.135999999999999</v>
      </c>
      <c r="I54" s="9">
        <f t="shared" si="30"/>
        <v>32</v>
      </c>
      <c r="J54" s="9" t="s">
        <v>83</v>
      </c>
      <c r="K54" s="45">
        <v>46661</v>
      </c>
      <c r="L54" s="9">
        <v>1</v>
      </c>
      <c r="M54" s="47">
        <f t="shared" si="27"/>
        <v>27.378</v>
      </c>
      <c r="N54" s="10">
        <v>0</v>
      </c>
      <c r="O54" s="47">
        <f t="shared" si="22"/>
        <v>27.378</v>
      </c>
      <c r="Q54" s="9">
        <f t="shared" si="31"/>
        <v>32</v>
      </c>
      <c r="R54" s="9" t="s">
        <v>83</v>
      </c>
      <c r="S54" s="45">
        <v>46692</v>
      </c>
      <c r="T54" s="9">
        <v>1</v>
      </c>
      <c r="U54" s="47">
        <f t="shared" si="28"/>
        <v>28.6</v>
      </c>
      <c r="V54" s="10">
        <v>0</v>
      </c>
      <c r="W54" s="47">
        <f t="shared" si="23"/>
        <v>28.6</v>
      </c>
      <c r="Y54" s="9">
        <f t="shared" si="32"/>
        <v>32</v>
      </c>
      <c r="Z54" s="9" t="s">
        <v>83</v>
      </c>
      <c r="AA54" s="45">
        <v>46692</v>
      </c>
      <c r="AB54" s="9">
        <v>1</v>
      </c>
      <c r="AC54" s="47">
        <f t="shared" si="29"/>
        <v>28.6</v>
      </c>
      <c r="AD54" s="10">
        <v>0</v>
      </c>
      <c r="AE54" s="47">
        <f t="shared" si="24"/>
        <v>28.6</v>
      </c>
    </row>
    <row r="55" spans="1:31" x14ac:dyDescent="0.35">
      <c r="A55" s="9">
        <f t="shared" si="25"/>
        <v>33</v>
      </c>
      <c r="B55" s="9" t="s">
        <v>83</v>
      </c>
      <c r="C55" s="45">
        <v>46661</v>
      </c>
      <c r="D55" s="9">
        <v>1</v>
      </c>
      <c r="E55" s="47">
        <f t="shared" si="26"/>
        <v>12.635999999999999</v>
      </c>
      <c r="F55" s="9">
        <v>5.5</v>
      </c>
      <c r="G55" s="47">
        <f t="shared" si="21"/>
        <v>18.135999999999999</v>
      </c>
      <c r="I55" s="9">
        <f t="shared" si="30"/>
        <v>33</v>
      </c>
      <c r="J55" s="9" t="s">
        <v>83</v>
      </c>
      <c r="K55" s="45">
        <v>46692</v>
      </c>
      <c r="L55" s="9">
        <v>1</v>
      </c>
      <c r="M55" s="47">
        <f t="shared" si="27"/>
        <v>27.378</v>
      </c>
      <c r="N55" s="10">
        <v>0</v>
      </c>
      <c r="O55" s="47">
        <f t="shared" si="22"/>
        <v>27.378</v>
      </c>
      <c r="Q55" s="9">
        <f t="shared" si="31"/>
        <v>33</v>
      </c>
      <c r="R55" s="9" t="s">
        <v>83</v>
      </c>
      <c r="S55" s="45">
        <v>46722</v>
      </c>
      <c r="T55" s="9">
        <v>1</v>
      </c>
      <c r="U55" s="47">
        <f t="shared" si="28"/>
        <v>28.6</v>
      </c>
      <c r="V55" s="10">
        <v>0</v>
      </c>
      <c r="W55" s="47">
        <f t="shared" si="23"/>
        <v>28.6</v>
      </c>
      <c r="Y55" s="9">
        <f t="shared" si="32"/>
        <v>33</v>
      </c>
      <c r="Z55" s="9" t="s">
        <v>83</v>
      </c>
      <c r="AA55" s="45">
        <v>46722</v>
      </c>
      <c r="AB55" s="9">
        <v>1</v>
      </c>
      <c r="AC55" s="47">
        <f t="shared" si="29"/>
        <v>28.6</v>
      </c>
      <c r="AD55" s="10">
        <v>0</v>
      </c>
      <c r="AE55" s="47">
        <f t="shared" si="24"/>
        <v>28.6</v>
      </c>
    </row>
    <row r="56" spans="1:31" x14ac:dyDescent="0.35">
      <c r="A56" s="9">
        <f t="shared" si="25"/>
        <v>34</v>
      </c>
      <c r="B56" s="9" t="s">
        <v>83</v>
      </c>
      <c r="C56" s="45">
        <v>46692</v>
      </c>
      <c r="D56" s="9">
        <v>1</v>
      </c>
      <c r="E56" s="47">
        <f t="shared" si="26"/>
        <v>12.635999999999999</v>
      </c>
      <c r="F56" s="9">
        <v>5.5</v>
      </c>
      <c r="G56" s="47">
        <f t="shared" si="21"/>
        <v>18.135999999999999</v>
      </c>
      <c r="I56" s="9">
        <f t="shared" si="30"/>
        <v>34</v>
      </c>
      <c r="J56" s="9" t="s">
        <v>83</v>
      </c>
      <c r="K56" s="45">
        <v>46722</v>
      </c>
      <c r="L56" s="9">
        <v>1</v>
      </c>
      <c r="M56" s="47">
        <f t="shared" si="27"/>
        <v>27.378</v>
      </c>
      <c r="N56" s="10">
        <v>0</v>
      </c>
      <c r="O56" s="47">
        <f t="shared" si="22"/>
        <v>27.378</v>
      </c>
      <c r="Q56" s="9">
        <f t="shared" si="31"/>
        <v>34</v>
      </c>
      <c r="R56" s="9" t="s">
        <v>83</v>
      </c>
      <c r="S56" s="45">
        <v>46753</v>
      </c>
      <c r="T56" s="9">
        <v>1</v>
      </c>
      <c r="U56" s="47">
        <f t="shared" si="28"/>
        <v>28.6</v>
      </c>
      <c r="V56" s="10">
        <v>0</v>
      </c>
      <c r="W56" s="47">
        <f t="shared" si="23"/>
        <v>28.6</v>
      </c>
      <c r="Y56" s="9">
        <f t="shared" si="32"/>
        <v>34</v>
      </c>
      <c r="Z56" s="9" t="s">
        <v>83</v>
      </c>
      <c r="AA56" s="45">
        <v>46753</v>
      </c>
      <c r="AB56" s="9">
        <v>1</v>
      </c>
      <c r="AC56" s="47">
        <f t="shared" si="29"/>
        <v>28.6</v>
      </c>
      <c r="AD56" s="10">
        <v>0</v>
      </c>
      <c r="AE56" s="47">
        <f t="shared" si="24"/>
        <v>28.6</v>
      </c>
    </row>
    <row r="57" spans="1:31" x14ac:dyDescent="0.35">
      <c r="A57" s="9">
        <f t="shared" si="25"/>
        <v>35</v>
      </c>
      <c r="B57" s="9" t="s">
        <v>83</v>
      </c>
      <c r="C57" s="45">
        <v>46722</v>
      </c>
      <c r="D57" s="9">
        <v>1</v>
      </c>
      <c r="E57" s="47">
        <f t="shared" si="26"/>
        <v>12.635999999999999</v>
      </c>
      <c r="F57" s="9">
        <v>5.5</v>
      </c>
      <c r="G57" s="47">
        <f t="shared" si="21"/>
        <v>18.135999999999999</v>
      </c>
      <c r="I57" s="9">
        <f t="shared" si="30"/>
        <v>35</v>
      </c>
      <c r="J57" s="9" t="s">
        <v>83</v>
      </c>
      <c r="K57" s="45">
        <v>46753</v>
      </c>
      <c r="L57" s="9">
        <v>1</v>
      </c>
      <c r="M57" s="47">
        <f t="shared" si="27"/>
        <v>27.378</v>
      </c>
      <c r="N57" s="10">
        <v>0</v>
      </c>
      <c r="O57" s="47">
        <f t="shared" si="22"/>
        <v>27.378</v>
      </c>
      <c r="Q57" s="9">
        <f t="shared" si="31"/>
        <v>35</v>
      </c>
      <c r="R57" s="9" t="s">
        <v>83</v>
      </c>
      <c r="S57" s="45">
        <v>46784</v>
      </c>
      <c r="T57" s="9">
        <v>1</v>
      </c>
      <c r="U57" s="47">
        <f t="shared" si="28"/>
        <v>28.6</v>
      </c>
      <c r="V57" s="10">
        <v>0</v>
      </c>
      <c r="W57" s="47">
        <f t="shared" si="23"/>
        <v>28.6</v>
      </c>
      <c r="Y57" s="9">
        <f t="shared" si="32"/>
        <v>35</v>
      </c>
      <c r="Z57" s="9" t="s">
        <v>83</v>
      </c>
      <c r="AA57" s="45">
        <v>46784</v>
      </c>
      <c r="AB57" s="9">
        <v>1</v>
      </c>
      <c r="AC57" s="47">
        <f t="shared" si="29"/>
        <v>28.6</v>
      </c>
      <c r="AD57" s="10">
        <v>0</v>
      </c>
      <c r="AE57" s="47">
        <f t="shared" si="24"/>
        <v>28.6</v>
      </c>
    </row>
    <row r="58" spans="1:31" x14ac:dyDescent="0.35">
      <c r="A58" s="9">
        <f t="shared" si="25"/>
        <v>36</v>
      </c>
      <c r="B58" s="9" t="s">
        <v>83</v>
      </c>
      <c r="C58" s="45">
        <v>46753</v>
      </c>
      <c r="D58" s="9">
        <v>1</v>
      </c>
      <c r="E58" s="47">
        <f t="shared" si="26"/>
        <v>12.635999999999999</v>
      </c>
      <c r="F58" s="9">
        <v>5.5</v>
      </c>
      <c r="G58" s="47">
        <f t="shared" si="21"/>
        <v>18.135999999999999</v>
      </c>
      <c r="I58" s="9">
        <f t="shared" si="30"/>
        <v>36</v>
      </c>
      <c r="J58" s="9" t="s">
        <v>83</v>
      </c>
      <c r="K58" s="45">
        <v>46784</v>
      </c>
      <c r="L58" s="9">
        <v>1</v>
      </c>
      <c r="M58" s="47">
        <f t="shared" si="27"/>
        <v>27.378</v>
      </c>
      <c r="N58" s="10">
        <v>0</v>
      </c>
      <c r="O58" s="47">
        <f t="shared" si="22"/>
        <v>27.378</v>
      </c>
      <c r="Q58" s="9">
        <f t="shared" si="31"/>
        <v>36</v>
      </c>
      <c r="R58" s="9" t="s">
        <v>83</v>
      </c>
      <c r="S58" s="45">
        <v>46813</v>
      </c>
      <c r="T58" s="9">
        <v>1</v>
      </c>
      <c r="U58" s="47">
        <f t="shared" si="28"/>
        <v>28.6</v>
      </c>
      <c r="V58" s="10">
        <v>0</v>
      </c>
      <c r="W58" s="47">
        <f t="shared" si="23"/>
        <v>28.6</v>
      </c>
      <c r="Y58" s="9">
        <f t="shared" si="32"/>
        <v>36</v>
      </c>
      <c r="Z58" s="9" t="s">
        <v>83</v>
      </c>
      <c r="AA58" s="45">
        <v>46813</v>
      </c>
      <c r="AB58" s="9">
        <v>1</v>
      </c>
      <c r="AC58" s="47">
        <f t="shared" si="29"/>
        <v>28.6</v>
      </c>
      <c r="AD58" s="10">
        <v>0</v>
      </c>
      <c r="AE58" s="47">
        <f t="shared" si="24"/>
        <v>28.6</v>
      </c>
    </row>
    <row r="59" spans="1:31" x14ac:dyDescent="0.35">
      <c r="A59" s="9">
        <f t="shared" si="25"/>
        <v>37</v>
      </c>
      <c r="B59" s="9" t="s">
        <v>83</v>
      </c>
      <c r="C59" s="45">
        <v>46784</v>
      </c>
      <c r="D59" s="9">
        <v>1</v>
      </c>
      <c r="E59" s="47">
        <f t="shared" si="26"/>
        <v>12.635999999999999</v>
      </c>
      <c r="F59" s="9">
        <v>5.5</v>
      </c>
      <c r="G59" s="47">
        <f t="shared" si="21"/>
        <v>18.135999999999999</v>
      </c>
      <c r="I59" s="9">
        <f t="shared" si="30"/>
        <v>37</v>
      </c>
      <c r="J59" s="9" t="s">
        <v>83</v>
      </c>
      <c r="K59" s="45">
        <v>46813</v>
      </c>
      <c r="L59" s="9">
        <v>1</v>
      </c>
      <c r="M59" s="47">
        <f t="shared" si="27"/>
        <v>27.378</v>
      </c>
      <c r="N59" s="10">
        <v>0</v>
      </c>
      <c r="O59" s="47">
        <f t="shared" si="22"/>
        <v>27.378</v>
      </c>
      <c r="Q59" s="9">
        <f t="shared" si="31"/>
        <v>37</v>
      </c>
      <c r="R59" s="9" t="s">
        <v>84</v>
      </c>
      <c r="S59" s="45">
        <v>46844</v>
      </c>
      <c r="T59" s="9">
        <v>1</v>
      </c>
      <c r="U59" s="47">
        <f t="shared" si="28"/>
        <v>28.6</v>
      </c>
      <c r="V59" s="10">
        <v>0</v>
      </c>
      <c r="W59" s="47">
        <f t="shared" si="23"/>
        <v>28.6</v>
      </c>
      <c r="Y59" s="9">
        <f t="shared" si="32"/>
        <v>37</v>
      </c>
      <c r="Z59" s="9" t="s">
        <v>84</v>
      </c>
      <c r="AA59" s="45">
        <v>46844</v>
      </c>
      <c r="AB59" s="9">
        <v>1</v>
      </c>
      <c r="AC59" s="47">
        <f t="shared" si="29"/>
        <v>28.6</v>
      </c>
      <c r="AD59" s="10">
        <v>0</v>
      </c>
      <c r="AE59" s="47">
        <f t="shared" si="24"/>
        <v>28.6</v>
      </c>
    </row>
    <row r="60" spans="1:31" x14ac:dyDescent="0.35">
      <c r="A60" s="9">
        <f t="shared" si="25"/>
        <v>38</v>
      </c>
      <c r="B60" s="9" t="s">
        <v>83</v>
      </c>
      <c r="C60" s="45">
        <v>46813</v>
      </c>
      <c r="D60" s="9">
        <v>1</v>
      </c>
      <c r="E60" s="47">
        <f t="shared" si="26"/>
        <v>12.635999999999999</v>
      </c>
      <c r="F60" s="9">
        <v>5.5</v>
      </c>
      <c r="G60" s="47">
        <f t="shared" si="21"/>
        <v>18.135999999999999</v>
      </c>
      <c r="I60" s="9">
        <f t="shared" si="30"/>
        <v>38</v>
      </c>
      <c r="J60" s="9" t="s">
        <v>84</v>
      </c>
      <c r="K60" s="45">
        <v>46844</v>
      </c>
      <c r="L60" s="9">
        <v>1</v>
      </c>
      <c r="M60" s="47">
        <f t="shared" si="27"/>
        <v>27.378</v>
      </c>
      <c r="N60" s="10">
        <v>0</v>
      </c>
      <c r="O60" s="47">
        <f t="shared" si="22"/>
        <v>27.378</v>
      </c>
      <c r="Q60" s="9">
        <f t="shared" si="31"/>
        <v>38</v>
      </c>
      <c r="R60" s="9" t="s">
        <v>84</v>
      </c>
      <c r="S60" s="45">
        <v>46874</v>
      </c>
      <c r="T60" s="9">
        <v>1</v>
      </c>
      <c r="U60" s="47">
        <f t="shared" si="28"/>
        <v>28.6</v>
      </c>
      <c r="V60" s="10">
        <v>0</v>
      </c>
      <c r="W60" s="47">
        <f t="shared" si="23"/>
        <v>28.6</v>
      </c>
      <c r="Y60" s="9">
        <f t="shared" si="32"/>
        <v>38</v>
      </c>
      <c r="Z60" s="9" t="s">
        <v>84</v>
      </c>
      <c r="AA60" s="45">
        <v>46874</v>
      </c>
      <c r="AB60" s="9">
        <v>1</v>
      </c>
      <c r="AC60" s="47">
        <f t="shared" si="29"/>
        <v>28.6</v>
      </c>
      <c r="AD60" s="10">
        <v>0</v>
      </c>
      <c r="AE60" s="47">
        <f t="shared" si="24"/>
        <v>28.6</v>
      </c>
    </row>
    <row r="61" spans="1:31" x14ac:dyDescent="0.35">
      <c r="A61" s="9">
        <f t="shared" si="25"/>
        <v>39</v>
      </c>
      <c r="B61" s="9" t="s">
        <v>84</v>
      </c>
      <c r="C61" s="45">
        <v>46844</v>
      </c>
      <c r="D61" s="9">
        <v>1</v>
      </c>
      <c r="E61" s="47">
        <f t="shared" si="26"/>
        <v>12.635999999999999</v>
      </c>
      <c r="F61" s="9">
        <v>5.5</v>
      </c>
      <c r="G61" s="47">
        <f t="shared" si="21"/>
        <v>18.135999999999999</v>
      </c>
      <c r="I61" s="9">
        <f t="shared" si="30"/>
        <v>39</v>
      </c>
      <c r="J61" s="9" t="s">
        <v>84</v>
      </c>
      <c r="K61" s="45">
        <v>46874</v>
      </c>
      <c r="L61" s="9">
        <v>1</v>
      </c>
      <c r="M61" s="47">
        <f t="shared" si="27"/>
        <v>27.378</v>
      </c>
      <c r="N61" s="10">
        <v>0</v>
      </c>
      <c r="O61" s="47">
        <f t="shared" si="22"/>
        <v>27.378</v>
      </c>
      <c r="Q61" s="9">
        <f t="shared" si="31"/>
        <v>39</v>
      </c>
      <c r="R61" s="9" t="s">
        <v>84</v>
      </c>
      <c r="S61" s="45">
        <v>46905</v>
      </c>
      <c r="T61" s="9">
        <v>1</v>
      </c>
      <c r="U61" s="47">
        <f t="shared" si="28"/>
        <v>28.6</v>
      </c>
      <c r="V61" s="10">
        <v>0</v>
      </c>
      <c r="W61" s="47">
        <f t="shared" si="23"/>
        <v>28.6</v>
      </c>
      <c r="Y61" s="9">
        <f t="shared" si="32"/>
        <v>39</v>
      </c>
      <c r="Z61" s="9" t="s">
        <v>84</v>
      </c>
      <c r="AA61" s="45">
        <v>46905</v>
      </c>
      <c r="AB61" s="9">
        <v>1</v>
      </c>
      <c r="AC61" s="47">
        <f t="shared" si="29"/>
        <v>28.6</v>
      </c>
      <c r="AD61" s="10">
        <v>0</v>
      </c>
      <c r="AE61" s="47">
        <f t="shared" si="24"/>
        <v>28.6</v>
      </c>
    </row>
    <row r="62" spans="1:31" x14ac:dyDescent="0.35">
      <c r="A62" s="9">
        <f t="shared" si="25"/>
        <v>40</v>
      </c>
      <c r="B62" s="9" t="s">
        <v>84</v>
      </c>
      <c r="C62" s="45">
        <v>46874</v>
      </c>
      <c r="D62" s="9">
        <v>1</v>
      </c>
      <c r="E62" s="47">
        <f t="shared" si="26"/>
        <v>12.635999999999999</v>
      </c>
      <c r="F62" s="9">
        <v>5.5</v>
      </c>
      <c r="G62" s="47">
        <f t="shared" si="21"/>
        <v>18.135999999999999</v>
      </c>
      <c r="I62" s="9">
        <f t="shared" si="30"/>
        <v>40</v>
      </c>
      <c r="J62" s="9" t="s">
        <v>84</v>
      </c>
      <c r="K62" s="45">
        <v>46905</v>
      </c>
      <c r="L62" s="9">
        <v>1</v>
      </c>
      <c r="M62" s="47">
        <f t="shared" si="27"/>
        <v>27.378</v>
      </c>
      <c r="N62" s="10">
        <v>0</v>
      </c>
      <c r="O62" s="47">
        <f t="shared" si="22"/>
        <v>27.378</v>
      </c>
      <c r="Q62" s="9">
        <f t="shared" si="31"/>
        <v>40</v>
      </c>
      <c r="R62" s="9" t="s">
        <v>84</v>
      </c>
      <c r="S62" s="45">
        <v>46935</v>
      </c>
      <c r="T62" s="9">
        <v>1</v>
      </c>
      <c r="U62" s="47">
        <f t="shared" si="28"/>
        <v>28.6</v>
      </c>
      <c r="V62" s="10">
        <v>0</v>
      </c>
      <c r="W62" s="47">
        <f t="shared" si="23"/>
        <v>28.6</v>
      </c>
      <c r="Y62" s="9">
        <f t="shared" si="32"/>
        <v>40</v>
      </c>
      <c r="Z62" s="9" t="s">
        <v>84</v>
      </c>
      <c r="AA62" s="45">
        <v>46935</v>
      </c>
      <c r="AB62" s="9">
        <v>1</v>
      </c>
      <c r="AC62" s="47">
        <f t="shared" si="29"/>
        <v>28.6</v>
      </c>
      <c r="AD62" s="10">
        <v>0</v>
      </c>
      <c r="AE62" s="47">
        <f t="shared" si="24"/>
        <v>28.6</v>
      </c>
    </row>
    <row r="63" spans="1:31" x14ac:dyDescent="0.35">
      <c r="A63" s="9">
        <f t="shared" si="25"/>
        <v>41</v>
      </c>
      <c r="B63" s="9" t="s">
        <v>84</v>
      </c>
      <c r="C63" s="45">
        <v>46905</v>
      </c>
      <c r="D63" s="9">
        <v>1</v>
      </c>
      <c r="E63" s="47">
        <f t="shared" si="26"/>
        <v>12.635999999999999</v>
      </c>
      <c r="F63" s="9">
        <v>5.5</v>
      </c>
      <c r="G63" s="47">
        <f t="shared" si="21"/>
        <v>18.135999999999999</v>
      </c>
      <c r="I63" s="9">
        <f t="shared" si="30"/>
        <v>41</v>
      </c>
      <c r="J63" s="9" t="s">
        <v>84</v>
      </c>
      <c r="K63" s="45">
        <v>46935</v>
      </c>
      <c r="L63" s="9">
        <v>1</v>
      </c>
      <c r="M63" s="47">
        <f t="shared" si="27"/>
        <v>27.378</v>
      </c>
      <c r="N63" s="10">
        <v>0</v>
      </c>
      <c r="O63" s="47">
        <f t="shared" si="22"/>
        <v>27.378</v>
      </c>
      <c r="Q63" s="9">
        <f t="shared" si="31"/>
        <v>41</v>
      </c>
      <c r="R63" s="9" t="s">
        <v>84</v>
      </c>
      <c r="S63" s="45">
        <v>46966</v>
      </c>
      <c r="T63" s="9">
        <v>1</v>
      </c>
      <c r="U63" s="47">
        <f t="shared" si="28"/>
        <v>28.6</v>
      </c>
      <c r="V63" s="10">
        <v>0</v>
      </c>
      <c r="W63" s="47">
        <f t="shared" si="23"/>
        <v>28.6</v>
      </c>
      <c r="Y63" s="9">
        <f t="shared" si="32"/>
        <v>41</v>
      </c>
      <c r="Z63" s="9" t="s">
        <v>84</v>
      </c>
      <c r="AA63" s="45">
        <v>46966</v>
      </c>
      <c r="AB63" s="9">
        <v>1</v>
      </c>
      <c r="AC63" s="47">
        <f t="shared" si="29"/>
        <v>28.6</v>
      </c>
      <c r="AD63" s="10">
        <v>0</v>
      </c>
      <c r="AE63" s="47">
        <f t="shared" si="24"/>
        <v>28.6</v>
      </c>
    </row>
    <row r="64" spans="1:31" x14ac:dyDescent="0.35">
      <c r="A64" s="9">
        <f t="shared" si="25"/>
        <v>42</v>
      </c>
      <c r="B64" s="9" t="s">
        <v>84</v>
      </c>
      <c r="C64" s="45">
        <v>46935</v>
      </c>
      <c r="D64" s="9">
        <v>1</v>
      </c>
      <c r="E64" s="47">
        <f t="shared" si="26"/>
        <v>12.635999999999999</v>
      </c>
      <c r="F64" s="9">
        <v>5.5</v>
      </c>
      <c r="G64" s="47">
        <f t="shared" si="21"/>
        <v>18.135999999999999</v>
      </c>
      <c r="I64" s="9">
        <f t="shared" si="30"/>
        <v>42</v>
      </c>
      <c r="J64" s="9" t="s">
        <v>84</v>
      </c>
      <c r="K64" s="45">
        <v>46966</v>
      </c>
      <c r="L64" s="9">
        <v>1</v>
      </c>
      <c r="M64" s="47">
        <f t="shared" si="27"/>
        <v>27.378</v>
      </c>
      <c r="N64" s="10">
        <v>0</v>
      </c>
      <c r="O64" s="47">
        <f t="shared" si="22"/>
        <v>27.378</v>
      </c>
      <c r="Q64" s="9">
        <f t="shared" si="31"/>
        <v>42</v>
      </c>
      <c r="R64" s="9" t="s">
        <v>84</v>
      </c>
      <c r="S64" s="45">
        <v>46997</v>
      </c>
      <c r="T64" s="9">
        <v>1</v>
      </c>
      <c r="U64" s="47">
        <f t="shared" si="28"/>
        <v>28.6</v>
      </c>
      <c r="V64" s="10">
        <v>0</v>
      </c>
      <c r="W64" s="47">
        <f t="shared" si="23"/>
        <v>28.6</v>
      </c>
      <c r="Y64" s="9">
        <f t="shared" si="32"/>
        <v>42</v>
      </c>
      <c r="Z64" s="9" t="s">
        <v>84</v>
      </c>
      <c r="AA64" s="45">
        <v>46997</v>
      </c>
      <c r="AB64" s="9">
        <v>1</v>
      </c>
      <c r="AC64" s="47">
        <f t="shared" si="29"/>
        <v>28.6</v>
      </c>
      <c r="AD64" s="10">
        <v>0</v>
      </c>
      <c r="AE64" s="47">
        <f t="shared" si="24"/>
        <v>28.6</v>
      </c>
    </row>
    <row r="65" spans="1:31" x14ac:dyDescent="0.35">
      <c r="A65" s="9">
        <f t="shared" si="25"/>
        <v>43</v>
      </c>
      <c r="B65" s="9" t="s">
        <v>84</v>
      </c>
      <c r="C65" s="45">
        <v>46966</v>
      </c>
      <c r="D65" s="9">
        <v>1</v>
      </c>
      <c r="E65" s="47">
        <f t="shared" si="26"/>
        <v>12.635999999999999</v>
      </c>
      <c r="F65" s="9">
        <v>5.5</v>
      </c>
      <c r="G65" s="47">
        <f t="shared" si="21"/>
        <v>18.135999999999999</v>
      </c>
      <c r="I65" s="9">
        <f t="shared" si="30"/>
        <v>43</v>
      </c>
      <c r="J65" s="9" t="s">
        <v>84</v>
      </c>
      <c r="K65" s="45">
        <v>46997</v>
      </c>
      <c r="L65" s="9">
        <v>1</v>
      </c>
      <c r="M65" s="47">
        <f t="shared" si="27"/>
        <v>27.378</v>
      </c>
      <c r="N65" s="10">
        <v>0</v>
      </c>
      <c r="O65" s="47">
        <f t="shared" si="22"/>
        <v>27.378</v>
      </c>
      <c r="Q65" s="9">
        <f t="shared" si="31"/>
        <v>43</v>
      </c>
      <c r="R65" s="9" t="s">
        <v>84</v>
      </c>
      <c r="S65" s="45">
        <v>47027</v>
      </c>
      <c r="T65" s="9">
        <v>1</v>
      </c>
      <c r="U65" s="47">
        <f t="shared" si="28"/>
        <v>28.6</v>
      </c>
      <c r="V65" s="10">
        <v>0</v>
      </c>
      <c r="W65" s="47">
        <f t="shared" si="23"/>
        <v>28.6</v>
      </c>
      <c r="Y65" s="9">
        <f t="shared" si="32"/>
        <v>43</v>
      </c>
      <c r="Z65" s="9" t="s">
        <v>84</v>
      </c>
      <c r="AA65" s="45">
        <v>47027</v>
      </c>
      <c r="AB65" s="9">
        <v>1</v>
      </c>
      <c r="AC65" s="47">
        <f t="shared" si="29"/>
        <v>28.6</v>
      </c>
      <c r="AD65" s="10">
        <v>0</v>
      </c>
      <c r="AE65" s="47">
        <f t="shared" si="24"/>
        <v>28.6</v>
      </c>
    </row>
    <row r="66" spans="1:31" x14ac:dyDescent="0.35">
      <c r="A66" s="9">
        <f t="shared" si="25"/>
        <v>44</v>
      </c>
      <c r="B66" s="9" t="s">
        <v>84</v>
      </c>
      <c r="C66" s="45">
        <v>46997</v>
      </c>
      <c r="D66" s="9">
        <v>1</v>
      </c>
      <c r="E66" s="47">
        <f t="shared" si="26"/>
        <v>12.635999999999999</v>
      </c>
      <c r="F66" s="9">
        <v>5.5</v>
      </c>
      <c r="G66" s="47">
        <f t="shared" si="21"/>
        <v>18.135999999999999</v>
      </c>
      <c r="I66" s="9">
        <f t="shared" si="30"/>
        <v>44</v>
      </c>
      <c r="J66" s="9" t="s">
        <v>84</v>
      </c>
      <c r="K66" s="45">
        <v>47027</v>
      </c>
      <c r="L66" s="9">
        <v>1</v>
      </c>
      <c r="M66" s="47">
        <f t="shared" si="27"/>
        <v>27.378</v>
      </c>
      <c r="N66" s="10">
        <v>0</v>
      </c>
      <c r="O66" s="47">
        <f t="shared" si="22"/>
        <v>27.378</v>
      </c>
      <c r="Q66" s="9">
        <f t="shared" si="31"/>
        <v>44</v>
      </c>
      <c r="R66" s="9" t="s">
        <v>84</v>
      </c>
      <c r="S66" s="45">
        <v>47058</v>
      </c>
      <c r="T66" s="9">
        <v>1</v>
      </c>
      <c r="U66" s="47">
        <f t="shared" si="28"/>
        <v>28.6</v>
      </c>
      <c r="V66" s="10">
        <v>0</v>
      </c>
      <c r="W66" s="47">
        <f t="shared" si="23"/>
        <v>28.6</v>
      </c>
      <c r="Y66" s="9">
        <f t="shared" si="32"/>
        <v>44</v>
      </c>
      <c r="Z66" s="9" t="s">
        <v>84</v>
      </c>
      <c r="AA66" s="45">
        <v>47058</v>
      </c>
      <c r="AB66" s="9">
        <v>1</v>
      </c>
      <c r="AC66" s="47">
        <f t="shared" si="29"/>
        <v>28.6</v>
      </c>
      <c r="AD66" s="10">
        <v>0</v>
      </c>
      <c r="AE66" s="47">
        <f t="shared" si="24"/>
        <v>28.6</v>
      </c>
    </row>
    <row r="67" spans="1:31" x14ac:dyDescent="0.35">
      <c r="A67" s="9">
        <f t="shared" si="25"/>
        <v>45</v>
      </c>
      <c r="B67" s="9" t="s">
        <v>84</v>
      </c>
      <c r="C67" s="45">
        <v>47027</v>
      </c>
      <c r="D67" s="9">
        <v>1</v>
      </c>
      <c r="E67" s="47">
        <f t="shared" si="26"/>
        <v>12.635999999999999</v>
      </c>
      <c r="F67" s="9">
        <v>5.5</v>
      </c>
      <c r="G67" s="47">
        <f t="shared" si="21"/>
        <v>18.135999999999999</v>
      </c>
      <c r="I67" s="9">
        <f t="shared" si="30"/>
        <v>45</v>
      </c>
      <c r="J67" s="9" t="s">
        <v>84</v>
      </c>
      <c r="K67" s="45">
        <v>47058</v>
      </c>
      <c r="L67" s="9">
        <v>1</v>
      </c>
      <c r="M67" s="47">
        <f t="shared" si="27"/>
        <v>27.378</v>
      </c>
      <c r="N67" s="10">
        <v>0</v>
      </c>
      <c r="O67" s="47">
        <f t="shared" si="22"/>
        <v>27.378</v>
      </c>
      <c r="Q67" s="9">
        <f t="shared" si="31"/>
        <v>45</v>
      </c>
      <c r="R67" s="9" t="s">
        <v>84</v>
      </c>
      <c r="S67" s="45">
        <v>47088</v>
      </c>
      <c r="T67" s="9">
        <v>1</v>
      </c>
      <c r="U67" s="47">
        <f t="shared" si="28"/>
        <v>28.6</v>
      </c>
      <c r="V67" s="10">
        <v>0</v>
      </c>
      <c r="W67" s="47">
        <f t="shared" si="23"/>
        <v>28.6</v>
      </c>
      <c r="Y67" s="9">
        <f t="shared" si="32"/>
        <v>45</v>
      </c>
      <c r="Z67" s="9" t="s">
        <v>84</v>
      </c>
      <c r="AA67" s="45">
        <v>47088</v>
      </c>
      <c r="AB67" s="9">
        <v>1</v>
      </c>
      <c r="AC67" s="47">
        <f t="shared" si="29"/>
        <v>28.6</v>
      </c>
      <c r="AD67" s="10">
        <v>0</v>
      </c>
      <c r="AE67" s="47">
        <f t="shared" si="24"/>
        <v>28.6</v>
      </c>
    </row>
    <row r="68" spans="1:31" x14ac:dyDescent="0.35">
      <c r="A68" s="9">
        <f t="shared" si="25"/>
        <v>46</v>
      </c>
      <c r="B68" s="9" t="s">
        <v>84</v>
      </c>
      <c r="C68" s="45">
        <v>47058</v>
      </c>
      <c r="D68" s="9">
        <v>1</v>
      </c>
      <c r="E68" s="47">
        <f t="shared" si="26"/>
        <v>12.635999999999999</v>
      </c>
      <c r="F68" s="9">
        <v>5.5</v>
      </c>
      <c r="G68" s="47">
        <f t="shared" si="21"/>
        <v>18.135999999999999</v>
      </c>
      <c r="I68" s="9">
        <f t="shared" si="30"/>
        <v>46</v>
      </c>
      <c r="J68" s="9" t="s">
        <v>84</v>
      </c>
      <c r="K68" s="45">
        <v>47088</v>
      </c>
      <c r="L68" s="9">
        <v>1</v>
      </c>
      <c r="M68" s="47">
        <f t="shared" si="27"/>
        <v>27.378</v>
      </c>
      <c r="N68" s="10">
        <v>0</v>
      </c>
      <c r="O68" s="47">
        <f t="shared" si="22"/>
        <v>27.378</v>
      </c>
      <c r="Q68" s="9">
        <f t="shared" si="31"/>
        <v>46</v>
      </c>
      <c r="R68" s="9" t="s">
        <v>84</v>
      </c>
      <c r="S68" s="45">
        <v>47119</v>
      </c>
      <c r="T68" s="9">
        <v>1</v>
      </c>
      <c r="U68" s="47">
        <f t="shared" si="28"/>
        <v>28.6</v>
      </c>
      <c r="V68" s="10">
        <v>0</v>
      </c>
      <c r="W68" s="47">
        <f t="shared" si="23"/>
        <v>28.6</v>
      </c>
      <c r="Y68" s="9">
        <f t="shared" si="32"/>
        <v>46</v>
      </c>
      <c r="Z68" s="9" t="s">
        <v>84</v>
      </c>
      <c r="AA68" s="45">
        <v>47119</v>
      </c>
      <c r="AB68" s="9">
        <v>1</v>
      </c>
      <c r="AC68" s="47">
        <f t="shared" si="29"/>
        <v>28.6</v>
      </c>
      <c r="AD68" s="10">
        <v>0</v>
      </c>
      <c r="AE68" s="47">
        <f t="shared" si="24"/>
        <v>28.6</v>
      </c>
    </row>
    <row r="69" spans="1:31" x14ac:dyDescent="0.35">
      <c r="A69" s="9">
        <f t="shared" si="25"/>
        <v>47</v>
      </c>
      <c r="B69" s="9" t="s">
        <v>84</v>
      </c>
      <c r="C69" s="45">
        <v>47088</v>
      </c>
      <c r="D69" s="9">
        <v>1</v>
      </c>
      <c r="E69" s="47">
        <f t="shared" si="26"/>
        <v>12.635999999999999</v>
      </c>
      <c r="F69" s="9">
        <v>5.5</v>
      </c>
      <c r="G69" s="47">
        <f t="shared" si="21"/>
        <v>18.135999999999999</v>
      </c>
      <c r="I69" s="9">
        <f t="shared" si="30"/>
        <v>47</v>
      </c>
      <c r="J69" s="9" t="s">
        <v>84</v>
      </c>
      <c r="K69" s="45">
        <v>47119</v>
      </c>
      <c r="L69" s="9">
        <v>1</v>
      </c>
      <c r="M69" s="47">
        <f t="shared" si="27"/>
        <v>27.378</v>
      </c>
      <c r="N69" s="10">
        <v>0</v>
      </c>
      <c r="O69" s="47">
        <f t="shared" si="22"/>
        <v>27.378</v>
      </c>
      <c r="Q69" s="9">
        <f t="shared" si="31"/>
        <v>47</v>
      </c>
      <c r="R69" s="9" t="s">
        <v>84</v>
      </c>
      <c r="S69" s="45">
        <v>47150</v>
      </c>
      <c r="T69" s="9">
        <v>1</v>
      </c>
      <c r="U69" s="47">
        <f t="shared" si="28"/>
        <v>28.6</v>
      </c>
      <c r="V69" s="10">
        <v>0</v>
      </c>
      <c r="W69" s="47">
        <f t="shared" si="23"/>
        <v>28.6</v>
      </c>
      <c r="Y69" s="9">
        <f t="shared" si="32"/>
        <v>47</v>
      </c>
      <c r="Z69" s="9" t="s">
        <v>84</v>
      </c>
      <c r="AA69" s="45">
        <v>47150</v>
      </c>
      <c r="AB69" s="9">
        <v>1</v>
      </c>
      <c r="AC69" s="47">
        <f t="shared" si="29"/>
        <v>28.6</v>
      </c>
      <c r="AD69" s="10">
        <v>0</v>
      </c>
      <c r="AE69" s="47">
        <f t="shared" si="24"/>
        <v>28.6</v>
      </c>
    </row>
    <row r="70" spans="1:31" x14ac:dyDescent="0.35">
      <c r="A70" s="9">
        <f t="shared" si="25"/>
        <v>48</v>
      </c>
      <c r="B70" s="9" t="s">
        <v>84</v>
      </c>
      <c r="C70" s="45">
        <v>47119</v>
      </c>
      <c r="D70" s="9">
        <v>1</v>
      </c>
      <c r="E70" s="47">
        <f t="shared" si="26"/>
        <v>12.635999999999999</v>
      </c>
      <c r="F70" s="9">
        <v>5.5</v>
      </c>
      <c r="G70" s="47">
        <f t="shared" si="21"/>
        <v>18.135999999999999</v>
      </c>
      <c r="I70" s="9">
        <f t="shared" si="30"/>
        <v>48</v>
      </c>
      <c r="J70" s="9" t="s">
        <v>84</v>
      </c>
      <c r="K70" s="45">
        <v>47150</v>
      </c>
      <c r="L70" s="9">
        <v>1</v>
      </c>
      <c r="M70" s="47">
        <f t="shared" si="27"/>
        <v>27.378</v>
      </c>
      <c r="N70" s="10">
        <v>0</v>
      </c>
      <c r="O70" s="47">
        <f t="shared" si="22"/>
        <v>27.378</v>
      </c>
      <c r="Q70" s="9">
        <f t="shared" si="31"/>
        <v>48</v>
      </c>
      <c r="R70" s="9" t="s">
        <v>84</v>
      </c>
      <c r="S70" s="45">
        <v>47178</v>
      </c>
      <c r="T70" s="9">
        <v>1</v>
      </c>
      <c r="U70" s="47">
        <f t="shared" si="28"/>
        <v>28.6</v>
      </c>
      <c r="V70" s="10">
        <v>0</v>
      </c>
      <c r="W70" s="47">
        <f t="shared" si="23"/>
        <v>28.6</v>
      </c>
      <c r="Y70" s="9">
        <f t="shared" si="32"/>
        <v>48</v>
      </c>
      <c r="Z70" s="9" t="s">
        <v>84</v>
      </c>
      <c r="AA70" s="45">
        <v>47178</v>
      </c>
      <c r="AB70" s="9">
        <v>1</v>
      </c>
      <c r="AC70" s="47">
        <f t="shared" si="29"/>
        <v>28.6</v>
      </c>
      <c r="AD70" s="10">
        <v>0</v>
      </c>
      <c r="AE70" s="47">
        <f t="shared" si="24"/>
        <v>28.6</v>
      </c>
    </row>
    <row r="71" spans="1:31" x14ac:dyDescent="0.35">
      <c r="A71" s="9">
        <f t="shared" si="25"/>
        <v>49</v>
      </c>
      <c r="B71" s="9" t="s">
        <v>84</v>
      </c>
      <c r="C71" s="45">
        <v>47150</v>
      </c>
      <c r="D71" s="9">
        <v>1</v>
      </c>
      <c r="E71" s="47">
        <f t="shared" si="26"/>
        <v>12.635999999999999</v>
      </c>
      <c r="F71" s="9">
        <v>5.5</v>
      </c>
      <c r="G71" s="47">
        <f t="shared" si="21"/>
        <v>18.135999999999999</v>
      </c>
      <c r="I71" s="9">
        <f t="shared" si="30"/>
        <v>49</v>
      </c>
      <c r="J71" s="9" t="s">
        <v>84</v>
      </c>
      <c r="K71" s="45">
        <v>47178</v>
      </c>
      <c r="L71" s="9">
        <v>1</v>
      </c>
      <c r="M71" s="47">
        <f t="shared" si="27"/>
        <v>27.378</v>
      </c>
      <c r="N71" s="10">
        <v>0</v>
      </c>
      <c r="O71" s="47">
        <f t="shared" si="22"/>
        <v>27.378</v>
      </c>
      <c r="Q71" s="9">
        <f t="shared" si="31"/>
        <v>49</v>
      </c>
      <c r="R71" s="9" t="s">
        <v>85</v>
      </c>
      <c r="S71" s="45">
        <v>47209</v>
      </c>
      <c r="T71" s="9">
        <v>1</v>
      </c>
      <c r="U71" s="47">
        <f t="shared" si="28"/>
        <v>28.6</v>
      </c>
      <c r="V71" s="10">
        <v>0</v>
      </c>
      <c r="W71" s="47">
        <f t="shared" si="23"/>
        <v>28.6</v>
      </c>
      <c r="Y71" s="9">
        <f t="shared" si="32"/>
        <v>49</v>
      </c>
      <c r="Z71" s="9" t="s">
        <v>85</v>
      </c>
      <c r="AA71" s="45">
        <v>47209</v>
      </c>
      <c r="AB71" s="9">
        <v>1</v>
      </c>
      <c r="AC71" s="47">
        <f t="shared" si="29"/>
        <v>28.6</v>
      </c>
      <c r="AD71" s="10">
        <v>0</v>
      </c>
      <c r="AE71" s="47">
        <f t="shared" si="24"/>
        <v>28.6</v>
      </c>
    </row>
    <row r="72" spans="1:31" x14ac:dyDescent="0.35">
      <c r="A72" s="9">
        <f t="shared" si="25"/>
        <v>50</v>
      </c>
      <c r="B72" s="9" t="s">
        <v>84</v>
      </c>
      <c r="C72" s="45">
        <v>47178</v>
      </c>
      <c r="D72" s="9">
        <v>1</v>
      </c>
      <c r="E72" s="47">
        <f t="shared" si="26"/>
        <v>12.635999999999999</v>
      </c>
      <c r="F72" s="9">
        <v>5.5</v>
      </c>
      <c r="G72" s="47">
        <f t="shared" si="21"/>
        <v>18.135999999999999</v>
      </c>
      <c r="I72" s="9">
        <f t="shared" si="30"/>
        <v>50</v>
      </c>
      <c r="J72" s="9" t="s">
        <v>85</v>
      </c>
      <c r="K72" s="45">
        <v>47209</v>
      </c>
      <c r="L72" s="9">
        <v>1</v>
      </c>
      <c r="M72" s="47">
        <f t="shared" si="27"/>
        <v>27.378</v>
      </c>
      <c r="N72" s="10">
        <v>0</v>
      </c>
      <c r="O72" s="47">
        <f t="shared" si="22"/>
        <v>27.378</v>
      </c>
      <c r="Q72" s="9">
        <f t="shared" si="31"/>
        <v>50</v>
      </c>
      <c r="R72" s="9" t="s">
        <v>85</v>
      </c>
      <c r="S72" s="45">
        <v>47239</v>
      </c>
      <c r="T72" s="9">
        <v>1</v>
      </c>
      <c r="U72" s="47">
        <f t="shared" si="28"/>
        <v>28.6</v>
      </c>
      <c r="V72" s="10">
        <v>0</v>
      </c>
      <c r="W72" s="47">
        <f t="shared" si="23"/>
        <v>28.6</v>
      </c>
      <c r="Y72" s="9">
        <f t="shared" si="32"/>
        <v>50</v>
      </c>
      <c r="Z72" s="9" t="s">
        <v>85</v>
      </c>
      <c r="AA72" s="45">
        <v>47239</v>
      </c>
      <c r="AB72" s="9">
        <v>1</v>
      </c>
      <c r="AC72" s="47">
        <f t="shared" si="29"/>
        <v>28.6</v>
      </c>
      <c r="AD72" s="10">
        <v>0</v>
      </c>
      <c r="AE72" s="47">
        <f t="shared" si="24"/>
        <v>28.6</v>
      </c>
    </row>
    <row r="73" spans="1:31" x14ac:dyDescent="0.35">
      <c r="A73" s="9">
        <f t="shared" si="25"/>
        <v>51</v>
      </c>
      <c r="B73" s="9" t="s">
        <v>85</v>
      </c>
      <c r="C73" s="45">
        <v>47209</v>
      </c>
      <c r="D73" s="9">
        <v>1</v>
      </c>
      <c r="E73" s="47">
        <f t="shared" si="26"/>
        <v>12.635999999999999</v>
      </c>
      <c r="F73" s="9">
        <v>5.5</v>
      </c>
      <c r="G73" s="47">
        <f t="shared" si="21"/>
        <v>18.135999999999999</v>
      </c>
      <c r="I73" s="9">
        <f t="shared" si="30"/>
        <v>51</v>
      </c>
      <c r="J73" s="9" t="s">
        <v>85</v>
      </c>
      <c r="K73" s="45">
        <v>47239</v>
      </c>
      <c r="L73" s="9">
        <v>1</v>
      </c>
      <c r="M73" s="47">
        <f t="shared" si="27"/>
        <v>27.378</v>
      </c>
      <c r="N73" s="10">
        <v>0</v>
      </c>
      <c r="O73" s="47">
        <f t="shared" si="22"/>
        <v>27.378</v>
      </c>
      <c r="Q73" s="9">
        <f t="shared" si="31"/>
        <v>51</v>
      </c>
      <c r="R73" s="9" t="s">
        <v>85</v>
      </c>
      <c r="S73" s="45">
        <v>47270</v>
      </c>
      <c r="T73" s="9">
        <v>1</v>
      </c>
      <c r="U73" s="47">
        <f t="shared" si="28"/>
        <v>28.6</v>
      </c>
      <c r="V73" s="10">
        <v>0</v>
      </c>
      <c r="W73" s="47">
        <f t="shared" si="23"/>
        <v>28.6</v>
      </c>
      <c r="Y73" s="9">
        <f t="shared" si="32"/>
        <v>51</v>
      </c>
      <c r="Z73" s="9" t="s">
        <v>85</v>
      </c>
      <c r="AA73" s="45">
        <v>47270</v>
      </c>
      <c r="AB73" s="9">
        <v>1</v>
      </c>
      <c r="AC73" s="47">
        <f t="shared" si="29"/>
        <v>28.6</v>
      </c>
      <c r="AD73" s="10">
        <v>0</v>
      </c>
      <c r="AE73" s="47">
        <f t="shared" si="24"/>
        <v>28.6</v>
      </c>
    </row>
    <row r="74" spans="1:31" x14ac:dyDescent="0.35">
      <c r="A74" s="9">
        <f t="shared" si="25"/>
        <v>52</v>
      </c>
      <c r="B74" s="9" t="s">
        <v>85</v>
      </c>
      <c r="C74" s="45">
        <v>47239</v>
      </c>
      <c r="D74" s="9">
        <v>1</v>
      </c>
      <c r="E74" s="47">
        <f t="shared" si="26"/>
        <v>12.635999999999999</v>
      </c>
      <c r="F74" s="9">
        <v>5.5</v>
      </c>
      <c r="G74" s="47">
        <f t="shared" si="21"/>
        <v>18.135999999999999</v>
      </c>
      <c r="I74" s="9">
        <f t="shared" si="30"/>
        <v>52</v>
      </c>
      <c r="J74" s="9" t="s">
        <v>85</v>
      </c>
      <c r="K74" s="45">
        <v>47270</v>
      </c>
      <c r="L74" s="9">
        <v>1</v>
      </c>
      <c r="M74" s="47">
        <f t="shared" si="27"/>
        <v>27.378</v>
      </c>
      <c r="N74" s="10">
        <v>0</v>
      </c>
      <c r="O74" s="47">
        <f t="shared" si="22"/>
        <v>27.378</v>
      </c>
      <c r="Q74" s="9">
        <f t="shared" si="31"/>
        <v>52</v>
      </c>
      <c r="R74" s="9" t="s">
        <v>85</v>
      </c>
      <c r="S74" s="45">
        <v>47300</v>
      </c>
      <c r="T74" s="9">
        <v>1</v>
      </c>
      <c r="U74" s="47">
        <f t="shared" si="28"/>
        <v>28.6</v>
      </c>
      <c r="V74" s="10">
        <v>0</v>
      </c>
      <c r="W74" s="47">
        <f t="shared" si="23"/>
        <v>28.6</v>
      </c>
      <c r="Y74" s="9">
        <f t="shared" si="32"/>
        <v>52</v>
      </c>
      <c r="Z74" s="9" t="s">
        <v>85</v>
      </c>
      <c r="AA74" s="45">
        <v>47300</v>
      </c>
      <c r="AB74" s="9">
        <v>1</v>
      </c>
      <c r="AC74" s="47">
        <f t="shared" si="29"/>
        <v>28.6</v>
      </c>
      <c r="AD74" s="10">
        <v>0</v>
      </c>
      <c r="AE74" s="47">
        <f t="shared" si="24"/>
        <v>28.6</v>
      </c>
    </row>
    <row r="75" spans="1:31" x14ac:dyDescent="0.35">
      <c r="A75" s="9">
        <f t="shared" si="25"/>
        <v>53</v>
      </c>
      <c r="B75" s="9" t="s">
        <v>85</v>
      </c>
      <c r="C75" s="45">
        <v>47270</v>
      </c>
      <c r="D75" s="9">
        <v>1</v>
      </c>
      <c r="E75" s="47">
        <f t="shared" si="26"/>
        <v>12.635999999999999</v>
      </c>
      <c r="F75" s="9">
        <v>5.5</v>
      </c>
      <c r="G75" s="47">
        <f t="shared" si="21"/>
        <v>18.135999999999999</v>
      </c>
      <c r="I75" s="9">
        <f t="shared" si="30"/>
        <v>53</v>
      </c>
      <c r="J75" s="9" t="s">
        <v>85</v>
      </c>
      <c r="K75" s="45">
        <v>47300</v>
      </c>
      <c r="L75" s="9">
        <v>1</v>
      </c>
      <c r="M75" s="47">
        <f t="shared" si="27"/>
        <v>27.378</v>
      </c>
      <c r="N75" s="10">
        <v>0</v>
      </c>
      <c r="O75" s="47">
        <f t="shared" si="22"/>
        <v>27.378</v>
      </c>
      <c r="Q75" s="9">
        <f t="shared" si="31"/>
        <v>53</v>
      </c>
      <c r="R75" s="9" t="s">
        <v>85</v>
      </c>
      <c r="S75" s="45">
        <v>47331</v>
      </c>
      <c r="T75" s="9">
        <v>1</v>
      </c>
      <c r="U75" s="47">
        <f t="shared" si="28"/>
        <v>28.6</v>
      </c>
      <c r="V75" s="10">
        <v>0</v>
      </c>
      <c r="W75" s="47">
        <f t="shared" si="23"/>
        <v>28.6</v>
      </c>
      <c r="Y75" s="9">
        <f t="shared" si="32"/>
        <v>53</v>
      </c>
      <c r="Z75" s="9" t="s">
        <v>85</v>
      </c>
      <c r="AA75" s="45">
        <v>47331</v>
      </c>
      <c r="AB75" s="9">
        <v>1</v>
      </c>
      <c r="AC75" s="47">
        <f t="shared" si="29"/>
        <v>28.6</v>
      </c>
      <c r="AD75" s="10">
        <v>0</v>
      </c>
      <c r="AE75" s="47">
        <f t="shared" si="24"/>
        <v>28.6</v>
      </c>
    </row>
    <row r="76" spans="1:31" x14ac:dyDescent="0.35">
      <c r="A76" s="9">
        <f t="shared" si="25"/>
        <v>54</v>
      </c>
      <c r="B76" s="9" t="s">
        <v>85</v>
      </c>
      <c r="C76" s="45">
        <v>47300</v>
      </c>
      <c r="D76" s="9">
        <v>1</v>
      </c>
      <c r="E76" s="47">
        <f t="shared" si="26"/>
        <v>12.635999999999999</v>
      </c>
      <c r="F76" s="9">
        <v>5.5</v>
      </c>
      <c r="G76" s="47">
        <f t="shared" si="21"/>
        <v>18.135999999999999</v>
      </c>
      <c r="I76" s="9">
        <f t="shared" si="30"/>
        <v>54</v>
      </c>
      <c r="J76" s="9" t="s">
        <v>85</v>
      </c>
      <c r="K76" s="45">
        <v>47331</v>
      </c>
      <c r="L76" s="9">
        <v>1</v>
      </c>
      <c r="M76" s="47">
        <f t="shared" si="27"/>
        <v>27.378</v>
      </c>
      <c r="N76" s="10">
        <v>0</v>
      </c>
      <c r="O76" s="47">
        <f t="shared" si="22"/>
        <v>27.378</v>
      </c>
      <c r="Q76" s="9">
        <f t="shared" si="31"/>
        <v>54</v>
      </c>
      <c r="R76" s="9" t="s">
        <v>85</v>
      </c>
      <c r="S76" s="45">
        <v>47362</v>
      </c>
      <c r="T76" s="9">
        <v>1</v>
      </c>
      <c r="U76" s="47">
        <f t="shared" si="28"/>
        <v>28.6</v>
      </c>
      <c r="V76" s="10">
        <v>0</v>
      </c>
      <c r="W76" s="47">
        <f t="shared" si="23"/>
        <v>28.6</v>
      </c>
      <c r="Y76" s="9">
        <f t="shared" si="32"/>
        <v>54</v>
      </c>
      <c r="Z76" s="9" t="s">
        <v>85</v>
      </c>
      <c r="AA76" s="45">
        <v>47362</v>
      </c>
      <c r="AB76" s="9">
        <v>1</v>
      </c>
      <c r="AC76" s="47">
        <f t="shared" si="29"/>
        <v>28.6</v>
      </c>
      <c r="AD76" s="10">
        <v>0</v>
      </c>
      <c r="AE76" s="47">
        <f t="shared" si="24"/>
        <v>28.6</v>
      </c>
    </row>
    <row r="77" spans="1:31" x14ac:dyDescent="0.35">
      <c r="A77" s="9">
        <f t="shared" si="25"/>
        <v>55</v>
      </c>
      <c r="B77" s="9" t="s">
        <v>85</v>
      </c>
      <c r="C77" s="45">
        <v>47331</v>
      </c>
      <c r="D77" s="9">
        <v>1</v>
      </c>
      <c r="E77" s="47">
        <f t="shared" si="26"/>
        <v>12.635999999999999</v>
      </c>
      <c r="F77" s="9">
        <v>5.5</v>
      </c>
      <c r="G77" s="47">
        <f t="shared" si="21"/>
        <v>18.135999999999999</v>
      </c>
      <c r="I77" s="9">
        <f t="shared" si="30"/>
        <v>55</v>
      </c>
      <c r="J77" s="9" t="s">
        <v>85</v>
      </c>
      <c r="K77" s="45">
        <v>47362</v>
      </c>
      <c r="L77" s="9">
        <v>1</v>
      </c>
      <c r="M77" s="47">
        <f t="shared" si="27"/>
        <v>27.378</v>
      </c>
      <c r="N77" s="10">
        <v>0</v>
      </c>
      <c r="O77" s="47">
        <f t="shared" si="22"/>
        <v>27.378</v>
      </c>
      <c r="Q77" s="9">
        <f t="shared" si="31"/>
        <v>55</v>
      </c>
      <c r="R77" s="9" t="s">
        <v>85</v>
      </c>
      <c r="S77" s="45">
        <v>47392</v>
      </c>
      <c r="T77" s="9">
        <v>1</v>
      </c>
      <c r="U77" s="47">
        <f t="shared" si="28"/>
        <v>28.6</v>
      </c>
      <c r="V77" s="10">
        <v>0</v>
      </c>
      <c r="W77" s="47">
        <f t="shared" si="23"/>
        <v>28.6</v>
      </c>
      <c r="Y77" s="9">
        <f t="shared" si="32"/>
        <v>55</v>
      </c>
      <c r="Z77" s="9" t="s">
        <v>85</v>
      </c>
      <c r="AA77" s="45">
        <v>47392</v>
      </c>
      <c r="AB77" s="9">
        <v>1</v>
      </c>
      <c r="AC77" s="47">
        <f t="shared" si="29"/>
        <v>28.6</v>
      </c>
      <c r="AD77" s="10">
        <v>0</v>
      </c>
      <c r="AE77" s="47">
        <f t="shared" si="24"/>
        <v>28.6</v>
      </c>
    </row>
    <row r="78" spans="1:31" x14ac:dyDescent="0.35">
      <c r="A78" s="9">
        <f t="shared" si="25"/>
        <v>56</v>
      </c>
      <c r="B78" s="9" t="s">
        <v>85</v>
      </c>
      <c r="C78" s="45">
        <v>47362</v>
      </c>
      <c r="D78" s="9">
        <v>1</v>
      </c>
      <c r="E78" s="47">
        <f t="shared" si="26"/>
        <v>12.635999999999999</v>
      </c>
      <c r="F78" s="9">
        <v>5.5</v>
      </c>
      <c r="G78" s="47">
        <f t="shared" si="21"/>
        <v>18.135999999999999</v>
      </c>
      <c r="I78" s="9">
        <f t="shared" si="30"/>
        <v>56</v>
      </c>
      <c r="J78" s="9" t="s">
        <v>85</v>
      </c>
      <c r="K78" s="45">
        <v>47392</v>
      </c>
      <c r="L78" s="9">
        <v>1</v>
      </c>
      <c r="M78" s="47">
        <f t="shared" si="27"/>
        <v>27.378</v>
      </c>
      <c r="N78" s="10">
        <v>0</v>
      </c>
      <c r="O78" s="47">
        <f t="shared" si="22"/>
        <v>27.378</v>
      </c>
      <c r="Q78" s="9">
        <f t="shared" si="31"/>
        <v>56</v>
      </c>
      <c r="R78" s="9" t="s">
        <v>85</v>
      </c>
      <c r="S78" s="45">
        <v>47423</v>
      </c>
      <c r="T78" s="9">
        <v>1</v>
      </c>
      <c r="U78" s="47">
        <f t="shared" si="28"/>
        <v>28.6</v>
      </c>
      <c r="V78" s="10">
        <v>0</v>
      </c>
      <c r="W78" s="47">
        <f t="shared" si="23"/>
        <v>28.6</v>
      </c>
      <c r="Y78" s="9">
        <f t="shared" si="32"/>
        <v>56</v>
      </c>
      <c r="Z78" s="9" t="s">
        <v>85</v>
      </c>
      <c r="AA78" s="45">
        <v>47423</v>
      </c>
      <c r="AB78" s="9">
        <v>1</v>
      </c>
      <c r="AC78" s="47">
        <f t="shared" si="29"/>
        <v>28.6</v>
      </c>
      <c r="AD78" s="10">
        <v>0</v>
      </c>
      <c r="AE78" s="47">
        <f t="shared" si="24"/>
        <v>28.6</v>
      </c>
    </row>
    <row r="79" spans="1:31" x14ac:dyDescent="0.35">
      <c r="A79" s="9">
        <f t="shared" si="25"/>
        <v>57</v>
      </c>
      <c r="B79" s="9" t="s">
        <v>85</v>
      </c>
      <c r="C79" s="45">
        <v>47392</v>
      </c>
      <c r="D79" s="9">
        <v>1</v>
      </c>
      <c r="E79" s="47">
        <f t="shared" si="26"/>
        <v>12.635999999999999</v>
      </c>
      <c r="F79" s="9">
        <v>5.5</v>
      </c>
      <c r="G79" s="47">
        <f t="shared" si="21"/>
        <v>18.135999999999999</v>
      </c>
      <c r="I79" s="9">
        <f t="shared" si="30"/>
        <v>57</v>
      </c>
      <c r="J79" s="9" t="s">
        <v>85</v>
      </c>
      <c r="K79" s="45">
        <v>47423</v>
      </c>
      <c r="L79" s="9">
        <v>1</v>
      </c>
      <c r="M79" s="47">
        <f t="shared" si="27"/>
        <v>27.378</v>
      </c>
      <c r="N79" s="10">
        <v>0</v>
      </c>
      <c r="O79" s="47">
        <f t="shared" si="22"/>
        <v>27.378</v>
      </c>
      <c r="Q79" s="9">
        <f t="shared" si="31"/>
        <v>57</v>
      </c>
      <c r="R79" s="9" t="s">
        <v>85</v>
      </c>
      <c r="S79" s="45">
        <v>47453</v>
      </c>
      <c r="T79" s="9">
        <v>1</v>
      </c>
      <c r="U79" s="47">
        <f t="shared" si="28"/>
        <v>28.6</v>
      </c>
      <c r="V79" s="10">
        <v>0</v>
      </c>
      <c r="W79" s="47">
        <f t="shared" si="23"/>
        <v>28.6</v>
      </c>
      <c r="Y79" s="9">
        <f t="shared" si="32"/>
        <v>57</v>
      </c>
      <c r="Z79" s="9" t="s">
        <v>85</v>
      </c>
      <c r="AA79" s="45">
        <v>47453</v>
      </c>
      <c r="AB79" s="9">
        <v>1</v>
      </c>
      <c r="AC79" s="47">
        <f t="shared" si="29"/>
        <v>28.6</v>
      </c>
      <c r="AD79" s="10">
        <v>0</v>
      </c>
      <c r="AE79" s="47">
        <f t="shared" si="24"/>
        <v>28.6</v>
      </c>
    </row>
    <row r="80" spans="1:31" x14ac:dyDescent="0.35">
      <c r="A80" s="9">
        <f t="shared" si="25"/>
        <v>58</v>
      </c>
      <c r="B80" s="9" t="s">
        <v>85</v>
      </c>
      <c r="C80" s="45">
        <v>47423</v>
      </c>
      <c r="D80" s="9">
        <v>1</v>
      </c>
      <c r="E80" s="47">
        <f t="shared" si="26"/>
        <v>12.635999999999999</v>
      </c>
      <c r="F80" s="9">
        <v>5.5</v>
      </c>
      <c r="G80" s="47">
        <f t="shared" si="21"/>
        <v>18.135999999999999</v>
      </c>
      <c r="I80" s="9">
        <f t="shared" si="30"/>
        <v>58</v>
      </c>
      <c r="J80" s="9" t="s">
        <v>85</v>
      </c>
      <c r="K80" s="45">
        <v>47453</v>
      </c>
      <c r="L80" s="9">
        <v>1</v>
      </c>
      <c r="M80" s="47">
        <f t="shared" si="27"/>
        <v>27.378</v>
      </c>
      <c r="N80" s="10">
        <v>0</v>
      </c>
      <c r="O80" s="47">
        <f t="shared" si="22"/>
        <v>27.378</v>
      </c>
      <c r="Q80" s="9">
        <f t="shared" si="31"/>
        <v>58</v>
      </c>
      <c r="R80" s="9" t="s">
        <v>85</v>
      </c>
      <c r="S80" s="45">
        <v>47484</v>
      </c>
      <c r="T80" s="9">
        <v>1</v>
      </c>
      <c r="U80" s="47">
        <f t="shared" si="28"/>
        <v>28.6</v>
      </c>
      <c r="V80" s="10">
        <v>0</v>
      </c>
      <c r="W80" s="47">
        <f t="shared" si="23"/>
        <v>28.6</v>
      </c>
      <c r="Y80" s="9">
        <f t="shared" si="32"/>
        <v>58</v>
      </c>
      <c r="Z80" s="9" t="s">
        <v>85</v>
      </c>
      <c r="AA80" s="45">
        <v>47484</v>
      </c>
      <c r="AB80" s="9">
        <v>1</v>
      </c>
      <c r="AC80" s="47">
        <f t="shared" si="29"/>
        <v>28.6</v>
      </c>
      <c r="AD80" s="10">
        <v>0</v>
      </c>
      <c r="AE80" s="47">
        <f t="shared" si="24"/>
        <v>28.6</v>
      </c>
    </row>
    <row r="81" spans="1:31" x14ac:dyDescent="0.35">
      <c r="A81" s="9">
        <f t="shared" si="25"/>
        <v>59</v>
      </c>
      <c r="B81" s="9" t="s">
        <v>85</v>
      </c>
      <c r="C81" s="45">
        <v>47453</v>
      </c>
      <c r="D81" s="9">
        <v>1</v>
      </c>
      <c r="E81" s="47">
        <f t="shared" si="26"/>
        <v>12.635999999999999</v>
      </c>
      <c r="F81" s="9">
        <v>5.5</v>
      </c>
      <c r="G81" s="47">
        <f t="shared" si="21"/>
        <v>18.135999999999999</v>
      </c>
      <c r="I81" s="9">
        <f t="shared" si="30"/>
        <v>59</v>
      </c>
      <c r="J81" s="9" t="s">
        <v>85</v>
      </c>
      <c r="K81" s="45">
        <v>47484</v>
      </c>
      <c r="L81" s="9">
        <v>1</v>
      </c>
      <c r="M81" s="47">
        <f t="shared" si="27"/>
        <v>27.378</v>
      </c>
      <c r="N81" s="10">
        <v>0</v>
      </c>
      <c r="O81" s="47">
        <f t="shared" si="22"/>
        <v>27.378</v>
      </c>
      <c r="Q81" s="9">
        <f t="shared" si="31"/>
        <v>59</v>
      </c>
      <c r="R81" s="9" t="s">
        <v>85</v>
      </c>
      <c r="S81" s="45">
        <v>47515</v>
      </c>
      <c r="T81" s="9">
        <v>1</v>
      </c>
      <c r="U81" s="47">
        <f t="shared" si="28"/>
        <v>28.6</v>
      </c>
      <c r="V81" s="10">
        <v>0</v>
      </c>
      <c r="W81" s="47">
        <f t="shared" si="23"/>
        <v>28.6</v>
      </c>
      <c r="Y81" s="9">
        <f t="shared" si="32"/>
        <v>59</v>
      </c>
      <c r="Z81" s="9" t="s">
        <v>85</v>
      </c>
      <c r="AA81" s="45">
        <v>47515</v>
      </c>
      <c r="AB81" s="9">
        <v>1</v>
      </c>
      <c r="AC81" s="47">
        <f t="shared" si="29"/>
        <v>28.6</v>
      </c>
      <c r="AD81" s="10">
        <v>0</v>
      </c>
      <c r="AE81" s="47">
        <f t="shared" si="24"/>
        <v>28.6</v>
      </c>
    </row>
    <row r="82" spans="1:31" x14ac:dyDescent="0.35">
      <c r="A82" s="9">
        <f t="shared" si="25"/>
        <v>60</v>
      </c>
      <c r="B82" s="9" t="s">
        <v>85</v>
      </c>
      <c r="C82" s="45">
        <v>47484</v>
      </c>
      <c r="D82" s="9">
        <v>1</v>
      </c>
      <c r="E82" s="47">
        <f t="shared" si="26"/>
        <v>12.635999999999999</v>
      </c>
      <c r="F82" s="9">
        <v>5.5</v>
      </c>
      <c r="G82" s="47">
        <f t="shared" si="21"/>
        <v>18.135999999999999</v>
      </c>
      <c r="I82" s="9">
        <f t="shared" si="30"/>
        <v>60</v>
      </c>
      <c r="J82" s="9" t="s">
        <v>85</v>
      </c>
      <c r="K82" s="45">
        <v>47515</v>
      </c>
      <c r="L82" s="9">
        <v>1</v>
      </c>
      <c r="M82" s="47">
        <f t="shared" si="27"/>
        <v>27.378</v>
      </c>
      <c r="N82" s="10">
        <v>0</v>
      </c>
      <c r="O82" s="47">
        <f t="shared" si="22"/>
        <v>27.378</v>
      </c>
      <c r="Q82" s="9">
        <f t="shared" si="31"/>
        <v>60</v>
      </c>
      <c r="R82" s="9" t="s">
        <v>85</v>
      </c>
      <c r="S82" s="45">
        <v>47543</v>
      </c>
      <c r="T82" s="9">
        <v>1</v>
      </c>
      <c r="U82" s="47">
        <f t="shared" si="28"/>
        <v>28.6</v>
      </c>
      <c r="V82" s="10">
        <v>0</v>
      </c>
      <c r="W82" s="47">
        <f t="shared" si="23"/>
        <v>28.6</v>
      </c>
      <c r="Y82" s="9">
        <f t="shared" si="32"/>
        <v>60</v>
      </c>
      <c r="Z82" s="9" t="s">
        <v>85</v>
      </c>
      <c r="AA82" s="45">
        <v>47543</v>
      </c>
      <c r="AB82" s="9">
        <v>1</v>
      </c>
      <c r="AC82" s="47">
        <f t="shared" si="29"/>
        <v>28.6</v>
      </c>
      <c r="AD82" s="10">
        <v>0</v>
      </c>
      <c r="AE82" s="47">
        <f t="shared" si="24"/>
        <v>28.6</v>
      </c>
    </row>
    <row r="83" spans="1:31" x14ac:dyDescent="0.35">
      <c r="A83" s="9">
        <f t="shared" si="25"/>
        <v>61</v>
      </c>
      <c r="B83" s="9" t="s">
        <v>85</v>
      </c>
      <c r="C83" s="45">
        <v>47515</v>
      </c>
      <c r="D83" s="9">
        <v>1</v>
      </c>
      <c r="E83" s="47">
        <f t="shared" si="26"/>
        <v>12.635999999999999</v>
      </c>
      <c r="F83" s="9">
        <v>5.5</v>
      </c>
      <c r="G83" s="47">
        <f t="shared" si="21"/>
        <v>18.135999999999999</v>
      </c>
      <c r="I83" s="9">
        <f t="shared" si="30"/>
        <v>61</v>
      </c>
      <c r="J83" s="9" t="s">
        <v>85</v>
      </c>
      <c r="K83" s="45">
        <v>47543</v>
      </c>
      <c r="L83" s="9">
        <v>1</v>
      </c>
      <c r="M83" s="47">
        <f t="shared" si="27"/>
        <v>27.378</v>
      </c>
      <c r="N83" s="10">
        <v>0</v>
      </c>
      <c r="O83" s="47">
        <f t="shared" si="22"/>
        <v>27.378</v>
      </c>
      <c r="Q83" s="9">
        <f t="shared" si="31"/>
        <v>61</v>
      </c>
      <c r="R83" s="9" t="s">
        <v>86</v>
      </c>
      <c r="S83" s="45">
        <v>47574</v>
      </c>
      <c r="T83" s="9">
        <v>1</v>
      </c>
      <c r="U83" s="47">
        <f t="shared" si="28"/>
        <v>28.6</v>
      </c>
      <c r="V83" s="10">
        <v>0</v>
      </c>
      <c r="W83" s="47">
        <f t="shared" si="23"/>
        <v>28.6</v>
      </c>
      <c r="Y83" s="9">
        <f t="shared" si="32"/>
        <v>61</v>
      </c>
      <c r="Z83" s="9" t="s">
        <v>86</v>
      </c>
      <c r="AA83" s="45">
        <v>47574</v>
      </c>
      <c r="AB83" s="9">
        <v>1</v>
      </c>
      <c r="AC83" s="47">
        <f t="shared" si="29"/>
        <v>28.6</v>
      </c>
      <c r="AD83" s="10">
        <v>0</v>
      </c>
      <c r="AE83" s="47">
        <f t="shared" si="24"/>
        <v>28.6</v>
      </c>
    </row>
    <row r="84" spans="1:31" x14ac:dyDescent="0.35">
      <c r="A84" s="9">
        <f t="shared" si="25"/>
        <v>62</v>
      </c>
      <c r="B84" s="9" t="s">
        <v>85</v>
      </c>
      <c r="C84" s="45">
        <v>47543</v>
      </c>
      <c r="D84" s="9">
        <v>1</v>
      </c>
      <c r="E84" s="47">
        <f t="shared" si="26"/>
        <v>12.635999999999999</v>
      </c>
      <c r="F84" s="9">
        <v>5.5</v>
      </c>
      <c r="G84" s="47">
        <f t="shared" si="21"/>
        <v>18.135999999999999</v>
      </c>
      <c r="I84" s="9">
        <f t="shared" si="30"/>
        <v>62</v>
      </c>
      <c r="J84" s="9" t="s">
        <v>86</v>
      </c>
      <c r="K84" s="45">
        <v>47574</v>
      </c>
      <c r="L84" s="9">
        <v>1</v>
      </c>
      <c r="M84" s="47">
        <f t="shared" si="27"/>
        <v>27.378</v>
      </c>
      <c r="N84" s="10">
        <v>0</v>
      </c>
      <c r="O84" s="47">
        <f t="shared" si="22"/>
        <v>27.378</v>
      </c>
      <c r="Q84" s="9">
        <f t="shared" si="31"/>
        <v>62</v>
      </c>
      <c r="R84" s="9" t="s">
        <v>86</v>
      </c>
      <c r="S84" s="45">
        <v>47604</v>
      </c>
      <c r="T84" s="9">
        <v>1</v>
      </c>
      <c r="U84" s="47">
        <f t="shared" si="28"/>
        <v>28.6</v>
      </c>
      <c r="V84" s="10">
        <v>0</v>
      </c>
      <c r="W84" s="47">
        <f t="shared" si="23"/>
        <v>28.6</v>
      </c>
      <c r="Y84" s="9">
        <f t="shared" si="32"/>
        <v>62</v>
      </c>
      <c r="Z84" s="9" t="s">
        <v>86</v>
      </c>
      <c r="AA84" s="45">
        <v>47604</v>
      </c>
      <c r="AB84" s="9">
        <v>1</v>
      </c>
      <c r="AC84" s="47">
        <f t="shared" si="29"/>
        <v>28.6</v>
      </c>
      <c r="AD84" s="10">
        <v>0</v>
      </c>
      <c r="AE84" s="47">
        <f t="shared" si="24"/>
        <v>28.6</v>
      </c>
    </row>
    <row r="85" spans="1:31" x14ac:dyDescent="0.35">
      <c r="A85" s="9">
        <f t="shared" ref="A85:A105" si="33">A84+1</f>
        <v>63</v>
      </c>
      <c r="B85" s="9" t="s">
        <v>86</v>
      </c>
      <c r="C85" s="45">
        <v>47574</v>
      </c>
      <c r="D85" s="9">
        <v>1</v>
      </c>
      <c r="E85" s="47">
        <f t="shared" si="26"/>
        <v>12.635999999999999</v>
      </c>
      <c r="F85" s="9">
        <v>5.5</v>
      </c>
      <c r="G85" s="47">
        <f t="shared" si="21"/>
        <v>18.135999999999999</v>
      </c>
      <c r="I85" s="9">
        <f t="shared" si="30"/>
        <v>63</v>
      </c>
      <c r="J85" s="9" t="s">
        <v>86</v>
      </c>
      <c r="K85" s="45">
        <v>47604</v>
      </c>
      <c r="L85" s="9">
        <v>1</v>
      </c>
      <c r="M85" s="47">
        <f t="shared" si="27"/>
        <v>27.378</v>
      </c>
      <c r="N85" s="10">
        <v>0</v>
      </c>
      <c r="O85" s="47">
        <f t="shared" ref="O85:O106" si="34">SUM(M85:N85)</f>
        <v>27.378</v>
      </c>
      <c r="Q85" s="9">
        <f t="shared" si="31"/>
        <v>63</v>
      </c>
      <c r="R85" s="9" t="s">
        <v>86</v>
      </c>
      <c r="S85" s="45">
        <v>47635</v>
      </c>
      <c r="T85" s="9">
        <v>1</v>
      </c>
      <c r="U85" s="47">
        <f t="shared" si="28"/>
        <v>28.6</v>
      </c>
      <c r="V85" s="10">
        <v>0</v>
      </c>
      <c r="W85" s="47">
        <f t="shared" ref="W85:W106" si="35">SUM(U85:V85)</f>
        <v>28.6</v>
      </c>
      <c r="Y85" s="9">
        <f t="shared" si="32"/>
        <v>63</v>
      </c>
      <c r="Z85" s="9" t="s">
        <v>86</v>
      </c>
      <c r="AA85" s="45">
        <v>47635</v>
      </c>
      <c r="AB85" s="9">
        <v>1</v>
      </c>
      <c r="AC85" s="47">
        <f t="shared" si="29"/>
        <v>28.6</v>
      </c>
      <c r="AD85" s="10">
        <v>0</v>
      </c>
      <c r="AE85" s="47">
        <f t="shared" ref="AE85:AE106" si="36">SUM(AC85:AD85)</f>
        <v>28.6</v>
      </c>
    </row>
    <row r="86" spans="1:31" x14ac:dyDescent="0.35">
      <c r="A86" s="9">
        <f t="shared" si="33"/>
        <v>64</v>
      </c>
      <c r="B86" s="9" t="s">
        <v>86</v>
      </c>
      <c r="C86" s="45">
        <v>47604</v>
      </c>
      <c r="D86" s="9">
        <v>1</v>
      </c>
      <c r="E86" s="47">
        <f t="shared" si="26"/>
        <v>12.635999999999999</v>
      </c>
      <c r="F86" s="9">
        <v>5.5</v>
      </c>
      <c r="G86" s="47">
        <f t="shared" si="21"/>
        <v>18.135999999999999</v>
      </c>
      <c r="I86" s="9">
        <f t="shared" si="30"/>
        <v>64</v>
      </c>
      <c r="J86" s="9" t="s">
        <v>86</v>
      </c>
      <c r="K86" s="45">
        <v>47635</v>
      </c>
      <c r="L86" s="9">
        <v>1</v>
      </c>
      <c r="M86" s="47">
        <f t="shared" si="27"/>
        <v>27.378</v>
      </c>
      <c r="N86" s="10">
        <v>0</v>
      </c>
      <c r="O86" s="47">
        <f t="shared" si="34"/>
        <v>27.378</v>
      </c>
      <c r="Q86" s="9">
        <f t="shared" si="31"/>
        <v>64</v>
      </c>
      <c r="R86" s="9" t="s">
        <v>86</v>
      </c>
      <c r="S86" s="45">
        <v>47665</v>
      </c>
      <c r="T86" s="9">
        <v>1</v>
      </c>
      <c r="U86" s="47">
        <f t="shared" si="28"/>
        <v>28.6</v>
      </c>
      <c r="V86" s="10">
        <v>0</v>
      </c>
      <c r="W86" s="47">
        <f t="shared" si="35"/>
        <v>28.6</v>
      </c>
      <c r="Y86" s="9">
        <f t="shared" si="32"/>
        <v>64</v>
      </c>
      <c r="Z86" s="9" t="s">
        <v>86</v>
      </c>
      <c r="AA86" s="45">
        <v>47665</v>
      </c>
      <c r="AB86" s="9">
        <v>1</v>
      </c>
      <c r="AC86" s="47">
        <f t="shared" si="29"/>
        <v>28.6</v>
      </c>
      <c r="AD86" s="10">
        <v>0</v>
      </c>
      <c r="AE86" s="47">
        <f t="shared" si="36"/>
        <v>28.6</v>
      </c>
    </row>
    <row r="87" spans="1:31" x14ac:dyDescent="0.35">
      <c r="A87" s="9">
        <f t="shared" si="33"/>
        <v>65</v>
      </c>
      <c r="B87" s="9" t="s">
        <v>86</v>
      </c>
      <c r="C87" s="45">
        <v>47635</v>
      </c>
      <c r="D87" s="9">
        <v>1</v>
      </c>
      <c r="E87" s="47">
        <f t="shared" si="26"/>
        <v>12.635999999999999</v>
      </c>
      <c r="F87" s="9">
        <v>5.5</v>
      </c>
      <c r="G87" s="47">
        <f t="shared" ref="G87:G106" si="37">SUM(E87:F87)</f>
        <v>18.135999999999999</v>
      </c>
      <c r="I87" s="9">
        <f t="shared" si="30"/>
        <v>65</v>
      </c>
      <c r="J87" s="9" t="s">
        <v>86</v>
      </c>
      <c r="K87" s="45">
        <v>47665</v>
      </c>
      <c r="L87" s="9">
        <v>1</v>
      </c>
      <c r="M87" s="47">
        <f t="shared" si="27"/>
        <v>27.378</v>
      </c>
      <c r="N87" s="10">
        <v>0</v>
      </c>
      <c r="O87" s="47">
        <f t="shared" si="34"/>
        <v>27.378</v>
      </c>
      <c r="Q87" s="9">
        <f t="shared" si="31"/>
        <v>65</v>
      </c>
      <c r="R87" s="9" t="s">
        <v>86</v>
      </c>
      <c r="S87" s="45">
        <v>47696</v>
      </c>
      <c r="T87" s="9">
        <v>1</v>
      </c>
      <c r="U87" s="47">
        <f t="shared" si="28"/>
        <v>28.6</v>
      </c>
      <c r="V87" s="10">
        <v>0</v>
      </c>
      <c r="W87" s="47">
        <f t="shared" si="35"/>
        <v>28.6</v>
      </c>
      <c r="Y87" s="9">
        <f t="shared" si="32"/>
        <v>65</v>
      </c>
      <c r="Z87" s="9" t="s">
        <v>86</v>
      </c>
      <c r="AA87" s="45">
        <v>47696</v>
      </c>
      <c r="AB87" s="9">
        <v>1</v>
      </c>
      <c r="AC87" s="47">
        <f t="shared" si="29"/>
        <v>28.6</v>
      </c>
      <c r="AD87" s="10">
        <v>0</v>
      </c>
      <c r="AE87" s="47">
        <f t="shared" si="36"/>
        <v>28.6</v>
      </c>
    </row>
    <row r="88" spans="1:31" x14ac:dyDescent="0.35">
      <c r="A88" s="9">
        <f t="shared" si="33"/>
        <v>66</v>
      </c>
      <c r="B88" s="9" t="s">
        <v>86</v>
      </c>
      <c r="C88" s="45">
        <v>47665</v>
      </c>
      <c r="D88" s="9">
        <v>1</v>
      </c>
      <c r="E88" s="47">
        <f t="shared" ref="E88:E106" si="38">(1053*1200)/10^5</f>
        <v>12.635999999999999</v>
      </c>
      <c r="F88" s="9">
        <v>5.5</v>
      </c>
      <c r="G88" s="47">
        <f t="shared" si="37"/>
        <v>18.135999999999999</v>
      </c>
      <c r="I88" s="9">
        <f t="shared" si="30"/>
        <v>66</v>
      </c>
      <c r="J88" s="9" t="s">
        <v>86</v>
      </c>
      <c r="K88" s="45">
        <v>47696</v>
      </c>
      <c r="L88" s="9">
        <v>1</v>
      </c>
      <c r="M88" s="47">
        <f t="shared" ref="M88:M106" si="39">(1053*2600)/10^5</f>
        <v>27.378</v>
      </c>
      <c r="N88" s="10">
        <v>0</v>
      </c>
      <c r="O88" s="47">
        <f t="shared" si="34"/>
        <v>27.378</v>
      </c>
      <c r="Q88" s="9">
        <f t="shared" si="31"/>
        <v>66</v>
      </c>
      <c r="R88" s="9" t="s">
        <v>86</v>
      </c>
      <c r="S88" s="45">
        <v>47727</v>
      </c>
      <c r="T88" s="9">
        <v>1</v>
      </c>
      <c r="U88" s="47">
        <f t="shared" ref="U88:U106" si="40">(1100*2600)/10^5</f>
        <v>28.6</v>
      </c>
      <c r="V88" s="10">
        <v>0</v>
      </c>
      <c r="W88" s="47">
        <f t="shared" si="35"/>
        <v>28.6</v>
      </c>
      <c r="Y88" s="9">
        <f t="shared" si="32"/>
        <v>66</v>
      </c>
      <c r="Z88" s="9" t="s">
        <v>86</v>
      </c>
      <c r="AA88" s="45">
        <v>47727</v>
      </c>
      <c r="AB88" s="9">
        <v>1</v>
      </c>
      <c r="AC88" s="47">
        <f t="shared" ref="AC88:AC106" si="41">(1100*2600)/10^5</f>
        <v>28.6</v>
      </c>
      <c r="AD88" s="10">
        <v>0</v>
      </c>
      <c r="AE88" s="47">
        <f t="shared" si="36"/>
        <v>28.6</v>
      </c>
    </row>
    <row r="89" spans="1:31" x14ac:dyDescent="0.35">
      <c r="A89" s="9">
        <f t="shared" si="33"/>
        <v>67</v>
      </c>
      <c r="B89" s="9" t="s">
        <v>86</v>
      </c>
      <c r="C89" s="45">
        <v>47696</v>
      </c>
      <c r="D89" s="9">
        <v>1</v>
      </c>
      <c r="E89" s="47">
        <f t="shared" si="38"/>
        <v>12.635999999999999</v>
      </c>
      <c r="F89" s="9">
        <v>5.5</v>
      </c>
      <c r="G89" s="47">
        <f t="shared" si="37"/>
        <v>18.135999999999999</v>
      </c>
      <c r="I89" s="9">
        <f t="shared" ref="I89:I106" si="42">I88+1</f>
        <v>67</v>
      </c>
      <c r="J89" s="9" t="s">
        <v>86</v>
      </c>
      <c r="K89" s="45">
        <v>47727</v>
      </c>
      <c r="L89" s="9">
        <v>1</v>
      </c>
      <c r="M89" s="47">
        <f t="shared" si="39"/>
        <v>27.378</v>
      </c>
      <c r="N89" s="10">
        <v>0</v>
      </c>
      <c r="O89" s="47">
        <f t="shared" si="34"/>
        <v>27.378</v>
      </c>
      <c r="Q89" s="9">
        <f t="shared" ref="Q89:Q106" si="43">Q88+1</f>
        <v>67</v>
      </c>
      <c r="R89" s="9" t="s">
        <v>86</v>
      </c>
      <c r="S89" s="45">
        <v>47757</v>
      </c>
      <c r="T89" s="9">
        <v>1</v>
      </c>
      <c r="U89" s="47">
        <f t="shared" si="40"/>
        <v>28.6</v>
      </c>
      <c r="V89" s="10">
        <v>0</v>
      </c>
      <c r="W89" s="47">
        <f t="shared" si="35"/>
        <v>28.6</v>
      </c>
      <c r="Y89" s="9">
        <f t="shared" ref="Y89:Y106" si="44">Y88+1</f>
        <v>67</v>
      </c>
      <c r="Z89" s="9" t="s">
        <v>86</v>
      </c>
      <c r="AA89" s="45">
        <v>47757</v>
      </c>
      <c r="AB89" s="9">
        <v>1</v>
      </c>
      <c r="AC89" s="47">
        <f t="shared" si="41"/>
        <v>28.6</v>
      </c>
      <c r="AD89" s="10">
        <v>0</v>
      </c>
      <c r="AE89" s="47">
        <f t="shared" si="36"/>
        <v>28.6</v>
      </c>
    </row>
    <row r="90" spans="1:31" x14ac:dyDescent="0.35">
      <c r="A90" s="9">
        <f t="shared" si="33"/>
        <v>68</v>
      </c>
      <c r="B90" s="9" t="s">
        <v>86</v>
      </c>
      <c r="C90" s="45">
        <v>47727</v>
      </c>
      <c r="D90" s="9">
        <v>1</v>
      </c>
      <c r="E90" s="47">
        <f t="shared" si="38"/>
        <v>12.635999999999999</v>
      </c>
      <c r="F90" s="9">
        <v>5.5</v>
      </c>
      <c r="G90" s="47">
        <f t="shared" si="37"/>
        <v>18.135999999999999</v>
      </c>
      <c r="I90" s="9">
        <f t="shared" si="42"/>
        <v>68</v>
      </c>
      <c r="J90" s="9" t="s">
        <v>86</v>
      </c>
      <c r="K90" s="45">
        <v>47757</v>
      </c>
      <c r="L90" s="9">
        <v>1</v>
      </c>
      <c r="M90" s="47">
        <f t="shared" si="39"/>
        <v>27.378</v>
      </c>
      <c r="N90" s="10">
        <v>0</v>
      </c>
      <c r="O90" s="47">
        <f t="shared" si="34"/>
        <v>27.378</v>
      </c>
      <c r="Q90" s="9">
        <f t="shared" si="43"/>
        <v>68</v>
      </c>
      <c r="R90" s="9" t="s">
        <v>86</v>
      </c>
      <c r="S90" s="45">
        <v>47788</v>
      </c>
      <c r="T90" s="9">
        <v>1</v>
      </c>
      <c r="U90" s="47">
        <f t="shared" si="40"/>
        <v>28.6</v>
      </c>
      <c r="V90" s="10">
        <v>0</v>
      </c>
      <c r="W90" s="47">
        <f t="shared" si="35"/>
        <v>28.6</v>
      </c>
      <c r="Y90" s="9">
        <f t="shared" si="44"/>
        <v>68</v>
      </c>
      <c r="Z90" s="9" t="s">
        <v>86</v>
      </c>
      <c r="AA90" s="45">
        <v>47788</v>
      </c>
      <c r="AB90" s="9">
        <v>1</v>
      </c>
      <c r="AC90" s="47">
        <f t="shared" si="41"/>
        <v>28.6</v>
      </c>
      <c r="AD90" s="10">
        <v>0</v>
      </c>
      <c r="AE90" s="47">
        <f t="shared" si="36"/>
        <v>28.6</v>
      </c>
    </row>
    <row r="91" spans="1:31" x14ac:dyDescent="0.35">
      <c r="A91" s="9">
        <f t="shared" si="33"/>
        <v>69</v>
      </c>
      <c r="B91" s="9" t="s">
        <v>86</v>
      </c>
      <c r="C91" s="45">
        <v>47757</v>
      </c>
      <c r="D91" s="9">
        <v>1</v>
      </c>
      <c r="E91" s="47">
        <f t="shared" si="38"/>
        <v>12.635999999999999</v>
      </c>
      <c r="F91" s="9">
        <v>5.5</v>
      </c>
      <c r="G91" s="47">
        <f t="shared" si="37"/>
        <v>18.135999999999999</v>
      </c>
      <c r="I91" s="9">
        <f t="shared" si="42"/>
        <v>69</v>
      </c>
      <c r="J91" s="9" t="s">
        <v>86</v>
      </c>
      <c r="K91" s="45">
        <v>47788</v>
      </c>
      <c r="L91" s="9">
        <v>1</v>
      </c>
      <c r="M91" s="47">
        <f t="shared" si="39"/>
        <v>27.378</v>
      </c>
      <c r="N91" s="10">
        <v>0</v>
      </c>
      <c r="O91" s="47">
        <f t="shared" si="34"/>
        <v>27.378</v>
      </c>
      <c r="Q91" s="9">
        <f t="shared" si="43"/>
        <v>69</v>
      </c>
      <c r="R91" s="9" t="s">
        <v>86</v>
      </c>
      <c r="S91" s="45">
        <v>47818</v>
      </c>
      <c r="T91" s="9">
        <v>1</v>
      </c>
      <c r="U91" s="47">
        <f t="shared" si="40"/>
        <v>28.6</v>
      </c>
      <c r="V91" s="10">
        <v>0</v>
      </c>
      <c r="W91" s="47">
        <f t="shared" si="35"/>
        <v>28.6</v>
      </c>
      <c r="Y91" s="9">
        <f t="shared" si="44"/>
        <v>69</v>
      </c>
      <c r="Z91" s="9" t="s">
        <v>86</v>
      </c>
      <c r="AA91" s="45">
        <v>47818</v>
      </c>
      <c r="AB91" s="9">
        <v>1</v>
      </c>
      <c r="AC91" s="47">
        <f t="shared" si="41"/>
        <v>28.6</v>
      </c>
      <c r="AD91" s="10">
        <v>0</v>
      </c>
      <c r="AE91" s="47">
        <f t="shared" si="36"/>
        <v>28.6</v>
      </c>
    </row>
    <row r="92" spans="1:31" x14ac:dyDescent="0.35">
      <c r="A92" s="9">
        <f t="shared" si="33"/>
        <v>70</v>
      </c>
      <c r="B92" s="9" t="s">
        <v>86</v>
      </c>
      <c r="C92" s="45">
        <v>47788</v>
      </c>
      <c r="D92" s="9">
        <v>1</v>
      </c>
      <c r="E92" s="47">
        <f t="shared" si="38"/>
        <v>12.635999999999999</v>
      </c>
      <c r="F92" s="9">
        <v>5.5</v>
      </c>
      <c r="G92" s="47">
        <f t="shared" si="37"/>
        <v>18.135999999999999</v>
      </c>
      <c r="I92" s="9">
        <f t="shared" si="42"/>
        <v>70</v>
      </c>
      <c r="J92" s="9" t="s">
        <v>86</v>
      </c>
      <c r="K92" s="45">
        <v>47818</v>
      </c>
      <c r="L92" s="9">
        <v>1</v>
      </c>
      <c r="M92" s="47">
        <f t="shared" si="39"/>
        <v>27.378</v>
      </c>
      <c r="N92" s="10">
        <v>0</v>
      </c>
      <c r="O92" s="47">
        <f t="shared" si="34"/>
        <v>27.378</v>
      </c>
      <c r="Q92" s="9">
        <f t="shared" si="43"/>
        <v>70</v>
      </c>
      <c r="R92" s="9" t="s">
        <v>86</v>
      </c>
      <c r="S92" s="45">
        <v>47849</v>
      </c>
      <c r="T92" s="9">
        <v>1</v>
      </c>
      <c r="U92" s="47">
        <f t="shared" si="40"/>
        <v>28.6</v>
      </c>
      <c r="V92" s="10">
        <v>0</v>
      </c>
      <c r="W92" s="47">
        <f t="shared" si="35"/>
        <v>28.6</v>
      </c>
      <c r="Y92" s="9">
        <f t="shared" si="44"/>
        <v>70</v>
      </c>
      <c r="Z92" s="9" t="s">
        <v>86</v>
      </c>
      <c r="AA92" s="45">
        <v>47849</v>
      </c>
      <c r="AB92" s="9">
        <v>1</v>
      </c>
      <c r="AC92" s="47">
        <f t="shared" si="41"/>
        <v>28.6</v>
      </c>
      <c r="AD92" s="10">
        <v>0</v>
      </c>
      <c r="AE92" s="47">
        <f t="shared" si="36"/>
        <v>28.6</v>
      </c>
    </row>
    <row r="93" spans="1:31" x14ac:dyDescent="0.35">
      <c r="A93" s="9">
        <f t="shared" si="33"/>
        <v>71</v>
      </c>
      <c r="B93" s="9" t="s">
        <v>86</v>
      </c>
      <c r="C93" s="45">
        <v>47818</v>
      </c>
      <c r="D93" s="9">
        <v>1</v>
      </c>
      <c r="E93" s="47">
        <f t="shared" si="38"/>
        <v>12.635999999999999</v>
      </c>
      <c r="F93" s="9">
        <v>5.5</v>
      </c>
      <c r="G93" s="47">
        <f t="shared" si="37"/>
        <v>18.135999999999999</v>
      </c>
      <c r="I93" s="9">
        <f t="shared" si="42"/>
        <v>71</v>
      </c>
      <c r="J93" s="9" t="s">
        <v>86</v>
      </c>
      <c r="K93" s="45">
        <v>47849</v>
      </c>
      <c r="L93" s="9">
        <v>1</v>
      </c>
      <c r="M93" s="47">
        <f t="shared" si="39"/>
        <v>27.378</v>
      </c>
      <c r="N93" s="10">
        <v>0</v>
      </c>
      <c r="O93" s="47">
        <f t="shared" si="34"/>
        <v>27.378</v>
      </c>
      <c r="Q93" s="9">
        <f t="shared" si="43"/>
        <v>71</v>
      </c>
      <c r="R93" s="9" t="s">
        <v>86</v>
      </c>
      <c r="S93" s="45">
        <v>47880</v>
      </c>
      <c r="T93" s="9">
        <v>1</v>
      </c>
      <c r="U93" s="47">
        <f t="shared" si="40"/>
        <v>28.6</v>
      </c>
      <c r="V93" s="10">
        <v>0</v>
      </c>
      <c r="W93" s="47">
        <f t="shared" si="35"/>
        <v>28.6</v>
      </c>
      <c r="Y93" s="9">
        <f t="shared" si="44"/>
        <v>71</v>
      </c>
      <c r="Z93" s="9" t="s">
        <v>86</v>
      </c>
      <c r="AA93" s="45">
        <v>47880</v>
      </c>
      <c r="AB93" s="9">
        <v>1</v>
      </c>
      <c r="AC93" s="47">
        <f t="shared" si="41"/>
        <v>28.6</v>
      </c>
      <c r="AD93" s="10">
        <v>0</v>
      </c>
      <c r="AE93" s="47">
        <f t="shared" si="36"/>
        <v>28.6</v>
      </c>
    </row>
    <row r="94" spans="1:31" x14ac:dyDescent="0.35">
      <c r="A94" s="9">
        <f t="shared" si="33"/>
        <v>72</v>
      </c>
      <c r="B94" s="9" t="s">
        <v>86</v>
      </c>
      <c r="C94" s="45">
        <v>47849</v>
      </c>
      <c r="D94" s="9">
        <v>1</v>
      </c>
      <c r="E94" s="47">
        <f t="shared" si="38"/>
        <v>12.635999999999999</v>
      </c>
      <c r="F94" s="9">
        <v>5.5</v>
      </c>
      <c r="G94" s="47">
        <f t="shared" si="37"/>
        <v>18.135999999999999</v>
      </c>
      <c r="I94" s="9">
        <f t="shared" si="42"/>
        <v>72</v>
      </c>
      <c r="J94" s="9" t="s">
        <v>86</v>
      </c>
      <c r="K94" s="45">
        <v>47880</v>
      </c>
      <c r="L94" s="9">
        <v>1</v>
      </c>
      <c r="M94" s="47">
        <f t="shared" si="39"/>
        <v>27.378</v>
      </c>
      <c r="N94" s="10">
        <v>0</v>
      </c>
      <c r="O94" s="47">
        <f t="shared" si="34"/>
        <v>27.378</v>
      </c>
      <c r="Q94" s="9">
        <f t="shared" si="43"/>
        <v>72</v>
      </c>
      <c r="R94" s="9" t="s">
        <v>86</v>
      </c>
      <c r="S94" s="45">
        <v>47908</v>
      </c>
      <c r="T94" s="9">
        <v>1</v>
      </c>
      <c r="U94" s="47">
        <f t="shared" si="40"/>
        <v>28.6</v>
      </c>
      <c r="V94" s="10">
        <v>0</v>
      </c>
      <c r="W94" s="47">
        <f t="shared" si="35"/>
        <v>28.6</v>
      </c>
      <c r="Y94" s="9">
        <f t="shared" si="44"/>
        <v>72</v>
      </c>
      <c r="Z94" s="9" t="s">
        <v>86</v>
      </c>
      <c r="AA94" s="45">
        <v>47908</v>
      </c>
      <c r="AB94" s="9">
        <v>1</v>
      </c>
      <c r="AC94" s="47">
        <f t="shared" si="41"/>
        <v>28.6</v>
      </c>
      <c r="AD94" s="10">
        <v>0</v>
      </c>
      <c r="AE94" s="47">
        <f t="shared" si="36"/>
        <v>28.6</v>
      </c>
    </row>
    <row r="95" spans="1:31" x14ac:dyDescent="0.35">
      <c r="A95" s="9">
        <f t="shared" si="33"/>
        <v>73</v>
      </c>
      <c r="B95" s="9" t="s">
        <v>86</v>
      </c>
      <c r="C95" s="45">
        <v>47880</v>
      </c>
      <c r="D95" s="9">
        <v>1</v>
      </c>
      <c r="E95" s="47">
        <f t="shared" si="38"/>
        <v>12.635999999999999</v>
      </c>
      <c r="F95" s="9">
        <v>5.5</v>
      </c>
      <c r="G95" s="47">
        <f t="shared" si="37"/>
        <v>18.135999999999999</v>
      </c>
      <c r="I95" s="9">
        <f t="shared" si="42"/>
        <v>73</v>
      </c>
      <c r="J95" s="9" t="s">
        <v>86</v>
      </c>
      <c r="K95" s="45">
        <v>47908</v>
      </c>
      <c r="L95" s="9">
        <v>1</v>
      </c>
      <c r="M95" s="47">
        <f t="shared" si="39"/>
        <v>27.378</v>
      </c>
      <c r="N95" s="10">
        <v>0</v>
      </c>
      <c r="O95" s="47">
        <f t="shared" si="34"/>
        <v>27.378</v>
      </c>
      <c r="Q95" s="9">
        <f t="shared" si="43"/>
        <v>73</v>
      </c>
      <c r="R95" s="9" t="s">
        <v>87</v>
      </c>
      <c r="S95" s="45">
        <v>47939</v>
      </c>
      <c r="T95" s="9">
        <v>1</v>
      </c>
      <c r="U95" s="47">
        <f t="shared" si="40"/>
        <v>28.6</v>
      </c>
      <c r="V95" s="10">
        <v>0</v>
      </c>
      <c r="W95" s="47">
        <f t="shared" si="35"/>
        <v>28.6</v>
      </c>
      <c r="Y95" s="9">
        <f t="shared" si="44"/>
        <v>73</v>
      </c>
      <c r="Z95" s="9" t="s">
        <v>87</v>
      </c>
      <c r="AA95" s="45">
        <v>47939</v>
      </c>
      <c r="AB95" s="9">
        <v>1</v>
      </c>
      <c r="AC95" s="47">
        <f t="shared" si="41"/>
        <v>28.6</v>
      </c>
      <c r="AD95" s="10">
        <v>0</v>
      </c>
      <c r="AE95" s="47">
        <f t="shared" si="36"/>
        <v>28.6</v>
      </c>
    </row>
    <row r="96" spans="1:31" x14ac:dyDescent="0.35">
      <c r="A96" s="9">
        <f t="shared" si="33"/>
        <v>74</v>
      </c>
      <c r="B96" s="9" t="s">
        <v>86</v>
      </c>
      <c r="C96" s="45">
        <v>47908</v>
      </c>
      <c r="D96" s="9">
        <v>1</v>
      </c>
      <c r="E96" s="47">
        <f t="shared" si="38"/>
        <v>12.635999999999999</v>
      </c>
      <c r="F96" s="9">
        <v>5.5</v>
      </c>
      <c r="G96" s="47">
        <f t="shared" si="37"/>
        <v>18.135999999999999</v>
      </c>
      <c r="I96" s="9">
        <f t="shared" si="42"/>
        <v>74</v>
      </c>
      <c r="J96" s="9" t="s">
        <v>87</v>
      </c>
      <c r="K96" s="45">
        <v>47939</v>
      </c>
      <c r="L96" s="9">
        <v>1</v>
      </c>
      <c r="M96" s="47">
        <f t="shared" si="39"/>
        <v>27.378</v>
      </c>
      <c r="N96" s="10">
        <v>0</v>
      </c>
      <c r="O96" s="47">
        <f t="shared" si="34"/>
        <v>27.378</v>
      </c>
      <c r="Q96" s="9">
        <f t="shared" si="43"/>
        <v>74</v>
      </c>
      <c r="R96" s="9" t="s">
        <v>87</v>
      </c>
      <c r="S96" s="45">
        <v>47969</v>
      </c>
      <c r="T96" s="9">
        <v>1</v>
      </c>
      <c r="U96" s="47">
        <f t="shared" si="40"/>
        <v>28.6</v>
      </c>
      <c r="V96" s="10">
        <v>0</v>
      </c>
      <c r="W96" s="47">
        <f t="shared" si="35"/>
        <v>28.6</v>
      </c>
      <c r="Y96" s="9">
        <f t="shared" si="44"/>
        <v>74</v>
      </c>
      <c r="Z96" s="9" t="s">
        <v>87</v>
      </c>
      <c r="AA96" s="45">
        <v>47969</v>
      </c>
      <c r="AB96" s="9">
        <v>1</v>
      </c>
      <c r="AC96" s="47">
        <f t="shared" si="41"/>
        <v>28.6</v>
      </c>
      <c r="AD96" s="10">
        <v>0</v>
      </c>
      <c r="AE96" s="47">
        <f t="shared" si="36"/>
        <v>28.6</v>
      </c>
    </row>
    <row r="97" spans="1:31" x14ac:dyDescent="0.35">
      <c r="A97" s="9">
        <f t="shared" si="33"/>
        <v>75</v>
      </c>
      <c r="B97" s="9" t="s">
        <v>87</v>
      </c>
      <c r="C97" s="45">
        <v>47939</v>
      </c>
      <c r="D97" s="9">
        <v>1</v>
      </c>
      <c r="E97" s="47">
        <f t="shared" si="38"/>
        <v>12.635999999999999</v>
      </c>
      <c r="F97" s="9">
        <v>5.5</v>
      </c>
      <c r="G97" s="47">
        <f t="shared" si="37"/>
        <v>18.135999999999999</v>
      </c>
      <c r="I97" s="9">
        <f t="shared" si="42"/>
        <v>75</v>
      </c>
      <c r="J97" s="9" t="s">
        <v>87</v>
      </c>
      <c r="K97" s="45">
        <v>47969</v>
      </c>
      <c r="L97" s="9">
        <v>1</v>
      </c>
      <c r="M97" s="47">
        <f t="shared" si="39"/>
        <v>27.378</v>
      </c>
      <c r="N97" s="10">
        <v>0</v>
      </c>
      <c r="O97" s="47">
        <f t="shared" si="34"/>
        <v>27.378</v>
      </c>
      <c r="Q97" s="9">
        <f t="shared" si="43"/>
        <v>75</v>
      </c>
      <c r="R97" s="9" t="s">
        <v>87</v>
      </c>
      <c r="S97" s="45">
        <v>48000</v>
      </c>
      <c r="T97" s="9">
        <v>1</v>
      </c>
      <c r="U97" s="47">
        <f t="shared" si="40"/>
        <v>28.6</v>
      </c>
      <c r="V97" s="10">
        <v>0</v>
      </c>
      <c r="W97" s="47">
        <f t="shared" si="35"/>
        <v>28.6</v>
      </c>
      <c r="Y97" s="9">
        <f t="shared" si="44"/>
        <v>75</v>
      </c>
      <c r="Z97" s="9" t="s">
        <v>87</v>
      </c>
      <c r="AA97" s="45">
        <v>48000</v>
      </c>
      <c r="AB97" s="9">
        <v>1</v>
      </c>
      <c r="AC97" s="47">
        <f t="shared" si="41"/>
        <v>28.6</v>
      </c>
      <c r="AD97" s="10">
        <v>0</v>
      </c>
      <c r="AE97" s="47">
        <f t="shared" si="36"/>
        <v>28.6</v>
      </c>
    </row>
    <row r="98" spans="1:31" x14ac:dyDescent="0.35">
      <c r="A98" s="9">
        <f t="shared" si="33"/>
        <v>76</v>
      </c>
      <c r="B98" s="9" t="s">
        <v>87</v>
      </c>
      <c r="C98" s="45">
        <v>47969</v>
      </c>
      <c r="D98" s="9">
        <v>1</v>
      </c>
      <c r="E98" s="47">
        <f t="shared" si="38"/>
        <v>12.635999999999999</v>
      </c>
      <c r="F98" s="9">
        <v>5.5</v>
      </c>
      <c r="G98" s="47">
        <f t="shared" si="37"/>
        <v>18.135999999999999</v>
      </c>
      <c r="I98" s="9">
        <f t="shared" si="42"/>
        <v>76</v>
      </c>
      <c r="J98" s="9" t="s">
        <v>87</v>
      </c>
      <c r="K98" s="45">
        <v>48000</v>
      </c>
      <c r="L98" s="9">
        <v>1</v>
      </c>
      <c r="M98" s="47">
        <f t="shared" si="39"/>
        <v>27.378</v>
      </c>
      <c r="N98" s="10">
        <v>0</v>
      </c>
      <c r="O98" s="47">
        <f t="shared" si="34"/>
        <v>27.378</v>
      </c>
      <c r="Q98" s="9">
        <f t="shared" si="43"/>
        <v>76</v>
      </c>
      <c r="R98" s="9" t="s">
        <v>87</v>
      </c>
      <c r="S98" s="45">
        <v>48030</v>
      </c>
      <c r="T98" s="9">
        <v>1</v>
      </c>
      <c r="U98" s="47">
        <f t="shared" si="40"/>
        <v>28.6</v>
      </c>
      <c r="V98" s="10">
        <v>0</v>
      </c>
      <c r="W98" s="47">
        <f t="shared" si="35"/>
        <v>28.6</v>
      </c>
      <c r="Y98" s="9">
        <f t="shared" si="44"/>
        <v>76</v>
      </c>
      <c r="Z98" s="9" t="s">
        <v>87</v>
      </c>
      <c r="AA98" s="45">
        <v>48030</v>
      </c>
      <c r="AB98" s="9">
        <v>1</v>
      </c>
      <c r="AC98" s="47">
        <f t="shared" si="41"/>
        <v>28.6</v>
      </c>
      <c r="AD98" s="10">
        <v>0</v>
      </c>
      <c r="AE98" s="47">
        <f t="shared" si="36"/>
        <v>28.6</v>
      </c>
    </row>
    <row r="99" spans="1:31" x14ac:dyDescent="0.35">
      <c r="A99" s="9">
        <f t="shared" si="33"/>
        <v>77</v>
      </c>
      <c r="B99" s="9" t="s">
        <v>87</v>
      </c>
      <c r="C99" s="45">
        <v>48000</v>
      </c>
      <c r="D99" s="9">
        <v>1</v>
      </c>
      <c r="E99" s="47">
        <f t="shared" si="38"/>
        <v>12.635999999999999</v>
      </c>
      <c r="F99" s="9">
        <v>5.5</v>
      </c>
      <c r="G99" s="47">
        <f t="shared" si="37"/>
        <v>18.135999999999999</v>
      </c>
      <c r="I99" s="9">
        <f t="shared" si="42"/>
        <v>77</v>
      </c>
      <c r="J99" s="9" t="s">
        <v>87</v>
      </c>
      <c r="K99" s="45">
        <v>48030</v>
      </c>
      <c r="L99" s="9">
        <v>1</v>
      </c>
      <c r="M99" s="47">
        <f t="shared" si="39"/>
        <v>27.378</v>
      </c>
      <c r="N99" s="10">
        <v>0</v>
      </c>
      <c r="O99" s="47">
        <f t="shared" si="34"/>
        <v>27.378</v>
      </c>
      <c r="Q99" s="9">
        <f t="shared" si="43"/>
        <v>77</v>
      </c>
      <c r="R99" s="9" t="s">
        <v>87</v>
      </c>
      <c r="S99" s="45">
        <v>48061</v>
      </c>
      <c r="T99" s="9">
        <v>1</v>
      </c>
      <c r="U99" s="47">
        <f t="shared" si="40"/>
        <v>28.6</v>
      </c>
      <c r="V99" s="10">
        <v>0</v>
      </c>
      <c r="W99" s="47">
        <f t="shared" si="35"/>
        <v>28.6</v>
      </c>
      <c r="Y99" s="9">
        <f t="shared" si="44"/>
        <v>77</v>
      </c>
      <c r="Z99" s="9" t="s">
        <v>87</v>
      </c>
      <c r="AA99" s="45">
        <v>48061</v>
      </c>
      <c r="AB99" s="9">
        <v>1</v>
      </c>
      <c r="AC99" s="47">
        <f t="shared" si="41"/>
        <v>28.6</v>
      </c>
      <c r="AD99" s="10">
        <v>0</v>
      </c>
      <c r="AE99" s="47">
        <f t="shared" si="36"/>
        <v>28.6</v>
      </c>
    </row>
    <row r="100" spans="1:31" x14ac:dyDescent="0.35">
      <c r="A100" s="9">
        <f t="shared" si="33"/>
        <v>78</v>
      </c>
      <c r="B100" s="9" t="s">
        <v>87</v>
      </c>
      <c r="C100" s="45">
        <v>48030</v>
      </c>
      <c r="D100" s="9">
        <v>1</v>
      </c>
      <c r="E100" s="47">
        <f t="shared" si="38"/>
        <v>12.635999999999999</v>
      </c>
      <c r="F100" s="9">
        <v>5.5</v>
      </c>
      <c r="G100" s="47">
        <f t="shared" si="37"/>
        <v>18.135999999999999</v>
      </c>
      <c r="I100" s="9">
        <f t="shared" si="42"/>
        <v>78</v>
      </c>
      <c r="J100" s="9" t="s">
        <v>87</v>
      </c>
      <c r="K100" s="45">
        <v>48061</v>
      </c>
      <c r="L100" s="9">
        <v>1</v>
      </c>
      <c r="M100" s="47">
        <f t="shared" si="39"/>
        <v>27.378</v>
      </c>
      <c r="N100" s="10">
        <v>0</v>
      </c>
      <c r="O100" s="47">
        <f t="shared" si="34"/>
        <v>27.378</v>
      </c>
      <c r="Q100" s="9">
        <f t="shared" si="43"/>
        <v>78</v>
      </c>
      <c r="R100" s="9" t="s">
        <v>87</v>
      </c>
      <c r="S100" s="45">
        <v>48092</v>
      </c>
      <c r="T100" s="9">
        <v>1</v>
      </c>
      <c r="U100" s="47">
        <f t="shared" si="40"/>
        <v>28.6</v>
      </c>
      <c r="V100" s="10">
        <v>0</v>
      </c>
      <c r="W100" s="47">
        <f t="shared" si="35"/>
        <v>28.6</v>
      </c>
      <c r="Y100" s="9">
        <f t="shared" si="44"/>
        <v>78</v>
      </c>
      <c r="Z100" s="9" t="s">
        <v>87</v>
      </c>
      <c r="AA100" s="45">
        <v>48092</v>
      </c>
      <c r="AB100" s="9">
        <v>1</v>
      </c>
      <c r="AC100" s="47">
        <f t="shared" si="41"/>
        <v>28.6</v>
      </c>
      <c r="AD100" s="10">
        <v>0</v>
      </c>
      <c r="AE100" s="47">
        <f t="shared" si="36"/>
        <v>28.6</v>
      </c>
    </row>
    <row r="101" spans="1:31" x14ac:dyDescent="0.35">
      <c r="A101" s="9">
        <f t="shared" si="33"/>
        <v>79</v>
      </c>
      <c r="B101" s="9" t="s">
        <v>87</v>
      </c>
      <c r="C101" s="45">
        <v>48061</v>
      </c>
      <c r="D101" s="9">
        <v>1</v>
      </c>
      <c r="E101" s="47">
        <f t="shared" si="38"/>
        <v>12.635999999999999</v>
      </c>
      <c r="F101" s="9">
        <v>5.5</v>
      </c>
      <c r="G101" s="47">
        <f t="shared" si="37"/>
        <v>18.135999999999999</v>
      </c>
      <c r="I101" s="9">
        <f t="shared" si="42"/>
        <v>79</v>
      </c>
      <c r="J101" s="9" t="s">
        <v>87</v>
      </c>
      <c r="K101" s="45">
        <v>48092</v>
      </c>
      <c r="L101" s="9">
        <v>1</v>
      </c>
      <c r="M101" s="47">
        <f t="shared" si="39"/>
        <v>27.378</v>
      </c>
      <c r="N101" s="10">
        <v>0</v>
      </c>
      <c r="O101" s="47">
        <f t="shared" si="34"/>
        <v>27.378</v>
      </c>
      <c r="Q101" s="9">
        <f t="shared" si="43"/>
        <v>79</v>
      </c>
      <c r="R101" s="9" t="s">
        <v>87</v>
      </c>
      <c r="S101" s="45">
        <v>48122</v>
      </c>
      <c r="T101" s="9">
        <v>1</v>
      </c>
      <c r="U101" s="47">
        <f t="shared" si="40"/>
        <v>28.6</v>
      </c>
      <c r="V101" s="10">
        <v>0</v>
      </c>
      <c r="W101" s="47">
        <f t="shared" si="35"/>
        <v>28.6</v>
      </c>
      <c r="Y101" s="9">
        <f t="shared" si="44"/>
        <v>79</v>
      </c>
      <c r="Z101" s="9" t="s">
        <v>87</v>
      </c>
      <c r="AA101" s="45">
        <v>48122</v>
      </c>
      <c r="AB101" s="9">
        <v>1</v>
      </c>
      <c r="AC101" s="47">
        <f t="shared" si="41"/>
        <v>28.6</v>
      </c>
      <c r="AD101" s="10">
        <v>0</v>
      </c>
      <c r="AE101" s="47">
        <f t="shared" si="36"/>
        <v>28.6</v>
      </c>
    </row>
    <row r="102" spans="1:31" x14ac:dyDescent="0.35">
      <c r="A102" s="9">
        <f t="shared" si="33"/>
        <v>80</v>
      </c>
      <c r="B102" s="9" t="s">
        <v>87</v>
      </c>
      <c r="C102" s="45">
        <v>48092</v>
      </c>
      <c r="D102" s="9">
        <v>1</v>
      </c>
      <c r="E102" s="47">
        <f t="shared" si="38"/>
        <v>12.635999999999999</v>
      </c>
      <c r="F102" s="9">
        <v>5.5</v>
      </c>
      <c r="G102" s="47">
        <f t="shared" si="37"/>
        <v>18.135999999999999</v>
      </c>
      <c r="I102" s="9">
        <f t="shared" si="42"/>
        <v>80</v>
      </c>
      <c r="J102" s="9" t="s">
        <v>87</v>
      </c>
      <c r="K102" s="45">
        <v>48122</v>
      </c>
      <c r="L102" s="9">
        <v>1</v>
      </c>
      <c r="M102" s="47">
        <f t="shared" si="39"/>
        <v>27.378</v>
      </c>
      <c r="N102" s="10">
        <v>0</v>
      </c>
      <c r="O102" s="47">
        <f t="shared" si="34"/>
        <v>27.378</v>
      </c>
      <c r="Q102" s="9">
        <f t="shared" si="43"/>
        <v>80</v>
      </c>
      <c r="R102" s="9" t="s">
        <v>87</v>
      </c>
      <c r="S102" s="45">
        <v>48153</v>
      </c>
      <c r="T102" s="9">
        <v>1</v>
      </c>
      <c r="U102" s="47">
        <f t="shared" si="40"/>
        <v>28.6</v>
      </c>
      <c r="V102" s="10">
        <v>0</v>
      </c>
      <c r="W102" s="47">
        <f t="shared" si="35"/>
        <v>28.6</v>
      </c>
      <c r="Y102" s="9">
        <f t="shared" si="44"/>
        <v>80</v>
      </c>
      <c r="Z102" s="9" t="s">
        <v>87</v>
      </c>
      <c r="AA102" s="45">
        <v>48153</v>
      </c>
      <c r="AB102" s="9">
        <v>1</v>
      </c>
      <c r="AC102" s="47">
        <f t="shared" si="41"/>
        <v>28.6</v>
      </c>
      <c r="AD102" s="10">
        <v>0</v>
      </c>
      <c r="AE102" s="47">
        <f t="shared" si="36"/>
        <v>28.6</v>
      </c>
    </row>
    <row r="103" spans="1:31" x14ac:dyDescent="0.35">
      <c r="A103" s="9">
        <f t="shared" si="33"/>
        <v>81</v>
      </c>
      <c r="B103" s="9" t="s">
        <v>87</v>
      </c>
      <c r="C103" s="45">
        <v>48122</v>
      </c>
      <c r="D103" s="9">
        <v>1</v>
      </c>
      <c r="E103" s="47">
        <f t="shared" si="38"/>
        <v>12.635999999999999</v>
      </c>
      <c r="F103" s="9">
        <v>5.5</v>
      </c>
      <c r="G103" s="47">
        <f t="shared" si="37"/>
        <v>18.135999999999999</v>
      </c>
      <c r="I103" s="9">
        <f t="shared" si="42"/>
        <v>81</v>
      </c>
      <c r="J103" s="9" t="s">
        <v>87</v>
      </c>
      <c r="K103" s="45">
        <v>48153</v>
      </c>
      <c r="L103" s="9">
        <v>1</v>
      </c>
      <c r="M103" s="47">
        <f t="shared" si="39"/>
        <v>27.378</v>
      </c>
      <c r="N103" s="10">
        <v>0</v>
      </c>
      <c r="O103" s="47">
        <f t="shared" si="34"/>
        <v>27.378</v>
      </c>
      <c r="Q103" s="9">
        <f t="shared" si="43"/>
        <v>81</v>
      </c>
      <c r="R103" s="9" t="s">
        <v>87</v>
      </c>
      <c r="S103" s="45">
        <v>48183</v>
      </c>
      <c r="T103" s="9">
        <v>1</v>
      </c>
      <c r="U103" s="47">
        <f t="shared" si="40"/>
        <v>28.6</v>
      </c>
      <c r="V103" s="10">
        <v>0</v>
      </c>
      <c r="W103" s="47">
        <f t="shared" si="35"/>
        <v>28.6</v>
      </c>
      <c r="Y103" s="9">
        <f t="shared" si="44"/>
        <v>81</v>
      </c>
      <c r="Z103" s="9" t="s">
        <v>87</v>
      </c>
      <c r="AA103" s="45">
        <v>48183</v>
      </c>
      <c r="AB103" s="9">
        <v>1</v>
      </c>
      <c r="AC103" s="47">
        <f t="shared" si="41"/>
        <v>28.6</v>
      </c>
      <c r="AD103" s="10">
        <v>0</v>
      </c>
      <c r="AE103" s="47">
        <f t="shared" si="36"/>
        <v>28.6</v>
      </c>
    </row>
    <row r="104" spans="1:31" x14ac:dyDescent="0.35">
      <c r="A104" s="9">
        <f t="shared" si="33"/>
        <v>82</v>
      </c>
      <c r="B104" s="9" t="s">
        <v>87</v>
      </c>
      <c r="C104" s="45">
        <v>48153</v>
      </c>
      <c r="D104" s="9">
        <v>1</v>
      </c>
      <c r="E104" s="47">
        <f t="shared" si="38"/>
        <v>12.635999999999999</v>
      </c>
      <c r="F104" s="9">
        <v>5.5</v>
      </c>
      <c r="G104" s="47">
        <f t="shared" si="37"/>
        <v>18.135999999999999</v>
      </c>
      <c r="I104" s="9">
        <f t="shared" si="42"/>
        <v>82</v>
      </c>
      <c r="J104" s="9" t="s">
        <v>87</v>
      </c>
      <c r="K104" s="45">
        <v>48183</v>
      </c>
      <c r="L104" s="9">
        <v>1</v>
      </c>
      <c r="M104" s="47">
        <f t="shared" si="39"/>
        <v>27.378</v>
      </c>
      <c r="N104" s="10">
        <v>0</v>
      </c>
      <c r="O104" s="47">
        <f t="shared" si="34"/>
        <v>27.378</v>
      </c>
      <c r="Q104" s="9">
        <f t="shared" si="43"/>
        <v>82</v>
      </c>
      <c r="R104" s="9" t="s">
        <v>87</v>
      </c>
      <c r="S104" s="45">
        <v>47849</v>
      </c>
      <c r="T104" s="9">
        <v>1</v>
      </c>
      <c r="U104" s="47">
        <f t="shared" si="40"/>
        <v>28.6</v>
      </c>
      <c r="V104" s="10">
        <v>0</v>
      </c>
      <c r="W104" s="47">
        <f t="shared" si="35"/>
        <v>28.6</v>
      </c>
      <c r="Y104" s="9">
        <f t="shared" si="44"/>
        <v>82</v>
      </c>
      <c r="Z104" s="9" t="s">
        <v>87</v>
      </c>
      <c r="AA104" s="45">
        <v>47849</v>
      </c>
      <c r="AB104" s="9">
        <v>1</v>
      </c>
      <c r="AC104" s="47">
        <f t="shared" si="41"/>
        <v>28.6</v>
      </c>
      <c r="AD104" s="10">
        <v>0</v>
      </c>
      <c r="AE104" s="47">
        <f t="shared" si="36"/>
        <v>28.6</v>
      </c>
    </row>
    <row r="105" spans="1:31" x14ac:dyDescent="0.35">
      <c r="A105" s="9">
        <f t="shared" si="33"/>
        <v>83</v>
      </c>
      <c r="B105" s="9" t="s">
        <v>87</v>
      </c>
      <c r="C105" s="45">
        <v>48183</v>
      </c>
      <c r="D105" s="9">
        <v>1</v>
      </c>
      <c r="E105" s="47">
        <f t="shared" si="38"/>
        <v>12.635999999999999</v>
      </c>
      <c r="F105" s="9">
        <v>5.5</v>
      </c>
      <c r="G105" s="47">
        <f t="shared" si="37"/>
        <v>18.135999999999999</v>
      </c>
      <c r="I105" s="9">
        <f t="shared" si="42"/>
        <v>83</v>
      </c>
      <c r="J105" s="9" t="s">
        <v>87</v>
      </c>
      <c r="K105" s="45">
        <v>47849</v>
      </c>
      <c r="L105" s="9">
        <v>1</v>
      </c>
      <c r="M105" s="47">
        <f t="shared" si="39"/>
        <v>27.378</v>
      </c>
      <c r="N105" s="10">
        <v>0</v>
      </c>
      <c r="O105" s="47">
        <f t="shared" si="34"/>
        <v>27.378</v>
      </c>
      <c r="Q105" s="9">
        <f t="shared" si="43"/>
        <v>83</v>
      </c>
      <c r="R105" s="9" t="s">
        <v>87</v>
      </c>
      <c r="S105" s="45">
        <v>47880</v>
      </c>
      <c r="T105" s="9">
        <v>1</v>
      </c>
      <c r="U105" s="47">
        <f t="shared" si="40"/>
        <v>28.6</v>
      </c>
      <c r="V105" s="10">
        <v>0</v>
      </c>
      <c r="W105" s="47">
        <f t="shared" si="35"/>
        <v>28.6</v>
      </c>
      <c r="Y105" s="9">
        <f t="shared" si="44"/>
        <v>83</v>
      </c>
      <c r="Z105" s="9" t="s">
        <v>87</v>
      </c>
      <c r="AA105" s="45">
        <v>47880</v>
      </c>
      <c r="AB105" s="9">
        <v>1</v>
      </c>
      <c r="AC105" s="47">
        <f t="shared" si="41"/>
        <v>28.6</v>
      </c>
      <c r="AD105" s="10">
        <v>0</v>
      </c>
      <c r="AE105" s="47">
        <f t="shared" si="36"/>
        <v>28.6</v>
      </c>
    </row>
    <row r="106" spans="1:31" x14ac:dyDescent="0.35">
      <c r="A106" s="9">
        <v>84</v>
      </c>
      <c r="B106" s="9" t="s">
        <v>87</v>
      </c>
      <c r="C106" s="45">
        <v>48214</v>
      </c>
      <c r="D106" s="9">
        <v>1</v>
      </c>
      <c r="E106" s="47">
        <f t="shared" si="38"/>
        <v>12.635999999999999</v>
      </c>
      <c r="F106" s="9">
        <v>5.5</v>
      </c>
      <c r="G106" s="47">
        <f t="shared" si="37"/>
        <v>18.135999999999999</v>
      </c>
      <c r="I106" s="9">
        <f t="shared" si="42"/>
        <v>84</v>
      </c>
      <c r="J106" s="9" t="s">
        <v>87</v>
      </c>
      <c r="K106" s="45">
        <v>47880</v>
      </c>
      <c r="L106" s="9">
        <v>1</v>
      </c>
      <c r="M106" s="47">
        <f t="shared" si="39"/>
        <v>27.378</v>
      </c>
      <c r="N106" s="10">
        <v>0</v>
      </c>
      <c r="O106" s="47">
        <f t="shared" si="34"/>
        <v>27.378</v>
      </c>
      <c r="Q106" s="9">
        <f t="shared" si="43"/>
        <v>84</v>
      </c>
      <c r="R106" s="9" t="s">
        <v>87</v>
      </c>
      <c r="S106" s="45">
        <v>47908</v>
      </c>
      <c r="T106" s="9">
        <v>1</v>
      </c>
      <c r="U106" s="47">
        <f t="shared" si="40"/>
        <v>28.6</v>
      </c>
      <c r="V106" s="10">
        <v>0</v>
      </c>
      <c r="W106" s="47">
        <f t="shared" si="35"/>
        <v>28.6</v>
      </c>
      <c r="Y106" s="9">
        <f t="shared" si="44"/>
        <v>84</v>
      </c>
      <c r="Z106" s="9" t="s">
        <v>87</v>
      </c>
      <c r="AA106" s="45">
        <v>47908</v>
      </c>
      <c r="AB106" s="9">
        <v>1</v>
      </c>
      <c r="AC106" s="47">
        <f t="shared" si="41"/>
        <v>28.6</v>
      </c>
      <c r="AD106" s="10">
        <v>0</v>
      </c>
      <c r="AE106" s="47">
        <f t="shared" si="36"/>
        <v>28.6</v>
      </c>
    </row>
    <row r="107" spans="1:31" x14ac:dyDescent="0.35">
      <c r="A107" s="9"/>
      <c r="B107" s="9"/>
      <c r="C107" s="9"/>
      <c r="D107" s="9"/>
      <c r="E107" s="47">
        <f>SUM(E23:E106)</f>
        <v>1061.4239999999991</v>
      </c>
      <c r="F107" s="47">
        <f>SUM(F23:F106)</f>
        <v>462</v>
      </c>
      <c r="G107" s="47">
        <f>SUM(G23:G106)</f>
        <v>1523.4239999999986</v>
      </c>
      <c r="I107" s="9"/>
      <c r="J107" s="9"/>
      <c r="K107" s="45"/>
      <c r="L107" s="9"/>
      <c r="M107" s="47">
        <f>SUM(M23:M106)</f>
        <v>2299.7519999999995</v>
      </c>
      <c r="N107" s="10">
        <f>SUM(N23:N106)</f>
        <v>0</v>
      </c>
      <c r="O107" s="47">
        <f>SUM(O23:O106)</f>
        <v>2299.7519999999995</v>
      </c>
      <c r="Q107" s="9"/>
      <c r="R107" s="9"/>
      <c r="S107" s="45"/>
      <c r="T107" s="9"/>
      <c r="U107" s="47">
        <f>SUM(U23:U106)</f>
        <v>2402.3999999999965</v>
      </c>
      <c r="V107" s="10">
        <f>SUM(V23:V106)</f>
        <v>0</v>
      </c>
      <c r="W107" s="47">
        <f>SUM(W23:W106)</f>
        <v>2402.3999999999965</v>
      </c>
      <c r="Y107" s="9"/>
      <c r="Z107" s="9"/>
      <c r="AA107" s="45"/>
      <c r="AB107" s="9"/>
      <c r="AC107" s="47">
        <f>SUM(AC23:AC106)</f>
        <v>2402.3999999999965</v>
      </c>
      <c r="AD107" s="10">
        <f>SUM(AD23:AD106)</f>
        <v>0</v>
      </c>
      <c r="AE107" s="47">
        <f>SUM(AE23:AE106)</f>
        <v>2402.3999999999965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CO21"/>
  <sheetViews>
    <sheetView topLeftCell="B1" workbookViewId="0">
      <pane xSplit="1" ySplit="3" topLeftCell="C7" activePane="bottomRight" state="frozen"/>
      <selection activeCell="B1" sqref="B1"/>
      <selection pane="topRight" activeCell="C1" sqref="C1"/>
      <selection pane="bottomLeft" activeCell="B4" sqref="B4"/>
      <selection pane="bottomRight" activeCell="O19" sqref="O19"/>
    </sheetView>
  </sheetViews>
  <sheetFormatPr defaultRowHeight="14.5" x14ac:dyDescent="0.35"/>
  <cols>
    <col min="2" max="2" width="32.1796875" bestFit="1" customWidth="1"/>
    <col min="3" max="3" width="7.26953125" style="3" customWidth="1"/>
    <col min="93" max="93" width="9.7265625" bestFit="1" customWidth="1"/>
  </cols>
  <sheetData>
    <row r="2" spans="2:93" ht="15" x14ac:dyDescent="0.25">
      <c r="C2" s="3">
        <v>1</v>
      </c>
      <c r="D2">
        <v>2</v>
      </c>
      <c r="E2">
        <f>D2+1</f>
        <v>3</v>
      </c>
      <c r="F2">
        <f t="shared" ref="F2:BQ2" si="0">E2+1</f>
        <v>4</v>
      </c>
      <c r="G2">
        <f t="shared" si="0"/>
        <v>5</v>
      </c>
      <c r="H2">
        <f t="shared" si="0"/>
        <v>6</v>
      </c>
      <c r="I2">
        <f t="shared" si="0"/>
        <v>7</v>
      </c>
      <c r="J2">
        <f t="shared" si="0"/>
        <v>8</v>
      </c>
      <c r="K2">
        <f t="shared" si="0"/>
        <v>9</v>
      </c>
      <c r="L2">
        <f t="shared" si="0"/>
        <v>10</v>
      </c>
      <c r="M2">
        <f t="shared" si="0"/>
        <v>11</v>
      </c>
      <c r="N2">
        <f t="shared" si="0"/>
        <v>12</v>
      </c>
      <c r="O2">
        <f t="shared" si="0"/>
        <v>13</v>
      </c>
      <c r="P2">
        <f t="shared" si="0"/>
        <v>14</v>
      </c>
      <c r="Q2">
        <f t="shared" si="0"/>
        <v>15</v>
      </c>
      <c r="R2">
        <f t="shared" si="0"/>
        <v>16</v>
      </c>
      <c r="S2">
        <f t="shared" si="0"/>
        <v>17</v>
      </c>
      <c r="T2">
        <f t="shared" si="0"/>
        <v>18</v>
      </c>
      <c r="U2">
        <f t="shared" si="0"/>
        <v>19</v>
      </c>
      <c r="V2">
        <f t="shared" si="0"/>
        <v>20</v>
      </c>
      <c r="W2">
        <f t="shared" si="0"/>
        <v>21</v>
      </c>
      <c r="X2">
        <f t="shared" si="0"/>
        <v>22</v>
      </c>
      <c r="Y2">
        <f t="shared" si="0"/>
        <v>23</v>
      </c>
      <c r="Z2">
        <f t="shared" si="0"/>
        <v>24</v>
      </c>
      <c r="AA2">
        <f t="shared" si="0"/>
        <v>25</v>
      </c>
      <c r="AB2">
        <f t="shared" si="0"/>
        <v>26</v>
      </c>
      <c r="AC2">
        <f t="shared" si="0"/>
        <v>27</v>
      </c>
      <c r="AD2">
        <f t="shared" si="0"/>
        <v>28</v>
      </c>
      <c r="AE2">
        <f t="shared" si="0"/>
        <v>29</v>
      </c>
      <c r="AF2">
        <f t="shared" si="0"/>
        <v>30</v>
      </c>
      <c r="AG2">
        <f t="shared" si="0"/>
        <v>31</v>
      </c>
      <c r="AH2">
        <f t="shared" si="0"/>
        <v>32</v>
      </c>
      <c r="AI2">
        <f t="shared" si="0"/>
        <v>33</v>
      </c>
      <c r="AJ2">
        <f t="shared" si="0"/>
        <v>34</v>
      </c>
      <c r="AK2">
        <f t="shared" si="0"/>
        <v>35</v>
      </c>
      <c r="AL2">
        <f t="shared" si="0"/>
        <v>36</v>
      </c>
      <c r="AM2">
        <f t="shared" si="0"/>
        <v>37</v>
      </c>
      <c r="AN2">
        <f t="shared" si="0"/>
        <v>38</v>
      </c>
      <c r="AO2">
        <f t="shared" si="0"/>
        <v>39</v>
      </c>
      <c r="AP2">
        <f t="shared" si="0"/>
        <v>40</v>
      </c>
      <c r="AQ2">
        <f t="shared" si="0"/>
        <v>41</v>
      </c>
      <c r="AR2">
        <f t="shared" si="0"/>
        <v>42</v>
      </c>
      <c r="AS2">
        <f t="shared" si="0"/>
        <v>43</v>
      </c>
      <c r="AT2">
        <f t="shared" si="0"/>
        <v>44</v>
      </c>
      <c r="AU2">
        <f t="shared" si="0"/>
        <v>45</v>
      </c>
      <c r="AV2">
        <f t="shared" si="0"/>
        <v>46</v>
      </c>
      <c r="AW2">
        <f t="shared" si="0"/>
        <v>47</v>
      </c>
      <c r="AX2">
        <f t="shared" si="0"/>
        <v>48</v>
      </c>
      <c r="AY2">
        <f t="shared" si="0"/>
        <v>49</v>
      </c>
      <c r="AZ2">
        <f t="shared" si="0"/>
        <v>50</v>
      </c>
      <c r="BA2">
        <f t="shared" si="0"/>
        <v>51</v>
      </c>
      <c r="BB2">
        <f t="shared" si="0"/>
        <v>52</v>
      </c>
      <c r="BC2">
        <f t="shared" si="0"/>
        <v>53</v>
      </c>
      <c r="BD2">
        <f t="shared" si="0"/>
        <v>54</v>
      </c>
      <c r="BE2">
        <f t="shared" si="0"/>
        <v>55</v>
      </c>
      <c r="BF2">
        <f t="shared" si="0"/>
        <v>56</v>
      </c>
      <c r="BG2">
        <f t="shared" si="0"/>
        <v>57</v>
      </c>
      <c r="BH2">
        <f t="shared" si="0"/>
        <v>58</v>
      </c>
      <c r="BI2">
        <f t="shared" si="0"/>
        <v>59</v>
      </c>
      <c r="BJ2">
        <f t="shared" si="0"/>
        <v>60</v>
      </c>
      <c r="BK2">
        <f t="shared" si="0"/>
        <v>61</v>
      </c>
      <c r="BL2">
        <f t="shared" si="0"/>
        <v>62</v>
      </c>
      <c r="BM2">
        <f t="shared" si="0"/>
        <v>63</v>
      </c>
      <c r="BN2">
        <f t="shared" si="0"/>
        <v>64</v>
      </c>
      <c r="BO2">
        <f t="shared" si="0"/>
        <v>65</v>
      </c>
      <c r="BP2">
        <f t="shared" si="0"/>
        <v>66</v>
      </c>
      <c r="BQ2">
        <f t="shared" si="0"/>
        <v>67</v>
      </c>
      <c r="BR2">
        <f t="shared" ref="BR2:CN2" si="1">BQ2+1</f>
        <v>68</v>
      </c>
      <c r="BS2">
        <f t="shared" si="1"/>
        <v>69</v>
      </c>
      <c r="BT2">
        <f t="shared" si="1"/>
        <v>70</v>
      </c>
      <c r="BU2">
        <f t="shared" si="1"/>
        <v>71</v>
      </c>
      <c r="BV2">
        <f t="shared" si="1"/>
        <v>72</v>
      </c>
      <c r="BW2">
        <f t="shared" si="1"/>
        <v>73</v>
      </c>
      <c r="BX2">
        <f t="shared" si="1"/>
        <v>74</v>
      </c>
      <c r="BY2">
        <f t="shared" si="1"/>
        <v>75</v>
      </c>
      <c r="BZ2">
        <f t="shared" si="1"/>
        <v>76</v>
      </c>
      <c r="CA2">
        <f t="shared" si="1"/>
        <v>77</v>
      </c>
      <c r="CB2">
        <f t="shared" si="1"/>
        <v>78</v>
      </c>
      <c r="CC2">
        <f t="shared" si="1"/>
        <v>79</v>
      </c>
      <c r="CD2">
        <f t="shared" si="1"/>
        <v>80</v>
      </c>
      <c r="CE2">
        <f t="shared" si="1"/>
        <v>81</v>
      </c>
      <c r="CF2">
        <f t="shared" si="1"/>
        <v>82</v>
      </c>
      <c r="CG2">
        <f t="shared" si="1"/>
        <v>83</v>
      </c>
      <c r="CH2">
        <f t="shared" si="1"/>
        <v>84</v>
      </c>
      <c r="CI2">
        <f t="shared" si="1"/>
        <v>85</v>
      </c>
      <c r="CJ2">
        <f t="shared" si="1"/>
        <v>86</v>
      </c>
      <c r="CK2">
        <f t="shared" si="1"/>
        <v>87</v>
      </c>
      <c r="CL2">
        <f t="shared" si="1"/>
        <v>88</v>
      </c>
      <c r="CM2">
        <f t="shared" si="1"/>
        <v>89</v>
      </c>
      <c r="CN2">
        <f t="shared" si="1"/>
        <v>90</v>
      </c>
    </row>
    <row r="3" spans="2:93" ht="60" x14ac:dyDescent="0.25">
      <c r="B3" t="s">
        <v>29</v>
      </c>
      <c r="C3" s="3" t="s">
        <v>10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10</v>
      </c>
      <c r="K3" s="3" t="s">
        <v>10</v>
      </c>
      <c r="L3" s="3" t="s">
        <v>10</v>
      </c>
      <c r="M3" s="3" t="s">
        <v>10</v>
      </c>
      <c r="N3" s="3" t="s">
        <v>10</v>
      </c>
      <c r="O3" s="3" t="s">
        <v>10</v>
      </c>
      <c r="P3" s="3" t="s">
        <v>10</v>
      </c>
      <c r="Q3" s="3" t="s">
        <v>10</v>
      </c>
      <c r="R3" s="3" t="s">
        <v>10</v>
      </c>
      <c r="S3" s="3" t="s">
        <v>10</v>
      </c>
      <c r="T3" s="3" t="s">
        <v>10</v>
      </c>
      <c r="U3" s="3" t="s">
        <v>10</v>
      </c>
      <c r="V3" s="3" t="s">
        <v>10</v>
      </c>
      <c r="W3" s="3" t="s">
        <v>10</v>
      </c>
      <c r="X3" s="3" t="s">
        <v>10</v>
      </c>
      <c r="Y3" s="3" t="s">
        <v>10</v>
      </c>
      <c r="Z3" s="3" t="s">
        <v>10</v>
      </c>
      <c r="AA3" s="3" t="s">
        <v>10</v>
      </c>
      <c r="AB3" s="3" t="s">
        <v>10</v>
      </c>
      <c r="AC3" s="3" t="s">
        <v>10</v>
      </c>
      <c r="AD3" s="3" t="s">
        <v>10</v>
      </c>
      <c r="AE3" s="3" t="s">
        <v>10</v>
      </c>
      <c r="AF3" s="3" t="s">
        <v>10</v>
      </c>
      <c r="AG3" s="3" t="s">
        <v>10</v>
      </c>
      <c r="AH3" s="3" t="s">
        <v>10</v>
      </c>
      <c r="AI3" s="3" t="s">
        <v>10</v>
      </c>
      <c r="AJ3" s="3" t="s">
        <v>10</v>
      </c>
      <c r="AK3" s="3" t="s">
        <v>10</v>
      </c>
      <c r="AL3" s="3" t="s">
        <v>10</v>
      </c>
      <c r="AM3" s="3" t="s">
        <v>10</v>
      </c>
      <c r="AN3" s="3" t="s">
        <v>10</v>
      </c>
      <c r="AO3" s="3" t="s">
        <v>10</v>
      </c>
      <c r="AP3" s="3" t="s">
        <v>10</v>
      </c>
      <c r="AQ3" s="3" t="s">
        <v>10</v>
      </c>
      <c r="AR3" s="3" t="s">
        <v>10</v>
      </c>
      <c r="AS3" s="3" t="s">
        <v>10</v>
      </c>
      <c r="AT3" s="3" t="s">
        <v>10</v>
      </c>
      <c r="AU3" s="3" t="s">
        <v>10</v>
      </c>
      <c r="AV3" s="3" t="s">
        <v>10</v>
      </c>
      <c r="AW3" s="3" t="s">
        <v>10</v>
      </c>
      <c r="AX3" s="3" t="s">
        <v>10</v>
      </c>
      <c r="AY3" s="3" t="s">
        <v>10</v>
      </c>
      <c r="AZ3" s="3" t="s">
        <v>10</v>
      </c>
      <c r="BA3" s="3" t="s">
        <v>10</v>
      </c>
      <c r="BB3" s="3" t="s">
        <v>10</v>
      </c>
      <c r="BC3" s="3" t="s">
        <v>10</v>
      </c>
      <c r="BD3" s="3" t="s">
        <v>10</v>
      </c>
      <c r="BE3" s="3" t="s">
        <v>10</v>
      </c>
      <c r="BF3" s="3" t="s">
        <v>10</v>
      </c>
      <c r="BG3" s="3" t="s">
        <v>10</v>
      </c>
      <c r="BH3" s="3" t="s">
        <v>10</v>
      </c>
      <c r="BI3" s="3" t="s">
        <v>10</v>
      </c>
      <c r="BJ3" s="3" t="s">
        <v>10</v>
      </c>
      <c r="BK3" s="3" t="s">
        <v>10</v>
      </c>
      <c r="BL3" s="3" t="s">
        <v>10</v>
      </c>
      <c r="BM3" s="3" t="s">
        <v>10</v>
      </c>
      <c r="BN3" s="3" t="s">
        <v>10</v>
      </c>
      <c r="BO3" s="3" t="s">
        <v>10</v>
      </c>
      <c r="BP3" s="3" t="s">
        <v>10</v>
      </c>
      <c r="BQ3" s="3" t="s">
        <v>10</v>
      </c>
      <c r="BR3" s="3" t="s">
        <v>10</v>
      </c>
      <c r="BS3" s="3" t="s">
        <v>10</v>
      </c>
      <c r="BT3" s="3" t="s">
        <v>10</v>
      </c>
      <c r="BU3" s="3" t="s">
        <v>10</v>
      </c>
      <c r="BV3" s="3" t="s">
        <v>10</v>
      </c>
      <c r="BW3" s="3" t="s">
        <v>10</v>
      </c>
      <c r="BX3" s="3" t="s">
        <v>10</v>
      </c>
      <c r="BY3" s="3" t="s">
        <v>10</v>
      </c>
      <c r="BZ3" s="3" t="s">
        <v>10</v>
      </c>
      <c r="CA3" s="3" t="s">
        <v>10</v>
      </c>
      <c r="CB3" s="3" t="s">
        <v>10</v>
      </c>
      <c r="CC3" s="3" t="s">
        <v>10</v>
      </c>
      <c r="CD3" s="3" t="s">
        <v>10</v>
      </c>
      <c r="CE3" s="3" t="s">
        <v>10</v>
      </c>
      <c r="CF3" s="3" t="s">
        <v>10</v>
      </c>
      <c r="CG3" s="3" t="s">
        <v>10</v>
      </c>
      <c r="CH3" s="3" t="s">
        <v>10</v>
      </c>
      <c r="CI3" s="3" t="s">
        <v>10</v>
      </c>
      <c r="CJ3" s="3" t="s">
        <v>10</v>
      </c>
      <c r="CK3" s="3" t="s">
        <v>10</v>
      </c>
      <c r="CL3" s="3" t="s">
        <v>10</v>
      </c>
      <c r="CM3" s="3" t="s">
        <v>10</v>
      </c>
      <c r="CN3" s="3" t="s">
        <v>10</v>
      </c>
    </row>
    <row r="4" spans="2:93" ht="15" x14ac:dyDescent="0.25">
      <c r="O4" s="8"/>
    </row>
    <row r="5" spans="2:93" ht="15" x14ac:dyDescent="0.25">
      <c r="B5" t="s">
        <v>8</v>
      </c>
    </row>
    <row r="6" spans="2:93" ht="15" x14ac:dyDescent="0.25">
      <c r="B6" t="s">
        <v>9</v>
      </c>
      <c r="C6" s="4">
        <f>(50000*25)/10^5</f>
        <v>12.5</v>
      </c>
      <c r="D6" s="4">
        <f>(50000*25)/10^5</f>
        <v>12.5</v>
      </c>
      <c r="E6" s="4">
        <f t="shared" ref="E6:N6" si="2">(50000*25)/10^5</f>
        <v>12.5</v>
      </c>
      <c r="F6" s="4">
        <f t="shared" si="2"/>
        <v>12.5</v>
      </c>
      <c r="G6" s="4">
        <f t="shared" si="2"/>
        <v>12.5</v>
      </c>
      <c r="H6" s="4">
        <f t="shared" si="2"/>
        <v>12.5</v>
      </c>
      <c r="I6" s="4">
        <f t="shared" si="2"/>
        <v>12.5</v>
      </c>
      <c r="J6" s="4">
        <f t="shared" si="2"/>
        <v>12.5</v>
      </c>
      <c r="K6" s="4">
        <f t="shared" si="2"/>
        <v>12.5</v>
      </c>
      <c r="L6" s="4">
        <f t="shared" si="2"/>
        <v>12.5</v>
      </c>
      <c r="M6" s="4">
        <f t="shared" si="2"/>
        <v>12.5</v>
      </c>
      <c r="N6" s="4">
        <f t="shared" si="2"/>
        <v>12.5</v>
      </c>
      <c r="O6" s="4">
        <f>N6*1.05</f>
        <v>13.125</v>
      </c>
      <c r="P6" s="4">
        <f>O6</f>
        <v>13.125</v>
      </c>
      <c r="Q6" s="4">
        <f t="shared" ref="Q6:Z6" si="3">P6</f>
        <v>13.125</v>
      </c>
      <c r="R6" s="4">
        <f t="shared" si="3"/>
        <v>13.125</v>
      </c>
      <c r="S6" s="4">
        <f t="shared" si="3"/>
        <v>13.125</v>
      </c>
      <c r="T6" s="4">
        <f t="shared" si="3"/>
        <v>13.125</v>
      </c>
      <c r="U6" s="4">
        <f t="shared" si="3"/>
        <v>13.125</v>
      </c>
      <c r="V6" s="4">
        <f t="shared" si="3"/>
        <v>13.125</v>
      </c>
      <c r="W6" s="4">
        <f t="shared" si="3"/>
        <v>13.125</v>
      </c>
      <c r="X6" s="4">
        <f t="shared" si="3"/>
        <v>13.125</v>
      </c>
      <c r="Y6" s="4">
        <f t="shared" si="3"/>
        <v>13.125</v>
      </c>
      <c r="Z6" s="4">
        <f t="shared" si="3"/>
        <v>13.125</v>
      </c>
      <c r="AA6" s="4">
        <f>Z6*1.05</f>
        <v>13.78125</v>
      </c>
      <c r="AB6" s="4">
        <f>AA6</f>
        <v>13.78125</v>
      </c>
      <c r="AC6" s="4">
        <f t="shared" ref="AC6:AL6" si="4">AB6</f>
        <v>13.78125</v>
      </c>
      <c r="AD6" s="4">
        <f t="shared" si="4"/>
        <v>13.78125</v>
      </c>
      <c r="AE6" s="4">
        <f t="shared" si="4"/>
        <v>13.78125</v>
      </c>
      <c r="AF6" s="4">
        <f t="shared" si="4"/>
        <v>13.78125</v>
      </c>
      <c r="AG6" s="4">
        <f t="shared" si="4"/>
        <v>13.78125</v>
      </c>
      <c r="AH6" s="4">
        <f t="shared" si="4"/>
        <v>13.78125</v>
      </c>
      <c r="AI6" s="4">
        <f t="shared" si="4"/>
        <v>13.78125</v>
      </c>
      <c r="AJ6" s="4">
        <f t="shared" si="4"/>
        <v>13.78125</v>
      </c>
      <c r="AK6" s="4">
        <f t="shared" si="4"/>
        <v>13.78125</v>
      </c>
      <c r="AL6" s="4">
        <f t="shared" si="4"/>
        <v>13.78125</v>
      </c>
      <c r="AM6" s="4">
        <f>AL6*1.05</f>
        <v>14.4703125</v>
      </c>
      <c r="AN6" s="4">
        <f>AM6</f>
        <v>14.4703125</v>
      </c>
      <c r="AO6" s="4">
        <f t="shared" ref="AO6:AX6" si="5">AN6</f>
        <v>14.4703125</v>
      </c>
      <c r="AP6" s="4">
        <f t="shared" si="5"/>
        <v>14.4703125</v>
      </c>
      <c r="AQ6" s="4">
        <f t="shared" si="5"/>
        <v>14.4703125</v>
      </c>
      <c r="AR6" s="4">
        <f t="shared" si="5"/>
        <v>14.4703125</v>
      </c>
      <c r="AS6" s="4">
        <f t="shared" si="5"/>
        <v>14.4703125</v>
      </c>
      <c r="AT6" s="4">
        <f t="shared" si="5"/>
        <v>14.4703125</v>
      </c>
      <c r="AU6" s="4">
        <f t="shared" si="5"/>
        <v>14.4703125</v>
      </c>
      <c r="AV6" s="4">
        <f t="shared" si="5"/>
        <v>14.4703125</v>
      </c>
      <c r="AW6" s="4">
        <f t="shared" si="5"/>
        <v>14.4703125</v>
      </c>
      <c r="AX6" s="4">
        <f t="shared" si="5"/>
        <v>14.4703125</v>
      </c>
      <c r="AY6" s="4">
        <f>AX6*1.05</f>
        <v>15.193828125000001</v>
      </c>
      <c r="AZ6" s="4">
        <f>AY6</f>
        <v>15.193828125000001</v>
      </c>
      <c r="BA6" s="4">
        <f t="shared" ref="BA6:BJ6" si="6">AZ6</f>
        <v>15.193828125000001</v>
      </c>
      <c r="BB6" s="4">
        <f t="shared" si="6"/>
        <v>15.193828125000001</v>
      </c>
      <c r="BC6" s="4">
        <f t="shared" si="6"/>
        <v>15.193828125000001</v>
      </c>
      <c r="BD6" s="4">
        <f t="shared" si="6"/>
        <v>15.193828125000001</v>
      </c>
      <c r="BE6" s="4">
        <f t="shared" si="6"/>
        <v>15.193828125000001</v>
      </c>
      <c r="BF6" s="4">
        <f t="shared" si="6"/>
        <v>15.193828125000001</v>
      </c>
      <c r="BG6" s="4">
        <f t="shared" si="6"/>
        <v>15.193828125000001</v>
      </c>
      <c r="BH6" s="4">
        <f t="shared" si="6"/>
        <v>15.193828125000001</v>
      </c>
      <c r="BI6" s="4">
        <f t="shared" si="6"/>
        <v>15.193828125000001</v>
      </c>
      <c r="BJ6" s="4">
        <f t="shared" si="6"/>
        <v>15.193828125000001</v>
      </c>
      <c r="BK6" s="4">
        <f>BJ6*1.05</f>
        <v>15.953519531250002</v>
      </c>
      <c r="BL6" s="4">
        <f>BK6</f>
        <v>15.953519531250002</v>
      </c>
      <c r="BM6" s="4">
        <f t="shared" ref="BM6:BV6" si="7">BL6</f>
        <v>15.953519531250002</v>
      </c>
      <c r="BN6" s="4">
        <f t="shared" si="7"/>
        <v>15.953519531250002</v>
      </c>
      <c r="BO6" s="4">
        <f t="shared" si="7"/>
        <v>15.953519531250002</v>
      </c>
      <c r="BP6" s="4">
        <f t="shared" si="7"/>
        <v>15.953519531250002</v>
      </c>
      <c r="BQ6" s="4">
        <f t="shared" si="7"/>
        <v>15.953519531250002</v>
      </c>
      <c r="BR6" s="4">
        <f t="shared" si="7"/>
        <v>15.953519531250002</v>
      </c>
      <c r="BS6" s="4">
        <f t="shared" si="7"/>
        <v>15.953519531250002</v>
      </c>
      <c r="BT6" s="4">
        <f t="shared" si="7"/>
        <v>15.953519531250002</v>
      </c>
      <c r="BU6" s="4">
        <f t="shared" si="7"/>
        <v>15.953519531250002</v>
      </c>
      <c r="BV6" s="4">
        <f t="shared" si="7"/>
        <v>15.953519531250002</v>
      </c>
      <c r="BW6" s="4">
        <f>BV6*1.05</f>
        <v>16.751195507812504</v>
      </c>
      <c r="BX6" s="4">
        <f>BW6</f>
        <v>16.751195507812504</v>
      </c>
      <c r="BY6" s="4">
        <f t="shared" ref="BY6:CH6" si="8">BX6</f>
        <v>16.751195507812504</v>
      </c>
      <c r="BZ6" s="4">
        <f t="shared" si="8"/>
        <v>16.751195507812504</v>
      </c>
      <c r="CA6" s="4">
        <f t="shared" si="8"/>
        <v>16.751195507812504</v>
      </c>
      <c r="CB6" s="4">
        <f t="shared" si="8"/>
        <v>16.751195507812504</v>
      </c>
      <c r="CC6" s="4">
        <f t="shared" si="8"/>
        <v>16.751195507812504</v>
      </c>
      <c r="CD6" s="4">
        <f t="shared" si="8"/>
        <v>16.751195507812504</v>
      </c>
      <c r="CE6" s="4">
        <f t="shared" si="8"/>
        <v>16.751195507812504</v>
      </c>
      <c r="CF6" s="4">
        <f t="shared" si="8"/>
        <v>16.751195507812504</v>
      </c>
      <c r="CG6" s="4">
        <f t="shared" si="8"/>
        <v>16.751195507812504</v>
      </c>
      <c r="CH6" s="4">
        <f t="shared" si="8"/>
        <v>16.751195507812504</v>
      </c>
      <c r="CI6" s="4">
        <f>CH6*1.05</f>
        <v>17.588755283203131</v>
      </c>
      <c r="CJ6" s="4">
        <f>CI6</f>
        <v>17.588755283203131</v>
      </c>
      <c r="CK6" s="4">
        <f t="shared" ref="CK6:CN6" si="9">CJ6</f>
        <v>17.588755283203131</v>
      </c>
      <c r="CL6" s="4">
        <f t="shared" si="9"/>
        <v>17.588755283203131</v>
      </c>
      <c r="CM6" s="4">
        <f t="shared" si="9"/>
        <v>17.588755283203131</v>
      </c>
      <c r="CN6" s="4">
        <f t="shared" si="9"/>
        <v>17.588755283203131</v>
      </c>
      <c r="CO6" s="8">
        <f>SUM(C6:CN6)</f>
        <v>1326.8337996679693</v>
      </c>
    </row>
    <row r="7" spans="2:93" ht="15" x14ac:dyDescent="0.25">
      <c r="B7" t="s">
        <v>11</v>
      </c>
      <c r="C7" s="4">
        <f>C6*4%</f>
        <v>0.5</v>
      </c>
      <c r="D7" s="4">
        <f>D6*4%</f>
        <v>0.5</v>
      </c>
      <c r="E7" s="4">
        <f t="shared" ref="E7:N7" si="10">E6*4%</f>
        <v>0.5</v>
      </c>
      <c r="F7" s="4">
        <f t="shared" si="10"/>
        <v>0.5</v>
      </c>
      <c r="G7" s="4">
        <f t="shared" si="10"/>
        <v>0.5</v>
      </c>
      <c r="H7" s="4">
        <f t="shared" si="10"/>
        <v>0.5</v>
      </c>
      <c r="I7" s="4">
        <f t="shared" si="10"/>
        <v>0.5</v>
      </c>
      <c r="J7" s="4">
        <f t="shared" si="10"/>
        <v>0.5</v>
      </c>
      <c r="K7" s="4">
        <f t="shared" si="10"/>
        <v>0.5</v>
      </c>
      <c r="L7" s="4">
        <f t="shared" si="10"/>
        <v>0.5</v>
      </c>
      <c r="M7" s="4">
        <f t="shared" si="10"/>
        <v>0.5</v>
      </c>
      <c r="N7" s="4">
        <f t="shared" si="10"/>
        <v>0.5</v>
      </c>
      <c r="O7" s="4">
        <f t="shared" ref="O7" si="11">O6*4%</f>
        <v>0.52500000000000002</v>
      </c>
      <c r="P7" s="4">
        <f t="shared" ref="P7" si="12">P6*4%</f>
        <v>0.52500000000000002</v>
      </c>
      <c r="Q7" s="4">
        <f t="shared" ref="Q7" si="13">Q6*4%</f>
        <v>0.52500000000000002</v>
      </c>
      <c r="R7" s="4">
        <f t="shared" ref="R7" si="14">R6*4%</f>
        <v>0.52500000000000002</v>
      </c>
      <c r="S7" s="4">
        <f t="shared" ref="S7" si="15">S6*4%</f>
        <v>0.52500000000000002</v>
      </c>
      <c r="T7" s="4">
        <f t="shared" ref="T7" si="16">T6*4%</f>
        <v>0.52500000000000002</v>
      </c>
      <c r="U7" s="4">
        <f t="shared" ref="U7" si="17">U6*4%</f>
        <v>0.52500000000000002</v>
      </c>
      <c r="V7" s="4">
        <f t="shared" ref="V7" si="18">V6*4%</f>
        <v>0.52500000000000002</v>
      </c>
      <c r="W7" s="4">
        <f t="shared" ref="W7" si="19">W6*4%</f>
        <v>0.52500000000000002</v>
      </c>
      <c r="X7" s="4">
        <f t="shared" ref="X7" si="20">X6*4%</f>
        <v>0.52500000000000002</v>
      </c>
      <c r="Y7" s="4">
        <f t="shared" ref="Y7" si="21">Y6*4%</f>
        <v>0.52500000000000002</v>
      </c>
      <c r="Z7" s="4">
        <f t="shared" ref="Z7" si="22">Z6*4%</f>
        <v>0.52500000000000002</v>
      </c>
      <c r="AA7" s="4">
        <f t="shared" ref="AA7" si="23">AA6*4%</f>
        <v>0.55125000000000002</v>
      </c>
      <c r="AB7" s="4">
        <f t="shared" ref="AB7" si="24">AB6*4%</f>
        <v>0.55125000000000002</v>
      </c>
      <c r="AC7" s="4">
        <f t="shared" ref="AC7" si="25">AC6*4%</f>
        <v>0.55125000000000002</v>
      </c>
      <c r="AD7" s="4">
        <f t="shared" ref="AD7" si="26">AD6*4%</f>
        <v>0.55125000000000002</v>
      </c>
      <c r="AE7" s="4">
        <f t="shared" ref="AE7" si="27">AE6*4%</f>
        <v>0.55125000000000002</v>
      </c>
      <c r="AF7" s="4">
        <f t="shared" ref="AF7" si="28">AF6*4%</f>
        <v>0.55125000000000002</v>
      </c>
      <c r="AG7" s="4">
        <f t="shared" ref="AG7" si="29">AG6*4%</f>
        <v>0.55125000000000002</v>
      </c>
      <c r="AH7" s="4">
        <f t="shared" ref="AH7" si="30">AH6*4%</f>
        <v>0.55125000000000002</v>
      </c>
      <c r="AI7" s="4">
        <f t="shared" ref="AI7" si="31">AI6*4%</f>
        <v>0.55125000000000002</v>
      </c>
      <c r="AJ7" s="4">
        <f t="shared" ref="AJ7" si="32">AJ6*4%</f>
        <v>0.55125000000000002</v>
      </c>
      <c r="AK7" s="4">
        <f t="shared" ref="AK7" si="33">AK6*4%</f>
        <v>0.55125000000000002</v>
      </c>
      <c r="AL7" s="4">
        <f t="shared" ref="AL7" si="34">AL6*4%</f>
        <v>0.55125000000000002</v>
      </c>
      <c r="AM7" s="4">
        <f t="shared" ref="AM7" si="35">AM6*4%</f>
        <v>0.57881250000000006</v>
      </c>
      <c r="AN7" s="4">
        <f t="shared" ref="AN7" si="36">AN6*4%</f>
        <v>0.57881250000000006</v>
      </c>
      <c r="AO7" s="4">
        <f t="shared" ref="AO7" si="37">AO6*4%</f>
        <v>0.57881250000000006</v>
      </c>
      <c r="AP7" s="4">
        <f t="shared" ref="AP7" si="38">AP6*4%</f>
        <v>0.57881250000000006</v>
      </c>
      <c r="AQ7" s="4">
        <f t="shared" ref="AQ7" si="39">AQ6*4%</f>
        <v>0.57881250000000006</v>
      </c>
      <c r="AR7" s="4">
        <f t="shared" ref="AR7" si="40">AR6*4%</f>
        <v>0.57881250000000006</v>
      </c>
      <c r="AS7" s="4">
        <f t="shared" ref="AS7" si="41">AS6*4%</f>
        <v>0.57881250000000006</v>
      </c>
      <c r="AT7" s="4">
        <f t="shared" ref="AT7" si="42">AT6*4%</f>
        <v>0.57881250000000006</v>
      </c>
      <c r="AU7" s="4">
        <f t="shared" ref="AU7" si="43">AU6*4%</f>
        <v>0.57881250000000006</v>
      </c>
      <c r="AV7" s="4">
        <f t="shared" ref="AV7" si="44">AV6*4%</f>
        <v>0.57881250000000006</v>
      </c>
      <c r="AW7" s="4">
        <f t="shared" ref="AW7" si="45">AW6*4%</f>
        <v>0.57881250000000006</v>
      </c>
      <c r="AX7" s="4">
        <f t="shared" ref="AX7" si="46">AX6*4%</f>
        <v>0.57881250000000006</v>
      </c>
      <c r="AY7" s="4">
        <f t="shared" ref="AY7" si="47">AY6*4%</f>
        <v>0.60775312500000012</v>
      </c>
      <c r="AZ7" s="4">
        <f t="shared" ref="AZ7" si="48">AZ6*4%</f>
        <v>0.60775312500000012</v>
      </c>
      <c r="BA7" s="4">
        <f t="shared" ref="BA7" si="49">BA6*4%</f>
        <v>0.60775312500000012</v>
      </c>
      <c r="BB7" s="4">
        <f t="shared" ref="BB7" si="50">BB6*4%</f>
        <v>0.60775312500000012</v>
      </c>
      <c r="BC7" s="4">
        <f t="shared" ref="BC7" si="51">BC6*4%</f>
        <v>0.60775312500000012</v>
      </c>
      <c r="BD7" s="4">
        <f t="shared" ref="BD7" si="52">BD6*4%</f>
        <v>0.60775312500000012</v>
      </c>
      <c r="BE7" s="4">
        <f t="shared" ref="BE7" si="53">BE6*4%</f>
        <v>0.60775312500000012</v>
      </c>
      <c r="BF7" s="4">
        <f t="shared" ref="BF7" si="54">BF6*4%</f>
        <v>0.60775312500000012</v>
      </c>
      <c r="BG7" s="4">
        <f t="shared" ref="BG7" si="55">BG6*4%</f>
        <v>0.60775312500000012</v>
      </c>
      <c r="BH7" s="4">
        <f t="shared" ref="BH7" si="56">BH6*4%</f>
        <v>0.60775312500000012</v>
      </c>
      <c r="BI7" s="4">
        <f t="shared" ref="BI7" si="57">BI6*4%</f>
        <v>0.60775312500000012</v>
      </c>
      <c r="BJ7" s="4">
        <f t="shared" ref="BJ7" si="58">BJ6*4%</f>
        <v>0.60775312500000012</v>
      </c>
      <c r="BK7" s="4">
        <f t="shared" ref="BK7" si="59">BK6*4%</f>
        <v>0.63814078125000007</v>
      </c>
      <c r="BL7" s="4">
        <f t="shared" ref="BL7" si="60">BL6*4%</f>
        <v>0.63814078125000007</v>
      </c>
      <c r="BM7" s="4">
        <f t="shared" ref="BM7" si="61">BM6*4%</f>
        <v>0.63814078125000007</v>
      </c>
      <c r="BN7" s="4">
        <f t="shared" ref="BN7" si="62">BN6*4%</f>
        <v>0.63814078125000007</v>
      </c>
      <c r="BO7" s="4">
        <f t="shared" ref="BO7" si="63">BO6*4%</f>
        <v>0.63814078125000007</v>
      </c>
      <c r="BP7" s="4">
        <f t="shared" ref="BP7" si="64">BP6*4%</f>
        <v>0.63814078125000007</v>
      </c>
      <c r="BQ7" s="4">
        <f t="shared" ref="BQ7" si="65">BQ6*4%</f>
        <v>0.63814078125000007</v>
      </c>
      <c r="BR7" s="4">
        <f t="shared" ref="BR7" si="66">BR6*4%</f>
        <v>0.63814078125000007</v>
      </c>
      <c r="BS7" s="4">
        <f t="shared" ref="BS7" si="67">BS6*4%</f>
        <v>0.63814078125000007</v>
      </c>
      <c r="BT7" s="4">
        <f t="shared" ref="BT7" si="68">BT6*4%</f>
        <v>0.63814078125000007</v>
      </c>
      <c r="BU7" s="4">
        <f t="shared" ref="BU7" si="69">BU6*4%</f>
        <v>0.63814078125000007</v>
      </c>
      <c r="BV7" s="4">
        <f t="shared" ref="BV7" si="70">BV6*4%</f>
        <v>0.63814078125000007</v>
      </c>
      <c r="BW7" s="4">
        <f t="shared" ref="BW7" si="71">BW6*4%</f>
        <v>0.67004782031250021</v>
      </c>
      <c r="BX7" s="4">
        <f t="shared" ref="BX7" si="72">BX6*4%</f>
        <v>0.67004782031250021</v>
      </c>
      <c r="BY7" s="4">
        <f t="shared" ref="BY7" si="73">BY6*4%</f>
        <v>0.67004782031250021</v>
      </c>
      <c r="BZ7" s="4">
        <f t="shared" ref="BZ7" si="74">BZ6*4%</f>
        <v>0.67004782031250021</v>
      </c>
      <c r="CA7" s="4">
        <f t="shared" ref="CA7" si="75">CA6*4%</f>
        <v>0.67004782031250021</v>
      </c>
      <c r="CB7" s="4">
        <f t="shared" ref="CB7" si="76">CB6*4%</f>
        <v>0.67004782031250021</v>
      </c>
      <c r="CC7" s="4">
        <f t="shared" ref="CC7" si="77">CC6*4%</f>
        <v>0.67004782031250021</v>
      </c>
      <c r="CD7" s="4">
        <f t="shared" ref="CD7" si="78">CD6*4%</f>
        <v>0.67004782031250021</v>
      </c>
      <c r="CE7" s="4">
        <f t="shared" ref="CE7" si="79">CE6*4%</f>
        <v>0.67004782031250021</v>
      </c>
      <c r="CF7" s="4">
        <f t="shared" ref="CF7" si="80">CF6*4%</f>
        <v>0.67004782031250021</v>
      </c>
      <c r="CG7" s="4">
        <f t="shared" ref="CG7" si="81">CG6*4%</f>
        <v>0.67004782031250021</v>
      </c>
      <c r="CH7" s="4">
        <f t="shared" ref="CH7" si="82">CH6*4%</f>
        <v>0.67004782031250021</v>
      </c>
      <c r="CI7" s="4">
        <f t="shared" ref="CI7" si="83">CI6*4%</f>
        <v>0.70355021132812523</v>
      </c>
      <c r="CJ7" s="4">
        <f t="shared" ref="CJ7" si="84">CJ6*4%</f>
        <v>0.70355021132812523</v>
      </c>
      <c r="CK7" s="4">
        <f t="shared" ref="CK7" si="85">CK6*4%</f>
        <v>0.70355021132812523</v>
      </c>
      <c r="CL7" s="4">
        <f t="shared" ref="CL7" si="86">CL6*4%</f>
        <v>0.70355021132812523</v>
      </c>
      <c r="CM7" s="4">
        <f t="shared" ref="CM7" si="87">CM6*4%</f>
        <v>0.70355021132812523</v>
      </c>
      <c r="CN7" s="4">
        <f t="shared" ref="CN7" si="88">CN6*4%</f>
        <v>0.70355021132812523</v>
      </c>
      <c r="CO7" s="8">
        <f>SUM(C7:CN7)</f>
        <v>53.073351986718762</v>
      </c>
    </row>
    <row r="8" spans="2:93" ht="15" x14ac:dyDescent="0.25">
      <c r="B8" t="s">
        <v>12</v>
      </c>
      <c r="C8" s="13">
        <v>20</v>
      </c>
      <c r="D8" s="13">
        <v>20</v>
      </c>
      <c r="E8" s="13">
        <v>20</v>
      </c>
      <c r="F8" s="13">
        <v>20</v>
      </c>
      <c r="G8" s="13">
        <v>20</v>
      </c>
      <c r="H8" s="13">
        <v>20</v>
      </c>
      <c r="I8" s="13">
        <v>20</v>
      </c>
      <c r="J8" s="13">
        <v>20</v>
      </c>
      <c r="K8" s="13">
        <v>20</v>
      </c>
      <c r="L8" s="13">
        <v>20</v>
      </c>
      <c r="M8" s="13">
        <v>20</v>
      </c>
      <c r="N8" s="13">
        <v>20</v>
      </c>
      <c r="O8" s="4">
        <f>20*1.075</f>
        <v>21.5</v>
      </c>
      <c r="P8" s="4">
        <f t="shared" ref="P8:Z8" si="89">20*1.075</f>
        <v>21.5</v>
      </c>
      <c r="Q8" s="4">
        <f t="shared" si="89"/>
        <v>21.5</v>
      </c>
      <c r="R8" s="4">
        <f t="shared" si="89"/>
        <v>21.5</v>
      </c>
      <c r="S8" s="4">
        <f t="shared" si="89"/>
        <v>21.5</v>
      </c>
      <c r="T8" s="4">
        <f t="shared" si="89"/>
        <v>21.5</v>
      </c>
      <c r="U8" s="4">
        <f t="shared" si="89"/>
        <v>21.5</v>
      </c>
      <c r="V8" s="4">
        <f t="shared" si="89"/>
        <v>21.5</v>
      </c>
      <c r="W8" s="4">
        <f t="shared" si="89"/>
        <v>21.5</v>
      </c>
      <c r="X8" s="4">
        <f t="shared" si="89"/>
        <v>21.5</v>
      </c>
      <c r="Y8" s="4">
        <f t="shared" si="89"/>
        <v>21.5</v>
      </c>
      <c r="Z8" s="4">
        <f t="shared" si="89"/>
        <v>21.5</v>
      </c>
      <c r="AA8" s="4">
        <f>Z8*1.075</f>
        <v>23.112500000000001</v>
      </c>
      <c r="AB8" s="4">
        <f>AA8</f>
        <v>23.112500000000001</v>
      </c>
      <c r="AC8" s="4">
        <f t="shared" ref="AC8:AL8" si="90">AB8</f>
        <v>23.112500000000001</v>
      </c>
      <c r="AD8" s="4">
        <f t="shared" si="90"/>
        <v>23.112500000000001</v>
      </c>
      <c r="AE8" s="4">
        <f t="shared" si="90"/>
        <v>23.112500000000001</v>
      </c>
      <c r="AF8" s="4">
        <f t="shared" si="90"/>
        <v>23.112500000000001</v>
      </c>
      <c r="AG8" s="4">
        <f t="shared" si="90"/>
        <v>23.112500000000001</v>
      </c>
      <c r="AH8" s="4">
        <f t="shared" si="90"/>
        <v>23.112500000000001</v>
      </c>
      <c r="AI8" s="4">
        <f t="shared" si="90"/>
        <v>23.112500000000001</v>
      </c>
      <c r="AJ8" s="4">
        <f t="shared" si="90"/>
        <v>23.112500000000001</v>
      </c>
      <c r="AK8" s="4">
        <f t="shared" si="90"/>
        <v>23.112500000000001</v>
      </c>
      <c r="AL8" s="4">
        <f t="shared" si="90"/>
        <v>23.112500000000001</v>
      </c>
      <c r="AM8" s="4">
        <f>AL8*1.075</f>
        <v>24.845937499999998</v>
      </c>
      <c r="AN8" s="4">
        <f>AM8</f>
        <v>24.845937499999998</v>
      </c>
      <c r="AO8" s="4">
        <f t="shared" ref="AO8:AX8" si="91">AN8</f>
        <v>24.845937499999998</v>
      </c>
      <c r="AP8" s="4">
        <f t="shared" si="91"/>
        <v>24.845937499999998</v>
      </c>
      <c r="AQ8" s="4">
        <f t="shared" si="91"/>
        <v>24.845937499999998</v>
      </c>
      <c r="AR8" s="4">
        <f t="shared" si="91"/>
        <v>24.845937499999998</v>
      </c>
      <c r="AS8" s="4">
        <f t="shared" si="91"/>
        <v>24.845937499999998</v>
      </c>
      <c r="AT8" s="4">
        <f t="shared" si="91"/>
        <v>24.845937499999998</v>
      </c>
      <c r="AU8" s="4">
        <f t="shared" si="91"/>
        <v>24.845937499999998</v>
      </c>
      <c r="AV8" s="4">
        <f t="shared" si="91"/>
        <v>24.845937499999998</v>
      </c>
      <c r="AW8" s="4">
        <f t="shared" si="91"/>
        <v>24.845937499999998</v>
      </c>
      <c r="AX8" s="4">
        <f t="shared" si="91"/>
        <v>24.845937499999998</v>
      </c>
      <c r="AY8" s="4">
        <f>AX8*1.075</f>
        <v>26.709382812499996</v>
      </c>
      <c r="AZ8" s="4">
        <f>AY8</f>
        <v>26.709382812499996</v>
      </c>
      <c r="BA8" s="4">
        <f t="shared" ref="BA8:BJ8" si="92">AZ8</f>
        <v>26.709382812499996</v>
      </c>
      <c r="BB8" s="4">
        <f t="shared" si="92"/>
        <v>26.709382812499996</v>
      </c>
      <c r="BC8" s="4">
        <f t="shared" si="92"/>
        <v>26.709382812499996</v>
      </c>
      <c r="BD8" s="4">
        <f t="shared" si="92"/>
        <v>26.709382812499996</v>
      </c>
      <c r="BE8" s="4">
        <f t="shared" si="92"/>
        <v>26.709382812499996</v>
      </c>
      <c r="BF8" s="4">
        <f t="shared" si="92"/>
        <v>26.709382812499996</v>
      </c>
      <c r="BG8" s="4">
        <f t="shared" si="92"/>
        <v>26.709382812499996</v>
      </c>
      <c r="BH8" s="4">
        <f t="shared" si="92"/>
        <v>26.709382812499996</v>
      </c>
      <c r="BI8" s="4">
        <f t="shared" si="92"/>
        <v>26.709382812499996</v>
      </c>
      <c r="BJ8" s="4">
        <f t="shared" si="92"/>
        <v>26.709382812499996</v>
      </c>
      <c r="BK8" s="4">
        <f>BJ8*1.075</f>
        <v>28.712586523437494</v>
      </c>
      <c r="BL8" s="4">
        <f>BK8</f>
        <v>28.712586523437494</v>
      </c>
      <c r="BM8" s="4">
        <f t="shared" ref="BM8:BV8" si="93">BL8</f>
        <v>28.712586523437494</v>
      </c>
      <c r="BN8" s="4">
        <f t="shared" si="93"/>
        <v>28.712586523437494</v>
      </c>
      <c r="BO8" s="4">
        <f t="shared" si="93"/>
        <v>28.712586523437494</v>
      </c>
      <c r="BP8" s="4">
        <f t="shared" si="93"/>
        <v>28.712586523437494</v>
      </c>
      <c r="BQ8" s="4">
        <f t="shared" si="93"/>
        <v>28.712586523437494</v>
      </c>
      <c r="BR8" s="4">
        <f t="shared" si="93"/>
        <v>28.712586523437494</v>
      </c>
      <c r="BS8" s="4">
        <f t="shared" si="93"/>
        <v>28.712586523437494</v>
      </c>
      <c r="BT8" s="4">
        <f t="shared" si="93"/>
        <v>28.712586523437494</v>
      </c>
      <c r="BU8" s="4">
        <f t="shared" si="93"/>
        <v>28.712586523437494</v>
      </c>
      <c r="BV8" s="4">
        <f t="shared" si="93"/>
        <v>28.712586523437494</v>
      </c>
      <c r="BW8" s="4">
        <f>BV8*1.05</f>
        <v>30.148215849609372</v>
      </c>
      <c r="BX8" s="4">
        <f>BW8</f>
        <v>30.148215849609372</v>
      </c>
      <c r="BY8" s="4">
        <f t="shared" ref="BY8:CH8" si="94">BX8</f>
        <v>30.148215849609372</v>
      </c>
      <c r="BZ8" s="4">
        <f t="shared" si="94"/>
        <v>30.148215849609372</v>
      </c>
      <c r="CA8" s="4">
        <f t="shared" si="94"/>
        <v>30.148215849609372</v>
      </c>
      <c r="CB8" s="4">
        <f t="shared" si="94"/>
        <v>30.148215849609372</v>
      </c>
      <c r="CC8" s="4">
        <f t="shared" si="94"/>
        <v>30.148215849609372</v>
      </c>
      <c r="CD8" s="4">
        <f t="shared" si="94"/>
        <v>30.148215849609372</v>
      </c>
      <c r="CE8" s="4">
        <f t="shared" si="94"/>
        <v>30.148215849609372</v>
      </c>
      <c r="CF8" s="4">
        <f t="shared" si="94"/>
        <v>30.148215849609372</v>
      </c>
      <c r="CG8" s="4">
        <f t="shared" si="94"/>
        <v>30.148215849609372</v>
      </c>
      <c r="CH8" s="4">
        <f t="shared" si="94"/>
        <v>30.148215849609372</v>
      </c>
      <c r="CI8" s="4">
        <f>CH8*1.075</f>
        <v>32.409332038330071</v>
      </c>
      <c r="CJ8" s="4">
        <f>CI8</f>
        <v>32.409332038330071</v>
      </c>
      <c r="CK8" s="4">
        <f t="shared" ref="CK8:CN8" si="95">CJ8</f>
        <v>32.409332038330071</v>
      </c>
      <c r="CL8" s="4">
        <f t="shared" si="95"/>
        <v>32.409332038330071</v>
      </c>
      <c r="CM8" s="4">
        <f t="shared" si="95"/>
        <v>32.409332038330071</v>
      </c>
      <c r="CN8" s="4">
        <f t="shared" si="95"/>
        <v>32.409332038330071</v>
      </c>
      <c r="CO8" s="8">
        <f>SUM(C8:CN8)</f>
        <v>2294.799464456542</v>
      </c>
    </row>
    <row r="9" spans="2:93" ht="15" x14ac:dyDescent="0.25">
      <c r="B9" t="s">
        <v>13</v>
      </c>
      <c r="C9" s="4">
        <f>C8*10%</f>
        <v>2</v>
      </c>
      <c r="D9" s="4">
        <f>D8*10%</f>
        <v>2</v>
      </c>
      <c r="E9" s="4">
        <f t="shared" ref="E9:N9" si="96">E8*10%</f>
        <v>2</v>
      </c>
      <c r="F9" s="4">
        <f t="shared" si="96"/>
        <v>2</v>
      </c>
      <c r="G9" s="4">
        <f t="shared" si="96"/>
        <v>2</v>
      </c>
      <c r="H9" s="4">
        <f t="shared" si="96"/>
        <v>2</v>
      </c>
      <c r="I9" s="4">
        <f t="shared" si="96"/>
        <v>2</v>
      </c>
      <c r="J9" s="4">
        <f t="shared" si="96"/>
        <v>2</v>
      </c>
      <c r="K9" s="4">
        <f t="shared" si="96"/>
        <v>2</v>
      </c>
      <c r="L9" s="4">
        <f t="shared" si="96"/>
        <v>2</v>
      </c>
      <c r="M9" s="4">
        <f t="shared" si="96"/>
        <v>2</v>
      </c>
      <c r="N9" s="4">
        <f t="shared" si="96"/>
        <v>2</v>
      </c>
      <c r="O9" s="4">
        <f t="shared" ref="O9" si="97">O8*10%</f>
        <v>2.15</v>
      </c>
      <c r="P9" s="4">
        <f t="shared" ref="P9" si="98">P8*10%</f>
        <v>2.15</v>
      </c>
      <c r="Q9" s="4">
        <f t="shared" ref="Q9" si="99">Q8*10%</f>
        <v>2.15</v>
      </c>
      <c r="R9" s="4">
        <f t="shared" ref="R9" si="100">R8*10%</f>
        <v>2.15</v>
      </c>
      <c r="S9" s="4">
        <f t="shared" ref="S9" si="101">S8*10%</f>
        <v>2.15</v>
      </c>
      <c r="T9" s="4">
        <f t="shared" ref="T9" si="102">T8*10%</f>
        <v>2.15</v>
      </c>
      <c r="U9" s="4">
        <f t="shared" ref="U9" si="103">U8*10%</f>
        <v>2.15</v>
      </c>
      <c r="V9" s="4">
        <f t="shared" ref="V9" si="104">V8*10%</f>
        <v>2.15</v>
      </c>
      <c r="W9" s="4">
        <f t="shared" ref="W9" si="105">W8*10%</f>
        <v>2.15</v>
      </c>
      <c r="X9" s="4">
        <f t="shared" ref="X9" si="106">X8*10%</f>
        <v>2.15</v>
      </c>
      <c r="Y9" s="4">
        <f t="shared" ref="Y9" si="107">Y8*10%</f>
        <v>2.15</v>
      </c>
      <c r="Z9" s="4">
        <f t="shared" ref="Z9" si="108">Z8*10%</f>
        <v>2.15</v>
      </c>
      <c r="AA9" s="4">
        <f t="shared" ref="AA9" si="109">AA8*10%</f>
        <v>2.3112500000000002</v>
      </c>
      <c r="AB9" s="4">
        <f t="shared" ref="AB9" si="110">AB8*10%</f>
        <v>2.3112500000000002</v>
      </c>
      <c r="AC9" s="4">
        <f t="shared" ref="AC9" si="111">AC8*10%</f>
        <v>2.3112500000000002</v>
      </c>
      <c r="AD9" s="4">
        <f t="shared" ref="AD9" si="112">AD8*10%</f>
        <v>2.3112500000000002</v>
      </c>
      <c r="AE9" s="4">
        <f t="shared" ref="AE9" si="113">AE8*10%</f>
        <v>2.3112500000000002</v>
      </c>
      <c r="AF9" s="4">
        <f t="shared" ref="AF9" si="114">AF8*10%</f>
        <v>2.3112500000000002</v>
      </c>
      <c r="AG9" s="4">
        <f t="shared" ref="AG9" si="115">AG8*10%</f>
        <v>2.3112500000000002</v>
      </c>
      <c r="AH9" s="4">
        <f t="shared" ref="AH9" si="116">AH8*10%</f>
        <v>2.3112500000000002</v>
      </c>
      <c r="AI9" s="4">
        <f t="shared" ref="AI9" si="117">AI8*10%</f>
        <v>2.3112500000000002</v>
      </c>
      <c r="AJ9" s="4">
        <f t="shared" ref="AJ9" si="118">AJ8*10%</f>
        <v>2.3112500000000002</v>
      </c>
      <c r="AK9" s="4">
        <f t="shared" ref="AK9" si="119">AK8*10%</f>
        <v>2.3112500000000002</v>
      </c>
      <c r="AL9" s="4">
        <f t="shared" ref="AL9" si="120">AL8*10%</f>
        <v>2.3112500000000002</v>
      </c>
      <c r="AM9" s="4">
        <f t="shared" ref="AM9" si="121">AM8*10%</f>
        <v>2.4845937500000002</v>
      </c>
      <c r="AN9" s="4">
        <f t="shared" ref="AN9" si="122">AN8*10%</f>
        <v>2.4845937500000002</v>
      </c>
      <c r="AO9" s="4">
        <f t="shared" ref="AO9" si="123">AO8*10%</f>
        <v>2.4845937500000002</v>
      </c>
      <c r="AP9" s="4">
        <f t="shared" ref="AP9" si="124">AP8*10%</f>
        <v>2.4845937500000002</v>
      </c>
      <c r="AQ9" s="4">
        <f t="shared" ref="AQ9" si="125">AQ8*10%</f>
        <v>2.4845937500000002</v>
      </c>
      <c r="AR9" s="4">
        <f t="shared" ref="AR9" si="126">AR8*10%</f>
        <v>2.4845937500000002</v>
      </c>
      <c r="AS9" s="4">
        <f t="shared" ref="AS9" si="127">AS8*10%</f>
        <v>2.4845937500000002</v>
      </c>
      <c r="AT9" s="4">
        <f t="shared" ref="AT9" si="128">AT8*10%</f>
        <v>2.4845937500000002</v>
      </c>
      <c r="AU9" s="4">
        <f t="shared" ref="AU9" si="129">AU8*10%</f>
        <v>2.4845937500000002</v>
      </c>
      <c r="AV9" s="4">
        <f t="shared" ref="AV9" si="130">AV8*10%</f>
        <v>2.4845937500000002</v>
      </c>
      <c r="AW9" s="4">
        <f t="shared" ref="AW9" si="131">AW8*10%</f>
        <v>2.4845937500000002</v>
      </c>
      <c r="AX9" s="4">
        <f t="shared" ref="AX9" si="132">AX8*10%</f>
        <v>2.4845937500000002</v>
      </c>
      <c r="AY9" s="4">
        <f t="shared" ref="AY9" si="133">AY8*10%</f>
        <v>2.6709382812499998</v>
      </c>
      <c r="AZ9" s="4">
        <f t="shared" ref="AZ9" si="134">AZ8*10%</f>
        <v>2.6709382812499998</v>
      </c>
      <c r="BA9" s="4">
        <f t="shared" ref="BA9" si="135">BA8*10%</f>
        <v>2.6709382812499998</v>
      </c>
      <c r="BB9" s="4">
        <f t="shared" ref="BB9" si="136">BB8*10%</f>
        <v>2.6709382812499998</v>
      </c>
      <c r="BC9" s="4">
        <f t="shared" ref="BC9" si="137">BC8*10%</f>
        <v>2.6709382812499998</v>
      </c>
      <c r="BD9" s="4">
        <f t="shared" ref="BD9" si="138">BD8*10%</f>
        <v>2.6709382812499998</v>
      </c>
      <c r="BE9" s="4">
        <f t="shared" ref="BE9" si="139">BE8*10%</f>
        <v>2.6709382812499998</v>
      </c>
      <c r="BF9" s="4">
        <f t="shared" ref="BF9" si="140">BF8*10%</f>
        <v>2.6709382812499998</v>
      </c>
      <c r="BG9" s="4">
        <f t="shared" ref="BG9" si="141">BG8*10%</f>
        <v>2.6709382812499998</v>
      </c>
      <c r="BH9" s="4">
        <f t="shared" ref="BH9" si="142">BH8*10%</f>
        <v>2.6709382812499998</v>
      </c>
      <c r="BI9" s="4">
        <f t="shared" ref="BI9" si="143">BI8*10%</f>
        <v>2.6709382812499998</v>
      </c>
      <c r="BJ9" s="4">
        <f t="shared" ref="BJ9" si="144">BJ8*10%</f>
        <v>2.6709382812499998</v>
      </c>
      <c r="BK9" s="4">
        <f t="shared" ref="BK9" si="145">BK8*10%</f>
        <v>2.8712586523437498</v>
      </c>
      <c r="BL9" s="4">
        <f t="shared" ref="BL9" si="146">BL8*10%</f>
        <v>2.8712586523437498</v>
      </c>
      <c r="BM9" s="4">
        <f t="shared" ref="BM9" si="147">BM8*10%</f>
        <v>2.8712586523437498</v>
      </c>
      <c r="BN9" s="4">
        <f t="shared" ref="BN9" si="148">BN8*10%</f>
        <v>2.8712586523437498</v>
      </c>
      <c r="BO9" s="4">
        <f t="shared" ref="BO9" si="149">BO8*10%</f>
        <v>2.8712586523437498</v>
      </c>
      <c r="BP9" s="4">
        <f t="shared" ref="BP9" si="150">BP8*10%</f>
        <v>2.8712586523437498</v>
      </c>
      <c r="BQ9" s="4">
        <f t="shared" ref="BQ9" si="151">BQ8*10%</f>
        <v>2.8712586523437498</v>
      </c>
      <c r="BR9" s="4">
        <f t="shared" ref="BR9" si="152">BR8*10%</f>
        <v>2.8712586523437498</v>
      </c>
      <c r="BS9" s="4">
        <f t="shared" ref="BS9" si="153">BS8*10%</f>
        <v>2.8712586523437498</v>
      </c>
      <c r="BT9" s="4">
        <f t="shared" ref="BT9" si="154">BT8*10%</f>
        <v>2.8712586523437498</v>
      </c>
      <c r="BU9" s="4">
        <f t="shared" ref="BU9" si="155">BU8*10%</f>
        <v>2.8712586523437498</v>
      </c>
      <c r="BV9" s="4">
        <f t="shared" ref="BV9" si="156">BV8*10%</f>
        <v>2.8712586523437498</v>
      </c>
      <c r="BW9" s="4">
        <f t="shared" ref="BW9" si="157">BW8*10%</f>
        <v>3.0148215849609374</v>
      </c>
      <c r="BX9" s="4">
        <f t="shared" ref="BX9" si="158">BX8*10%</f>
        <v>3.0148215849609374</v>
      </c>
      <c r="BY9" s="4">
        <f t="shared" ref="BY9" si="159">BY8*10%</f>
        <v>3.0148215849609374</v>
      </c>
      <c r="BZ9" s="4">
        <f t="shared" ref="BZ9" si="160">BZ8*10%</f>
        <v>3.0148215849609374</v>
      </c>
      <c r="CA9" s="4">
        <f t="shared" ref="CA9" si="161">CA8*10%</f>
        <v>3.0148215849609374</v>
      </c>
      <c r="CB9" s="4">
        <f t="shared" ref="CB9" si="162">CB8*10%</f>
        <v>3.0148215849609374</v>
      </c>
      <c r="CC9" s="4">
        <f t="shared" ref="CC9" si="163">CC8*10%</f>
        <v>3.0148215849609374</v>
      </c>
      <c r="CD9" s="4">
        <f t="shared" ref="CD9" si="164">CD8*10%</f>
        <v>3.0148215849609374</v>
      </c>
      <c r="CE9" s="4">
        <f t="shared" ref="CE9" si="165">CE8*10%</f>
        <v>3.0148215849609374</v>
      </c>
      <c r="CF9" s="4">
        <f t="shared" ref="CF9" si="166">CF8*10%</f>
        <v>3.0148215849609374</v>
      </c>
      <c r="CG9" s="4">
        <f t="shared" ref="CG9" si="167">CG8*10%</f>
        <v>3.0148215849609374</v>
      </c>
      <c r="CH9" s="4">
        <f t="shared" ref="CH9" si="168">CH8*10%</f>
        <v>3.0148215849609374</v>
      </c>
      <c r="CI9" s="4">
        <f t="shared" ref="CI9" si="169">CI8*10%</f>
        <v>3.2409332038330074</v>
      </c>
      <c r="CJ9" s="4">
        <f t="shared" ref="CJ9" si="170">CJ8*10%</f>
        <v>3.2409332038330074</v>
      </c>
      <c r="CK9" s="4">
        <f t="shared" ref="CK9" si="171">CK8*10%</f>
        <v>3.2409332038330074</v>
      </c>
      <c r="CL9" s="4">
        <f t="shared" ref="CL9" si="172">CL8*10%</f>
        <v>3.2409332038330074</v>
      </c>
      <c r="CM9" s="4">
        <f t="shared" ref="CM9" si="173">CM8*10%</f>
        <v>3.2409332038330074</v>
      </c>
      <c r="CN9" s="4">
        <f t="shared" ref="CN9" si="174">CN8*10%</f>
        <v>3.2409332038330074</v>
      </c>
      <c r="CO9" s="8">
        <f>SUM(C9:CN9)</f>
        <v>229.47994644565441</v>
      </c>
    </row>
    <row r="10" spans="2:93" ht="15" x14ac:dyDescent="0.25">
      <c r="B10" t="s">
        <v>14</v>
      </c>
      <c r="C10" s="5">
        <f>'CR (basic)'!C8</f>
        <v>22.953752984288162</v>
      </c>
      <c r="D10" s="5">
        <f>'CR (basic)'!D8</f>
        <v>22.953752984288162</v>
      </c>
      <c r="E10" s="5">
        <f>'CR (basic)'!E8</f>
        <v>22.953752984288162</v>
      </c>
      <c r="F10" s="5">
        <f>'CR (basic)'!F8</f>
        <v>22.953752984288162</v>
      </c>
      <c r="G10" s="5">
        <f>'CR (basic)'!G8</f>
        <v>22.953752984288162</v>
      </c>
      <c r="H10" s="5">
        <f>'CR (basic)'!H8</f>
        <v>22.953752984288162</v>
      </c>
      <c r="I10" s="5">
        <f>'CR (basic)'!I8</f>
        <v>22.953752984288162</v>
      </c>
      <c r="J10" s="5">
        <f>'CR (basic)'!J8</f>
        <v>22.953752984288162</v>
      </c>
      <c r="K10" s="5">
        <f>'CR (basic)'!K8</f>
        <v>22.953752984288162</v>
      </c>
      <c r="L10" s="5">
        <f>'CR (basic)'!L8</f>
        <v>22.953752984288162</v>
      </c>
      <c r="M10" s="5">
        <f>'CR (basic)'!M8</f>
        <v>22.953752984288162</v>
      </c>
      <c r="N10" s="5">
        <f>'CR (basic)'!N8</f>
        <v>22.953752984288162</v>
      </c>
      <c r="O10" s="5">
        <f>'CR (basic)'!O8</f>
        <v>22.953752984288162</v>
      </c>
      <c r="P10" s="5">
        <f>'CR (basic)'!P8</f>
        <v>22.953752984288162</v>
      </c>
      <c r="Q10" s="5">
        <f>'CR (basic)'!Q8</f>
        <v>22.953752984288162</v>
      </c>
      <c r="R10" s="5">
        <f>'CR (basic)'!R8</f>
        <v>22.953752984288162</v>
      </c>
      <c r="S10" s="5">
        <f>'CR (basic)'!S8</f>
        <v>22.953752984288162</v>
      </c>
      <c r="T10" s="5">
        <f>'CR (basic)'!T8</f>
        <v>22.953752984288162</v>
      </c>
      <c r="U10" s="5">
        <f>'CR (basic)'!U8</f>
        <v>22.953752984288162</v>
      </c>
      <c r="V10" s="5">
        <f>'CR (basic)'!V8</f>
        <v>22.953752984288162</v>
      </c>
      <c r="W10" s="5">
        <f>'CR (basic)'!W8</f>
        <v>22.953752984288162</v>
      </c>
      <c r="X10" s="5">
        <f>'CR (basic)'!X8</f>
        <v>22.953752984288162</v>
      </c>
      <c r="Y10" s="5">
        <f>'CR (basic)'!Y8</f>
        <v>22.953752984288162</v>
      </c>
      <c r="Z10" s="5">
        <f>'CR (basic)'!Z8</f>
        <v>22.953752984288162</v>
      </c>
      <c r="AA10" s="5">
        <f>'CR (basic)'!AA8</f>
        <v>22.953752984288162</v>
      </c>
      <c r="AB10" s="5">
        <f>'CR (basic)'!AB8</f>
        <v>22.953752984288162</v>
      </c>
      <c r="AC10" s="5">
        <f>'CR (basic)'!AC8</f>
        <v>22.953752984288162</v>
      </c>
      <c r="AD10" s="5">
        <f>'CR (basic)'!AD8</f>
        <v>22.953752984288162</v>
      </c>
      <c r="AE10" s="5">
        <f>'CR (basic)'!AE8</f>
        <v>22.953752984288162</v>
      </c>
      <c r="AF10" s="5">
        <f>'CR (basic)'!AF8</f>
        <v>22.953752984288162</v>
      </c>
      <c r="AG10" s="5">
        <f>'CR (basic)'!AG8</f>
        <v>22.953752984288162</v>
      </c>
      <c r="AH10" s="5">
        <f>'CR (basic)'!AH8</f>
        <v>22.953752984288162</v>
      </c>
      <c r="AI10" s="5">
        <f>'CR (basic)'!AI8</f>
        <v>22.953752984288162</v>
      </c>
      <c r="AJ10" s="5">
        <f>'CR (basic)'!AJ8</f>
        <v>22.953752984288162</v>
      </c>
      <c r="AK10" s="5">
        <f>'CR (basic)'!AK8</f>
        <v>22.953752984288162</v>
      </c>
      <c r="AL10" s="5">
        <f>'CR (basic)'!AL8</f>
        <v>22.953752984288162</v>
      </c>
      <c r="AM10" s="5">
        <f>'CR (basic)'!AM8</f>
        <v>22.953752984288162</v>
      </c>
      <c r="AN10" s="5">
        <f>'CR (basic)'!AN8</f>
        <v>22.953752984288162</v>
      </c>
      <c r="AO10" s="5">
        <f>'CR (basic)'!AO8</f>
        <v>22.953752984288162</v>
      </c>
      <c r="AP10" s="5">
        <f>'CR (basic)'!AP8</f>
        <v>22.953752984288162</v>
      </c>
      <c r="AQ10" s="5">
        <f>'CR (basic)'!AQ8</f>
        <v>22.953752984288162</v>
      </c>
      <c r="AR10" s="5">
        <f>'CR (basic)'!AR8</f>
        <v>22.953752984288162</v>
      </c>
      <c r="AS10" s="5">
        <f>'CR (basic)'!AS8</f>
        <v>22.953752984288162</v>
      </c>
      <c r="AT10" s="5">
        <f>'CR (basic)'!AT8</f>
        <v>22.953752984288162</v>
      </c>
      <c r="AU10" s="5">
        <f>'CR (basic)'!AU8</f>
        <v>22.953752984288162</v>
      </c>
      <c r="AV10" s="5">
        <f>'CR (basic)'!AV8</f>
        <v>22.953752984288162</v>
      </c>
      <c r="AW10" s="5">
        <f>'CR (basic)'!AW8</f>
        <v>22.953752984288162</v>
      </c>
      <c r="AX10" s="5">
        <f>'CR (basic)'!AX8</f>
        <v>22.953752984288162</v>
      </c>
      <c r="AY10" s="5">
        <f>'CR (basic)'!AY8</f>
        <v>22.953752984288162</v>
      </c>
      <c r="AZ10" s="5">
        <f>'CR (basic)'!AZ8</f>
        <v>22.953752984288162</v>
      </c>
      <c r="BA10" s="5">
        <f>'CR (basic)'!BA8</f>
        <v>22.953752984288162</v>
      </c>
      <c r="BB10" s="5">
        <f>'CR (basic)'!BB8</f>
        <v>22.953752984288162</v>
      </c>
      <c r="BC10" s="5">
        <f>'CR (basic)'!BC8</f>
        <v>22.953752984288162</v>
      </c>
      <c r="BD10" s="5">
        <f>'CR (basic)'!BD8</f>
        <v>22.953752984288162</v>
      </c>
      <c r="BE10" s="5">
        <f>'CR (basic)'!BE8</f>
        <v>22.953752984288162</v>
      </c>
      <c r="BF10" s="5">
        <f>'CR (basic)'!BF8</f>
        <v>22.953752984288162</v>
      </c>
      <c r="BG10" s="5">
        <f>'CR (basic)'!BG8</f>
        <v>22.953752984288162</v>
      </c>
      <c r="BH10" s="5">
        <f>'CR (basic)'!BH8</f>
        <v>22.953752984288162</v>
      </c>
      <c r="BI10" s="5">
        <f>'CR (basic)'!BI8</f>
        <v>22.953752984288162</v>
      </c>
      <c r="BJ10" s="5">
        <f>'CR (basic)'!BJ8</f>
        <v>22.953752984288162</v>
      </c>
      <c r="BK10" s="5">
        <f>'CR (basic)'!BK8</f>
        <v>22.953752984288162</v>
      </c>
      <c r="BL10" s="5">
        <f>'CR (basic)'!BL8</f>
        <v>22.953752984288162</v>
      </c>
      <c r="BM10" s="5">
        <f>'CR (basic)'!BM8</f>
        <v>22.953752984288162</v>
      </c>
      <c r="BN10" s="5">
        <f>'CR (basic)'!BN8</f>
        <v>22.953752984288162</v>
      </c>
      <c r="BO10" s="5">
        <f>'CR (basic)'!BO8</f>
        <v>22.953752984288162</v>
      </c>
      <c r="BP10" s="5">
        <f>'CR (basic)'!BP8</f>
        <v>22.953752984288162</v>
      </c>
      <c r="BQ10" s="5">
        <f>'CR (basic)'!BQ8</f>
        <v>22.953752984288162</v>
      </c>
      <c r="BR10" s="5">
        <f>'CR (basic)'!BR8</f>
        <v>22.953752984288162</v>
      </c>
      <c r="BS10" s="5">
        <f>'CR (basic)'!BS8</f>
        <v>22.953752984288162</v>
      </c>
      <c r="BT10" s="5">
        <f>'CR (basic)'!BT8</f>
        <v>22.953752984288162</v>
      </c>
      <c r="BU10" s="5">
        <f>'CR (basic)'!BU8</f>
        <v>22.953752984288162</v>
      </c>
      <c r="BV10" s="5">
        <f>'CR (basic)'!BV8</f>
        <v>22.953752984288162</v>
      </c>
      <c r="BW10" s="5">
        <f>'CR (basic)'!BW8</f>
        <v>22.953752984288162</v>
      </c>
      <c r="BX10" s="5">
        <f>'CR (basic)'!BX8</f>
        <v>22.953752984288162</v>
      </c>
      <c r="BY10" s="5">
        <f>'CR (basic)'!BY8</f>
        <v>22.953752984288162</v>
      </c>
      <c r="BZ10" s="5">
        <f>'CR (basic)'!BZ8</f>
        <v>22.953752984288162</v>
      </c>
      <c r="CA10" s="5">
        <f>'CR (basic)'!CA8</f>
        <v>22.953752984288162</v>
      </c>
      <c r="CB10" s="5">
        <f>'CR (basic)'!CB8</f>
        <v>22.953752984288162</v>
      </c>
      <c r="CC10" s="5">
        <f>'CR (basic)'!CC8</f>
        <v>22.953752984288162</v>
      </c>
      <c r="CD10" s="5">
        <f>'CR (basic)'!CD8</f>
        <v>22.953752984288162</v>
      </c>
      <c r="CE10" s="5">
        <f>'CR (basic)'!CE8</f>
        <v>22.953752984288162</v>
      </c>
      <c r="CF10" s="5">
        <f>'CR (basic)'!CF8</f>
        <v>22.953752984288162</v>
      </c>
      <c r="CG10" s="5">
        <f>'CR (basic)'!CG8</f>
        <v>22.953752984288162</v>
      </c>
      <c r="CH10" s="5">
        <f>'CR (basic)'!CH8</f>
        <v>22.953752984288162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8">
        <f>SUM(C10:CN10)</f>
        <v>1928.1152506802089</v>
      </c>
    </row>
    <row r="11" spans="2:93" ht="15.75" thickBot="1" x14ac:dyDescent="0.3">
      <c r="B11" t="s">
        <v>22</v>
      </c>
      <c r="C11" s="12">
        <f t="shared" ref="C11:AH11" si="175">SUM(C6:C10)</f>
        <v>57.953752984288158</v>
      </c>
      <c r="D11" s="12">
        <f t="shared" si="175"/>
        <v>57.953752984288158</v>
      </c>
      <c r="E11" s="12">
        <f t="shared" si="175"/>
        <v>57.953752984288158</v>
      </c>
      <c r="F11" s="12">
        <f t="shared" si="175"/>
        <v>57.953752984288158</v>
      </c>
      <c r="G11" s="12">
        <f t="shared" si="175"/>
        <v>57.953752984288158</v>
      </c>
      <c r="H11" s="12">
        <f t="shared" si="175"/>
        <v>57.953752984288158</v>
      </c>
      <c r="I11" s="12">
        <f t="shared" si="175"/>
        <v>57.953752984288158</v>
      </c>
      <c r="J11" s="12">
        <f t="shared" si="175"/>
        <v>57.953752984288158</v>
      </c>
      <c r="K11" s="12">
        <f t="shared" si="175"/>
        <v>57.953752984288158</v>
      </c>
      <c r="L11" s="12">
        <f t="shared" si="175"/>
        <v>57.953752984288158</v>
      </c>
      <c r="M11" s="12">
        <f t="shared" si="175"/>
        <v>57.953752984288158</v>
      </c>
      <c r="N11" s="12">
        <f t="shared" si="175"/>
        <v>57.953752984288158</v>
      </c>
      <c r="O11" s="12">
        <f t="shared" si="175"/>
        <v>60.253752984288155</v>
      </c>
      <c r="P11" s="12">
        <f t="shared" si="175"/>
        <v>60.253752984288155</v>
      </c>
      <c r="Q11" s="12">
        <f t="shared" si="175"/>
        <v>60.253752984288155</v>
      </c>
      <c r="R11" s="12">
        <f t="shared" si="175"/>
        <v>60.253752984288155</v>
      </c>
      <c r="S11" s="12">
        <f t="shared" si="175"/>
        <v>60.253752984288155</v>
      </c>
      <c r="T11" s="12">
        <f t="shared" si="175"/>
        <v>60.253752984288155</v>
      </c>
      <c r="U11" s="12">
        <f t="shared" si="175"/>
        <v>60.253752984288155</v>
      </c>
      <c r="V11" s="12">
        <f t="shared" si="175"/>
        <v>60.253752984288155</v>
      </c>
      <c r="W11" s="12">
        <f t="shared" si="175"/>
        <v>60.253752984288155</v>
      </c>
      <c r="X11" s="12">
        <f t="shared" si="175"/>
        <v>60.253752984288155</v>
      </c>
      <c r="Y11" s="12">
        <f t="shared" si="175"/>
        <v>60.253752984288155</v>
      </c>
      <c r="Z11" s="12">
        <f t="shared" si="175"/>
        <v>60.253752984288155</v>
      </c>
      <c r="AA11" s="12">
        <f t="shared" si="175"/>
        <v>62.710002984288167</v>
      </c>
      <c r="AB11" s="12">
        <f t="shared" si="175"/>
        <v>62.710002984288167</v>
      </c>
      <c r="AC11" s="12">
        <f t="shared" si="175"/>
        <v>62.710002984288167</v>
      </c>
      <c r="AD11" s="12">
        <f t="shared" si="175"/>
        <v>62.710002984288167</v>
      </c>
      <c r="AE11" s="12">
        <f t="shared" si="175"/>
        <v>62.710002984288167</v>
      </c>
      <c r="AF11" s="12">
        <f t="shared" si="175"/>
        <v>62.710002984288167</v>
      </c>
      <c r="AG11" s="12">
        <f t="shared" si="175"/>
        <v>62.710002984288167</v>
      </c>
      <c r="AH11" s="12">
        <f t="shared" si="175"/>
        <v>62.710002984288167</v>
      </c>
      <c r="AI11" s="12">
        <f t="shared" ref="AI11:BN11" si="176">SUM(AI6:AI10)</f>
        <v>62.710002984288167</v>
      </c>
      <c r="AJ11" s="12">
        <f t="shared" si="176"/>
        <v>62.710002984288167</v>
      </c>
      <c r="AK11" s="12">
        <f t="shared" si="176"/>
        <v>62.710002984288167</v>
      </c>
      <c r="AL11" s="12">
        <f t="shared" si="176"/>
        <v>62.710002984288167</v>
      </c>
      <c r="AM11" s="12">
        <f t="shared" si="176"/>
        <v>65.333409234288155</v>
      </c>
      <c r="AN11" s="12">
        <f t="shared" si="176"/>
        <v>65.333409234288155</v>
      </c>
      <c r="AO11" s="12">
        <f t="shared" si="176"/>
        <v>65.333409234288155</v>
      </c>
      <c r="AP11" s="12">
        <f t="shared" si="176"/>
        <v>65.333409234288155</v>
      </c>
      <c r="AQ11" s="12">
        <f t="shared" si="176"/>
        <v>65.333409234288155</v>
      </c>
      <c r="AR11" s="12">
        <f t="shared" si="176"/>
        <v>65.333409234288155</v>
      </c>
      <c r="AS11" s="12">
        <f t="shared" si="176"/>
        <v>65.333409234288155</v>
      </c>
      <c r="AT11" s="12">
        <f t="shared" si="176"/>
        <v>65.333409234288155</v>
      </c>
      <c r="AU11" s="12">
        <f t="shared" si="176"/>
        <v>65.333409234288155</v>
      </c>
      <c r="AV11" s="12">
        <f t="shared" si="176"/>
        <v>65.333409234288155</v>
      </c>
      <c r="AW11" s="12">
        <f t="shared" si="176"/>
        <v>65.333409234288155</v>
      </c>
      <c r="AX11" s="12">
        <f t="shared" si="176"/>
        <v>65.333409234288155</v>
      </c>
      <c r="AY11" s="12">
        <f t="shared" si="176"/>
        <v>68.135655328038155</v>
      </c>
      <c r="AZ11" s="12">
        <f t="shared" si="176"/>
        <v>68.135655328038155</v>
      </c>
      <c r="BA11" s="12">
        <f t="shared" si="176"/>
        <v>68.135655328038155</v>
      </c>
      <c r="BB11" s="12">
        <f t="shared" si="176"/>
        <v>68.135655328038155</v>
      </c>
      <c r="BC11" s="12">
        <f t="shared" si="176"/>
        <v>68.135655328038155</v>
      </c>
      <c r="BD11" s="12">
        <f t="shared" si="176"/>
        <v>68.135655328038155</v>
      </c>
      <c r="BE11" s="12">
        <f t="shared" si="176"/>
        <v>68.135655328038155</v>
      </c>
      <c r="BF11" s="12">
        <f t="shared" si="176"/>
        <v>68.135655328038155</v>
      </c>
      <c r="BG11" s="12">
        <f t="shared" si="176"/>
        <v>68.135655328038155</v>
      </c>
      <c r="BH11" s="12">
        <f t="shared" si="176"/>
        <v>68.135655328038155</v>
      </c>
      <c r="BI11" s="12">
        <f t="shared" si="176"/>
        <v>68.135655328038155</v>
      </c>
      <c r="BJ11" s="12">
        <f t="shared" si="176"/>
        <v>68.135655328038155</v>
      </c>
      <c r="BK11" s="12">
        <f t="shared" si="176"/>
        <v>71.129258472569404</v>
      </c>
      <c r="BL11" s="12">
        <f t="shared" si="176"/>
        <v>71.129258472569404</v>
      </c>
      <c r="BM11" s="12">
        <f t="shared" si="176"/>
        <v>71.129258472569404</v>
      </c>
      <c r="BN11" s="12">
        <f t="shared" si="176"/>
        <v>71.129258472569404</v>
      </c>
      <c r="BO11" s="12">
        <f t="shared" ref="BO11:CO11" si="177">SUM(BO6:BO10)</f>
        <v>71.129258472569404</v>
      </c>
      <c r="BP11" s="12">
        <f t="shared" si="177"/>
        <v>71.129258472569404</v>
      </c>
      <c r="BQ11" s="12">
        <f t="shared" si="177"/>
        <v>71.129258472569404</v>
      </c>
      <c r="BR11" s="12">
        <f t="shared" si="177"/>
        <v>71.129258472569404</v>
      </c>
      <c r="BS11" s="12">
        <f t="shared" si="177"/>
        <v>71.129258472569404</v>
      </c>
      <c r="BT11" s="12">
        <f t="shared" si="177"/>
        <v>71.129258472569404</v>
      </c>
      <c r="BU11" s="12">
        <f t="shared" si="177"/>
        <v>71.129258472569404</v>
      </c>
      <c r="BV11" s="12">
        <f t="shared" si="177"/>
        <v>71.129258472569404</v>
      </c>
      <c r="BW11" s="12">
        <f t="shared" si="177"/>
        <v>73.538033746983473</v>
      </c>
      <c r="BX11" s="12">
        <f t="shared" si="177"/>
        <v>73.538033746983473</v>
      </c>
      <c r="BY11" s="12">
        <f t="shared" si="177"/>
        <v>73.538033746983473</v>
      </c>
      <c r="BZ11" s="12">
        <f t="shared" si="177"/>
        <v>73.538033746983473</v>
      </c>
      <c r="CA11" s="12">
        <f t="shared" si="177"/>
        <v>73.538033746983473</v>
      </c>
      <c r="CB11" s="12">
        <f t="shared" si="177"/>
        <v>73.538033746983473</v>
      </c>
      <c r="CC11" s="12">
        <f t="shared" si="177"/>
        <v>73.538033746983473</v>
      </c>
      <c r="CD11" s="12">
        <f t="shared" si="177"/>
        <v>73.538033746983473</v>
      </c>
      <c r="CE11" s="12">
        <f t="shared" si="177"/>
        <v>73.538033746983473</v>
      </c>
      <c r="CF11" s="12">
        <f t="shared" si="177"/>
        <v>73.538033746983473</v>
      </c>
      <c r="CG11" s="12">
        <f t="shared" si="177"/>
        <v>73.538033746983473</v>
      </c>
      <c r="CH11" s="12">
        <f t="shared" si="177"/>
        <v>73.538033746983473</v>
      </c>
      <c r="CI11" s="12">
        <f t="shared" si="177"/>
        <v>53.942570736694336</v>
      </c>
      <c r="CJ11" s="12">
        <f t="shared" si="177"/>
        <v>53.942570736694336</v>
      </c>
      <c r="CK11" s="12">
        <f t="shared" si="177"/>
        <v>53.942570736694336</v>
      </c>
      <c r="CL11" s="12">
        <f t="shared" si="177"/>
        <v>53.942570736694336</v>
      </c>
      <c r="CM11" s="12">
        <f t="shared" si="177"/>
        <v>53.942570736694336</v>
      </c>
      <c r="CN11" s="12">
        <f t="shared" si="177"/>
        <v>53.942570736694336</v>
      </c>
      <c r="CO11" s="8">
        <f t="shared" si="177"/>
        <v>5832.3018132370935</v>
      </c>
    </row>
    <row r="12" spans="2:93" ht="15.75" thickTop="1" x14ac:dyDescent="0.25"/>
    <row r="13" spans="2:93" ht="15" x14ac:dyDescent="0.25">
      <c r="B13" t="s">
        <v>9</v>
      </c>
      <c r="C13" s="6">
        <f>C6</f>
        <v>12.5</v>
      </c>
      <c r="D13" s="6">
        <f t="shared" ref="D13:BO13" si="178">D6</f>
        <v>12.5</v>
      </c>
      <c r="E13" s="6">
        <f t="shared" si="178"/>
        <v>12.5</v>
      </c>
      <c r="F13" s="6">
        <f t="shared" si="178"/>
        <v>12.5</v>
      </c>
      <c r="G13" s="6">
        <f t="shared" si="178"/>
        <v>12.5</v>
      </c>
      <c r="H13" s="6">
        <f t="shared" si="178"/>
        <v>12.5</v>
      </c>
      <c r="I13" s="6">
        <f t="shared" si="178"/>
        <v>12.5</v>
      </c>
      <c r="J13" s="6">
        <f t="shared" si="178"/>
        <v>12.5</v>
      </c>
      <c r="K13" s="6">
        <f t="shared" si="178"/>
        <v>12.5</v>
      </c>
      <c r="L13" s="6">
        <f t="shared" si="178"/>
        <v>12.5</v>
      </c>
      <c r="M13" s="6">
        <f t="shared" si="178"/>
        <v>12.5</v>
      </c>
      <c r="N13" s="6">
        <f t="shared" si="178"/>
        <v>12.5</v>
      </c>
      <c r="O13" s="6">
        <f t="shared" si="178"/>
        <v>13.125</v>
      </c>
      <c r="P13" s="6">
        <f t="shared" si="178"/>
        <v>13.125</v>
      </c>
      <c r="Q13" s="6">
        <f t="shared" si="178"/>
        <v>13.125</v>
      </c>
      <c r="R13" s="6">
        <f t="shared" si="178"/>
        <v>13.125</v>
      </c>
      <c r="S13" s="6">
        <f t="shared" si="178"/>
        <v>13.125</v>
      </c>
      <c r="T13" s="6">
        <f t="shared" si="178"/>
        <v>13.125</v>
      </c>
      <c r="U13" s="6">
        <f t="shared" si="178"/>
        <v>13.125</v>
      </c>
      <c r="V13" s="6">
        <f t="shared" si="178"/>
        <v>13.125</v>
      </c>
      <c r="W13" s="6">
        <f t="shared" si="178"/>
        <v>13.125</v>
      </c>
      <c r="X13" s="6">
        <f t="shared" si="178"/>
        <v>13.125</v>
      </c>
      <c r="Y13" s="6">
        <f t="shared" si="178"/>
        <v>13.125</v>
      </c>
      <c r="Z13" s="6">
        <f t="shared" si="178"/>
        <v>13.125</v>
      </c>
      <c r="AA13" s="6">
        <f t="shared" si="178"/>
        <v>13.78125</v>
      </c>
      <c r="AB13" s="6">
        <f t="shared" si="178"/>
        <v>13.78125</v>
      </c>
      <c r="AC13" s="6">
        <f t="shared" si="178"/>
        <v>13.78125</v>
      </c>
      <c r="AD13" s="6">
        <f t="shared" si="178"/>
        <v>13.78125</v>
      </c>
      <c r="AE13" s="6">
        <f t="shared" si="178"/>
        <v>13.78125</v>
      </c>
      <c r="AF13" s="6">
        <f t="shared" si="178"/>
        <v>13.78125</v>
      </c>
      <c r="AG13" s="6">
        <f t="shared" si="178"/>
        <v>13.78125</v>
      </c>
      <c r="AH13" s="6">
        <f t="shared" si="178"/>
        <v>13.78125</v>
      </c>
      <c r="AI13" s="6">
        <f t="shared" si="178"/>
        <v>13.78125</v>
      </c>
      <c r="AJ13" s="6">
        <f t="shared" si="178"/>
        <v>13.78125</v>
      </c>
      <c r="AK13" s="6">
        <f t="shared" si="178"/>
        <v>13.78125</v>
      </c>
      <c r="AL13" s="6">
        <f t="shared" si="178"/>
        <v>13.78125</v>
      </c>
      <c r="AM13" s="6">
        <f t="shared" si="178"/>
        <v>14.4703125</v>
      </c>
      <c r="AN13" s="6">
        <f t="shared" si="178"/>
        <v>14.4703125</v>
      </c>
      <c r="AO13" s="6">
        <f t="shared" si="178"/>
        <v>14.4703125</v>
      </c>
      <c r="AP13" s="6">
        <f t="shared" si="178"/>
        <v>14.4703125</v>
      </c>
      <c r="AQ13" s="6">
        <f t="shared" si="178"/>
        <v>14.4703125</v>
      </c>
      <c r="AR13" s="6">
        <f t="shared" si="178"/>
        <v>14.4703125</v>
      </c>
      <c r="AS13" s="6">
        <f t="shared" si="178"/>
        <v>14.4703125</v>
      </c>
      <c r="AT13" s="6">
        <f t="shared" si="178"/>
        <v>14.4703125</v>
      </c>
      <c r="AU13" s="6">
        <f t="shared" si="178"/>
        <v>14.4703125</v>
      </c>
      <c r="AV13" s="6">
        <f t="shared" si="178"/>
        <v>14.4703125</v>
      </c>
      <c r="AW13" s="6">
        <f t="shared" si="178"/>
        <v>14.4703125</v>
      </c>
      <c r="AX13" s="6">
        <f t="shared" si="178"/>
        <v>14.4703125</v>
      </c>
      <c r="AY13" s="6">
        <f t="shared" si="178"/>
        <v>15.193828125000001</v>
      </c>
      <c r="AZ13" s="6">
        <f t="shared" si="178"/>
        <v>15.193828125000001</v>
      </c>
      <c r="BA13" s="6">
        <f t="shared" si="178"/>
        <v>15.193828125000001</v>
      </c>
      <c r="BB13" s="6">
        <f t="shared" si="178"/>
        <v>15.193828125000001</v>
      </c>
      <c r="BC13" s="6">
        <f t="shared" si="178"/>
        <v>15.193828125000001</v>
      </c>
      <c r="BD13" s="6">
        <f t="shared" si="178"/>
        <v>15.193828125000001</v>
      </c>
      <c r="BE13" s="6">
        <f t="shared" si="178"/>
        <v>15.193828125000001</v>
      </c>
      <c r="BF13" s="6">
        <f t="shared" si="178"/>
        <v>15.193828125000001</v>
      </c>
      <c r="BG13" s="6">
        <f t="shared" si="178"/>
        <v>15.193828125000001</v>
      </c>
      <c r="BH13" s="6">
        <f t="shared" si="178"/>
        <v>15.193828125000001</v>
      </c>
      <c r="BI13" s="6">
        <f t="shared" si="178"/>
        <v>15.193828125000001</v>
      </c>
      <c r="BJ13" s="6">
        <f t="shared" si="178"/>
        <v>15.193828125000001</v>
      </c>
      <c r="BK13" s="6">
        <f t="shared" si="178"/>
        <v>15.953519531250002</v>
      </c>
      <c r="BL13" s="6">
        <f t="shared" si="178"/>
        <v>15.953519531250002</v>
      </c>
      <c r="BM13" s="6">
        <f t="shared" si="178"/>
        <v>15.953519531250002</v>
      </c>
      <c r="BN13" s="6">
        <f t="shared" si="178"/>
        <v>15.953519531250002</v>
      </c>
      <c r="BO13" s="6">
        <f t="shared" si="178"/>
        <v>15.953519531250002</v>
      </c>
      <c r="BP13" s="6">
        <f t="shared" ref="BP13:CN13" si="179">BP6</f>
        <v>15.953519531250002</v>
      </c>
      <c r="BQ13" s="6">
        <f t="shared" si="179"/>
        <v>15.953519531250002</v>
      </c>
      <c r="BR13" s="6">
        <f t="shared" si="179"/>
        <v>15.953519531250002</v>
      </c>
      <c r="BS13" s="6">
        <f t="shared" si="179"/>
        <v>15.953519531250002</v>
      </c>
      <c r="BT13" s="6">
        <f t="shared" si="179"/>
        <v>15.953519531250002</v>
      </c>
      <c r="BU13" s="6">
        <f t="shared" si="179"/>
        <v>15.953519531250002</v>
      </c>
      <c r="BV13" s="6">
        <f t="shared" si="179"/>
        <v>15.953519531250002</v>
      </c>
      <c r="BW13" s="6">
        <f t="shared" si="179"/>
        <v>16.751195507812504</v>
      </c>
      <c r="BX13" s="6">
        <f t="shared" si="179"/>
        <v>16.751195507812504</v>
      </c>
      <c r="BY13" s="6">
        <f t="shared" si="179"/>
        <v>16.751195507812504</v>
      </c>
      <c r="BZ13" s="6">
        <f t="shared" si="179"/>
        <v>16.751195507812504</v>
      </c>
      <c r="CA13" s="6">
        <f t="shared" si="179"/>
        <v>16.751195507812504</v>
      </c>
      <c r="CB13" s="6">
        <f t="shared" si="179"/>
        <v>16.751195507812504</v>
      </c>
      <c r="CC13" s="6">
        <f t="shared" si="179"/>
        <v>16.751195507812504</v>
      </c>
      <c r="CD13" s="6">
        <f t="shared" si="179"/>
        <v>16.751195507812504</v>
      </c>
      <c r="CE13" s="6">
        <f t="shared" si="179"/>
        <v>16.751195507812504</v>
      </c>
      <c r="CF13" s="6">
        <f t="shared" si="179"/>
        <v>16.751195507812504</v>
      </c>
      <c r="CG13" s="6">
        <f t="shared" si="179"/>
        <v>16.751195507812504</v>
      </c>
      <c r="CH13" s="6">
        <f t="shared" si="179"/>
        <v>16.751195507812504</v>
      </c>
      <c r="CI13" s="6">
        <f t="shared" si="179"/>
        <v>17.588755283203131</v>
      </c>
      <c r="CJ13" s="6">
        <f t="shared" si="179"/>
        <v>17.588755283203131</v>
      </c>
      <c r="CK13" s="6">
        <f t="shared" si="179"/>
        <v>17.588755283203131</v>
      </c>
      <c r="CL13" s="6">
        <f t="shared" si="179"/>
        <v>17.588755283203131</v>
      </c>
      <c r="CM13" s="6">
        <f t="shared" si="179"/>
        <v>17.588755283203131</v>
      </c>
      <c r="CN13" s="6">
        <f t="shared" si="179"/>
        <v>17.588755283203131</v>
      </c>
      <c r="CO13" s="8">
        <f>SUM(C13:CN13)</f>
        <v>1326.8337996679693</v>
      </c>
    </row>
    <row r="14" spans="2:93" ht="15" x14ac:dyDescent="0.25">
      <c r="B14" t="s">
        <v>12</v>
      </c>
      <c r="C14" s="6">
        <f>C8*80%</f>
        <v>16</v>
      </c>
      <c r="D14" s="6">
        <f t="shared" ref="D14:BO14" si="180">D8*80%</f>
        <v>16</v>
      </c>
      <c r="E14" s="6">
        <f t="shared" si="180"/>
        <v>16</v>
      </c>
      <c r="F14" s="6">
        <f t="shared" si="180"/>
        <v>16</v>
      </c>
      <c r="G14" s="6">
        <f t="shared" si="180"/>
        <v>16</v>
      </c>
      <c r="H14" s="6">
        <f t="shared" si="180"/>
        <v>16</v>
      </c>
      <c r="I14" s="6">
        <f t="shared" si="180"/>
        <v>16</v>
      </c>
      <c r="J14" s="6">
        <f t="shared" si="180"/>
        <v>16</v>
      </c>
      <c r="K14" s="6">
        <f t="shared" si="180"/>
        <v>16</v>
      </c>
      <c r="L14" s="6">
        <f t="shared" si="180"/>
        <v>16</v>
      </c>
      <c r="M14" s="6">
        <f t="shared" si="180"/>
        <v>16</v>
      </c>
      <c r="N14" s="6">
        <f t="shared" si="180"/>
        <v>16</v>
      </c>
      <c r="O14" s="6">
        <f t="shared" si="180"/>
        <v>17.2</v>
      </c>
      <c r="P14" s="6">
        <f t="shared" si="180"/>
        <v>17.2</v>
      </c>
      <c r="Q14" s="6">
        <f t="shared" si="180"/>
        <v>17.2</v>
      </c>
      <c r="R14" s="6">
        <f t="shared" si="180"/>
        <v>17.2</v>
      </c>
      <c r="S14" s="6">
        <f t="shared" si="180"/>
        <v>17.2</v>
      </c>
      <c r="T14" s="6">
        <f t="shared" si="180"/>
        <v>17.2</v>
      </c>
      <c r="U14" s="6">
        <f t="shared" si="180"/>
        <v>17.2</v>
      </c>
      <c r="V14" s="6">
        <f t="shared" si="180"/>
        <v>17.2</v>
      </c>
      <c r="W14" s="6">
        <f t="shared" si="180"/>
        <v>17.2</v>
      </c>
      <c r="X14" s="6">
        <f t="shared" si="180"/>
        <v>17.2</v>
      </c>
      <c r="Y14" s="6">
        <f t="shared" si="180"/>
        <v>17.2</v>
      </c>
      <c r="Z14" s="6">
        <f t="shared" si="180"/>
        <v>17.2</v>
      </c>
      <c r="AA14" s="6">
        <f t="shared" si="180"/>
        <v>18.490000000000002</v>
      </c>
      <c r="AB14" s="6">
        <f t="shared" si="180"/>
        <v>18.490000000000002</v>
      </c>
      <c r="AC14" s="6">
        <f t="shared" si="180"/>
        <v>18.490000000000002</v>
      </c>
      <c r="AD14" s="6">
        <f t="shared" si="180"/>
        <v>18.490000000000002</v>
      </c>
      <c r="AE14" s="6">
        <f t="shared" si="180"/>
        <v>18.490000000000002</v>
      </c>
      <c r="AF14" s="6">
        <f t="shared" si="180"/>
        <v>18.490000000000002</v>
      </c>
      <c r="AG14" s="6">
        <f t="shared" si="180"/>
        <v>18.490000000000002</v>
      </c>
      <c r="AH14" s="6">
        <f t="shared" si="180"/>
        <v>18.490000000000002</v>
      </c>
      <c r="AI14" s="6">
        <f t="shared" si="180"/>
        <v>18.490000000000002</v>
      </c>
      <c r="AJ14" s="6">
        <f t="shared" si="180"/>
        <v>18.490000000000002</v>
      </c>
      <c r="AK14" s="6">
        <f t="shared" si="180"/>
        <v>18.490000000000002</v>
      </c>
      <c r="AL14" s="6">
        <f t="shared" si="180"/>
        <v>18.490000000000002</v>
      </c>
      <c r="AM14" s="6">
        <f t="shared" si="180"/>
        <v>19.876750000000001</v>
      </c>
      <c r="AN14" s="6">
        <f t="shared" si="180"/>
        <v>19.876750000000001</v>
      </c>
      <c r="AO14" s="6">
        <f t="shared" si="180"/>
        <v>19.876750000000001</v>
      </c>
      <c r="AP14" s="6">
        <f t="shared" si="180"/>
        <v>19.876750000000001</v>
      </c>
      <c r="AQ14" s="6">
        <f t="shared" si="180"/>
        <v>19.876750000000001</v>
      </c>
      <c r="AR14" s="6">
        <f t="shared" si="180"/>
        <v>19.876750000000001</v>
      </c>
      <c r="AS14" s="6">
        <f t="shared" si="180"/>
        <v>19.876750000000001</v>
      </c>
      <c r="AT14" s="6">
        <f t="shared" si="180"/>
        <v>19.876750000000001</v>
      </c>
      <c r="AU14" s="6">
        <f t="shared" si="180"/>
        <v>19.876750000000001</v>
      </c>
      <c r="AV14" s="6">
        <f t="shared" si="180"/>
        <v>19.876750000000001</v>
      </c>
      <c r="AW14" s="6">
        <f t="shared" si="180"/>
        <v>19.876750000000001</v>
      </c>
      <c r="AX14" s="6">
        <f t="shared" si="180"/>
        <v>19.876750000000001</v>
      </c>
      <c r="AY14" s="6">
        <f t="shared" si="180"/>
        <v>21.367506249999998</v>
      </c>
      <c r="AZ14" s="6">
        <f t="shared" si="180"/>
        <v>21.367506249999998</v>
      </c>
      <c r="BA14" s="6">
        <f t="shared" si="180"/>
        <v>21.367506249999998</v>
      </c>
      <c r="BB14" s="6">
        <f t="shared" si="180"/>
        <v>21.367506249999998</v>
      </c>
      <c r="BC14" s="6">
        <f t="shared" si="180"/>
        <v>21.367506249999998</v>
      </c>
      <c r="BD14" s="6">
        <f t="shared" si="180"/>
        <v>21.367506249999998</v>
      </c>
      <c r="BE14" s="6">
        <f t="shared" si="180"/>
        <v>21.367506249999998</v>
      </c>
      <c r="BF14" s="6">
        <f t="shared" si="180"/>
        <v>21.367506249999998</v>
      </c>
      <c r="BG14" s="6">
        <f t="shared" si="180"/>
        <v>21.367506249999998</v>
      </c>
      <c r="BH14" s="6">
        <f t="shared" si="180"/>
        <v>21.367506249999998</v>
      </c>
      <c r="BI14" s="6">
        <f t="shared" si="180"/>
        <v>21.367506249999998</v>
      </c>
      <c r="BJ14" s="6">
        <f t="shared" si="180"/>
        <v>21.367506249999998</v>
      </c>
      <c r="BK14" s="6">
        <f t="shared" si="180"/>
        <v>22.970069218749998</v>
      </c>
      <c r="BL14" s="6">
        <f t="shared" si="180"/>
        <v>22.970069218749998</v>
      </c>
      <c r="BM14" s="6">
        <f t="shared" si="180"/>
        <v>22.970069218749998</v>
      </c>
      <c r="BN14" s="6">
        <f t="shared" si="180"/>
        <v>22.970069218749998</v>
      </c>
      <c r="BO14" s="6">
        <f t="shared" si="180"/>
        <v>22.970069218749998</v>
      </c>
      <c r="BP14" s="6">
        <f t="shared" ref="BP14:CN14" si="181">BP8*80%</f>
        <v>22.970069218749998</v>
      </c>
      <c r="BQ14" s="6">
        <f t="shared" si="181"/>
        <v>22.970069218749998</v>
      </c>
      <c r="BR14" s="6">
        <f t="shared" si="181"/>
        <v>22.970069218749998</v>
      </c>
      <c r="BS14" s="6">
        <f t="shared" si="181"/>
        <v>22.970069218749998</v>
      </c>
      <c r="BT14" s="6">
        <f t="shared" si="181"/>
        <v>22.970069218749998</v>
      </c>
      <c r="BU14" s="6">
        <f t="shared" si="181"/>
        <v>22.970069218749998</v>
      </c>
      <c r="BV14" s="6">
        <f t="shared" si="181"/>
        <v>22.970069218749998</v>
      </c>
      <c r="BW14" s="6">
        <f t="shared" si="181"/>
        <v>24.1185726796875</v>
      </c>
      <c r="BX14" s="6">
        <f t="shared" si="181"/>
        <v>24.1185726796875</v>
      </c>
      <c r="BY14" s="6">
        <f t="shared" si="181"/>
        <v>24.1185726796875</v>
      </c>
      <c r="BZ14" s="6">
        <f t="shared" si="181"/>
        <v>24.1185726796875</v>
      </c>
      <c r="CA14" s="6">
        <f t="shared" si="181"/>
        <v>24.1185726796875</v>
      </c>
      <c r="CB14" s="6">
        <f t="shared" si="181"/>
        <v>24.1185726796875</v>
      </c>
      <c r="CC14" s="6">
        <f t="shared" si="181"/>
        <v>24.1185726796875</v>
      </c>
      <c r="CD14" s="6">
        <f t="shared" si="181"/>
        <v>24.1185726796875</v>
      </c>
      <c r="CE14" s="6">
        <f t="shared" si="181"/>
        <v>24.1185726796875</v>
      </c>
      <c r="CF14" s="6">
        <f t="shared" si="181"/>
        <v>24.1185726796875</v>
      </c>
      <c r="CG14" s="6">
        <f t="shared" si="181"/>
        <v>24.1185726796875</v>
      </c>
      <c r="CH14" s="6">
        <f t="shared" si="181"/>
        <v>24.1185726796875</v>
      </c>
      <c r="CI14" s="6">
        <f t="shared" si="181"/>
        <v>25.927465630664059</v>
      </c>
      <c r="CJ14" s="6">
        <f t="shared" si="181"/>
        <v>25.927465630664059</v>
      </c>
      <c r="CK14" s="6">
        <f t="shared" si="181"/>
        <v>25.927465630664059</v>
      </c>
      <c r="CL14" s="6">
        <f t="shared" si="181"/>
        <v>25.927465630664059</v>
      </c>
      <c r="CM14" s="6">
        <f t="shared" si="181"/>
        <v>25.927465630664059</v>
      </c>
      <c r="CN14" s="6">
        <f t="shared" si="181"/>
        <v>25.927465630664059</v>
      </c>
      <c r="CO14" s="8">
        <f>SUM(C14:CN14)</f>
        <v>1835.8395715652352</v>
      </c>
    </row>
    <row r="15" spans="2:93" ht="15" x14ac:dyDescent="0.25">
      <c r="B15" t="s">
        <v>15</v>
      </c>
      <c r="C15" s="9">
        <v>6.75</v>
      </c>
      <c r="D15" s="9">
        <v>6.75</v>
      </c>
      <c r="E15" s="9">
        <v>6.75</v>
      </c>
      <c r="F15" s="9">
        <v>6.75</v>
      </c>
      <c r="G15" s="9">
        <v>6.75</v>
      </c>
      <c r="H15" s="9">
        <v>6.75</v>
      </c>
      <c r="I15" s="9">
        <v>6.75</v>
      </c>
      <c r="J15" s="9">
        <v>6.67</v>
      </c>
      <c r="K15" s="9">
        <v>6.59</v>
      </c>
      <c r="L15" s="9">
        <v>6.51</v>
      </c>
      <c r="M15" s="9">
        <v>6.43</v>
      </c>
      <c r="N15" s="9">
        <v>6.35</v>
      </c>
      <c r="O15" s="9">
        <v>6.27</v>
      </c>
      <c r="P15" s="9">
        <v>6.19</v>
      </c>
      <c r="Q15" s="9">
        <v>6.11</v>
      </c>
      <c r="R15" s="9">
        <v>6.03</v>
      </c>
      <c r="S15" s="9">
        <v>5.95</v>
      </c>
      <c r="T15" s="9">
        <v>5.87</v>
      </c>
      <c r="U15" s="9">
        <v>5.79</v>
      </c>
      <c r="V15" s="9">
        <v>5.71</v>
      </c>
      <c r="W15" s="9">
        <v>5.63</v>
      </c>
      <c r="X15" s="9">
        <v>5.55</v>
      </c>
      <c r="Y15" s="9">
        <v>5.46</v>
      </c>
      <c r="Z15" s="9">
        <v>5.38</v>
      </c>
      <c r="AA15" s="9">
        <v>5.3</v>
      </c>
      <c r="AB15" s="9">
        <v>5.22</v>
      </c>
      <c r="AC15" s="9">
        <v>5.14</v>
      </c>
      <c r="AD15" s="9">
        <v>5.0599999999999996</v>
      </c>
      <c r="AE15" s="9">
        <v>4.9800000000000004</v>
      </c>
      <c r="AF15" s="9">
        <v>4.9000000000000004</v>
      </c>
      <c r="AG15" s="9">
        <v>4.82</v>
      </c>
      <c r="AH15" s="9">
        <v>4.74</v>
      </c>
      <c r="AI15" s="9">
        <v>4.66</v>
      </c>
      <c r="AJ15" s="9">
        <v>4.58</v>
      </c>
      <c r="AK15" s="9">
        <v>4.5</v>
      </c>
      <c r="AL15" s="9">
        <v>4.42</v>
      </c>
      <c r="AM15" s="9">
        <v>4.34</v>
      </c>
      <c r="AN15" s="9">
        <v>4.26</v>
      </c>
      <c r="AO15" s="9">
        <v>4.18</v>
      </c>
      <c r="AP15" s="9">
        <v>4.0999999999999996</v>
      </c>
      <c r="AQ15" s="9">
        <v>4.0199999999999996</v>
      </c>
      <c r="AR15" s="9">
        <v>3.94</v>
      </c>
      <c r="AS15" s="9">
        <v>3.86</v>
      </c>
      <c r="AT15" s="9">
        <v>3.78</v>
      </c>
      <c r="AU15" s="9">
        <v>3.7</v>
      </c>
      <c r="AV15" s="9">
        <v>3.62</v>
      </c>
      <c r="AW15" s="9">
        <v>3.54</v>
      </c>
      <c r="AX15" s="9">
        <v>3.46</v>
      </c>
      <c r="AY15" s="9">
        <v>3.38</v>
      </c>
      <c r="AZ15" s="9">
        <v>3.3</v>
      </c>
      <c r="BA15" s="9">
        <v>3.22</v>
      </c>
      <c r="BB15" s="9">
        <v>3.14</v>
      </c>
      <c r="BC15" s="9">
        <v>3.06</v>
      </c>
      <c r="BD15" s="9">
        <v>2.97</v>
      </c>
      <c r="BE15" s="9">
        <v>2.89</v>
      </c>
      <c r="BF15" s="9">
        <v>2.81</v>
      </c>
      <c r="BG15" s="9">
        <v>2.73</v>
      </c>
      <c r="BH15" s="9">
        <v>2.65</v>
      </c>
      <c r="BI15" s="9">
        <v>2.57</v>
      </c>
      <c r="BJ15" s="9">
        <v>2.4900000000000002</v>
      </c>
      <c r="BK15" s="9">
        <v>2.41</v>
      </c>
      <c r="BL15" s="9">
        <v>2.33</v>
      </c>
      <c r="BM15" s="9">
        <v>2.25</v>
      </c>
      <c r="BN15" s="9">
        <v>2.17</v>
      </c>
      <c r="BO15" s="9">
        <v>2.09</v>
      </c>
      <c r="BP15" s="9">
        <v>2.0099999999999998</v>
      </c>
      <c r="BQ15" s="9">
        <v>1.93</v>
      </c>
      <c r="BR15" s="9">
        <v>1.85</v>
      </c>
      <c r="BS15" s="9">
        <v>1.77</v>
      </c>
      <c r="BT15" s="9">
        <v>1.69</v>
      </c>
      <c r="BU15" s="9">
        <v>1.61</v>
      </c>
      <c r="BV15" s="9">
        <v>1.53</v>
      </c>
      <c r="BW15" s="9">
        <v>1.45</v>
      </c>
      <c r="BX15" s="9">
        <v>1.37</v>
      </c>
      <c r="BY15" s="9">
        <v>1.29</v>
      </c>
      <c r="BZ15" s="9">
        <v>1.21</v>
      </c>
      <c r="CA15" s="9">
        <v>1.1299999999999999</v>
      </c>
      <c r="CB15" s="9">
        <v>1.05</v>
      </c>
      <c r="CC15" s="9">
        <v>0.97</v>
      </c>
      <c r="CD15" s="9">
        <v>0.89</v>
      </c>
      <c r="CE15" s="9">
        <v>0.81</v>
      </c>
      <c r="CF15" s="9">
        <v>0.73</v>
      </c>
      <c r="CG15" s="9">
        <v>0.65</v>
      </c>
      <c r="CH15" s="9">
        <v>0.56000000000000005</v>
      </c>
      <c r="CI15" s="9">
        <v>0.48</v>
      </c>
      <c r="CJ15" s="9">
        <v>0.4</v>
      </c>
      <c r="CK15" s="9">
        <v>0.32</v>
      </c>
      <c r="CL15" s="9">
        <v>0.24</v>
      </c>
      <c r="CM15" s="9">
        <v>0.16</v>
      </c>
      <c r="CN15" s="9">
        <v>0.08</v>
      </c>
      <c r="CO15" s="8">
        <f>SUM(C15:CN15)</f>
        <v>327.50000000000011</v>
      </c>
    </row>
    <row r="16" spans="2:93" ht="15" x14ac:dyDescent="0.25">
      <c r="B16" t="s">
        <v>16</v>
      </c>
      <c r="C16" s="4">
        <f>ROUND(1200*15%/12,2)</f>
        <v>15</v>
      </c>
      <c r="D16" s="4">
        <f t="shared" ref="D16:BO16" si="182">ROUND(1200*15%/12,2)</f>
        <v>15</v>
      </c>
      <c r="E16" s="4">
        <f t="shared" si="182"/>
        <v>15</v>
      </c>
      <c r="F16" s="4">
        <f t="shared" si="182"/>
        <v>15</v>
      </c>
      <c r="G16" s="4">
        <f t="shared" si="182"/>
        <v>15</v>
      </c>
      <c r="H16" s="4">
        <f t="shared" si="182"/>
        <v>15</v>
      </c>
      <c r="I16" s="4">
        <f t="shared" si="182"/>
        <v>15</v>
      </c>
      <c r="J16" s="4">
        <f t="shared" si="182"/>
        <v>15</v>
      </c>
      <c r="K16" s="4">
        <f t="shared" si="182"/>
        <v>15</v>
      </c>
      <c r="L16" s="4">
        <f t="shared" si="182"/>
        <v>15</v>
      </c>
      <c r="M16" s="4">
        <f t="shared" si="182"/>
        <v>15</v>
      </c>
      <c r="N16" s="4">
        <f t="shared" si="182"/>
        <v>15</v>
      </c>
      <c r="O16" s="4">
        <f t="shared" si="182"/>
        <v>15</v>
      </c>
      <c r="P16" s="4">
        <f t="shared" si="182"/>
        <v>15</v>
      </c>
      <c r="Q16" s="4">
        <f t="shared" si="182"/>
        <v>15</v>
      </c>
      <c r="R16" s="4">
        <f t="shared" si="182"/>
        <v>15</v>
      </c>
      <c r="S16" s="4">
        <f t="shared" si="182"/>
        <v>15</v>
      </c>
      <c r="T16" s="4">
        <f t="shared" si="182"/>
        <v>15</v>
      </c>
      <c r="U16" s="4">
        <f t="shared" si="182"/>
        <v>15</v>
      </c>
      <c r="V16" s="4">
        <f t="shared" si="182"/>
        <v>15</v>
      </c>
      <c r="W16" s="4">
        <f t="shared" si="182"/>
        <v>15</v>
      </c>
      <c r="X16" s="4">
        <f t="shared" si="182"/>
        <v>15</v>
      </c>
      <c r="Y16" s="4">
        <f t="shared" si="182"/>
        <v>15</v>
      </c>
      <c r="Z16" s="4">
        <f t="shared" si="182"/>
        <v>15</v>
      </c>
      <c r="AA16" s="4">
        <f t="shared" si="182"/>
        <v>15</v>
      </c>
      <c r="AB16" s="4">
        <f t="shared" si="182"/>
        <v>15</v>
      </c>
      <c r="AC16" s="4">
        <f t="shared" si="182"/>
        <v>15</v>
      </c>
      <c r="AD16" s="4">
        <f t="shared" si="182"/>
        <v>15</v>
      </c>
      <c r="AE16" s="4">
        <f t="shared" si="182"/>
        <v>15</v>
      </c>
      <c r="AF16" s="4">
        <f t="shared" si="182"/>
        <v>15</v>
      </c>
      <c r="AG16" s="4">
        <f t="shared" si="182"/>
        <v>15</v>
      </c>
      <c r="AH16" s="4">
        <f t="shared" si="182"/>
        <v>15</v>
      </c>
      <c r="AI16" s="4">
        <f t="shared" si="182"/>
        <v>15</v>
      </c>
      <c r="AJ16" s="4">
        <f t="shared" si="182"/>
        <v>15</v>
      </c>
      <c r="AK16" s="4">
        <f t="shared" si="182"/>
        <v>15</v>
      </c>
      <c r="AL16" s="4">
        <f t="shared" si="182"/>
        <v>15</v>
      </c>
      <c r="AM16" s="4">
        <f t="shared" si="182"/>
        <v>15</v>
      </c>
      <c r="AN16" s="4">
        <f t="shared" si="182"/>
        <v>15</v>
      </c>
      <c r="AO16" s="4">
        <f t="shared" si="182"/>
        <v>15</v>
      </c>
      <c r="AP16" s="4">
        <f t="shared" si="182"/>
        <v>15</v>
      </c>
      <c r="AQ16" s="4">
        <f t="shared" si="182"/>
        <v>15</v>
      </c>
      <c r="AR16" s="4">
        <f t="shared" si="182"/>
        <v>15</v>
      </c>
      <c r="AS16" s="4">
        <f t="shared" si="182"/>
        <v>15</v>
      </c>
      <c r="AT16" s="4">
        <f t="shared" si="182"/>
        <v>15</v>
      </c>
      <c r="AU16" s="4">
        <f t="shared" si="182"/>
        <v>15</v>
      </c>
      <c r="AV16" s="4">
        <f t="shared" si="182"/>
        <v>15</v>
      </c>
      <c r="AW16" s="4">
        <f t="shared" si="182"/>
        <v>15</v>
      </c>
      <c r="AX16" s="4">
        <f t="shared" si="182"/>
        <v>15</v>
      </c>
      <c r="AY16" s="4">
        <f t="shared" si="182"/>
        <v>15</v>
      </c>
      <c r="AZ16" s="4">
        <f t="shared" si="182"/>
        <v>15</v>
      </c>
      <c r="BA16" s="4">
        <f t="shared" si="182"/>
        <v>15</v>
      </c>
      <c r="BB16" s="4">
        <f t="shared" si="182"/>
        <v>15</v>
      </c>
      <c r="BC16" s="4">
        <f t="shared" si="182"/>
        <v>15</v>
      </c>
      <c r="BD16" s="4">
        <f t="shared" si="182"/>
        <v>15</v>
      </c>
      <c r="BE16" s="4">
        <f t="shared" si="182"/>
        <v>15</v>
      </c>
      <c r="BF16" s="4">
        <f t="shared" si="182"/>
        <v>15</v>
      </c>
      <c r="BG16" s="4">
        <f t="shared" si="182"/>
        <v>15</v>
      </c>
      <c r="BH16" s="4">
        <f t="shared" si="182"/>
        <v>15</v>
      </c>
      <c r="BI16" s="4">
        <f t="shared" si="182"/>
        <v>15</v>
      </c>
      <c r="BJ16" s="4">
        <f t="shared" si="182"/>
        <v>15</v>
      </c>
      <c r="BK16" s="4">
        <f t="shared" si="182"/>
        <v>15</v>
      </c>
      <c r="BL16" s="4">
        <f t="shared" si="182"/>
        <v>15</v>
      </c>
      <c r="BM16" s="4">
        <f t="shared" si="182"/>
        <v>15</v>
      </c>
      <c r="BN16" s="4">
        <f t="shared" si="182"/>
        <v>15</v>
      </c>
      <c r="BO16" s="4">
        <f t="shared" si="182"/>
        <v>15</v>
      </c>
      <c r="BP16" s="4">
        <f t="shared" ref="BP16:BV16" si="183">ROUND(1200*15%/12,2)</f>
        <v>15</v>
      </c>
      <c r="BQ16" s="4">
        <f t="shared" si="183"/>
        <v>15</v>
      </c>
      <c r="BR16" s="4">
        <f t="shared" si="183"/>
        <v>15</v>
      </c>
      <c r="BS16" s="4">
        <f t="shared" si="183"/>
        <v>15</v>
      </c>
      <c r="BT16" s="4">
        <f t="shared" si="183"/>
        <v>15</v>
      </c>
      <c r="BU16" s="4">
        <f t="shared" si="183"/>
        <v>15</v>
      </c>
      <c r="BV16" s="4">
        <f t="shared" si="183"/>
        <v>15</v>
      </c>
      <c r="BW16">
        <v>5</v>
      </c>
      <c r="BX16">
        <v>5</v>
      </c>
      <c r="BY16">
        <v>5</v>
      </c>
      <c r="BZ16">
        <v>5</v>
      </c>
      <c r="CA16">
        <v>5</v>
      </c>
      <c r="CB16">
        <v>5</v>
      </c>
      <c r="CC16">
        <v>5</v>
      </c>
      <c r="CD16">
        <v>5</v>
      </c>
      <c r="CE16">
        <v>5</v>
      </c>
      <c r="CF16">
        <v>5</v>
      </c>
      <c r="CG16">
        <v>5</v>
      </c>
      <c r="CH16">
        <v>5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8">
        <f>SUM(C16:CN16)</f>
        <v>1140</v>
      </c>
    </row>
    <row r="17" spans="2:93" ht="15.75" thickBot="1" x14ac:dyDescent="0.3">
      <c r="B17" t="s">
        <v>23</v>
      </c>
      <c r="C17" s="12">
        <f>SUM(C13:C16)</f>
        <v>50.25</v>
      </c>
      <c r="D17" s="12">
        <f t="shared" ref="D17:BO17" si="184">SUM(D13:D16)</f>
        <v>50.25</v>
      </c>
      <c r="E17" s="12">
        <f t="shared" si="184"/>
        <v>50.25</v>
      </c>
      <c r="F17" s="12">
        <f t="shared" si="184"/>
        <v>50.25</v>
      </c>
      <c r="G17" s="12">
        <f t="shared" si="184"/>
        <v>50.25</v>
      </c>
      <c r="H17" s="12">
        <f t="shared" si="184"/>
        <v>50.25</v>
      </c>
      <c r="I17" s="12">
        <f t="shared" si="184"/>
        <v>50.25</v>
      </c>
      <c r="J17" s="12">
        <f t="shared" si="184"/>
        <v>50.17</v>
      </c>
      <c r="K17" s="12">
        <f t="shared" si="184"/>
        <v>50.09</v>
      </c>
      <c r="L17" s="12">
        <f t="shared" si="184"/>
        <v>50.01</v>
      </c>
      <c r="M17" s="12">
        <f t="shared" si="184"/>
        <v>49.93</v>
      </c>
      <c r="N17" s="12">
        <f t="shared" si="184"/>
        <v>49.85</v>
      </c>
      <c r="O17" s="12">
        <f t="shared" si="184"/>
        <v>51.594999999999999</v>
      </c>
      <c r="P17" s="12">
        <f t="shared" si="184"/>
        <v>51.515000000000001</v>
      </c>
      <c r="Q17" s="12">
        <f t="shared" si="184"/>
        <v>51.435000000000002</v>
      </c>
      <c r="R17" s="12">
        <f t="shared" si="184"/>
        <v>51.354999999999997</v>
      </c>
      <c r="S17" s="12">
        <f t="shared" si="184"/>
        <v>51.274999999999999</v>
      </c>
      <c r="T17" s="12">
        <f t="shared" si="184"/>
        <v>51.195</v>
      </c>
      <c r="U17" s="12">
        <f t="shared" si="184"/>
        <v>51.115000000000002</v>
      </c>
      <c r="V17" s="12">
        <f t="shared" si="184"/>
        <v>51.034999999999997</v>
      </c>
      <c r="W17" s="12">
        <f t="shared" si="184"/>
        <v>50.954999999999998</v>
      </c>
      <c r="X17" s="12">
        <f t="shared" si="184"/>
        <v>50.875</v>
      </c>
      <c r="Y17" s="12">
        <f t="shared" si="184"/>
        <v>50.784999999999997</v>
      </c>
      <c r="Z17" s="12">
        <f t="shared" si="184"/>
        <v>50.704999999999998</v>
      </c>
      <c r="AA17" s="12">
        <f t="shared" si="184"/>
        <v>52.571249999999999</v>
      </c>
      <c r="AB17" s="12">
        <f t="shared" si="184"/>
        <v>52.491250000000001</v>
      </c>
      <c r="AC17" s="12">
        <f t="shared" si="184"/>
        <v>52.411250000000003</v>
      </c>
      <c r="AD17" s="12">
        <f t="shared" si="184"/>
        <v>52.331250000000004</v>
      </c>
      <c r="AE17" s="12">
        <f t="shared" si="184"/>
        <v>52.251249999999999</v>
      </c>
      <c r="AF17" s="12">
        <f t="shared" si="184"/>
        <v>52.171250000000001</v>
      </c>
      <c r="AG17" s="12">
        <f t="shared" si="184"/>
        <v>52.091250000000002</v>
      </c>
      <c r="AH17" s="12">
        <f t="shared" si="184"/>
        <v>52.011250000000004</v>
      </c>
      <c r="AI17" s="12">
        <f t="shared" si="184"/>
        <v>51.931250000000006</v>
      </c>
      <c r="AJ17" s="12">
        <f t="shared" si="184"/>
        <v>51.85125</v>
      </c>
      <c r="AK17" s="12">
        <f t="shared" si="184"/>
        <v>51.771250000000002</v>
      </c>
      <c r="AL17" s="12">
        <f t="shared" si="184"/>
        <v>51.691250000000004</v>
      </c>
      <c r="AM17" s="12">
        <f t="shared" si="184"/>
        <v>53.687062499999996</v>
      </c>
      <c r="AN17" s="12">
        <f t="shared" si="184"/>
        <v>53.607062499999998</v>
      </c>
      <c r="AO17" s="12">
        <f t="shared" si="184"/>
        <v>53.5270625</v>
      </c>
      <c r="AP17" s="12">
        <f t="shared" si="184"/>
        <v>53.447062500000001</v>
      </c>
      <c r="AQ17" s="12">
        <f t="shared" si="184"/>
        <v>53.367062500000003</v>
      </c>
      <c r="AR17" s="12">
        <f t="shared" si="184"/>
        <v>53.287062499999998</v>
      </c>
      <c r="AS17" s="12">
        <f t="shared" si="184"/>
        <v>53.207062499999999</v>
      </c>
      <c r="AT17" s="12">
        <f t="shared" si="184"/>
        <v>53.127062500000001</v>
      </c>
      <c r="AU17" s="12">
        <f t="shared" si="184"/>
        <v>53.047062500000003</v>
      </c>
      <c r="AV17" s="12">
        <f t="shared" si="184"/>
        <v>52.967062499999997</v>
      </c>
      <c r="AW17" s="12">
        <f t="shared" si="184"/>
        <v>52.887062499999999</v>
      </c>
      <c r="AX17" s="12">
        <f t="shared" si="184"/>
        <v>52.807062500000001</v>
      </c>
      <c r="AY17" s="12">
        <f t="shared" si="184"/>
        <v>54.941334375000004</v>
      </c>
      <c r="AZ17" s="12">
        <f t="shared" si="184"/>
        <v>54.861334374999998</v>
      </c>
      <c r="BA17" s="12">
        <f t="shared" si="184"/>
        <v>54.781334375</v>
      </c>
      <c r="BB17" s="12">
        <f t="shared" si="184"/>
        <v>54.701334375000002</v>
      </c>
      <c r="BC17" s="12">
        <f t="shared" si="184"/>
        <v>54.621334375000004</v>
      </c>
      <c r="BD17" s="12">
        <f t="shared" si="184"/>
        <v>54.531334375</v>
      </c>
      <c r="BE17" s="12">
        <f t="shared" si="184"/>
        <v>54.451334375000002</v>
      </c>
      <c r="BF17" s="12">
        <f t="shared" si="184"/>
        <v>54.371334375000004</v>
      </c>
      <c r="BG17" s="12">
        <f t="shared" si="184"/>
        <v>54.291334374999998</v>
      </c>
      <c r="BH17" s="12">
        <f t="shared" si="184"/>
        <v>54.211334375</v>
      </c>
      <c r="BI17" s="12">
        <f t="shared" si="184"/>
        <v>54.131334375000002</v>
      </c>
      <c r="BJ17" s="12">
        <f t="shared" si="184"/>
        <v>54.051334375000003</v>
      </c>
      <c r="BK17" s="12">
        <f t="shared" si="184"/>
        <v>56.333588750000004</v>
      </c>
      <c r="BL17" s="12">
        <f t="shared" si="184"/>
        <v>56.253588749999999</v>
      </c>
      <c r="BM17" s="12">
        <f t="shared" si="184"/>
        <v>56.17358875</v>
      </c>
      <c r="BN17" s="12">
        <f t="shared" si="184"/>
        <v>56.093588750000002</v>
      </c>
      <c r="BO17" s="12">
        <f t="shared" si="184"/>
        <v>56.013588749999997</v>
      </c>
      <c r="BP17" s="12">
        <f t="shared" ref="BP17:CN17" si="185">SUM(BP13:BP16)</f>
        <v>55.933588749999998</v>
      </c>
      <c r="BQ17" s="12">
        <f t="shared" si="185"/>
        <v>55.85358875</v>
      </c>
      <c r="BR17" s="12">
        <f t="shared" si="185"/>
        <v>55.773588750000002</v>
      </c>
      <c r="BS17" s="12">
        <f t="shared" si="185"/>
        <v>55.693588750000004</v>
      </c>
      <c r="BT17" s="12">
        <f t="shared" si="185"/>
        <v>55.613588749999998</v>
      </c>
      <c r="BU17" s="12">
        <f t="shared" si="185"/>
        <v>55.53358875</v>
      </c>
      <c r="BV17" s="12">
        <f t="shared" si="185"/>
        <v>55.453588750000002</v>
      </c>
      <c r="BW17" s="12">
        <f t="shared" si="185"/>
        <v>47.319768187500003</v>
      </c>
      <c r="BX17" s="12">
        <f t="shared" si="185"/>
        <v>47.239768187499998</v>
      </c>
      <c r="BY17" s="12">
        <f t="shared" si="185"/>
        <v>47.159768187499999</v>
      </c>
      <c r="BZ17" s="12">
        <f t="shared" si="185"/>
        <v>47.079768187500001</v>
      </c>
      <c r="CA17" s="12">
        <f t="shared" si="185"/>
        <v>46.999768187500003</v>
      </c>
      <c r="CB17" s="12">
        <f t="shared" si="185"/>
        <v>46.919768187499997</v>
      </c>
      <c r="CC17" s="12">
        <f t="shared" si="185"/>
        <v>46.839768187499999</v>
      </c>
      <c r="CD17" s="12">
        <f t="shared" si="185"/>
        <v>46.759768187500001</v>
      </c>
      <c r="CE17" s="12">
        <f t="shared" si="185"/>
        <v>46.679768187500002</v>
      </c>
      <c r="CF17" s="12">
        <f t="shared" si="185"/>
        <v>46.599768187499997</v>
      </c>
      <c r="CG17" s="12">
        <f t="shared" si="185"/>
        <v>46.519768187499999</v>
      </c>
      <c r="CH17" s="12">
        <f t="shared" si="185"/>
        <v>46.429768187500002</v>
      </c>
      <c r="CI17" s="12">
        <f t="shared" si="185"/>
        <v>43.996220913867184</v>
      </c>
      <c r="CJ17" s="12">
        <f t="shared" si="185"/>
        <v>43.916220913867186</v>
      </c>
      <c r="CK17" s="12">
        <f t="shared" si="185"/>
        <v>43.836220913867187</v>
      </c>
      <c r="CL17" s="12">
        <f t="shared" si="185"/>
        <v>43.756220913867189</v>
      </c>
      <c r="CM17" s="12">
        <f t="shared" si="185"/>
        <v>43.676220913867184</v>
      </c>
      <c r="CN17" s="12">
        <f t="shared" si="185"/>
        <v>43.596220913867185</v>
      </c>
      <c r="CO17" s="8">
        <f>SUM(CO13:CO16)</f>
        <v>4630.1733712332043</v>
      </c>
    </row>
    <row r="18" spans="2:93" ht="15.75" thickTop="1" x14ac:dyDescent="0.25"/>
    <row r="19" spans="2:93" ht="15" x14ac:dyDescent="0.25">
      <c r="B19" t="s">
        <v>24</v>
      </c>
      <c r="C19" s="6">
        <f>C11-C17</f>
        <v>7.7037529842881582</v>
      </c>
      <c r="D19" s="6">
        <f t="shared" ref="D19:BO19" si="186">D11-D17</f>
        <v>7.7037529842881582</v>
      </c>
      <c r="E19" s="6">
        <f t="shared" si="186"/>
        <v>7.7037529842881582</v>
      </c>
      <c r="F19" s="6">
        <f t="shared" si="186"/>
        <v>7.7037529842881582</v>
      </c>
      <c r="G19" s="6">
        <f t="shared" si="186"/>
        <v>7.7037529842881582</v>
      </c>
      <c r="H19" s="6">
        <f t="shared" si="186"/>
        <v>7.7037529842881582</v>
      </c>
      <c r="I19" s="6">
        <f t="shared" si="186"/>
        <v>7.7037529842881582</v>
      </c>
      <c r="J19" s="6">
        <f t="shared" si="186"/>
        <v>7.7837529842881565</v>
      </c>
      <c r="K19" s="6">
        <f t="shared" si="186"/>
        <v>7.8637529842881548</v>
      </c>
      <c r="L19" s="6">
        <f t="shared" si="186"/>
        <v>7.9437529842881602</v>
      </c>
      <c r="M19" s="6">
        <f t="shared" si="186"/>
        <v>8.0237529842881585</v>
      </c>
      <c r="N19" s="6">
        <f t="shared" si="186"/>
        <v>8.1037529842881568</v>
      </c>
      <c r="O19" s="6">
        <f t="shared" si="186"/>
        <v>8.6587529842881565</v>
      </c>
      <c r="P19" s="6">
        <f t="shared" si="186"/>
        <v>8.7387529842881548</v>
      </c>
      <c r="Q19" s="6">
        <f t="shared" si="186"/>
        <v>8.8187529842881531</v>
      </c>
      <c r="R19" s="6">
        <f t="shared" si="186"/>
        <v>8.8987529842881585</v>
      </c>
      <c r="S19" s="6">
        <f t="shared" si="186"/>
        <v>8.9787529842881568</v>
      </c>
      <c r="T19" s="6">
        <f t="shared" si="186"/>
        <v>9.0587529842881551</v>
      </c>
      <c r="U19" s="6">
        <f t="shared" si="186"/>
        <v>9.1387529842881534</v>
      </c>
      <c r="V19" s="6">
        <f t="shared" si="186"/>
        <v>9.2187529842881588</v>
      </c>
      <c r="W19" s="6">
        <f t="shared" si="186"/>
        <v>9.2987529842881571</v>
      </c>
      <c r="X19" s="6">
        <f t="shared" si="186"/>
        <v>9.3787529842881554</v>
      </c>
      <c r="Y19" s="6">
        <f t="shared" si="186"/>
        <v>9.4687529842881588</v>
      </c>
      <c r="Z19" s="6">
        <f t="shared" si="186"/>
        <v>9.5487529842881571</v>
      </c>
      <c r="AA19" s="6">
        <f t="shared" si="186"/>
        <v>10.138752984288168</v>
      </c>
      <c r="AB19" s="6">
        <f t="shared" si="186"/>
        <v>10.218752984288166</v>
      </c>
      <c r="AC19" s="6">
        <f t="shared" si="186"/>
        <v>10.298752984288164</v>
      </c>
      <c r="AD19" s="6">
        <f t="shared" si="186"/>
        <v>10.378752984288163</v>
      </c>
      <c r="AE19" s="6">
        <f t="shared" si="186"/>
        <v>10.458752984288168</v>
      </c>
      <c r="AF19" s="6">
        <f t="shared" si="186"/>
        <v>10.538752984288166</v>
      </c>
      <c r="AG19" s="6">
        <f t="shared" si="186"/>
        <v>10.618752984288164</v>
      </c>
      <c r="AH19" s="6">
        <f t="shared" si="186"/>
        <v>10.698752984288163</v>
      </c>
      <c r="AI19" s="6">
        <f t="shared" si="186"/>
        <v>10.778752984288161</v>
      </c>
      <c r="AJ19" s="6">
        <f t="shared" si="186"/>
        <v>10.858752984288166</v>
      </c>
      <c r="AK19" s="6">
        <f t="shared" si="186"/>
        <v>10.938752984288165</v>
      </c>
      <c r="AL19" s="6">
        <f t="shared" si="186"/>
        <v>11.018752984288163</v>
      </c>
      <c r="AM19" s="6">
        <f t="shared" si="186"/>
        <v>11.646346734288159</v>
      </c>
      <c r="AN19" s="6">
        <f t="shared" si="186"/>
        <v>11.726346734288157</v>
      </c>
      <c r="AO19" s="6">
        <f t="shared" si="186"/>
        <v>11.806346734288155</v>
      </c>
      <c r="AP19" s="6">
        <f t="shared" si="186"/>
        <v>11.886346734288153</v>
      </c>
      <c r="AQ19" s="6">
        <f t="shared" si="186"/>
        <v>11.966346734288152</v>
      </c>
      <c r="AR19" s="6">
        <f t="shared" si="186"/>
        <v>12.046346734288157</v>
      </c>
      <c r="AS19" s="6">
        <f t="shared" si="186"/>
        <v>12.126346734288155</v>
      </c>
      <c r="AT19" s="6">
        <f t="shared" si="186"/>
        <v>12.206346734288154</v>
      </c>
      <c r="AU19" s="6">
        <f t="shared" si="186"/>
        <v>12.286346734288152</v>
      </c>
      <c r="AV19" s="6">
        <f t="shared" si="186"/>
        <v>12.366346734288157</v>
      </c>
      <c r="AW19" s="6">
        <f t="shared" si="186"/>
        <v>12.446346734288156</v>
      </c>
      <c r="AX19" s="6">
        <f t="shared" si="186"/>
        <v>12.526346734288154</v>
      </c>
      <c r="AY19" s="6">
        <f t="shared" si="186"/>
        <v>13.194320953038151</v>
      </c>
      <c r="AZ19" s="6">
        <f t="shared" si="186"/>
        <v>13.274320953038156</v>
      </c>
      <c r="BA19" s="6">
        <f t="shared" si="186"/>
        <v>13.354320953038155</v>
      </c>
      <c r="BB19" s="6">
        <f t="shared" si="186"/>
        <v>13.434320953038153</v>
      </c>
      <c r="BC19" s="6">
        <f t="shared" si="186"/>
        <v>13.514320953038151</v>
      </c>
      <c r="BD19" s="6">
        <f t="shared" si="186"/>
        <v>13.604320953038155</v>
      </c>
      <c r="BE19" s="6">
        <f t="shared" si="186"/>
        <v>13.684320953038153</v>
      </c>
      <c r="BF19" s="6">
        <f t="shared" si="186"/>
        <v>13.764320953038151</v>
      </c>
      <c r="BG19" s="6">
        <f t="shared" si="186"/>
        <v>13.844320953038157</v>
      </c>
      <c r="BH19" s="6">
        <f t="shared" si="186"/>
        <v>13.924320953038155</v>
      </c>
      <c r="BI19" s="6">
        <f t="shared" si="186"/>
        <v>14.004320953038153</v>
      </c>
      <c r="BJ19" s="6">
        <f t="shared" si="186"/>
        <v>14.084320953038151</v>
      </c>
      <c r="BK19" s="6">
        <f t="shared" si="186"/>
        <v>14.7956697225694</v>
      </c>
      <c r="BL19" s="6">
        <f t="shared" si="186"/>
        <v>14.875669722569405</v>
      </c>
      <c r="BM19" s="6">
        <f t="shared" si="186"/>
        <v>14.955669722569404</v>
      </c>
      <c r="BN19" s="6">
        <f t="shared" si="186"/>
        <v>15.035669722569402</v>
      </c>
      <c r="BO19" s="6">
        <f t="shared" si="186"/>
        <v>15.115669722569407</v>
      </c>
      <c r="BP19" s="6">
        <f t="shared" ref="BP19:CN19" si="187">BP11-BP17</f>
        <v>15.195669722569406</v>
      </c>
      <c r="BQ19" s="6">
        <f t="shared" si="187"/>
        <v>15.275669722569404</v>
      </c>
      <c r="BR19" s="6">
        <f t="shared" si="187"/>
        <v>15.355669722569402</v>
      </c>
      <c r="BS19" s="6">
        <f t="shared" si="187"/>
        <v>15.435669722569401</v>
      </c>
      <c r="BT19" s="6">
        <f t="shared" si="187"/>
        <v>15.515669722569406</v>
      </c>
      <c r="BU19" s="6">
        <f t="shared" si="187"/>
        <v>15.595669722569404</v>
      </c>
      <c r="BV19" s="6">
        <f t="shared" si="187"/>
        <v>15.675669722569403</v>
      </c>
      <c r="BW19" s="6">
        <f t="shared" si="187"/>
        <v>26.21826555948347</v>
      </c>
      <c r="BX19" s="6">
        <f t="shared" si="187"/>
        <v>26.298265559483475</v>
      </c>
      <c r="BY19" s="6">
        <f t="shared" si="187"/>
        <v>26.378265559483474</v>
      </c>
      <c r="BZ19" s="6">
        <f t="shared" si="187"/>
        <v>26.458265559483472</v>
      </c>
      <c r="CA19" s="6">
        <f t="shared" si="187"/>
        <v>26.53826555948347</v>
      </c>
      <c r="CB19" s="6">
        <f t="shared" si="187"/>
        <v>26.618265559483476</v>
      </c>
      <c r="CC19" s="6">
        <f t="shared" si="187"/>
        <v>26.698265559483474</v>
      </c>
      <c r="CD19" s="6">
        <f t="shared" si="187"/>
        <v>26.778265559483472</v>
      </c>
      <c r="CE19" s="6">
        <f t="shared" si="187"/>
        <v>26.85826555948347</v>
      </c>
      <c r="CF19" s="6">
        <f t="shared" si="187"/>
        <v>26.938265559483476</v>
      </c>
      <c r="CG19" s="6">
        <f t="shared" si="187"/>
        <v>27.018265559483474</v>
      </c>
      <c r="CH19" s="6">
        <f t="shared" si="187"/>
        <v>27.10826555948347</v>
      </c>
      <c r="CI19" s="6">
        <f t="shared" si="187"/>
        <v>9.9463498228271519</v>
      </c>
      <c r="CJ19" s="6">
        <f t="shared" si="187"/>
        <v>10.02634982282715</v>
      </c>
      <c r="CK19" s="6">
        <f t="shared" si="187"/>
        <v>10.106349822827148</v>
      </c>
      <c r="CL19" s="6">
        <f t="shared" si="187"/>
        <v>10.186349822827147</v>
      </c>
      <c r="CM19" s="6">
        <f t="shared" si="187"/>
        <v>10.266349822827152</v>
      </c>
      <c r="CN19" s="6">
        <f t="shared" si="187"/>
        <v>10.34634982282715</v>
      </c>
      <c r="CO19" s="8">
        <f>CO11-CO17</f>
        <v>1202.1284420038892</v>
      </c>
    </row>
    <row r="20" spans="2:93" ht="15" x14ac:dyDescent="0.25">
      <c r="CO20" s="8">
        <f>SUM(C19:CN19)</f>
        <v>1202.1284420038869</v>
      </c>
    </row>
    <row r="21" spans="2:93" ht="15" x14ac:dyDescent="0.25">
      <c r="B21" t="s">
        <v>28</v>
      </c>
      <c r="CO21" s="8">
        <f>CO19-CO20</f>
        <v>2.2737367544323206E-12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94"/>
  <sheetViews>
    <sheetView workbookViewId="0">
      <selection activeCell="E4" sqref="E4"/>
    </sheetView>
  </sheetViews>
  <sheetFormatPr defaultRowHeight="14.5" x14ac:dyDescent="0.35"/>
  <cols>
    <col min="4" max="4" width="10.26953125" bestFit="1" customWidth="1"/>
    <col min="8" max="8" width="10.1796875" bestFit="1" customWidth="1"/>
  </cols>
  <sheetData>
    <row r="2" spans="1:8" ht="15" x14ac:dyDescent="0.25">
      <c r="B2" t="s">
        <v>17</v>
      </c>
    </row>
    <row r="4" spans="1:8" ht="15" x14ac:dyDescent="0.25">
      <c r="B4" t="s">
        <v>18</v>
      </c>
      <c r="C4" t="s">
        <v>19</v>
      </c>
      <c r="D4" t="s">
        <v>20</v>
      </c>
      <c r="E4" t="s">
        <v>19</v>
      </c>
      <c r="F4" t="s">
        <v>21</v>
      </c>
    </row>
    <row r="5" spans="1:8" ht="15" x14ac:dyDescent="0.25">
      <c r="A5" s="9">
        <v>1</v>
      </c>
      <c r="B5" s="10">
        <v>900</v>
      </c>
      <c r="C5" s="9">
        <f>(B5*9%)/12</f>
        <v>6.75</v>
      </c>
      <c r="D5" s="9">
        <v>0</v>
      </c>
      <c r="E5" s="9">
        <f>C5</f>
        <v>6.75</v>
      </c>
      <c r="F5" s="11">
        <f>B5+C5-D5-E5</f>
        <v>900</v>
      </c>
      <c r="H5" s="17">
        <v>45566</v>
      </c>
    </row>
    <row r="6" spans="1:8" ht="15" x14ac:dyDescent="0.25">
      <c r="A6" s="9">
        <f>A5+1</f>
        <v>2</v>
      </c>
      <c r="B6" s="11">
        <f>F5</f>
        <v>900</v>
      </c>
      <c r="C6" s="9">
        <f t="shared" ref="C6:C11" si="0">(B6*9%)/12</f>
        <v>6.75</v>
      </c>
      <c r="D6" s="9">
        <v>0</v>
      </c>
      <c r="E6" s="9">
        <f>C6</f>
        <v>6.75</v>
      </c>
      <c r="F6" s="11">
        <f t="shared" ref="F6:F69" si="1">B6+C6-D6-E6</f>
        <v>900</v>
      </c>
      <c r="H6" s="17">
        <v>45597</v>
      </c>
    </row>
    <row r="7" spans="1:8" ht="15" x14ac:dyDescent="0.25">
      <c r="A7" s="9">
        <f t="shared" ref="A7:A70" si="2">A6+1</f>
        <v>3</v>
      </c>
      <c r="B7" s="11">
        <f t="shared" ref="B7:B70" si="3">F6</f>
        <v>900</v>
      </c>
      <c r="C7" s="9">
        <f t="shared" si="0"/>
        <v>6.75</v>
      </c>
      <c r="D7" s="9">
        <v>0</v>
      </c>
      <c r="E7" s="9">
        <f>C7</f>
        <v>6.75</v>
      </c>
      <c r="F7" s="11">
        <f t="shared" si="1"/>
        <v>900</v>
      </c>
    </row>
    <row r="8" spans="1:8" ht="15" x14ac:dyDescent="0.25">
      <c r="A8" s="9">
        <f t="shared" si="2"/>
        <v>4</v>
      </c>
      <c r="B8" s="11">
        <f t="shared" si="3"/>
        <v>900</v>
      </c>
      <c r="C8" s="9">
        <f t="shared" si="0"/>
        <v>6.75</v>
      </c>
      <c r="D8" s="9">
        <v>0</v>
      </c>
      <c r="E8" s="9">
        <f t="shared" ref="E8:E71" si="4">C8</f>
        <v>6.75</v>
      </c>
      <c r="F8" s="11">
        <f t="shared" si="1"/>
        <v>900</v>
      </c>
    </row>
    <row r="9" spans="1:8" ht="15" x14ac:dyDescent="0.25">
      <c r="A9" s="9">
        <f t="shared" si="2"/>
        <v>5</v>
      </c>
      <c r="B9" s="11">
        <f t="shared" si="3"/>
        <v>900</v>
      </c>
      <c r="C9" s="9">
        <f t="shared" si="0"/>
        <v>6.75</v>
      </c>
      <c r="D9" s="9">
        <v>0</v>
      </c>
      <c r="E9" s="9">
        <f t="shared" si="4"/>
        <v>6.75</v>
      </c>
      <c r="F9" s="11">
        <f t="shared" si="1"/>
        <v>900</v>
      </c>
    </row>
    <row r="10" spans="1:8" ht="15" x14ac:dyDescent="0.25">
      <c r="A10" s="9">
        <f t="shared" si="2"/>
        <v>6</v>
      </c>
      <c r="B10" s="11">
        <f t="shared" si="3"/>
        <v>900</v>
      </c>
      <c r="C10" s="9">
        <f t="shared" si="0"/>
        <v>6.75</v>
      </c>
      <c r="D10" s="9">
        <v>0</v>
      </c>
      <c r="E10" s="9">
        <f t="shared" si="4"/>
        <v>6.75</v>
      </c>
      <c r="F10" s="11">
        <f t="shared" si="1"/>
        <v>900</v>
      </c>
    </row>
    <row r="11" spans="1:8" ht="15" x14ac:dyDescent="0.25">
      <c r="A11" s="9">
        <f t="shared" si="2"/>
        <v>7</v>
      </c>
      <c r="B11" s="11">
        <f t="shared" si="3"/>
        <v>900</v>
      </c>
      <c r="C11" s="9">
        <f t="shared" si="0"/>
        <v>6.75</v>
      </c>
      <c r="D11" s="10">
        <f>ROUND(900/84,2)</f>
        <v>10.71</v>
      </c>
      <c r="E11" s="9">
        <f t="shared" si="4"/>
        <v>6.75</v>
      </c>
      <c r="F11" s="11">
        <f t="shared" si="1"/>
        <v>889.29</v>
      </c>
    </row>
    <row r="12" spans="1:8" ht="15" x14ac:dyDescent="0.25">
      <c r="A12" s="9">
        <f t="shared" si="2"/>
        <v>8</v>
      </c>
      <c r="B12" s="11">
        <f t="shared" si="3"/>
        <v>889.29</v>
      </c>
      <c r="C12" s="9">
        <f>ROUND((B12*9%)/12,2)</f>
        <v>6.67</v>
      </c>
      <c r="D12" s="10">
        <f t="shared" ref="D12:D75" si="5">ROUND(900/84,2)</f>
        <v>10.71</v>
      </c>
      <c r="E12" s="9">
        <f t="shared" si="4"/>
        <v>6.67</v>
      </c>
      <c r="F12" s="11">
        <f t="shared" si="1"/>
        <v>878.57999999999993</v>
      </c>
    </row>
    <row r="13" spans="1:8" ht="15" x14ac:dyDescent="0.25">
      <c r="A13" s="9">
        <f t="shared" si="2"/>
        <v>9</v>
      </c>
      <c r="B13" s="11">
        <f t="shared" si="3"/>
        <v>878.57999999999993</v>
      </c>
      <c r="C13" s="9">
        <f t="shared" ref="C13:C76" si="6">ROUND((B13*9%)/12,2)</f>
        <v>6.59</v>
      </c>
      <c r="D13" s="10">
        <f t="shared" si="5"/>
        <v>10.71</v>
      </c>
      <c r="E13" s="9">
        <f t="shared" si="4"/>
        <v>6.59</v>
      </c>
      <c r="F13" s="11">
        <f t="shared" si="1"/>
        <v>867.86999999999989</v>
      </c>
    </row>
    <row r="14" spans="1:8" ht="15" x14ac:dyDescent="0.25">
      <c r="A14" s="9">
        <f t="shared" si="2"/>
        <v>10</v>
      </c>
      <c r="B14" s="11">
        <f t="shared" si="3"/>
        <v>867.86999999999989</v>
      </c>
      <c r="C14" s="9">
        <f t="shared" si="6"/>
        <v>6.51</v>
      </c>
      <c r="D14" s="10">
        <f t="shared" si="5"/>
        <v>10.71</v>
      </c>
      <c r="E14" s="9">
        <f t="shared" si="4"/>
        <v>6.51</v>
      </c>
      <c r="F14" s="11">
        <f t="shared" si="1"/>
        <v>857.15999999999985</v>
      </c>
    </row>
    <row r="15" spans="1:8" ht="15" x14ac:dyDescent="0.25">
      <c r="A15" s="9">
        <f t="shared" si="2"/>
        <v>11</v>
      </c>
      <c r="B15" s="11">
        <f t="shared" si="3"/>
        <v>857.15999999999985</v>
      </c>
      <c r="C15" s="9">
        <f t="shared" si="6"/>
        <v>6.43</v>
      </c>
      <c r="D15" s="10">
        <f t="shared" si="5"/>
        <v>10.71</v>
      </c>
      <c r="E15" s="9">
        <f t="shared" si="4"/>
        <v>6.43</v>
      </c>
      <c r="F15" s="11">
        <f t="shared" si="1"/>
        <v>846.44999999999982</v>
      </c>
    </row>
    <row r="16" spans="1:8" ht="15" x14ac:dyDescent="0.25">
      <c r="A16" s="9">
        <f t="shared" si="2"/>
        <v>12</v>
      </c>
      <c r="B16" s="11">
        <f t="shared" si="3"/>
        <v>846.44999999999982</v>
      </c>
      <c r="C16" s="9">
        <f t="shared" si="6"/>
        <v>6.35</v>
      </c>
      <c r="D16" s="10">
        <f t="shared" si="5"/>
        <v>10.71</v>
      </c>
      <c r="E16" s="9">
        <f t="shared" si="4"/>
        <v>6.35</v>
      </c>
      <c r="F16" s="11">
        <f t="shared" si="1"/>
        <v>835.73999999999978</v>
      </c>
    </row>
    <row r="17" spans="1:6" ht="15" x14ac:dyDescent="0.25">
      <c r="A17" s="9">
        <f t="shared" si="2"/>
        <v>13</v>
      </c>
      <c r="B17" s="11">
        <f t="shared" si="3"/>
        <v>835.73999999999978</v>
      </c>
      <c r="C17" s="9">
        <f t="shared" si="6"/>
        <v>6.27</v>
      </c>
      <c r="D17" s="10">
        <f t="shared" si="5"/>
        <v>10.71</v>
      </c>
      <c r="E17" s="9">
        <f t="shared" si="4"/>
        <v>6.27</v>
      </c>
      <c r="F17" s="11">
        <f t="shared" si="1"/>
        <v>825.02999999999975</v>
      </c>
    </row>
    <row r="18" spans="1:6" ht="15" x14ac:dyDescent="0.25">
      <c r="A18" s="9">
        <f t="shared" si="2"/>
        <v>14</v>
      </c>
      <c r="B18" s="11">
        <f t="shared" si="3"/>
        <v>825.02999999999975</v>
      </c>
      <c r="C18" s="9">
        <f t="shared" si="6"/>
        <v>6.19</v>
      </c>
      <c r="D18" s="10">
        <f t="shared" si="5"/>
        <v>10.71</v>
      </c>
      <c r="E18" s="9">
        <f t="shared" si="4"/>
        <v>6.19</v>
      </c>
      <c r="F18" s="11">
        <f t="shared" si="1"/>
        <v>814.31999999999971</v>
      </c>
    </row>
    <row r="19" spans="1:6" ht="15" x14ac:dyDescent="0.25">
      <c r="A19" s="9">
        <f t="shared" si="2"/>
        <v>15</v>
      </c>
      <c r="B19" s="11">
        <f t="shared" si="3"/>
        <v>814.31999999999971</v>
      </c>
      <c r="C19" s="9">
        <f t="shared" si="6"/>
        <v>6.11</v>
      </c>
      <c r="D19" s="10">
        <f t="shared" si="5"/>
        <v>10.71</v>
      </c>
      <c r="E19" s="9">
        <f t="shared" si="4"/>
        <v>6.11</v>
      </c>
      <c r="F19" s="11">
        <f t="shared" si="1"/>
        <v>803.60999999999967</v>
      </c>
    </row>
    <row r="20" spans="1:6" ht="15" x14ac:dyDescent="0.25">
      <c r="A20" s="9">
        <f t="shared" si="2"/>
        <v>16</v>
      </c>
      <c r="B20" s="11">
        <f t="shared" si="3"/>
        <v>803.60999999999967</v>
      </c>
      <c r="C20" s="9">
        <f t="shared" si="6"/>
        <v>6.03</v>
      </c>
      <c r="D20" s="10">
        <f t="shared" si="5"/>
        <v>10.71</v>
      </c>
      <c r="E20" s="9">
        <f t="shared" si="4"/>
        <v>6.03</v>
      </c>
      <c r="F20" s="11">
        <f t="shared" si="1"/>
        <v>792.89999999999964</v>
      </c>
    </row>
    <row r="21" spans="1:6" ht="15" x14ac:dyDescent="0.25">
      <c r="A21" s="9">
        <f t="shared" si="2"/>
        <v>17</v>
      </c>
      <c r="B21" s="11">
        <f t="shared" si="3"/>
        <v>792.89999999999964</v>
      </c>
      <c r="C21" s="9">
        <f t="shared" si="6"/>
        <v>5.95</v>
      </c>
      <c r="D21" s="10">
        <f t="shared" si="5"/>
        <v>10.71</v>
      </c>
      <c r="E21" s="9">
        <f t="shared" si="4"/>
        <v>5.95</v>
      </c>
      <c r="F21" s="11">
        <f t="shared" si="1"/>
        <v>782.1899999999996</v>
      </c>
    </row>
    <row r="22" spans="1:6" ht="15" x14ac:dyDescent="0.25">
      <c r="A22" s="9">
        <f t="shared" si="2"/>
        <v>18</v>
      </c>
      <c r="B22" s="11">
        <f t="shared" si="3"/>
        <v>782.1899999999996</v>
      </c>
      <c r="C22" s="9">
        <f t="shared" si="6"/>
        <v>5.87</v>
      </c>
      <c r="D22" s="10">
        <f t="shared" si="5"/>
        <v>10.71</v>
      </c>
      <c r="E22" s="9">
        <f t="shared" si="4"/>
        <v>5.87</v>
      </c>
      <c r="F22" s="11">
        <f t="shared" si="1"/>
        <v>771.47999999999956</v>
      </c>
    </row>
    <row r="23" spans="1:6" ht="15" x14ac:dyDescent="0.25">
      <c r="A23" s="9">
        <f t="shared" si="2"/>
        <v>19</v>
      </c>
      <c r="B23" s="11">
        <f t="shared" si="3"/>
        <v>771.47999999999956</v>
      </c>
      <c r="C23" s="9">
        <f t="shared" si="6"/>
        <v>5.79</v>
      </c>
      <c r="D23" s="10">
        <f t="shared" si="5"/>
        <v>10.71</v>
      </c>
      <c r="E23" s="9">
        <f t="shared" si="4"/>
        <v>5.79</v>
      </c>
      <c r="F23" s="11">
        <f t="shared" si="1"/>
        <v>760.76999999999953</v>
      </c>
    </row>
    <row r="24" spans="1:6" ht="15" x14ac:dyDescent="0.25">
      <c r="A24" s="9">
        <f t="shared" si="2"/>
        <v>20</v>
      </c>
      <c r="B24" s="11">
        <f t="shared" si="3"/>
        <v>760.76999999999953</v>
      </c>
      <c r="C24" s="9">
        <f t="shared" si="6"/>
        <v>5.71</v>
      </c>
      <c r="D24" s="10">
        <f t="shared" si="5"/>
        <v>10.71</v>
      </c>
      <c r="E24" s="9">
        <f t="shared" si="4"/>
        <v>5.71</v>
      </c>
      <c r="F24" s="11">
        <f t="shared" si="1"/>
        <v>750.05999999999949</v>
      </c>
    </row>
    <row r="25" spans="1:6" x14ac:dyDescent="0.35">
      <c r="A25" s="9">
        <f t="shared" si="2"/>
        <v>21</v>
      </c>
      <c r="B25" s="11">
        <f t="shared" si="3"/>
        <v>750.05999999999949</v>
      </c>
      <c r="C25" s="9">
        <f t="shared" si="6"/>
        <v>5.63</v>
      </c>
      <c r="D25" s="10">
        <f t="shared" si="5"/>
        <v>10.71</v>
      </c>
      <c r="E25" s="9">
        <f t="shared" si="4"/>
        <v>5.63</v>
      </c>
      <c r="F25" s="11">
        <f t="shared" si="1"/>
        <v>739.34999999999945</v>
      </c>
    </row>
    <row r="26" spans="1:6" x14ac:dyDescent="0.35">
      <c r="A26" s="9">
        <f t="shared" si="2"/>
        <v>22</v>
      </c>
      <c r="B26" s="11">
        <f t="shared" si="3"/>
        <v>739.34999999999945</v>
      </c>
      <c r="C26" s="9">
        <f t="shared" si="6"/>
        <v>5.55</v>
      </c>
      <c r="D26" s="10">
        <f t="shared" si="5"/>
        <v>10.71</v>
      </c>
      <c r="E26" s="9">
        <f t="shared" si="4"/>
        <v>5.55</v>
      </c>
      <c r="F26" s="11">
        <f t="shared" si="1"/>
        <v>728.63999999999942</v>
      </c>
    </row>
    <row r="27" spans="1:6" x14ac:dyDescent="0.35">
      <c r="A27" s="9">
        <f t="shared" si="2"/>
        <v>23</v>
      </c>
      <c r="B27" s="11">
        <f t="shared" si="3"/>
        <v>728.63999999999942</v>
      </c>
      <c r="C27" s="9">
        <f t="shared" si="6"/>
        <v>5.46</v>
      </c>
      <c r="D27" s="10">
        <f t="shared" si="5"/>
        <v>10.71</v>
      </c>
      <c r="E27" s="9">
        <f t="shared" si="4"/>
        <v>5.46</v>
      </c>
      <c r="F27" s="11">
        <f t="shared" si="1"/>
        <v>717.92999999999938</v>
      </c>
    </row>
    <row r="28" spans="1:6" x14ac:dyDescent="0.35">
      <c r="A28" s="9">
        <f t="shared" si="2"/>
        <v>24</v>
      </c>
      <c r="B28" s="11">
        <f t="shared" si="3"/>
        <v>717.92999999999938</v>
      </c>
      <c r="C28" s="9">
        <f t="shared" si="6"/>
        <v>5.38</v>
      </c>
      <c r="D28" s="10">
        <f t="shared" si="5"/>
        <v>10.71</v>
      </c>
      <c r="E28" s="9">
        <f t="shared" si="4"/>
        <v>5.38</v>
      </c>
      <c r="F28" s="11">
        <f t="shared" si="1"/>
        <v>707.21999999999935</v>
      </c>
    </row>
    <row r="29" spans="1:6" x14ac:dyDescent="0.35">
      <c r="A29" s="9">
        <f t="shared" si="2"/>
        <v>25</v>
      </c>
      <c r="B29" s="11">
        <f t="shared" si="3"/>
        <v>707.21999999999935</v>
      </c>
      <c r="C29" s="9">
        <f t="shared" si="6"/>
        <v>5.3</v>
      </c>
      <c r="D29" s="10">
        <f t="shared" si="5"/>
        <v>10.71</v>
      </c>
      <c r="E29" s="9">
        <f t="shared" si="4"/>
        <v>5.3</v>
      </c>
      <c r="F29" s="11">
        <f t="shared" si="1"/>
        <v>696.50999999999931</v>
      </c>
    </row>
    <row r="30" spans="1:6" x14ac:dyDescent="0.35">
      <c r="A30" s="9">
        <f t="shared" si="2"/>
        <v>26</v>
      </c>
      <c r="B30" s="11">
        <f t="shared" si="3"/>
        <v>696.50999999999931</v>
      </c>
      <c r="C30" s="9">
        <f t="shared" si="6"/>
        <v>5.22</v>
      </c>
      <c r="D30" s="10">
        <f t="shared" si="5"/>
        <v>10.71</v>
      </c>
      <c r="E30" s="9">
        <f t="shared" si="4"/>
        <v>5.22</v>
      </c>
      <c r="F30" s="11">
        <f t="shared" si="1"/>
        <v>685.79999999999927</v>
      </c>
    </row>
    <row r="31" spans="1:6" x14ac:dyDescent="0.35">
      <c r="A31" s="9">
        <f t="shared" si="2"/>
        <v>27</v>
      </c>
      <c r="B31" s="11">
        <f t="shared" si="3"/>
        <v>685.79999999999927</v>
      </c>
      <c r="C31" s="9">
        <f t="shared" si="6"/>
        <v>5.14</v>
      </c>
      <c r="D31" s="10">
        <f t="shared" si="5"/>
        <v>10.71</v>
      </c>
      <c r="E31" s="9">
        <f t="shared" si="4"/>
        <v>5.14</v>
      </c>
      <c r="F31" s="11">
        <f t="shared" si="1"/>
        <v>675.08999999999924</v>
      </c>
    </row>
    <row r="32" spans="1:6" x14ac:dyDescent="0.35">
      <c r="A32" s="9">
        <f t="shared" si="2"/>
        <v>28</v>
      </c>
      <c r="B32" s="11">
        <f t="shared" si="3"/>
        <v>675.08999999999924</v>
      </c>
      <c r="C32" s="9">
        <f t="shared" si="6"/>
        <v>5.0599999999999996</v>
      </c>
      <c r="D32" s="10">
        <f t="shared" si="5"/>
        <v>10.71</v>
      </c>
      <c r="E32" s="9">
        <f t="shared" si="4"/>
        <v>5.0599999999999996</v>
      </c>
      <c r="F32" s="11">
        <f t="shared" si="1"/>
        <v>664.3799999999992</v>
      </c>
    </row>
    <row r="33" spans="1:6" x14ac:dyDescent="0.35">
      <c r="A33" s="9">
        <f t="shared" si="2"/>
        <v>29</v>
      </c>
      <c r="B33" s="11">
        <f t="shared" si="3"/>
        <v>664.3799999999992</v>
      </c>
      <c r="C33" s="9">
        <f t="shared" si="6"/>
        <v>4.9800000000000004</v>
      </c>
      <c r="D33" s="10">
        <f t="shared" si="5"/>
        <v>10.71</v>
      </c>
      <c r="E33" s="9">
        <f t="shared" si="4"/>
        <v>4.9800000000000004</v>
      </c>
      <c r="F33" s="11">
        <f t="shared" si="1"/>
        <v>653.66999999999916</v>
      </c>
    </row>
    <row r="34" spans="1:6" x14ac:dyDescent="0.35">
      <c r="A34" s="9">
        <f t="shared" si="2"/>
        <v>30</v>
      </c>
      <c r="B34" s="11">
        <f t="shared" si="3"/>
        <v>653.66999999999916</v>
      </c>
      <c r="C34" s="9">
        <f t="shared" si="6"/>
        <v>4.9000000000000004</v>
      </c>
      <c r="D34" s="10">
        <f t="shared" si="5"/>
        <v>10.71</v>
      </c>
      <c r="E34" s="9">
        <f t="shared" si="4"/>
        <v>4.9000000000000004</v>
      </c>
      <c r="F34" s="11">
        <f t="shared" si="1"/>
        <v>642.95999999999913</v>
      </c>
    </row>
    <row r="35" spans="1:6" x14ac:dyDescent="0.35">
      <c r="A35" s="9">
        <f t="shared" si="2"/>
        <v>31</v>
      </c>
      <c r="B35" s="11">
        <f t="shared" si="3"/>
        <v>642.95999999999913</v>
      </c>
      <c r="C35" s="9">
        <f t="shared" si="6"/>
        <v>4.82</v>
      </c>
      <c r="D35" s="10">
        <f t="shared" si="5"/>
        <v>10.71</v>
      </c>
      <c r="E35" s="9">
        <f t="shared" si="4"/>
        <v>4.82</v>
      </c>
      <c r="F35" s="11">
        <f t="shared" si="1"/>
        <v>632.24999999999909</v>
      </c>
    </row>
    <row r="36" spans="1:6" x14ac:dyDescent="0.35">
      <c r="A36" s="9">
        <f t="shared" si="2"/>
        <v>32</v>
      </c>
      <c r="B36" s="11">
        <f t="shared" si="3"/>
        <v>632.24999999999909</v>
      </c>
      <c r="C36" s="9">
        <f t="shared" si="6"/>
        <v>4.74</v>
      </c>
      <c r="D36" s="10">
        <f t="shared" si="5"/>
        <v>10.71</v>
      </c>
      <c r="E36" s="9">
        <f t="shared" si="4"/>
        <v>4.74</v>
      </c>
      <c r="F36" s="11">
        <f t="shared" si="1"/>
        <v>621.53999999999905</v>
      </c>
    </row>
    <row r="37" spans="1:6" x14ac:dyDescent="0.35">
      <c r="A37" s="9">
        <f t="shared" si="2"/>
        <v>33</v>
      </c>
      <c r="B37" s="11">
        <f t="shared" si="3"/>
        <v>621.53999999999905</v>
      </c>
      <c r="C37" s="9">
        <f t="shared" si="6"/>
        <v>4.66</v>
      </c>
      <c r="D37" s="10">
        <f t="shared" si="5"/>
        <v>10.71</v>
      </c>
      <c r="E37" s="9">
        <f t="shared" si="4"/>
        <v>4.66</v>
      </c>
      <c r="F37" s="11">
        <f t="shared" si="1"/>
        <v>610.82999999999902</v>
      </c>
    </row>
    <row r="38" spans="1:6" x14ac:dyDescent="0.35">
      <c r="A38" s="9">
        <f t="shared" si="2"/>
        <v>34</v>
      </c>
      <c r="B38" s="11">
        <f t="shared" si="3"/>
        <v>610.82999999999902</v>
      </c>
      <c r="C38" s="9">
        <f t="shared" si="6"/>
        <v>4.58</v>
      </c>
      <c r="D38" s="10">
        <f t="shared" si="5"/>
        <v>10.71</v>
      </c>
      <c r="E38" s="9">
        <f t="shared" si="4"/>
        <v>4.58</v>
      </c>
      <c r="F38" s="11">
        <f t="shared" si="1"/>
        <v>600.11999999999898</v>
      </c>
    </row>
    <row r="39" spans="1:6" x14ac:dyDescent="0.35">
      <c r="A39" s="9">
        <f t="shared" si="2"/>
        <v>35</v>
      </c>
      <c r="B39" s="11">
        <f t="shared" si="3"/>
        <v>600.11999999999898</v>
      </c>
      <c r="C39" s="9">
        <f t="shared" si="6"/>
        <v>4.5</v>
      </c>
      <c r="D39" s="10">
        <f t="shared" si="5"/>
        <v>10.71</v>
      </c>
      <c r="E39" s="9">
        <f t="shared" si="4"/>
        <v>4.5</v>
      </c>
      <c r="F39" s="11">
        <f t="shared" si="1"/>
        <v>589.40999999999894</v>
      </c>
    </row>
    <row r="40" spans="1:6" x14ac:dyDescent="0.35">
      <c r="A40" s="9">
        <f t="shared" si="2"/>
        <v>36</v>
      </c>
      <c r="B40" s="11">
        <f t="shared" si="3"/>
        <v>589.40999999999894</v>
      </c>
      <c r="C40" s="9">
        <f t="shared" si="6"/>
        <v>4.42</v>
      </c>
      <c r="D40" s="10">
        <f t="shared" si="5"/>
        <v>10.71</v>
      </c>
      <c r="E40" s="9">
        <f t="shared" si="4"/>
        <v>4.42</v>
      </c>
      <c r="F40" s="11">
        <f t="shared" si="1"/>
        <v>578.69999999999891</v>
      </c>
    </row>
    <row r="41" spans="1:6" x14ac:dyDescent="0.35">
      <c r="A41" s="9">
        <f t="shared" si="2"/>
        <v>37</v>
      </c>
      <c r="B41" s="11">
        <f t="shared" si="3"/>
        <v>578.69999999999891</v>
      </c>
      <c r="C41" s="9">
        <f t="shared" si="6"/>
        <v>4.34</v>
      </c>
      <c r="D41" s="10">
        <f t="shared" si="5"/>
        <v>10.71</v>
      </c>
      <c r="E41" s="9">
        <f t="shared" si="4"/>
        <v>4.34</v>
      </c>
      <c r="F41" s="11">
        <f t="shared" si="1"/>
        <v>567.98999999999887</v>
      </c>
    </row>
    <row r="42" spans="1:6" x14ac:dyDescent="0.35">
      <c r="A42" s="9">
        <f t="shared" si="2"/>
        <v>38</v>
      </c>
      <c r="B42" s="11">
        <f t="shared" si="3"/>
        <v>567.98999999999887</v>
      </c>
      <c r="C42" s="9">
        <f t="shared" si="6"/>
        <v>4.26</v>
      </c>
      <c r="D42" s="10">
        <f t="shared" si="5"/>
        <v>10.71</v>
      </c>
      <c r="E42" s="9">
        <f t="shared" si="4"/>
        <v>4.26</v>
      </c>
      <c r="F42" s="11">
        <f t="shared" si="1"/>
        <v>557.27999999999884</v>
      </c>
    </row>
    <row r="43" spans="1:6" x14ac:dyDescent="0.35">
      <c r="A43" s="9">
        <f t="shared" si="2"/>
        <v>39</v>
      </c>
      <c r="B43" s="11">
        <f t="shared" si="3"/>
        <v>557.27999999999884</v>
      </c>
      <c r="C43" s="9">
        <f t="shared" si="6"/>
        <v>4.18</v>
      </c>
      <c r="D43" s="10">
        <f t="shared" si="5"/>
        <v>10.71</v>
      </c>
      <c r="E43" s="9">
        <f t="shared" si="4"/>
        <v>4.18</v>
      </c>
      <c r="F43" s="11">
        <f t="shared" si="1"/>
        <v>546.5699999999988</v>
      </c>
    </row>
    <row r="44" spans="1:6" x14ac:dyDescent="0.35">
      <c r="A44" s="9">
        <f t="shared" si="2"/>
        <v>40</v>
      </c>
      <c r="B44" s="11">
        <f t="shared" si="3"/>
        <v>546.5699999999988</v>
      </c>
      <c r="C44" s="9">
        <f t="shared" si="6"/>
        <v>4.0999999999999996</v>
      </c>
      <c r="D44" s="10">
        <f t="shared" si="5"/>
        <v>10.71</v>
      </c>
      <c r="E44" s="9">
        <f t="shared" si="4"/>
        <v>4.0999999999999996</v>
      </c>
      <c r="F44" s="11">
        <f t="shared" si="1"/>
        <v>535.85999999999876</v>
      </c>
    </row>
    <row r="45" spans="1:6" x14ac:dyDescent="0.35">
      <c r="A45" s="9">
        <f t="shared" si="2"/>
        <v>41</v>
      </c>
      <c r="B45" s="11">
        <f t="shared" si="3"/>
        <v>535.85999999999876</v>
      </c>
      <c r="C45" s="9">
        <f t="shared" si="6"/>
        <v>4.0199999999999996</v>
      </c>
      <c r="D45" s="10">
        <f t="shared" si="5"/>
        <v>10.71</v>
      </c>
      <c r="E45" s="9">
        <f t="shared" si="4"/>
        <v>4.0199999999999996</v>
      </c>
      <c r="F45" s="11">
        <f t="shared" si="1"/>
        <v>525.14999999999873</v>
      </c>
    </row>
    <row r="46" spans="1:6" x14ac:dyDescent="0.35">
      <c r="A46" s="9">
        <f t="shared" si="2"/>
        <v>42</v>
      </c>
      <c r="B46" s="11">
        <f t="shared" si="3"/>
        <v>525.14999999999873</v>
      </c>
      <c r="C46" s="9">
        <f t="shared" si="6"/>
        <v>3.94</v>
      </c>
      <c r="D46" s="10">
        <f t="shared" si="5"/>
        <v>10.71</v>
      </c>
      <c r="E46" s="9">
        <f t="shared" si="4"/>
        <v>3.94</v>
      </c>
      <c r="F46" s="11">
        <f t="shared" si="1"/>
        <v>514.43999999999869</v>
      </c>
    </row>
    <row r="47" spans="1:6" x14ac:dyDescent="0.35">
      <c r="A47" s="9">
        <f t="shared" si="2"/>
        <v>43</v>
      </c>
      <c r="B47" s="11">
        <f t="shared" si="3"/>
        <v>514.43999999999869</v>
      </c>
      <c r="C47" s="9">
        <f t="shared" si="6"/>
        <v>3.86</v>
      </c>
      <c r="D47" s="10">
        <f t="shared" si="5"/>
        <v>10.71</v>
      </c>
      <c r="E47" s="9">
        <f t="shared" si="4"/>
        <v>3.86</v>
      </c>
      <c r="F47" s="11">
        <f t="shared" si="1"/>
        <v>503.72999999999871</v>
      </c>
    </row>
    <row r="48" spans="1:6" x14ac:dyDescent="0.35">
      <c r="A48" s="9">
        <f t="shared" si="2"/>
        <v>44</v>
      </c>
      <c r="B48" s="11">
        <f t="shared" si="3"/>
        <v>503.72999999999871</v>
      </c>
      <c r="C48" s="9">
        <f t="shared" si="6"/>
        <v>3.78</v>
      </c>
      <c r="D48" s="10">
        <f t="shared" si="5"/>
        <v>10.71</v>
      </c>
      <c r="E48" s="9">
        <f t="shared" si="4"/>
        <v>3.78</v>
      </c>
      <c r="F48" s="11">
        <f t="shared" si="1"/>
        <v>493.01999999999873</v>
      </c>
    </row>
    <row r="49" spans="1:6" x14ac:dyDescent="0.35">
      <c r="A49" s="9">
        <f t="shared" si="2"/>
        <v>45</v>
      </c>
      <c r="B49" s="11">
        <f t="shared" si="3"/>
        <v>493.01999999999873</v>
      </c>
      <c r="C49" s="9">
        <f t="shared" si="6"/>
        <v>3.7</v>
      </c>
      <c r="D49" s="10">
        <f t="shared" si="5"/>
        <v>10.71</v>
      </c>
      <c r="E49" s="9">
        <f t="shared" si="4"/>
        <v>3.7</v>
      </c>
      <c r="F49" s="11">
        <f t="shared" si="1"/>
        <v>482.30999999999875</v>
      </c>
    </row>
    <row r="50" spans="1:6" x14ac:dyDescent="0.35">
      <c r="A50" s="9">
        <f t="shared" si="2"/>
        <v>46</v>
      </c>
      <c r="B50" s="11">
        <f t="shared" si="3"/>
        <v>482.30999999999875</v>
      </c>
      <c r="C50" s="9">
        <f t="shared" si="6"/>
        <v>3.62</v>
      </c>
      <c r="D50" s="10">
        <f t="shared" si="5"/>
        <v>10.71</v>
      </c>
      <c r="E50" s="9">
        <f t="shared" si="4"/>
        <v>3.62</v>
      </c>
      <c r="F50" s="11">
        <f t="shared" si="1"/>
        <v>471.59999999999877</v>
      </c>
    </row>
    <row r="51" spans="1:6" x14ac:dyDescent="0.35">
      <c r="A51" s="9">
        <f t="shared" si="2"/>
        <v>47</v>
      </c>
      <c r="B51" s="11">
        <f t="shared" si="3"/>
        <v>471.59999999999877</v>
      </c>
      <c r="C51" s="9">
        <f t="shared" si="6"/>
        <v>3.54</v>
      </c>
      <c r="D51" s="10">
        <f t="shared" si="5"/>
        <v>10.71</v>
      </c>
      <c r="E51" s="9">
        <f t="shared" si="4"/>
        <v>3.54</v>
      </c>
      <c r="F51" s="11">
        <f t="shared" si="1"/>
        <v>460.88999999999879</v>
      </c>
    </row>
    <row r="52" spans="1:6" x14ac:dyDescent="0.35">
      <c r="A52" s="9">
        <f t="shared" si="2"/>
        <v>48</v>
      </c>
      <c r="B52" s="11">
        <f t="shared" si="3"/>
        <v>460.88999999999879</v>
      </c>
      <c r="C52" s="9">
        <f t="shared" si="6"/>
        <v>3.46</v>
      </c>
      <c r="D52" s="10">
        <f t="shared" si="5"/>
        <v>10.71</v>
      </c>
      <c r="E52" s="9">
        <f t="shared" si="4"/>
        <v>3.46</v>
      </c>
      <c r="F52" s="11">
        <f t="shared" si="1"/>
        <v>450.17999999999881</v>
      </c>
    </row>
    <row r="53" spans="1:6" x14ac:dyDescent="0.35">
      <c r="A53" s="9">
        <f t="shared" si="2"/>
        <v>49</v>
      </c>
      <c r="B53" s="11">
        <f t="shared" si="3"/>
        <v>450.17999999999881</v>
      </c>
      <c r="C53" s="9">
        <f t="shared" si="6"/>
        <v>3.38</v>
      </c>
      <c r="D53" s="10">
        <f t="shared" si="5"/>
        <v>10.71</v>
      </c>
      <c r="E53" s="9">
        <f t="shared" si="4"/>
        <v>3.38</v>
      </c>
      <c r="F53" s="11">
        <f t="shared" si="1"/>
        <v>439.46999999999883</v>
      </c>
    </row>
    <row r="54" spans="1:6" x14ac:dyDescent="0.35">
      <c r="A54" s="9">
        <f t="shared" si="2"/>
        <v>50</v>
      </c>
      <c r="B54" s="11">
        <f t="shared" si="3"/>
        <v>439.46999999999883</v>
      </c>
      <c r="C54" s="9">
        <f t="shared" si="6"/>
        <v>3.3</v>
      </c>
      <c r="D54" s="10">
        <f t="shared" si="5"/>
        <v>10.71</v>
      </c>
      <c r="E54" s="9">
        <f t="shared" si="4"/>
        <v>3.3</v>
      </c>
      <c r="F54" s="11">
        <f t="shared" si="1"/>
        <v>428.75999999999885</v>
      </c>
    </row>
    <row r="55" spans="1:6" x14ac:dyDescent="0.35">
      <c r="A55" s="9">
        <f t="shared" si="2"/>
        <v>51</v>
      </c>
      <c r="B55" s="11">
        <f t="shared" si="3"/>
        <v>428.75999999999885</v>
      </c>
      <c r="C55" s="9">
        <f t="shared" si="6"/>
        <v>3.22</v>
      </c>
      <c r="D55" s="10">
        <f t="shared" si="5"/>
        <v>10.71</v>
      </c>
      <c r="E55" s="9">
        <f t="shared" si="4"/>
        <v>3.22</v>
      </c>
      <c r="F55" s="11">
        <f t="shared" si="1"/>
        <v>418.04999999999887</v>
      </c>
    </row>
    <row r="56" spans="1:6" x14ac:dyDescent="0.35">
      <c r="A56" s="9">
        <f t="shared" si="2"/>
        <v>52</v>
      </c>
      <c r="B56" s="11">
        <f t="shared" si="3"/>
        <v>418.04999999999887</v>
      </c>
      <c r="C56" s="9">
        <f t="shared" si="6"/>
        <v>3.14</v>
      </c>
      <c r="D56" s="10">
        <f t="shared" si="5"/>
        <v>10.71</v>
      </c>
      <c r="E56" s="9">
        <f t="shared" si="4"/>
        <v>3.14</v>
      </c>
      <c r="F56" s="11">
        <f t="shared" si="1"/>
        <v>407.33999999999889</v>
      </c>
    </row>
    <row r="57" spans="1:6" x14ac:dyDescent="0.35">
      <c r="A57" s="9">
        <f t="shared" si="2"/>
        <v>53</v>
      </c>
      <c r="B57" s="11">
        <f t="shared" si="3"/>
        <v>407.33999999999889</v>
      </c>
      <c r="C57" s="9">
        <f t="shared" si="6"/>
        <v>3.06</v>
      </c>
      <c r="D57" s="10">
        <f t="shared" si="5"/>
        <v>10.71</v>
      </c>
      <c r="E57" s="9">
        <f t="shared" si="4"/>
        <v>3.06</v>
      </c>
      <c r="F57" s="11">
        <f t="shared" si="1"/>
        <v>396.62999999999892</v>
      </c>
    </row>
    <row r="58" spans="1:6" x14ac:dyDescent="0.35">
      <c r="A58" s="9">
        <f t="shared" si="2"/>
        <v>54</v>
      </c>
      <c r="B58" s="11">
        <f t="shared" si="3"/>
        <v>396.62999999999892</v>
      </c>
      <c r="C58" s="9">
        <f t="shared" si="6"/>
        <v>2.97</v>
      </c>
      <c r="D58" s="10">
        <f t="shared" si="5"/>
        <v>10.71</v>
      </c>
      <c r="E58" s="9">
        <f t="shared" si="4"/>
        <v>2.97</v>
      </c>
      <c r="F58" s="11">
        <f t="shared" si="1"/>
        <v>385.91999999999894</v>
      </c>
    </row>
    <row r="59" spans="1:6" x14ac:dyDescent="0.35">
      <c r="A59" s="9">
        <f t="shared" si="2"/>
        <v>55</v>
      </c>
      <c r="B59" s="11">
        <f t="shared" si="3"/>
        <v>385.91999999999894</v>
      </c>
      <c r="C59" s="9">
        <f t="shared" si="6"/>
        <v>2.89</v>
      </c>
      <c r="D59" s="10">
        <f t="shared" si="5"/>
        <v>10.71</v>
      </c>
      <c r="E59" s="9">
        <f t="shared" si="4"/>
        <v>2.89</v>
      </c>
      <c r="F59" s="11">
        <f t="shared" si="1"/>
        <v>375.20999999999896</v>
      </c>
    </row>
    <row r="60" spans="1:6" x14ac:dyDescent="0.35">
      <c r="A60" s="9">
        <f t="shared" si="2"/>
        <v>56</v>
      </c>
      <c r="B60" s="11">
        <f t="shared" si="3"/>
        <v>375.20999999999896</v>
      </c>
      <c r="C60" s="9">
        <f t="shared" si="6"/>
        <v>2.81</v>
      </c>
      <c r="D60" s="10">
        <f t="shared" si="5"/>
        <v>10.71</v>
      </c>
      <c r="E60" s="9">
        <f t="shared" si="4"/>
        <v>2.81</v>
      </c>
      <c r="F60" s="11">
        <f t="shared" si="1"/>
        <v>364.49999999999898</v>
      </c>
    </row>
    <row r="61" spans="1:6" x14ac:dyDescent="0.35">
      <c r="A61" s="9">
        <f t="shared" si="2"/>
        <v>57</v>
      </c>
      <c r="B61" s="11">
        <f t="shared" si="3"/>
        <v>364.49999999999898</v>
      </c>
      <c r="C61" s="9">
        <f t="shared" si="6"/>
        <v>2.73</v>
      </c>
      <c r="D61" s="10">
        <f t="shared" si="5"/>
        <v>10.71</v>
      </c>
      <c r="E61" s="9">
        <f t="shared" si="4"/>
        <v>2.73</v>
      </c>
      <c r="F61" s="11">
        <f t="shared" si="1"/>
        <v>353.789999999999</v>
      </c>
    </row>
    <row r="62" spans="1:6" x14ac:dyDescent="0.35">
      <c r="A62" s="9">
        <f t="shared" si="2"/>
        <v>58</v>
      </c>
      <c r="B62" s="11">
        <f t="shared" si="3"/>
        <v>353.789999999999</v>
      </c>
      <c r="C62" s="9">
        <f t="shared" si="6"/>
        <v>2.65</v>
      </c>
      <c r="D62" s="10">
        <f t="shared" si="5"/>
        <v>10.71</v>
      </c>
      <c r="E62" s="9">
        <f t="shared" si="4"/>
        <v>2.65</v>
      </c>
      <c r="F62" s="11">
        <f t="shared" si="1"/>
        <v>343.07999999999902</v>
      </c>
    </row>
    <row r="63" spans="1:6" x14ac:dyDescent="0.35">
      <c r="A63" s="9">
        <f t="shared" si="2"/>
        <v>59</v>
      </c>
      <c r="B63" s="11">
        <f t="shared" si="3"/>
        <v>343.07999999999902</v>
      </c>
      <c r="C63" s="9">
        <f t="shared" si="6"/>
        <v>2.57</v>
      </c>
      <c r="D63" s="10">
        <f t="shared" si="5"/>
        <v>10.71</v>
      </c>
      <c r="E63" s="9">
        <f t="shared" si="4"/>
        <v>2.57</v>
      </c>
      <c r="F63" s="11">
        <f t="shared" si="1"/>
        <v>332.36999999999904</v>
      </c>
    </row>
    <row r="64" spans="1:6" x14ac:dyDescent="0.35">
      <c r="A64" s="9">
        <f t="shared" si="2"/>
        <v>60</v>
      </c>
      <c r="B64" s="11">
        <f t="shared" si="3"/>
        <v>332.36999999999904</v>
      </c>
      <c r="C64" s="9">
        <f t="shared" si="6"/>
        <v>2.4900000000000002</v>
      </c>
      <c r="D64" s="10">
        <f t="shared" si="5"/>
        <v>10.71</v>
      </c>
      <c r="E64" s="9">
        <f t="shared" si="4"/>
        <v>2.4900000000000002</v>
      </c>
      <c r="F64" s="11">
        <f t="shared" si="1"/>
        <v>321.65999999999906</v>
      </c>
    </row>
    <row r="65" spans="1:6" x14ac:dyDescent="0.35">
      <c r="A65" s="9">
        <f t="shared" si="2"/>
        <v>61</v>
      </c>
      <c r="B65" s="11">
        <f t="shared" si="3"/>
        <v>321.65999999999906</v>
      </c>
      <c r="C65" s="9">
        <f t="shared" si="6"/>
        <v>2.41</v>
      </c>
      <c r="D65" s="10">
        <f t="shared" si="5"/>
        <v>10.71</v>
      </c>
      <c r="E65" s="9">
        <f t="shared" si="4"/>
        <v>2.41</v>
      </c>
      <c r="F65" s="11">
        <f t="shared" si="1"/>
        <v>310.94999999999908</v>
      </c>
    </row>
    <row r="66" spans="1:6" x14ac:dyDescent="0.35">
      <c r="A66" s="9">
        <f t="shared" si="2"/>
        <v>62</v>
      </c>
      <c r="B66" s="11">
        <f t="shared" si="3"/>
        <v>310.94999999999908</v>
      </c>
      <c r="C66" s="9">
        <f t="shared" si="6"/>
        <v>2.33</v>
      </c>
      <c r="D66" s="10">
        <f t="shared" si="5"/>
        <v>10.71</v>
      </c>
      <c r="E66" s="9">
        <f t="shared" si="4"/>
        <v>2.33</v>
      </c>
      <c r="F66" s="11">
        <f t="shared" si="1"/>
        <v>300.2399999999991</v>
      </c>
    </row>
    <row r="67" spans="1:6" x14ac:dyDescent="0.35">
      <c r="A67" s="9">
        <f t="shared" si="2"/>
        <v>63</v>
      </c>
      <c r="B67" s="11">
        <f t="shared" si="3"/>
        <v>300.2399999999991</v>
      </c>
      <c r="C67" s="9">
        <f t="shared" si="6"/>
        <v>2.25</v>
      </c>
      <c r="D67" s="10">
        <f t="shared" si="5"/>
        <v>10.71</v>
      </c>
      <c r="E67" s="9">
        <f t="shared" si="4"/>
        <v>2.25</v>
      </c>
      <c r="F67" s="11">
        <f t="shared" si="1"/>
        <v>289.52999999999912</v>
      </c>
    </row>
    <row r="68" spans="1:6" x14ac:dyDescent="0.35">
      <c r="A68" s="9">
        <f t="shared" si="2"/>
        <v>64</v>
      </c>
      <c r="B68" s="11">
        <f t="shared" si="3"/>
        <v>289.52999999999912</v>
      </c>
      <c r="C68" s="9">
        <f t="shared" si="6"/>
        <v>2.17</v>
      </c>
      <c r="D68" s="10">
        <f t="shared" si="5"/>
        <v>10.71</v>
      </c>
      <c r="E68" s="9">
        <f t="shared" si="4"/>
        <v>2.17</v>
      </c>
      <c r="F68" s="11">
        <f t="shared" si="1"/>
        <v>278.81999999999914</v>
      </c>
    </row>
    <row r="69" spans="1:6" x14ac:dyDescent="0.35">
      <c r="A69" s="9">
        <f t="shared" si="2"/>
        <v>65</v>
      </c>
      <c r="B69" s="11">
        <f t="shared" si="3"/>
        <v>278.81999999999914</v>
      </c>
      <c r="C69" s="9">
        <f t="shared" si="6"/>
        <v>2.09</v>
      </c>
      <c r="D69" s="10">
        <f t="shared" si="5"/>
        <v>10.71</v>
      </c>
      <c r="E69" s="9">
        <f t="shared" si="4"/>
        <v>2.09</v>
      </c>
      <c r="F69" s="11">
        <f t="shared" si="1"/>
        <v>268.10999999999916</v>
      </c>
    </row>
    <row r="70" spans="1:6" x14ac:dyDescent="0.35">
      <c r="A70" s="9">
        <f t="shared" si="2"/>
        <v>66</v>
      </c>
      <c r="B70" s="11">
        <f t="shared" si="3"/>
        <v>268.10999999999916</v>
      </c>
      <c r="C70" s="9">
        <f t="shared" si="6"/>
        <v>2.0099999999999998</v>
      </c>
      <c r="D70" s="10">
        <f t="shared" si="5"/>
        <v>10.71</v>
      </c>
      <c r="E70" s="9">
        <f t="shared" si="4"/>
        <v>2.0099999999999998</v>
      </c>
      <c r="F70" s="11">
        <f t="shared" ref="F70:F94" si="7">B70+C70-D70-E70</f>
        <v>257.39999999999918</v>
      </c>
    </row>
    <row r="71" spans="1:6" x14ac:dyDescent="0.35">
      <c r="A71" s="9">
        <f t="shared" ref="A71:A94" si="8">A70+1</f>
        <v>67</v>
      </c>
      <c r="B71" s="11">
        <f t="shared" ref="B71:B94" si="9">F70</f>
        <v>257.39999999999918</v>
      </c>
      <c r="C71" s="9">
        <f t="shared" si="6"/>
        <v>1.93</v>
      </c>
      <c r="D71" s="10">
        <f t="shared" si="5"/>
        <v>10.71</v>
      </c>
      <c r="E71" s="9">
        <f t="shared" si="4"/>
        <v>1.93</v>
      </c>
      <c r="F71" s="11">
        <f t="shared" si="7"/>
        <v>246.68999999999917</v>
      </c>
    </row>
    <row r="72" spans="1:6" x14ac:dyDescent="0.35">
      <c r="A72" s="9">
        <f t="shared" si="8"/>
        <v>68</v>
      </c>
      <c r="B72" s="11">
        <f t="shared" si="9"/>
        <v>246.68999999999917</v>
      </c>
      <c r="C72" s="9">
        <f t="shared" si="6"/>
        <v>1.85</v>
      </c>
      <c r="D72" s="10">
        <f t="shared" si="5"/>
        <v>10.71</v>
      </c>
      <c r="E72" s="9">
        <f t="shared" ref="E72:E94" si="10">C72</f>
        <v>1.85</v>
      </c>
      <c r="F72" s="11">
        <f t="shared" si="7"/>
        <v>235.97999999999917</v>
      </c>
    </row>
    <row r="73" spans="1:6" x14ac:dyDescent="0.35">
      <c r="A73" s="9">
        <f t="shared" si="8"/>
        <v>69</v>
      </c>
      <c r="B73" s="11">
        <f t="shared" si="9"/>
        <v>235.97999999999917</v>
      </c>
      <c r="C73" s="9">
        <f t="shared" si="6"/>
        <v>1.77</v>
      </c>
      <c r="D73" s="10">
        <f t="shared" si="5"/>
        <v>10.71</v>
      </c>
      <c r="E73" s="9">
        <f t="shared" si="10"/>
        <v>1.77</v>
      </c>
      <c r="F73" s="11">
        <f t="shared" si="7"/>
        <v>225.26999999999916</v>
      </c>
    </row>
    <row r="74" spans="1:6" x14ac:dyDescent="0.35">
      <c r="A74" s="9">
        <f t="shared" si="8"/>
        <v>70</v>
      </c>
      <c r="B74" s="11">
        <f t="shared" si="9"/>
        <v>225.26999999999916</v>
      </c>
      <c r="C74" s="9">
        <f t="shared" si="6"/>
        <v>1.69</v>
      </c>
      <c r="D74" s="10">
        <f t="shared" si="5"/>
        <v>10.71</v>
      </c>
      <c r="E74" s="9">
        <f t="shared" si="10"/>
        <v>1.69</v>
      </c>
      <c r="F74" s="11">
        <f t="shared" si="7"/>
        <v>214.55999999999915</v>
      </c>
    </row>
    <row r="75" spans="1:6" x14ac:dyDescent="0.35">
      <c r="A75" s="9">
        <f t="shared" si="8"/>
        <v>71</v>
      </c>
      <c r="B75" s="11">
        <f t="shared" si="9"/>
        <v>214.55999999999915</v>
      </c>
      <c r="C75" s="9">
        <f t="shared" si="6"/>
        <v>1.61</v>
      </c>
      <c r="D75" s="10">
        <f t="shared" si="5"/>
        <v>10.71</v>
      </c>
      <c r="E75" s="9">
        <f t="shared" si="10"/>
        <v>1.61</v>
      </c>
      <c r="F75" s="11">
        <f t="shared" si="7"/>
        <v>203.84999999999914</v>
      </c>
    </row>
    <row r="76" spans="1:6" x14ac:dyDescent="0.35">
      <c r="A76" s="9">
        <f t="shared" si="8"/>
        <v>72</v>
      </c>
      <c r="B76" s="11">
        <f t="shared" si="9"/>
        <v>203.84999999999914</v>
      </c>
      <c r="C76" s="9">
        <f t="shared" si="6"/>
        <v>1.53</v>
      </c>
      <c r="D76" s="10">
        <f t="shared" ref="D76:D93" si="11">ROUND(900/84,2)</f>
        <v>10.71</v>
      </c>
      <c r="E76" s="9">
        <f t="shared" si="10"/>
        <v>1.53</v>
      </c>
      <c r="F76" s="11">
        <f t="shared" si="7"/>
        <v>193.13999999999913</v>
      </c>
    </row>
    <row r="77" spans="1:6" x14ac:dyDescent="0.35">
      <c r="A77" s="9">
        <f t="shared" si="8"/>
        <v>73</v>
      </c>
      <c r="B77" s="11">
        <f t="shared" si="9"/>
        <v>193.13999999999913</v>
      </c>
      <c r="C77" s="9">
        <f t="shared" ref="C77:C94" si="12">ROUND((B77*9%)/12,2)</f>
        <v>1.45</v>
      </c>
      <c r="D77" s="10">
        <f t="shared" si="11"/>
        <v>10.71</v>
      </c>
      <c r="E77" s="9">
        <f t="shared" si="10"/>
        <v>1.45</v>
      </c>
      <c r="F77" s="11">
        <f t="shared" si="7"/>
        <v>182.42999999999913</v>
      </c>
    </row>
    <row r="78" spans="1:6" x14ac:dyDescent="0.35">
      <c r="A78" s="9">
        <f t="shared" si="8"/>
        <v>74</v>
      </c>
      <c r="B78" s="11">
        <f t="shared" si="9"/>
        <v>182.42999999999913</v>
      </c>
      <c r="C78" s="9">
        <f t="shared" si="12"/>
        <v>1.37</v>
      </c>
      <c r="D78" s="10">
        <f t="shared" si="11"/>
        <v>10.71</v>
      </c>
      <c r="E78" s="9">
        <f t="shared" si="10"/>
        <v>1.37</v>
      </c>
      <c r="F78" s="11">
        <f t="shared" si="7"/>
        <v>171.71999999999912</v>
      </c>
    </row>
    <row r="79" spans="1:6" x14ac:dyDescent="0.35">
      <c r="A79" s="9">
        <f t="shared" si="8"/>
        <v>75</v>
      </c>
      <c r="B79" s="11">
        <f t="shared" si="9"/>
        <v>171.71999999999912</v>
      </c>
      <c r="C79" s="9">
        <f t="shared" si="12"/>
        <v>1.29</v>
      </c>
      <c r="D79" s="10">
        <f t="shared" si="11"/>
        <v>10.71</v>
      </c>
      <c r="E79" s="9">
        <f t="shared" si="10"/>
        <v>1.29</v>
      </c>
      <c r="F79" s="11">
        <f t="shared" si="7"/>
        <v>161.00999999999911</v>
      </c>
    </row>
    <row r="80" spans="1:6" x14ac:dyDescent="0.35">
      <c r="A80" s="9">
        <f t="shared" si="8"/>
        <v>76</v>
      </c>
      <c r="B80" s="11">
        <f t="shared" si="9"/>
        <v>161.00999999999911</v>
      </c>
      <c r="C80" s="9">
        <f t="shared" si="12"/>
        <v>1.21</v>
      </c>
      <c r="D80" s="10">
        <f t="shared" si="11"/>
        <v>10.71</v>
      </c>
      <c r="E80" s="9">
        <f t="shared" si="10"/>
        <v>1.21</v>
      </c>
      <c r="F80" s="11">
        <f t="shared" si="7"/>
        <v>150.2999999999991</v>
      </c>
    </row>
    <row r="81" spans="1:6" x14ac:dyDescent="0.35">
      <c r="A81" s="9">
        <f t="shared" si="8"/>
        <v>77</v>
      </c>
      <c r="B81" s="11">
        <f t="shared" si="9"/>
        <v>150.2999999999991</v>
      </c>
      <c r="C81" s="9">
        <f t="shared" si="12"/>
        <v>1.1299999999999999</v>
      </c>
      <c r="D81" s="10">
        <f t="shared" si="11"/>
        <v>10.71</v>
      </c>
      <c r="E81" s="9">
        <f t="shared" si="10"/>
        <v>1.1299999999999999</v>
      </c>
      <c r="F81" s="11">
        <f t="shared" si="7"/>
        <v>139.58999999999909</v>
      </c>
    </row>
    <row r="82" spans="1:6" x14ac:dyDescent="0.35">
      <c r="A82" s="9">
        <f t="shared" si="8"/>
        <v>78</v>
      </c>
      <c r="B82" s="11">
        <f t="shared" si="9"/>
        <v>139.58999999999909</v>
      </c>
      <c r="C82" s="9">
        <f t="shared" si="12"/>
        <v>1.05</v>
      </c>
      <c r="D82" s="10">
        <f t="shared" si="11"/>
        <v>10.71</v>
      </c>
      <c r="E82" s="9">
        <f t="shared" si="10"/>
        <v>1.05</v>
      </c>
      <c r="F82" s="11">
        <f t="shared" si="7"/>
        <v>128.87999999999909</v>
      </c>
    </row>
    <row r="83" spans="1:6" x14ac:dyDescent="0.35">
      <c r="A83" s="9">
        <f t="shared" si="8"/>
        <v>79</v>
      </c>
      <c r="B83" s="11">
        <f t="shared" si="9"/>
        <v>128.87999999999909</v>
      </c>
      <c r="C83" s="9">
        <f t="shared" si="12"/>
        <v>0.97</v>
      </c>
      <c r="D83" s="10">
        <f t="shared" si="11"/>
        <v>10.71</v>
      </c>
      <c r="E83" s="9">
        <f t="shared" si="10"/>
        <v>0.97</v>
      </c>
      <c r="F83" s="11">
        <f t="shared" si="7"/>
        <v>118.16999999999908</v>
      </c>
    </row>
    <row r="84" spans="1:6" x14ac:dyDescent="0.35">
      <c r="A84" s="9">
        <f t="shared" si="8"/>
        <v>80</v>
      </c>
      <c r="B84" s="11">
        <f t="shared" si="9"/>
        <v>118.16999999999908</v>
      </c>
      <c r="C84" s="9">
        <f t="shared" si="12"/>
        <v>0.89</v>
      </c>
      <c r="D84" s="10">
        <f t="shared" si="11"/>
        <v>10.71</v>
      </c>
      <c r="E84" s="9">
        <f t="shared" si="10"/>
        <v>0.89</v>
      </c>
      <c r="F84" s="11">
        <f t="shared" si="7"/>
        <v>107.45999999999908</v>
      </c>
    </row>
    <row r="85" spans="1:6" x14ac:dyDescent="0.35">
      <c r="A85" s="9">
        <f t="shared" si="8"/>
        <v>81</v>
      </c>
      <c r="B85" s="11">
        <f t="shared" si="9"/>
        <v>107.45999999999908</v>
      </c>
      <c r="C85" s="9">
        <f t="shared" si="12"/>
        <v>0.81</v>
      </c>
      <c r="D85" s="10">
        <f t="shared" si="11"/>
        <v>10.71</v>
      </c>
      <c r="E85" s="9">
        <f t="shared" si="10"/>
        <v>0.81</v>
      </c>
      <c r="F85" s="11">
        <f t="shared" si="7"/>
        <v>96.749999999999091</v>
      </c>
    </row>
    <row r="86" spans="1:6" x14ac:dyDescent="0.35">
      <c r="A86" s="9">
        <f t="shared" si="8"/>
        <v>82</v>
      </c>
      <c r="B86" s="11">
        <f t="shared" si="9"/>
        <v>96.749999999999091</v>
      </c>
      <c r="C86" s="9">
        <f t="shared" si="12"/>
        <v>0.73</v>
      </c>
      <c r="D86" s="10">
        <f t="shared" si="11"/>
        <v>10.71</v>
      </c>
      <c r="E86" s="9">
        <f t="shared" si="10"/>
        <v>0.73</v>
      </c>
      <c r="F86" s="11">
        <f t="shared" si="7"/>
        <v>86.039999999999097</v>
      </c>
    </row>
    <row r="87" spans="1:6" x14ac:dyDescent="0.35">
      <c r="A87" s="9">
        <f t="shared" si="8"/>
        <v>83</v>
      </c>
      <c r="B87" s="11">
        <f t="shared" si="9"/>
        <v>86.039999999999097</v>
      </c>
      <c r="C87" s="9">
        <f t="shared" si="12"/>
        <v>0.65</v>
      </c>
      <c r="D87" s="10">
        <f t="shared" si="11"/>
        <v>10.71</v>
      </c>
      <c r="E87" s="9">
        <f t="shared" si="10"/>
        <v>0.65</v>
      </c>
      <c r="F87" s="11">
        <f t="shared" si="7"/>
        <v>75.329999999999103</v>
      </c>
    </row>
    <row r="88" spans="1:6" x14ac:dyDescent="0.35">
      <c r="A88" s="9">
        <f t="shared" si="8"/>
        <v>84</v>
      </c>
      <c r="B88" s="11">
        <f t="shared" si="9"/>
        <v>75.329999999999103</v>
      </c>
      <c r="C88" s="9">
        <f t="shared" si="12"/>
        <v>0.56000000000000005</v>
      </c>
      <c r="D88" s="10">
        <f t="shared" si="11"/>
        <v>10.71</v>
      </c>
      <c r="E88" s="9">
        <f t="shared" si="10"/>
        <v>0.56000000000000005</v>
      </c>
      <c r="F88" s="11">
        <f t="shared" si="7"/>
        <v>64.619999999999095</v>
      </c>
    </row>
    <row r="89" spans="1:6" x14ac:dyDescent="0.35">
      <c r="A89" s="9">
        <f t="shared" si="8"/>
        <v>85</v>
      </c>
      <c r="B89" s="11">
        <f t="shared" si="9"/>
        <v>64.619999999999095</v>
      </c>
      <c r="C89" s="9">
        <f t="shared" si="12"/>
        <v>0.48</v>
      </c>
      <c r="D89" s="10">
        <f t="shared" si="11"/>
        <v>10.71</v>
      </c>
      <c r="E89" s="9">
        <f t="shared" si="10"/>
        <v>0.48</v>
      </c>
      <c r="F89" s="11">
        <f t="shared" si="7"/>
        <v>53.909999999999101</v>
      </c>
    </row>
    <row r="90" spans="1:6" x14ac:dyDescent="0.35">
      <c r="A90" s="9">
        <f t="shared" si="8"/>
        <v>86</v>
      </c>
      <c r="B90" s="11">
        <f t="shared" si="9"/>
        <v>53.909999999999101</v>
      </c>
      <c r="C90" s="9">
        <f t="shared" si="12"/>
        <v>0.4</v>
      </c>
      <c r="D90" s="10">
        <f t="shared" si="11"/>
        <v>10.71</v>
      </c>
      <c r="E90" s="9">
        <f t="shared" si="10"/>
        <v>0.4</v>
      </c>
      <c r="F90" s="11">
        <f t="shared" si="7"/>
        <v>43.1999999999991</v>
      </c>
    </row>
    <row r="91" spans="1:6" x14ac:dyDescent="0.35">
      <c r="A91" s="9">
        <f t="shared" si="8"/>
        <v>87</v>
      </c>
      <c r="B91" s="11">
        <f t="shared" si="9"/>
        <v>43.1999999999991</v>
      </c>
      <c r="C91" s="9">
        <f t="shared" si="12"/>
        <v>0.32</v>
      </c>
      <c r="D91" s="10">
        <f t="shared" si="11"/>
        <v>10.71</v>
      </c>
      <c r="E91" s="9">
        <f t="shared" si="10"/>
        <v>0.32</v>
      </c>
      <c r="F91" s="11">
        <f t="shared" si="7"/>
        <v>32.4899999999991</v>
      </c>
    </row>
    <row r="92" spans="1:6" x14ac:dyDescent="0.35">
      <c r="A92" s="9">
        <f t="shared" si="8"/>
        <v>88</v>
      </c>
      <c r="B92" s="11">
        <f t="shared" si="9"/>
        <v>32.4899999999991</v>
      </c>
      <c r="C92" s="9">
        <f t="shared" si="12"/>
        <v>0.24</v>
      </c>
      <c r="D92" s="10">
        <f t="shared" si="11"/>
        <v>10.71</v>
      </c>
      <c r="E92" s="9">
        <f t="shared" si="10"/>
        <v>0.24</v>
      </c>
      <c r="F92" s="11">
        <f t="shared" si="7"/>
        <v>21.779999999999102</v>
      </c>
    </row>
    <row r="93" spans="1:6" x14ac:dyDescent="0.35">
      <c r="A93" s="9">
        <f t="shared" si="8"/>
        <v>89</v>
      </c>
      <c r="B93" s="11">
        <f t="shared" si="9"/>
        <v>21.779999999999102</v>
      </c>
      <c r="C93" s="9">
        <f t="shared" si="12"/>
        <v>0.16</v>
      </c>
      <c r="D93" s="10">
        <f t="shared" si="11"/>
        <v>10.71</v>
      </c>
      <c r="E93" s="9">
        <f t="shared" si="10"/>
        <v>0.16</v>
      </c>
      <c r="F93" s="11">
        <f t="shared" si="7"/>
        <v>11.069999999999101</v>
      </c>
    </row>
    <row r="94" spans="1:6" x14ac:dyDescent="0.35">
      <c r="A94" s="9">
        <f t="shared" si="8"/>
        <v>90</v>
      </c>
      <c r="B94" s="11">
        <f t="shared" si="9"/>
        <v>11.069999999999101</v>
      </c>
      <c r="C94" s="9">
        <f t="shared" si="12"/>
        <v>0.08</v>
      </c>
      <c r="D94" s="10">
        <f>ROUND(900/84,2)+0.36</f>
        <v>11.07</v>
      </c>
      <c r="E94" s="9">
        <f t="shared" si="10"/>
        <v>0.08</v>
      </c>
      <c r="F94" s="11">
        <f t="shared" si="7"/>
        <v>-8.9876717179748766E-13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F59"/>
  <sheetViews>
    <sheetView showGridLines="0" topLeftCell="A54" workbookViewId="0">
      <selection activeCell="C74" sqref="C74"/>
    </sheetView>
  </sheetViews>
  <sheetFormatPr defaultRowHeight="14.5" x14ac:dyDescent="0.35"/>
  <cols>
    <col min="2" max="2" width="4.7265625" customWidth="1"/>
    <col min="3" max="3" width="41.81640625" customWidth="1"/>
    <col min="4" max="4" width="17.453125" customWidth="1"/>
    <col min="5" max="5" width="12.1796875" bestFit="1" customWidth="1"/>
    <col min="6" max="6" width="20.81640625" customWidth="1"/>
  </cols>
  <sheetData>
    <row r="2" spans="2:5" x14ac:dyDescent="0.35">
      <c r="B2" s="1" t="s">
        <v>324</v>
      </c>
    </row>
    <row r="3" spans="2:5" x14ac:dyDescent="0.35">
      <c r="B3" s="1"/>
    </row>
    <row r="4" spans="2:5" x14ac:dyDescent="0.35">
      <c r="B4" s="1" t="s">
        <v>325</v>
      </c>
    </row>
    <row r="6" spans="2:5" ht="15" x14ac:dyDescent="0.25">
      <c r="B6" s="163" t="s">
        <v>30</v>
      </c>
      <c r="C6" s="164" t="s">
        <v>33</v>
      </c>
      <c r="D6" s="163" t="s">
        <v>34</v>
      </c>
      <c r="E6" s="163" t="s">
        <v>35</v>
      </c>
    </row>
    <row r="7" spans="2:5" ht="15" x14ac:dyDescent="0.25">
      <c r="B7" s="29" t="s">
        <v>56</v>
      </c>
      <c r="C7" s="1" t="s">
        <v>57</v>
      </c>
      <c r="D7" s="29"/>
      <c r="E7" s="29"/>
    </row>
    <row r="8" spans="2:5" ht="15" x14ac:dyDescent="0.25">
      <c r="B8" s="29"/>
      <c r="C8" s="1"/>
      <c r="D8" s="29"/>
      <c r="E8" s="29"/>
    </row>
    <row r="9" spans="2:5" ht="15" x14ac:dyDescent="0.25">
      <c r="B9" s="18">
        <v>1</v>
      </c>
      <c r="C9" t="s">
        <v>32</v>
      </c>
      <c r="D9" s="18" t="s">
        <v>36</v>
      </c>
      <c r="E9" s="76">
        <v>4</v>
      </c>
    </row>
    <row r="10" spans="2:5" ht="15" x14ac:dyDescent="0.25">
      <c r="B10" s="18">
        <v>2</v>
      </c>
      <c r="C10" t="s">
        <v>230</v>
      </c>
      <c r="D10" s="18" t="s">
        <v>37</v>
      </c>
      <c r="E10" s="24">
        <v>50000</v>
      </c>
    </row>
    <row r="11" spans="2:5" ht="15" x14ac:dyDescent="0.25">
      <c r="B11" s="18">
        <v>3</v>
      </c>
      <c r="C11" s="18" t="s">
        <v>31</v>
      </c>
      <c r="D11" s="18"/>
      <c r="E11" s="24"/>
    </row>
    <row r="12" spans="2:5" ht="15" x14ac:dyDescent="0.25">
      <c r="B12" s="18" t="s">
        <v>54</v>
      </c>
      <c r="C12" s="18" t="s">
        <v>44</v>
      </c>
      <c r="D12" s="18"/>
      <c r="E12" s="24"/>
    </row>
    <row r="13" spans="2:5" ht="15" x14ac:dyDescent="0.25">
      <c r="B13" s="18" t="s">
        <v>55</v>
      </c>
      <c r="C13" s="18" t="s">
        <v>321</v>
      </c>
      <c r="D13" s="18"/>
      <c r="E13" s="24"/>
    </row>
    <row r="14" spans="2:5" ht="15" x14ac:dyDescent="0.25">
      <c r="B14" s="18" t="s">
        <v>266</v>
      </c>
      <c r="C14" s="18" t="s">
        <v>321</v>
      </c>
      <c r="D14" s="18"/>
      <c r="E14" s="24"/>
    </row>
    <row r="15" spans="2:5" ht="15" x14ac:dyDescent="0.25">
      <c r="B15" s="18" t="s">
        <v>268</v>
      </c>
      <c r="C15" s="18" t="s">
        <v>322</v>
      </c>
      <c r="D15" s="18"/>
      <c r="E15" s="24"/>
    </row>
    <row r="16" spans="2:5" ht="15" x14ac:dyDescent="0.25">
      <c r="B16" s="18"/>
      <c r="D16" s="18"/>
      <c r="E16" s="24"/>
    </row>
    <row r="17" spans="2:6" ht="15" x14ac:dyDescent="0.25">
      <c r="B17" s="29" t="s">
        <v>58</v>
      </c>
      <c r="C17" s="1" t="s">
        <v>59</v>
      </c>
      <c r="D17" s="18"/>
      <c r="E17" s="24"/>
    </row>
    <row r="18" spans="2:6" ht="15" x14ac:dyDescent="0.25">
      <c r="B18" s="18"/>
      <c r="D18" s="18"/>
      <c r="E18" s="24"/>
    </row>
    <row r="19" spans="2:6" x14ac:dyDescent="0.35">
      <c r="B19" s="18">
        <v>4</v>
      </c>
      <c r="C19" t="s">
        <v>9</v>
      </c>
      <c r="D19" s="18" t="s">
        <v>38</v>
      </c>
      <c r="E19" s="18">
        <v>25</v>
      </c>
    </row>
    <row r="20" spans="2:6" ht="15" x14ac:dyDescent="0.25">
      <c r="B20" s="18">
        <v>5</v>
      </c>
      <c r="C20" t="s">
        <v>11</v>
      </c>
      <c r="D20" s="18" t="s">
        <v>39</v>
      </c>
      <c r="E20" s="18">
        <v>4</v>
      </c>
    </row>
    <row r="21" spans="2:6" ht="15" x14ac:dyDescent="0.25">
      <c r="B21" s="18">
        <v>6</v>
      </c>
      <c r="C21" t="s">
        <v>40</v>
      </c>
      <c r="D21" s="18" t="s">
        <v>41</v>
      </c>
      <c r="E21" s="18">
        <v>7</v>
      </c>
    </row>
    <row r="22" spans="2:6" x14ac:dyDescent="0.35">
      <c r="B22" s="18">
        <v>7</v>
      </c>
      <c r="C22" t="s">
        <v>180</v>
      </c>
      <c r="D22" s="18" t="s">
        <v>49</v>
      </c>
      <c r="E22" s="25">
        <v>2000000</v>
      </c>
    </row>
    <row r="23" spans="2:6" ht="15" x14ac:dyDescent="0.25">
      <c r="B23" s="18">
        <v>8</v>
      </c>
      <c r="C23" t="s">
        <v>13</v>
      </c>
      <c r="D23" s="18" t="s">
        <v>39</v>
      </c>
      <c r="E23" s="18">
        <v>8</v>
      </c>
    </row>
    <row r="24" spans="2:6" x14ac:dyDescent="0.35">
      <c r="B24" s="18">
        <v>9</v>
      </c>
      <c r="C24" t="s">
        <v>50</v>
      </c>
      <c r="D24" s="18" t="s">
        <v>49</v>
      </c>
      <c r="E24" s="26">
        <f>E22*80%</f>
        <v>1600000</v>
      </c>
    </row>
    <row r="25" spans="2:6" ht="15" x14ac:dyDescent="0.25">
      <c r="B25" s="18">
        <v>10</v>
      </c>
      <c r="C25" t="s">
        <v>42</v>
      </c>
      <c r="D25" s="18" t="s">
        <v>39</v>
      </c>
      <c r="E25" s="18">
        <v>11.5</v>
      </c>
    </row>
    <row r="26" spans="2:6" ht="15" x14ac:dyDescent="0.25">
      <c r="B26" s="18">
        <v>12</v>
      </c>
      <c r="C26" t="s">
        <v>60</v>
      </c>
      <c r="D26" s="18" t="s">
        <v>39</v>
      </c>
      <c r="E26" s="18">
        <v>15</v>
      </c>
    </row>
    <row r="27" spans="2:6" ht="30" x14ac:dyDescent="0.25">
      <c r="B27" s="124">
        <v>13</v>
      </c>
      <c r="C27" s="123" t="s">
        <v>231</v>
      </c>
      <c r="D27" s="125" t="s">
        <v>39</v>
      </c>
      <c r="E27" s="124">
        <v>2</v>
      </c>
      <c r="F27" s="75"/>
    </row>
    <row r="28" spans="2:6" ht="15" x14ac:dyDescent="0.25">
      <c r="B28" s="125">
        <v>14</v>
      </c>
      <c r="C28" s="126" t="s">
        <v>232</v>
      </c>
      <c r="D28" s="125" t="s">
        <v>39</v>
      </c>
      <c r="E28" s="125">
        <v>3</v>
      </c>
      <c r="F28" s="75"/>
    </row>
    <row r="29" spans="2:6" ht="15" x14ac:dyDescent="0.25">
      <c r="B29" s="18">
        <v>15</v>
      </c>
      <c r="C29" t="s">
        <v>43</v>
      </c>
      <c r="D29" s="18" t="s">
        <v>41</v>
      </c>
      <c r="E29" s="18">
        <v>6</v>
      </c>
    </row>
    <row r="30" spans="2:6" ht="15" x14ac:dyDescent="0.25">
      <c r="B30" s="18">
        <v>16</v>
      </c>
      <c r="C30" t="s">
        <v>48</v>
      </c>
      <c r="D30" s="18" t="s">
        <v>39</v>
      </c>
      <c r="E30" s="18">
        <v>9</v>
      </c>
    </row>
    <row r="31" spans="2:6" ht="15" x14ac:dyDescent="0.25">
      <c r="B31" s="19">
        <v>17</v>
      </c>
      <c r="C31" s="21" t="s">
        <v>53</v>
      </c>
      <c r="D31" s="19"/>
      <c r="E31" s="19"/>
    </row>
    <row r="32" spans="2:6" ht="15" x14ac:dyDescent="0.25">
      <c r="B32" s="18"/>
      <c r="C32" s="33"/>
      <c r="D32" s="27"/>
      <c r="E32" s="27"/>
    </row>
    <row r="33" spans="2:5" ht="15" x14ac:dyDescent="0.25">
      <c r="B33" s="32" t="s">
        <v>61</v>
      </c>
      <c r="C33" s="39" t="s">
        <v>62</v>
      </c>
      <c r="D33" s="18"/>
      <c r="E33" s="18"/>
    </row>
    <row r="34" spans="2:5" ht="15" x14ac:dyDescent="0.25">
      <c r="B34" s="30"/>
      <c r="C34" s="36"/>
      <c r="D34" s="18"/>
      <c r="E34" s="18"/>
    </row>
    <row r="35" spans="2:5" ht="15" x14ac:dyDescent="0.25">
      <c r="B35" s="77">
        <v>18</v>
      </c>
      <c r="C35" s="36" t="s">
        <v>233</v>
      </c>
      <c r="D35" s="18"/>
      <c r="E35" s="18"/>
    </row>
    <row r="36" spans="2:5" x14ac:dyDescent="0.35">
      <c r="B36" s="30"/>
      <c r="C36" t="s">
        <v>313</v>
      </c>
      <c r="D36" s="18" t="s">
        <v>323</v>
      </c>
      <c r="E36" s="18"/>
    </row>
    <row r="37" spans="2:5" x14ac:dyDescent="0.35">
      <c r="B37" s="30"/>
      <c r="C37" t="s">
        <v>315</v>
      </c>
      <c r="D37" s="18" t="s">
        <v>314</v>
      </c>
      <c r="E37" s="18"/>
    </row>
    <row r="38" spans="2:5" x14ac:dyDescent="0.35">
      <c r="B38" s="30"/>
      <c r="C38" t="s">
        <v>317</v>
      </c>
      <c r="D38" s="18" t="s">
        <v>316</v>
      </c>
      <c r="E38" s="18"/>
    </row>
    <row r="39" spans="2:5" x14ac:dyDescent="0.35">
      <c r="B39" s="30"/>
      <c r="C39" t="s">
        <v>319</v>
      </c>
      <c r="D39" s="18" t="s">
        <v>318</v>
      </c>
      <c r="E39" s="18"/>
    </row>
    <row r="40" spans="2:5" x14ac:dyDescent="0.35">
      <c r="B40" s="30"/>
      <c r="C40" s="36"/>
      <c r="D40" s="28"/>
      <c r="E40" s="18"/>
    </row>
    <row r="41" spans="2:5" x14ac:dyDescent="0.35">
      <c r="B41" s="18">
        <v>19</v>
      </c>
      <c r="C41" s="36" t="s">
        <v>45</v>
      </c>
      <c r="D41" s="18"/>
      <c r="E41" s="18"/>
    </row>
    <row r="42" spans="2:5" x14ac:dyDescent="0.35">
      <c r="B42" s="18"/>
      <c r="C42" s="36" t="s">
        <v>44</v>
      </c>
      <c r="D42" s="18" t="s">
        <v>314</v>
      </c>
      <c r="E42" s="28"/>
    </row>
    <row r="43" spans="2:5" x14ac:dyDescent="0.35">
      <c r="B43" s="18"/>
      <c r="C43" s="36" t="s">
        <v>229</v>
      </c>
      <c r="D43" s="18" t="s">
        <v>316</v>
      </c>
      <c r="E43" s="28"/>
    </row>
    <row r="44" spans="2:5" x14ac:dyDescent="0.35">
      <c r="B44" s="18"/>
      <c r="C44" s="36" t="s">
        <v>267</v>
      </c>
      <c r="D44" s="18" t="s">
        <v>318</v>
      </c>
      <c r="E44" s="28"/>
    </row>
    <row r="45" spans="2:5" x14ac:dyDescent="0.35">
      <c r="B45" s="18"/>
      <c r="C45" s="36" t="s">
        <v>269</v>
      </c>
      <c r="D45" s="18" t="s">
        <v>320</v>
      </c>
      <c r="E45" s="18"/>
    </row>
    <row r="46" spans="2:5" x14ac:dyDescent="0.35">
      <c r="B46" s="18">
        <v>20</v>
      </c>
      <c r="C46" s="36" t="s">
        <v>46</v>
      </c>
      <c r="D46" s="18" t="s">
        <v>47</v>
      </c>
      <c r="E46" s="18">
        <v>3</v>
      </c>
    </row>
    <row r="47" spans="2:5" x14ac:dyDescent="0.35">
      <c r="B47" s="18"/>
      <c r="C47" s="36"/>
      <c r="D47" s="18"/>
      <c r="E47" s="18"/>
    </row>
    <row r="48" spans="2:5" x14ac:dyDescent="0.35">
      <c r="B48" s="19">
        <v>18</v>
      </c>
      <c r="C48" s="37" t="s">
        <v>63</v>
      </c>
      <c r="D48" s="19" t="s">
        <v>49</v>
      </c>
      <c r="E48" s="31">
        <v>800000</v>
      </c>
    </row>
    <row r="49" spans="2:5" x14ac:dyDescent="0.35">
      <c r="B49" s="27"/>
      <c r="C49" s="33"/>
      <c r="D49" s="34"/>
      <c r="E49" s="35"/>
    </row>
    <row r="50" spans="2:5" x14ac:dyDescent="0.35">
      <c r="B50" s="29" t="s">
        <v>64</v>
      </c>
      <c r="C50" s="39" t="s">
        <v>65</v>
      </c>
      <c r="E50" s="20"/>
    </row>
    <row r="51" spans="2:5" x14ac:dyDescent="0.35">
      <c r="B51" s="18"/>
      <c r="C51" s="36"/>
      <c r="E51" s="20"/>
    </row>
    <row r="52" spans="2:5" x14ac:dyDescent="0.35">
      <c r="B52" s="30">
        <v>19</v>
      </c>
      <c r="C52" s="36" t="s">
        <v>51</v>
      </c>
      <c r="E52" s="20"/>
    </row>
    <row r="53" spans="2:5" x14ac:dyDescent="0.35">
      <c r="B53" s="30">
        <v>20</v>
      </c>
      <c r="C53" s="36" t="s">
        <v>52</v>
      </c>
      <c r="E53" s="20"/>
    </row>
    <row r="54" spans="2:5" x14ac:dyDescent="0.35">
      <c r="B54" s="19"/>
      <c r="C54" s="37"/>
      <c r="D54" s="21"/>
      <c r="E54" s="22"/>
    </row>
    <row r="55" spans="2:5" x14ac:dyDescent="0.35">
      <c r="B55" s="27"/>
      <c r="C55" s="33"/>
      <c r="D55" s="34"/>
      <c r="E55" s="35"/>
    </row>
    <row r="56" spans="2:5" x14ac:dyDescent="0.35">
      <c r="B56" s="29" t="s">
        <v>66</v>
      </c>
      <c r="C56" s="39" t="s">
        <v>67</v>
      </c>
      <c r="E56" s="20"/>
    </row>
    <row r="57" spans="2:5" x14ac:dyDescent="0.35">
      <c r="B57" s="18"/>
      <c r="C57" s="36"/>
      <c r="E57" s="20"/>
    </row>
    <row r="58" spans="2:5" x14ac:dyDescent="0.35">
      <c r="B58" s="18">
        <v>21</v>
      </c>
      <c r="C58" s="165" t="s">
        <v>301</v>
      </c>
      <c r="D58" s="166"/>
      <c r="E58" s="167"/>
    </row>
    <row r="59" spans="2:5" ht="28.5" customHeight="1" x14ac:dyDescent="0.35">
      <c r="B59" s="38">
        <v>22</v>
      </c>
      <c r="C59" s="165" t="s">
        <v>302</v>
      </c>
      <c r="D59" s="166"/>
      <c r="E59" s="167"/>
    </row>
  </sheetData>
  <mergeCells count="2">
    <mergeCell ref="C59:E59"/>
    <mergeCell ref="C58:E5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I13"/>
  <sheetViews>
    <sheetView workbookViewId="0">
      <selection activeCell="C6" sqref="C6"/>
    </sheetView>
  </sheetViews>
  <sheetFormatPr defaultRowHeight="14.5" x14ac:dyDescent="0.35"/>
  <cols>
    <col min="2" max="2" width="33.54296875" customWidth="1"/>
  </cols>
  <sheetData>
    <row r="1" spans="2:87" x14ac:dyDescent="0.25">
      <c r="C1">
        <v>1</v>
      </c>
      <c r="D1">
        <f>C1+1</f>
        <v>2</v>
      </c>
      <c r="E1">
        <f t="shared" ref="E1:BP1" si="0">D1+1</f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si="0"/>
        <v>33</v>
      </c>
      <c r="AJ1">
        <f t="shared" si="0"/>
        <v>34</v>
      </c>
      <c r="AK1">
        <f t="shared" si="0"/>
        <v>35</v>
      </c>
      <c r="AL1">
        <f t="shared" si="0"/>
        <v>36</v>
      </c>
      <c r="AM1">
        <f t="shared" si="0"/>
        <v>37</v>
      </c>
      <c r="AN1">
        <f t="shared" si="0"/>
        <v>38</v>
      </c>
      <c r="AO1">
        <f t="shared" si="0"/>
        <v>39</v>
      </c>
      <c r="AP1">
        <f t="shared" si="0"/>
        <v>40</v>
      </c>
      <c r="AQ1">
        <f t="shared" si="0"/>
        <v>41</v>
      </c>
      <c r="AR1">
        <f t="shared" si="0"/>
        <v>42</v>
      </c>
      <c r="AS1">
        <f t="shared" si="0"/>
        <v>43</v>
      </c>
      <c r="AT1">
        <f t="shared" si="0"/>
        <v>44</v>
      </c>
      <c r="AU1">
        <f t="shared" si="0"/>
        <v>45</v>
      </c>
      <c r="AV1">
        <f t="shared" si="0"/>
        <v>46</v>
      </c>
      <c r="AW1">
        <f t="shared" si="0"/>
        <v>47</v>
      </c>
      <c r="AX1">
        <f t="shared" si="0"/>
        <v>48</v>
      </c>
      <c r="AY1">
        <f t="shared" si="0"/>
        <v>49</v>
      </c>
      <c r="AZ1">
        <f t="shared" si="0"/>
        <v>50</v>
      </c>
      <c r="BA1">
        <f t="shared" si="0"/>
        <v>51</v>
      </c>
      <c r="BB1">
        <f t="shared" si="0"/>
        <v>52</v>
      </c>
      <c r="BC1">
        <f t="shared" si="0"/>
        <v>53</v>
      </c>
      <c r="BD1">
        <f t="shared" si="0"/>
        <v>54</v>
      </c>
      <c r="BE1">
        <f t="shared" si="0"/>
        <v>55</v>
      </c>
      <c r="BF1">
        <f t="shared" si="0"/>
        <v>56</v>
      </c>
      <c r="BG1">
        <f t="shared" si="0"/>
        <v>57</v>
      </c>
      <c r="BH1">
        <f t="shared" si="0"/>
        <v>58</v>
      </c>
      <c r="BI1">
        <f t="shared" si="0"/>
        <v>59</v>
      </c>
      <c r="BJ1">
        <f t="shared" si="0"/>
        <v>60</v>
      </c>
      <c r="BK1">
        <f t="shared" si="0"/>
        <v>61</v>
      </c>
      <c r="BL1">
        <f t="shared" si="0"/>
        <v>62</v>
      </c>
      <c r="BM1">
        <f t="shared" si="0"/>
        <v>63</v>
      </c>
      <c r="BN1">
        <f t="shared" si="0"/>
        <v>64</v>
      </c>
      <c r="BO1">
        <f t="shared" si="0"/>
        <v>65</v>
      </c>
      <c r="BP1">
        <f t="shared" si="0"/>
        <v>66</v>
      </c>
      <c r="BQ1">
        <f t="shared" ref="BQ1:CH1" si="1">BP1+1</f>
        <v>67</v>
      </c>
      <c r="BR1">
        <f t="shared" si="1"/>
        <v>68</v>
      </c>
      <c r="BS1">
        <f t="shared" si="1"/>
        <v>69</v>
      </c>
      <c r="BT1">
        <f t="shared" si="1"/>
        <v>70</v>
      </c>
      <c r="BU1">
        <f t="shared" si="1"/>
        <v>71</v>
      </c>
      <c r="BV1">
        <f t="shared" si="1"/>
        <v>72</v>
      </c>
      <c r="BW1">
        <f t="shared" si="1"/>
        <v>73</v>
      </c>
      <c r="BX1">
        <f t="shared" si="1"/>
        <v>74</v>
      </c>
      <c r="BY1">
        <f t="shared" si="1"/>
        <v>75</v>
      </c>
      <c r="BZ1">
        <f t="shared" si="1"/>
        <v>76</v>
      </c>
      <c r="CA1">
        <f t="shared" si="1"/>
        <v>77</v>
      </c>
      <c r="CB1">
        <f t="shared" si="1"/>
        <v>78</v>
      </c>
      <c r="CC1">
        <f t="shared" si="1"/>
        <v>79</v>
      </c>
      <c r="CD1">
        <f t="shared" si="1"/>
        <v>80</v>
      </c>
      <c r="CE1">
        <f t="shared" si="1"/>
        <v>81</v>
      </c>
      <c r="CF1">
        <f t="shared" si="1"/>
        <v>82</v>
      </c>
      <c r="CG1">
        <f t="shared" si="1"/>
        <v>83</v>
      </c>
      <c r="CH1">
        <f t="shared" si="1"/>
        <v>84</v>
      </c>
      <c r="CI1" t="s">
        <v>5</v>
      </c>
    </row>
    <row r="2" spans="2:87" x14ac:dyDescent="0.25">
      <c r="B2" t="s">
        <v>25</v>
      </c>
      <c r="C2">
        <v>1200</v>
      </c>
      <c r="D2">
        <f>C4</f>
        <v>1185.71</v>
      </c>
      <c r="E2">
        <f>D4</f>
        <v>1171.42</v>
      </c>
      <c r="F2">
        <f t="shared" ref="F2:BQ2" si="2">E4</f>
        <v>1157.1300000000001</v>
      </c>
      <c r="G2">
        <f t="shared" si="2"/>
        <v>1142.8400000000001</v>
      </c>
      <c r="H2">
        <f t="shared" si="2"/>
        <v>1128.5500000000002</v>
      </c>
      <c r="I2">
        <f t="shared" si="2"/>
        <v>1114.2600000000002</v>
      </c>
      <c r="J2">
        <f t="shared" si="2"/>
        <v>1099.9700000000003</v>
      </c>
      <c r="K2">
        <f t="shared" si="2"/>
        <v>1085.6800000000003</v>
      </c>
      <c r="L2">
        <f t="shared" si="2"/>
        <v>1071.3900000000003</v>
      </c>
      <c r="M2">
        <f t="shared" si="2"/>
        <v>1057.1000000000004</v>
      </c>
      <c r="N2">
        <f t="shared" si="2"/>
        <v>1042.8100000000004</v>
      </c>
      <c r="O2">
        <f t="shared" si="2"/>
        <v>1028.5200000000004</v>
      </c>
      <c r="P2">
        <f t="shared" si="2"/>
        <v>1014.2300000000005</v>
      </c>
      <c r="Q2">
        <f t="shared" si="2"/>
        <v>999.94000000000051</v>
      </c>
      <c r="R2">
        <f t="shared" si="2"/>
        <v>985.65000000000055</v>
      </c>
      <c r="S2">
        <f t="shared" si="2"/>
        <v>971.36000000000058</v>
      </c>
      <c r="T2">
        <f t="shared" si="2"/>
        <v>957.07000000000062</v>
      </c>
      <c r="U2">
        <f t="shared" si="2"/>
        <v>942.78000000000065</v>
      </c>
      <c r="V2">
        <f t="shared" si="2"/>
        <v>928.49000000000069</v>
      </c>
      <c r="W2">
        <f t="shared" si="2"/>
        <v>914.20000000000073</v>
      </c>
      <c r="X2">
        <f t="shared" si="2"/>
        <v>899.91000000000076</v>
      </c>
      <c r="Y2">
        <f t="shared" si="2"/>
        <v>885.6200000000008</v>
      </c>
      <c r="Z2">
        <f t="shared" si="2"/>
        <v>871.33000000000084</v>
      </c>
      <c r="AA2">
        <f t="shared" si="2"/>
        <v>857.04000000000087</v>
      </c>
      <c r="AB2">
        <f t="shared" si="2"/>
        <v>842.75000000000091</v>
      </c>
      <c r="AC2">
        <f t="shared" si="2"/>
        <v>828.46000000000095</v>
      </c>
      <c r="AD2">
        <f t="shared" si="2"/>
        <v>814.17000000000098</v>
      </c>
      <c r="AE2">
        <f t="shared" si="2"/>
        <v>799.88000000000102</v>
      </c>
      <c r="AF2">
        <f t="shared" si="2"/>
        <v>785.59000000000106</v>
      </c>
      <c r="AG2">
        <f t="shared" si="2"/>
        <v>771.30000000000109</v>
      </c>
      <c r="AH2">
        <f t="shared" si="2"/>
        <v>757.01000000000113</v>
      </c>
      <c r="AI2">
        <f t="shared" si="2"/>
        <v>742.72000000000116</v>
      </c>
      <c r="AJ2">
        <f t="shared" si="2"/>
        <v>728.4300000000012</v>
      </c>
      <c r="AK2">
        <f t="shared" si="2"/>
        <v>714.14000000000124</v>
      </c>
      <c r="AL2">
        <f t="shared" si="2"/>
        <v>699.85000000000127</v>
      </c>
      <c r="AM2">
        <f t="shared" si="2"/>
        <v>685.56000000000131</v>
      </c>
      <c r="AN2">
        <f t="shared" si="2"/>
        <v>671.27000000000135</v>
      </c>
      <c r="AO2">
        <f t="shared" si="2"/>
        <v>656.98000000000138</v>
      </c>
      <c r="AP2">
        <f t="shared" si="2"/>
        <v>642.69000000000142</v>
      </c>
      <c r="AQ2">
        <f t="shared" si="2"/>
        <v>628.40000000000146</v>
      </c>
      <c r="AR2">
        <f t="shared" si="2"/>
        <v>614.11000000000149</v>
      </c>
      <c r="AS2">
        <f t="shared" si="2"/>
        <v>599.82000000000153</v>
      </c>
      <c r="AT2">
        <f t="shared" si="2"/>
        <v>585.53000000000156</v>
      </c>
      <c r="AU2">
        <f t="shared" si="2"/>
        <v>571.2400000000016</v>
      </c>
      <c r="AV2">
        <f t="shared" si="2"/>
        <v>556.95000000000164</v>
      </c>
      <c r="AW2">
        <f t="shared" si="2"/>
        <v>542.66000000000167</v>
      </c>
      <c r="AX2">
        <f t="shared" si="2"/>
        <v>528.37000000000171</v>
      </c>
      <c r="AY2">
        <f t="shared" si="2"/>
        <v>514.08000000000175</v>
      </c>
      <c r="AZ2">
        <f t="shared" si="2"/>
        <v>499.79000000000173</v>
      </c>
      <c r="BA2">
        <f t="shared" si="2"/>
        <v>485.50000000000171</v>
      </c>
      <c r="BB2">
        <f t="shared" si="2"/>
        <v>471.21000000000168</v>
      </c>
      <c r="BC2">
        <f t="shared" si="2"/>
        <v>456.92000000000166</v>
      </c>
      <c r="BD2">
        <f t="shared" si="2"/>
        <v>442.63000000000164</v>
      </c>
      <c r="BE2">
        <f t="shared" si="2"/>
        <v>428.34000000000162</v>
      </c>
      <c r="BF2">
        <f t="shared" si="2"/>
        <v>414.0500000000016</v>
      </c>
      <c r="BG2">
        <f t="shared" si="2"/>
        <v>399.76000000000158</v>
      </c>
      <c r="BH2">
        <f t="shared" si="2"/>
        <v>385.47000000000156</v>
      </c>
      <c r="BI2">
        <f t="shared" si="2"/>
        <v>371.18000000000154</v>
      </c>
      <c r="BJ2">
        <f t="shared" si="2"/>
        <v>356.89000000000152</v>
      </c>
      <c r="BK2">
        <f t="shared" si="2"/>
        <v>342.6000000000015</v>
      </c>
      <c r="BL2">
        <f t="shared" si="2"/>
        <v>328.31000000000148</v>
      </c>
      <c r="BM2">
        <f t="shared" si="2"/>
        <v>314.02000000000146</v>
      </c>
      <c r="BN2">
        <f t="shared" si="2"/>
        <v>299.73000000000144</v>
      </c>
      <c r="BO2">
        <f t="shared" si="2"/>
        <v>285.44000000000142</v>
      </c>
      <c r="BP2">
        <f t="shared" si="2"/>
        <v>271.1500000000014</v>
      </c>
      <c r="BQ2">
        <f t="shared" si="2"/>
        <v>256.86000000000138</v>
      </c>
      <c r="BR2">
        <f t="shared" ref="BR2:CH2" si="3">BQ4</f>
        <v>242.57000000000139</v>
      </c>
      <c r="BS2">
        <f t="shared" si="3"/>
        <v>228.28000000000139</v>
      </c>
      <c r="BT2">
        <f t="shared" si="3"/>
        <v>213.9900000000014</v>
      </c>
      <c r="BU2">
        <f t="shared" si="3"/>
        <v>199.70000000000141</v>
      </c>
      <c r="BV2">
        <f t="shared" si="3"/>
        <v>185.41000000000142</v>
      </c>
      <c r="BW2">
        <f t="shared" si="3"/>
        <v>171.12000000000143</v>
      </c>
      <c r="BX2">
        <f t="shared" si="3"/>
        <v>156.83000000000143</v>
      </c>
      <c r="BY2">
        <f t="shared" si="3"/>
        <v>142.54000000000144</v>
      </c>
      <c r="BZ2">
        <f t="shared" si="3"/>
        <v>128.25000000000145</v>
      </c>
      <c r="CA2">
        <f t="shared" si="3"/>
        <v>113.96000000000146</v>
      </c>
      <c r="CB2">
        <f t="shared" si="3"/>
        <v>99.670000000001465</v>
      </c>
      <c r="CC2">
        <f t="shared" si="3"/>
        <v>85.380000000001473</v>
      </c>
      <c r="CD2">
        <f t="shared" si="3"/>
        <v>71.090000000001481</v>
      </c>
      <c r="CE2">
        <f t="shared" si="3"/>
        <v>56.800000000001482</v>
      </c>
      <c r="CF2">
        <f t="shared" si="3"/>
        <v>42.510000000001483</v>
      </c>
      <c r="CG2">
        <f t="shared" si="3"/>
        <v>28.220000000001484</v>
      </c>
      <c r="CH2">
        <f t="shared" si="3"/>
        <v>13.930000000001485</v>
      </c>
    </row>
    <row r="3" spans="2:87" x14ac:dyDescent="0.25">
      <c r="B3" t="s">
        <v>26</v>
      </c>
      <c r="C3">
        <f>ROUND($C$2/84,2)</f>
        <v>14.29</v>
      </c>
      <c r="D3">
        <f t="shared" ref="D3:BO3" si="4">ROUND($C$2/84,2)</f>
        <v>14.29</v>
      </c>
      <c r="E3">
        <f t="shared" si="4"/>
        <v>14.29</v>
      </c>
      <c r="F3">
        <f t="shared" si="4"/>
        <v>14.29</v>
      </c>
      <c r="G3">
        <f t="shared" si="4"/>
        <v>14.29</v>
      </c>
      <c r="H3">
        <f t="shared" si="4"/>
        <v>14.29</v>
      </c>
      <c r="I3">
        <f t="shared" si="4"/>
        <v>14.29</v>
      </c>
      <c r="J3">
        <f t="shared" si="4"/>
        <v>14.29</v>
      </c>
      <c r="K3">
        <f t="shared" si="4"/>
        <v>14.29</v>
      </c>
      <c r="L3">
        <f t="shared" si="4"/>
        <v>14.29</v>
      </c>
      <c r="M3">
        <f t="shared" si="4"/>
        <v>14.29</v>
      </c>
      <c r="N3">
        <f t="shared" si="4"/>
        <v>14.29</v>
      </c>
      <c r="O3">
        <f t="shared" si="4"/>
        <v>14.29</v>
      </c>
      <c r="P3">
        <f t="shared" si="4"/>
        <v>14.29</v>
      </c>
      <c r="Q3">
        <f t="shared" si="4"/>
        <v>14.29</v>
      </c>
      <c r="R3">
        <f t="shared" si="4"/>
        <v>14.29</v>
      </c>
      <c r="S3">
        <f t="shared" si="4"/>
        <v>14.29</v>
      </c>
      <c r="T3">
        <f t="shared" si="4"/>
        <v>14.29</v>
      </c>
      <c r="U3">
        <f t="shared" si="4"/>
        <v>14.29</v>
      </c>
      <c r="V3">
        <f t="shared" si="4"/>
        <v>14.29</v>
      </c>
      <c r="W3">
        <f t="shared" si="4"/>
        <v>14.29</v>
      </c>
      <c r="X3">
        <f t="shared" si="4"/>
        <v>14.29</v>
      </c>
      <c r="Y3">
        <f t="shared" si="4"/>
        <v>14.29</v>
      </c>
      <c r="Z3">
        <f t="shared" si="4"/>
        <v>14.29</v>
      </c>
      <c r="AA3">
        <f t="shared" si="4"/>
        <v>14.29</v>
      </c>
      <c r="AB3">
        <f t="shared" si="4"/>
        <v>14.29</v>
      </c>
      <c r="AC3">
        <f t="shared" si="4"/>
        <v>14.29</v>
      </c>
      <c r="AD3">
        <f t="shared" si="4"/>
        <v>14.29</v>
      </c>
      <c r="AE3">
        <f t="shared" si="4"/>
        <v>14.29</v>
      </c>
      <c r="AF3">
        <f t="shared" si="4"/>
        <v>14.29</v>
      </c>
      <c r="AG3">
        <f t="shared" si="4"/>
        <v>14.29</v>
      </c>
      <c r="AH3">
        <f t="shared" si="4"/>
        <v>14.29</v>
      </c>
      <c r="AI3">
        <f t="shared" si="4"/>
        <v>14.29</v>
      </c>
      <c r="AJ3">
        <f t="shared" si="4"/>
        <v>14.29</v>
      </c>
      <c r="AK3">
        <f t="shared" si="4"/>
        <v>14.29</v>
      </c>
      <c r="AL3">
        <f t="shared" si="4"/>
        <v>14.29</v>
      </c>
      <c r="AM3">
        <f t="shared" si="4"/>
        <v>14.29</v>
      </c>
      <c r="AN3">
        <f t="shared" si="4"/>
        <v>14.29</v>
      </c>
      <c r="AO3">
        <f t="shared" si="4"/>
        <v>14.29</v>
      </c>
      <c r="AP3">
        <f t="shared" si="4"/>
        <v>14.29</v>
      </c>
      <c r="AQ3">
        <f t="shared" si="4"/>
        <v>14.29</v>
      </c>
      <c r="AR3">
        <f t="shared" si="4"/>
        <v>14.29</v>
      </c>
      <c r="AS3">
        <f t="shared" si="4"/>
        <v>14.29</v>
      </c>
      <c r="AT3">
        <f t="shared" si="4"/>
        <v>14.29</v>
      </c>
      <c r="AU3">
        <f t="shared" si="4"/>
        <v>14.29</v>
      </c>
      <c r="AV3">
        <f t="shared" si="4"/>
        <v>14.29</v>
      </c>
      <c r="AW3">
        <f t="shared" si="4"/>
        <v>14.29</v>
      </c>
      <c r="AX3">
        <f t="shared" si="4"/>
        <v>14.29</v>
      </c>
      <c r="AY3">
        <f t="shared" si="4"/>
        <v>14.29</v>
      </c>
      <c r="AZ3">
        <f t="shared" si="4"/>
        <v>14.29</v>
      </c>
      <c r="BA3">
        <f t="shared" si="4"/>
        <v>14.29</v>
      </c>
      <c r="BB3">
        <f t="shared" si="4"/>
        <v>14.29</v>
      </c>
      <c r="BC3">
        <f t="shared" si="4"/>
        <v>14.29</v>
      </c>
      <c r="BD3">
        <f t="shared" si="4"/>
        <v>14.29</v>
      </c>
      <c r="BE3">
        <f t="shared" si="4"/>
        <v>14.29</v>
      </c>
      <c r="BF3">
        <f t="shared" si="4"/>
        <v>14.29</v>
      </c>
      <c r="BG3">
        <f t="shared" si="4"/>
        <v>14.29</v>
      </c>
      <c r="BH3">
        <f t="shared" si="4"/>
        <v>14.29</v>
      </c>
      <c r="BI3">
        <f t="shared" si="4"/>
        <v>14.29</v>
      </c>
      <c r="BJ3">
        <f t="shared" si="4"/>
        <v>14.29</v>
      </c>
      <c r="BK3">
        <f t="shared" si="4"/>
        <v>14.29</v>
      </c>
      <c r="BL3">
        <f t="shared" si="4"/>
        <v>14.29</v>
      </c>
      <c r="BM3">
        <f t="shared" si="4"/>
        <v>14.29</v>
      </c>
      <c r="BN3">
        <f t="shared" si="4"/>
        <v>14.29</v>
      </c>
      <c r="BO3">
        <f t="shared" si="4"/>
        <v>14.29</v>
      </c>
      <c r="BP3">
        <f t="shared" ref="BP3:CG3" si="5">ROUND($C$2/84,2)</f>
        <v>14.29</v>
      </c>
      <c r="BQ3">
        <f t="shared" si="5"/>
        <v>14.29</v>
      </c>
      <c r="BR3">
        <f t="shared" si="5"/>
        <v>14.29</v>
      </c>
      <c r="BS3">
        <f t="shared" si="5"/>
        <v>14.29</v>
      </c>
      <c r="BT3">
        <f t="shared" si="5"/>
        <v>14.29</v>
      </c>
      <c r="BU3">
        <f t="shared" si="5"/>
        <v>14.29</v>
      </c>
      <c r="BV3">
        <f t="shared" si="5"/>
        <v>14.29</v>
      </c>
      <c r="BW3">
        <f t="shared" si="5"/>
        <v>14.29</v>
      </c>
      <c r="BX3">
        <f t="shared" si="5"/>
        <v>14.29</v>
      </c>
      <c r="BY3">
        <f t="shared" si="5"/>
        <v>14.29</v>
      </c>
      <c r="BZ3">
        <f t="shared" si="5"/>
        <v>14.29</v>
      </c>
      <c r="CA3">
        <f t="shared" si="5"/>
        <v>14.29</v>
      </c>
      <c r="CB3">
        <f t="shared" si="5"/>
        <v>14.29</v>
      </c>
      <c r="CC3">
        <f t="shared" si="5"/>
        <v>14.29</v>
      </c>
      <c r="CD3">
        <f t="shared" si="5"/>
        <v>14.29</v>
      </c>
      <c r="CE3">
        <f t="shared" si="5"/>
        <v>14.29</v>
      </c>
      <c r="CF3">
        <f t="shared" si="5"/>
        <v>14.29</v>
      </c>
      <c r="CG3">
        <f t="shared" si="5"/>
        <v>14.29</v>
      </c>
      <c r="CH3">
        <f>ROUND($C$2/84,2)-0.36</f>
        <v>13.93</v>
      </c>
      <c r="CI3">
        <f>SUM(C3:CH3)</f>
        <v>1199.9999999999986</v>
      </c>
    </row>
    <row r="4" spans="2:87" x14ac:dyDescent="0.25">
      <c r="B4" t="s">
        <v>27</v>
      </c>
      <c r="C4">
        <f>C2-C3</f>
        <v>1185.71</v>
      </c>
      <c r="D4">
        <f t="shared" ref="D4:BO4" si="6">D2-D3</f>
        <v>1171.42</v>
      </c>
      <c r="E4">
        <f t="shared" si="6"/>
        <v>1157.1300000000001</v>
      </c>
      <c r="F4">
        <f t="shared" si="6"/>
        <v>1142.8400000000001</v>
      </c>
      <c r="G4">
        <f t="shared" si="6"/>
        <v>1128.5500000000002</v>
      </c>
      <c r="H4">
        <f t="shared" si="6"/>
        <v>1114.2600000000002</v>
      </c>
      <c r="I4">
        <f t="shared" si="6"/>
        <v>1099.9700000000003</v>
      </c>
      <c r="J4">
        <f t="shared" si="6"/>
        <v>1085.6800000000003</v>
      </c>
      <c r="K4">
        <f t="shared" si="6"/>
        <v>1071.3900000000003</v>
      </c>
      <c r="L4">
        <f t="shared" si="6"/>
        <v>1057.1000000000004</v>
      </c>
      <c r="M4">
        <f t="shared" si="6"/>
        <v>1042.8100000000004</v>
      </c>
      <c r="N4">
        <f t="shared" si="6"/>
        <v>1028.5200000000004</v>
      </c>
      <c r="O4">
        <f t="shared" si="6"/>
        <v>1014.2300000000005</v>
      </c>
      <c r="P4">
        <f t="shared" si="6"/>
        <v>999.94000000000051</v>
      </c>
      <c r="Q4">
        <f t="shared" si="6"/>
        <v>985.65000000000055</v>
      </c>
      <c r="R4">
        <f t="shared" si="6"/>
        <v>971.36000000000058</v>
      </c>
      <c r="S4">
        <f t="shared" si="6"/>
        <v>957.07000000000062</v>
      </c>
      <c r="T4">
        <f t="shared" si="6"/>
        <v>942.78000000000065</v>
      </c>
      <c r="U4">
        <f t="shared" si="6"/>
        <v>928.49000000000069</v>
      </c>
      <c r="V4">
        <f t="shared" si="6"/>
        <v>914.20000000000073</v>
      </c>
      <c r="W4">
        <f t="shared" si="6"/>
        <v>899.91000000000076</v>
      </c>
      <c r="X4">
        <f t="shared" si="6"/>
        <v>885.6200000000008</v>
      </c>
      <c r="Y4">
        <f t="shared" si="6"/>
        <v>871.33000000000084</v>
      </c>
      <c r="Z4">
        <f t="shared" si="6"/>
        <v>857.04000000000087</v>
      </c>
      <c r="AA4">
        <f t="shared" si="6"/>
        <v>842.75000000000091</v>
      </c>
      <c r="AB4">
        <f t="shared" si="6"/>
        <v>828.46000000000095</v>
      </c>
      <c r="AC4">
        <f t="shared" si="6"/>
        <v>814.17000000000098</v>
      </c>
      <c r="AD4">
        <f t="shared" si="6"/>
        <v>799.88000000000102</v>
      </c>
      <c r="AE4">
        <f t="shared" si="6"/>
        <v>785.59000000000106</v>
      </c>
      <c r="AF4">
        <f t="shared" si="6"/>
        <v>771.30000000000109</v>
      </c>
      <c r="AG4">
        <f t="shared" si="6"/>
        <v>757.01000000000113</v>
      </c>
      <c r="AH4">
        <f t="shared" si="6"/>
        <v>742.72000000000116</v>
      </c>
      <c r="AI4">
        <f t="shared" si="6"/>
        <v>728.4300000000012</v>
      </c>
      <c r="AJ4">
        <f t="shared" si="6"/>
        <v>714.14000000000124</v>
      </c>
      <c r="AK4">
        <f t="shared" si="6"/>
        <v>699.85000000000127</v>
      </c>
      <c r="AL4">
        <f t="shared" si="6"/>
        <v>685.56000000000131</v>
      </c>
      <c r="AM4">
        <f t="shared" si="6"/>
        <v>671.27000000000135</v>
      </c>
      <c r="AN4">
        <f t="shared" si="6"/>
        <v>656.98000000000138</v>
      </c>
      <c r="AO4">
        <f t="shared" si="6"/>
        <v>642.69000000000142</v>
      </c>
      <c r="AP4">
        <f t="shared" si="6"/>
        <v>628.40000000000146</v>
      </c>
      <c r="AQ4">
        <f t="shared" si="6"/>
        <v>614.11000000000149</v>
      </c>
      <c r="AR4">
        <f t="shared" si="6"/>
        <v>599.82000000000153</v>
      </c>
      <c r="AS4">
        <f t="shared" si="6"/>
        <v>585.53000000000156</v>
      </c>
      <c r="AT4">
        <f t="shared" si="6"/>
        <v>571.2400000000016</v>
      </c>
      <c r="AU4">
        <f t="shared" si="6"/>
        <v>556.95000000000164</v>
      </c>
      <c r="AV4">
        <f t="shared" si="6"/>
        <v>542.66000000000167</v>
      </c>
      <c r="AW4">
        <f t="shared" si="6"/>
        <v>528.37000000000171</v>
      </c>
      <c r="AX4">
        <f t="shared" si="6"/>
        <v>514.08000000000175</v>
      </c>
      <c r="AY4">
        <f t="shared" si="6"/>
        <v>499.79000000000173</v>
      </c>
      <c r="AZ4">
        <f t="shared" si="6"/>
        <v>485.50000000000171</v>
      </c>
      <c r="BA4">
        <f t="shared" si="6"/>
        <v>471.21000000000168</v>
      </c>
      <c r="BB4">
        <f t="shared" si="6"/>
        <v>456.92000000000166</v>
      </c>
      <c r="BC4">
        <f t="shared" si="6"/>
        <v>442.63000000000164</v>
      </c>
      <c r="BD4">
        <f t="shared" si="6"/>
        <v>428.34000000000162</v>
      </c>
      <c r="BE4">
        <f t="shared" si="6"/>
        <v>414.0500000000016</v>
      </c>
      <c r="BF4">
        <f t="shared" si="6"/>
        <v>399.76000000000158</v>
      </c>
      <c r="BG4">
        <f t="shared" si="6"/>
        <v>385.47000000000156</v>
      </c>
      <c r="BH4">
        <f t="shared" si="6"/>
        <v>371.18000000000154</v>
      </c>
      <c r="BI4">
        <f t="shared" si="6"/>
        <v>356.89000000000152</v>
      </c>
      <c r="BJ4">
        <f t="shared" si="6"/>
        <v>342.6000000000015</v>
      </c>
      <c r="BK4">
        <f t="shared" si="6"/>
        <v>328.31000000000148</v>
      </c>
      <c r="BL4">
        <f t="shared" si="6"/>
        <v>314.02000000000146</v>
      </c>
      <c r="BM4">
        <f t="shared" si="6"/>
        <v>299.73000000000144</v>
      </c>
      <c r="BN4">
        <f t="shared" si="6"/>
        <v>285.44000000000142</v>
      </c>
      <c r="BO4">
        <f t="shared" si="6"/>
        <v>271.1500000000014</v>
      </c>
      <c r="BP4">
        <f t="shared" ref="BP4:CG4" si="7">BP2-BP3</f>
        <v>256.86000000000138</v>
      </c>
      <c r="BQ4">
        <f t="shared" si="7"/>
        <v>242.57000000000139</v>
      </c>
      <c r="BR4">
        <f t="shared" si="7"/>
        <v>228.28000000000139</v>
      </c>
      <c r="BS4">
        <f t="shared" si="7"/>
        <v>213.9900000000014</v>
      </c>
      <c r="BT4">
        <f t="shared" si="7"/>
        <v>199.70000000000141</v>
      </c>
      <c r="BU4">
        <f t="shared" si="7"/>
        <v>185.41000000000142</v>
      </c>
      <c r="BV4">
        <f t="shared" si="7"/>
        <v>171.12000000000143</v>
      </c>
      <c r="BW4">
        <f t="shared" si="7"/>
        <v>156.83000000000143</v>
      </c>
      <c r="BX4">
        <f t="shared" si="7"/>
        <v>142.54000000000144</v>
      </c>
      <c r="BY4">
        <f t="shared" si="7"/>
        <v>128.25000000000145</v>
      </c>
      <c r="BZ4">
        <f t="shared" si="7"/>
        <v>113.96000000000146</v>
      </c>
      <c r="CA4">
        <f t="shared" si="7"/>
        <v>99.670000000001465</v>
      </c>
      <c r="CB4">
        <f t="shared" si="7"/>
        <v>85.380000000001473</v>
      </c>
      <c r="CC4">
        <f t="shared" si="7"/>
        <v>71.090000000001481</v>
      </c>
      <c r="CD4">
        <f t="shared" si="7"/>
        <v>56.800000000001482</v>
      </c>
      <c r="CE4">
        <f t="shared" si="7"/>
        <v>42.510000000001483</v>
      </c>
      <c r="CF4">
        <f t="shared" si="7"/>
        <v>28.220000000001484</v>
      </c>
      <c r="CG4">
        <f t="shared" si="7"/>
        <v>13.930000000001485</v>
      </c>
      <c r="CH4" s="7">
        <f>CH2-CH3</f>
        <v>1.4850343177386094E-12</v>
      </c>
    </row>
    <row r="6" spans="2:87" x14ac:dyDescent="0.25">
      <c r="B6" t="s">
        <v>19</v>
      </c>
      <c r="C6" s="15">
        <f>-PMT(11.5%/12,84,1200,0)</f>
        <v>20.863752984288162</v>
      </c>
      <c r="D6" s="15">
        <f t="shared" ref="D6:BO6" si="8">-PMT(11.5%/12,84,1200,0)</f>
        <v>20.863752984288162</v>
      </c>
      <c r="E6" s="15">
        <f t="shared" si="8"/>
        <v>20.863752984288162</v>
      </c>
      <c r="F6" s="15">
        <f t="shared" si="8"/>
        <v>20.863752984288162</v>
      </c>
      <c r="G6" s="15">
        <f t="shared" si="8"/>
        <v>20.863752984288162</v>
      </c>
      <c r="H6" s="15">
        <f t="shared" si="8"/>
        <v>20.863752984288162</v>
      </c>
      <c r="I6" s="15">
        <f t="shared" si="8"/>
        <v>20.863752984288162</v>
      </c>
      <c r="J6" s="15">
        <f t="shared" si="8"/>
        <v>20.863752984288162</v>
      </c>
      <c r="K6" s="15">
        <f t="shared" si="8"/>
        <v>20.863752984288162</v>
      </c>
      <c r="L6" s="15">
        <f t="shared" si="8"/>
        <v>20.863752984288162</v>
      </c>
      <c r="M6" s="15">
        <f t="shared" si="8"/>
        <v>20.863752984288162</v>
      </c>
      <c r="N6" s="15">
        <f t="shared" si="8"/>
        <v>20.863752984288162</v>
      </c>
      <c r="O6" s="15">
        <f t="shared" si="8"/>
        <v>20.863752984288162</v>
      </c>
      <c r="P6" s="15">
        <f t="shared" si="8"/>
        <v>20.863752984288162</v>
      </c>
      <c r="Q6" s="15">
        <f t="shared" si="8"/>
        <v>20.863752984288162</v>
      </c>
      <c r="R6" s="15">
        <f t="shared" si="8"/>
        <v>20.863752984288162</v>
      </c>
      <c r="S6" s="15">
        <f t="shared" si="8"/>
        <v>20.863752984288162</v>
      </c>
      <c r="T6" s="15">
        <f t="shared" si="8"/>
        <v>20.863752984288162</v>
      </c>
      <c r="U6" s="15">
        <f t="shared" si="8"/>
        <v>20.863752984288162</v>
      </c>
      <c r="V6" s="15">
        <f t="shared" si="8"/>
        <v>20.863752984288162</v>
      </c>
      <c r="W6" s="15">
        <f t="shared" si="8"/>
        <v>20.863752984288162</v>
      </c>
      <c r="X6" s="15">
        <f t="shared" si="8"/>
        <v>20.863752984288162</v>
      </c>
      <c r="Y6" s="15">
        <f t="shared" si="8"/>
        <v>20.863752984288162</v>
      </c>
      <c r="Z6" s="15">
        <f t="shared" si="8"/>
        <v>20.863752984288162</v>
      </c>
      <c r="AA6" s="15">
        <f t="shared" si="8"/>
        <v>20.863752984288162</v>
      </c>
      <c r="AB6" s="15">
        <f t="shared" si="8"/>
        <v>20.863752984288162</v>
      </c>
      <c r="AC6" s="15">
        <f t="shared" si="8"/>
        <v>20.863752984288162</v>
      </c>
      <c r="AD6" s="15">
        <f t="shared" si="8"/>
        <v>20.863752984288162</v>
      </c>
      <c r="AE6" s="15">
        <f t="shared" si="8"/>
        <v>20.863752984288162</v>
      </c>
      <c r="AF6" s="15">
        <f t="shared" si="8"/>
        <v>20.863752984288162</v>
      </c>
      <c r="AG6" s="15">
        <f t="shared" si="8"/>
        <v>20.863752984288162</v>
      </c>
      <c r="AH6" s="15">
        <f t="shared" si="8"/>
        <v>20.863752984288162</v>
      </c>
      <c r="AI6" s="15">
        <f t="shared" si="8"/>
        <v>20.863752984288162</v>
      </c>
      <c r="AJ6" s="15">
        <f t="shared" si="8"/>
        <v>20.863752984288162</v>
      </c>
      <c r="AK6" s="15">
        <f t="shared" si="8"/>
        <v>20.863752984288162</v>
      </c>
      <c r="AL6" s="15">
        <f t="shared" si="8"/>
        <v>20.863752984288162</v>
      </c>
      <c r="AM6" s="15">
        <f t="shared" si="8"/>
        <v>20.863752984288162</v>
      </c>
      <c r="AN6" s="15">
        <f t="shared" si="8"/>
        <v>20.863752984288162</v>
      </c>
      <c r="AO6" s="15">
        <f t="shared" si="8"/>
        <v>20.863752984288162</v>
      </c>
      <c r="AP6" s="15">
        <f t="shared" si="8"/>
        <v>20.863752984288162</v>
      </c>
      <c r="AQ6" s="15">
        <f t="shared" si="8"/>
        <v>20.863752984288162</v>
      </c>
      <c r="AR6" s="15">
        <f t="shared" si="8"/>
        <v>20.863752984288162</v>
      </c>
      <c r="AS6" s="15">
        <f t="shared" si="8"/>
        <v>20.863752984288162</v>
      </c>
      <c r="AT6" s="15">
        <f t="shared" si="8"/>
        <v>20.863752984288162</v>
      </c>
      <c r="AU6" s="15">
        <f t="shared" si="8"/>
        <v>20.863752984288162</v>
      </c>
      <c r="AV6" s="15">
        <f t="shared" si="8"/>
        <v>20.863752984288162</v>
      </c>
      <c r="AW6" s="15">
        <f t="shared" si="8"/>
        <v>20.863752984288162</v>
      </c>
      <c r="AX6" s="15">
        <f t="shared" si="8"/>
        <v>20.863752984288162</v>
      </c>
      <c r="AY6" s="15">
        <f t="shared" si="8"/>
        <v>20.863752984288162</v>
      </c>
      <c r="AZ6" s="15">
        <f t="shared" si="8"/>
        <v>20.863752984288162</v>
      </c>
      <c r="BA6" s="15">
        <f t="shared" si="8"/>
        <v>20.863752984288162</v>
      </c>
      <c r="BB6" s="15">
        <f t="shared" si="8"/>
        <v>20.863752984288162</v>
      </c>
      <c r="BC6" s="15">
        <f t="shared" si="8"/>
        <v>20.863752984288162</v>
      </c>
      <c r="BD6" s="15">
        <f t="shared" si="8"/>
        <v>20.863752984288162</v>
      </c>
      <c r="BE6" s="15">
        <f t="shared" si="8"/>
        <v>20.863752984288162</v>
      </c>
      <c r="BF6" s="15">
        <f t="shared" si="8"/>
        <v>20.863752984288162</v>
      </c>
      <c r="BG6" s="15">
        <f t="shared" si="8"/>
        <v>20.863752984288162</v>
      </c>
      <c r="BH6" s="15">
        <f t="shared" si="8"/>
        <v>20.863752984288162</v>
      </c>
      <c r="BI6" s="15">
        <f t="shared" si="8"/>
        <v>20.863752984288162</v>
      </c>
      <c r="BJ6" s="15">
        <f t="shared" si="8"/>
        <v>20.863752984288162</v>
      </c>
      <c r="BK6" s="15">
        <f t="shared" si="8"/>
        <v>20.863752984288162</v>
      </c>
      <c r="BL6" s="15">
        <f t="shared" si="8"/>
        <v>20.863752984288162</v>
      </c>
      <c r="BM6" s="15">
        <f t="shared" si="8"/>
        <v>20.863752984288162</v>
      </c>
      <c r="BN6" s="15">
        <f t="shared" si="8"/>
        <v>20.863752984288162</v>
      </c>
      <c r="BO6" s="15">
        <f t="shared" si="8"/>
        <v>20.863752984288162</v>
      </c>
      <c r="BP6" s="15">
        <f t="shared" ref="BP6:CH6" si="9">-PMT(11.5%/12,84,1200,0)</f>
        <v>20.863752984288162</v>
      </c>
      <c r="BQ6" s="15">
        <f t="shared" si="9"/>
        <v>20.863752984288162</v>
      </c>
      <c r="BR6" s="15">
        <f t="shared" si="9"/>
        <v>20.863752984288162</v>
      </c>
      <c r="BS6" s="15">
        <f t="shared" si="9"/>
        <v>20.863752984288162</v>
      </c>
      <c r="BT6" s="15">
        <f t="shared" si="9"/>
        <v>20.863752984288162</v>
      </c>
      <c r="BU6" s="15">
        <f t="shared" si="9"/>
        <v>20.863752984288162</v>
      </c>
      <c r="BV6" s="15">
        <f t="shared" si="9"/>
        <v>20.863752984288162</v>
      </c>
      <c r="BW6" s="15">
        <f t="shared" si="9"/>
        <v>20.863752984288162</v>
      </c>
      <c r="BX6" s="15">
        <f t="shared" si="9"/>
        <v>20.863752984288162</v>
      </c>
      <c r="BY6" s="15">
        <f t="shared" si="9"/>
        <v>20.863752984288162</v>
      </c>
      <c r="BZ6" s="15">
        <f t="shared" si="9"/>
        <v>20.863752984288162</v>
      </c>
      <c r="CA6" s="15">
        <f t="shared" si="9"/>
        <v>20.863752984288162</v>
      </c>
      <c r="CB6" s="15">
        <f t="shared" si="9"/>
        <v>20.863752984288162</v>
      </c>
      <c r="CC6" s="15">
        <f t="shared" si="9"/>
        <v>20.863752984288162</v>
      </c>
      <c r="CD6" s="15">
        <f t="shared" si="9"/>
        <v>20.863752984288162</v>
      </c>
      <c r="CE6" s="15">
        <f t="shared" si="9"/>
        <v>20.863752984288162</v>
      </c>
      <c r="CF6" s="15">
        <f t="shared" si="9"/>
        <v>20.863752984288162</v>
      </c>
      <c r="CG6" s="15">
        <f t="shared" si="9"/>
        <v>20.863752984288162</v>
      </c>
      <c r="CH6" s="15">
        <f t="shared" si="9"/>
        <v>20.863752984288162</v>
      </c>
      <c r="CI6">
        <f>SUM(C6:CH6)</f>
        <v>1752.5552506802028</v>
      </c>
    </row>
    <row r="7" spans="2:87" x14ac:dyDescent="0.25">
      <c r="B7" t="s">
        <v>14</v>
      </c>
      <c r="C7">
        <f>ROUND(C6*10%,2)</f>
        <v>2.09</v>
      </c>
      <c r="D7">
        <f t="shared" ref="D7:BO7" si="10">ROUND(D6*10%,2)</f>
        <v>2.09</v>
      </c>
      <c r="E7">
        <f t="shared" si="10"/>
        <v>2.09</v>
      </c>
      <c r="F7">
        <f t="shared" si="10"/>
        <v>2.09</v>
      </c>
      <c r="G7">
        <f t="shared" si="10"/>
        <v>2.09</v>
      </c>
      <c r="H7">
        <f t="shared" si="10"/>
        <v>2.09</v>
      </c>
      <c r="I7">
        <f t="shared" si="10"/>
        <v>2.09</v>
      </c>
      <c r="J7">
        <f t="shared" si="10"/>
        <v>2.09</v>
      </c>
      <c r="K7">
        <f t="shared" si="10"/>
        <v>2.09</v>
      </c>
      <c r="L7">
        <f t="shared" si="10"/>
        <v>2.09</v>
      </c>
      <c r="M7">
        <f t="shared" si="10"/>
        <v>2.09</v>
      </c>
      <c r="N7">
        <f t="shared" si="10"/>
        <v>2.09</v>
      </c>
      <c r="O7">
        <f t="shared" si="10"/>
        <v>2.09</v>
      </c>
      <c r="P7">
        <f t="shared" si="10"/>
        <v>2.09</v>
      </c>
      <c r="Q7">
        <f t="shared" si="10"/>
        <v>2.09</v>
      </c>
      <c r="R7">
        <f t="shared" si="10"/>
        <v>2.09</v>
      </c>
      <c r="S7">
        <f t="shared" si="10"/>
        <v>2.09</v>
      </c>
      <c r="T7">
        <f t="shared" si="10"/>
        <v>2.09</v>
      </c>
      <c r="U7">
        <f t="shared" si="10"/>
        <v>2.09</v>
      </c>
      <c r="V7">
        <f t="shared" si="10"/>
        <v>2.09</v>
      </c>
      <c r="W7">
        <f t="shared" si="10"/>
        <v>2.09</v>
      </c>
      <c r="X7">
        <f t="shared" si="10"/>
        <v>2.09</v>
      </c>
      <c r="Y7">
        <f t="shared" si="10"/>
        <v>2.09</v>
      </c>
      <c r="Z7">
        <f t="shared" si="10"/>
        <v>2.09</v>
      </c>
      <c r="AA7">
        <f t="shared" si="10"/>
        <v>2.09</v>
      </c>
      <c r="AB7">
        <f t="shared" si="10"/>
        <v>2.09</v>
      </c>
      <c r="AC7">
        <f t="shared" si="10"/>
        <v>2.09</v>
      </c>
      <c r="AD7">
        <f t="shared" si="10"/>
        <v>2.09</v>
      </c>
      <c r="AE7">
        <f t="shared" si="10"/>
        <v>2.09</v>
      </c>
      <c r="AF7">
        <f t="shared" si="10"/>
        <v>2.09</v>
      </c>
      <c r="AG7">
        <f t="shared" si="10"/>
        <v>2.09</v>
      </c>
      <c r="AH7">
        <f t="shared" si="10"/>
        <v>2.09</v>
      </c>
      <c r="AI7">
        <f t="shared" si="10"/>
        <v>2.09</v>
      </c>
      <c r="AJ7">
        <f t="shared" si="10"/>
        <v>2.09</v>
      </c>
      <c r="AK7">
        <f t="shared" si="10"/>
        <v>2.09</v>
      </c>
      <c r="AL7">
        <f t="shared" si="10"/>
        <v>2.09</v>
      </c>
      <c r="AM7">
        <f t="shared" si="10"/>
        <v>2.09</v>
      </c>
      <c r="AN7">
        <f t="shared" si="10"/>
        <v>2.09</v>
      </c>
      <c r="AO7">
        <f t="shared" si="10"/>
        <v>2.09</v>
      </c>
      <c r="AP7">
        <f t="shared" si="10"/>
        <v>2.09</v>
      </c>
      <c r="AQ7">
        <f t="shared" si="10"/>
        <v>2.09</v>
      </c>
      <c r="AR7">
        <f t="shared" si="10"/>
        <v>2.09</v>
      </c>
      <c r="AS7">
        <f t="shared" si="10"/>
        <v>2.09</v>
      </c>
      <c r="AT7">
        <f t="shared" si="10"/>
        <v>2.09</v>
      </c>
      <c r="AU7">
        <f t="shared" si="10"/>
        <v>2.09</v>
      </c>
      <c r="AV7">
        <f t="shared" si="10"/>
        <v>2.09</v>
      </c>
      <c r="AW7">
        <f t="shared" si="10"/>
        <v>2.09</v>
      </c>
      <c r="AX7">
        <f t="shared" si="10"/>
        <v>2.09</v>
      </c>
      <c r="AY7">
        <f t="shared" si="10"/>
        <v>2.09</v>
      </c>
      <c r="AZ7">
        <f t="shared" si="10"/>
        <v>2.09</v>
      </c>
      <c r="BA7">
        <f t="shared" si="10"/>
        <v>2.09</v>
      </c>
      <c r="BB7">
        <f t="shared" si="10"/>
        <v>2.09</v>
      </c>
      <c r="BC7">
        <f t="shared" si="10"/>
        <v>2.09</v>
      </c>
      <c r="BD7">
        <f t="shared" si="10"/>
        <v>2.09</v>
      </c>
      <c r="BE7">
        <f t="shared" si="10"/>
        <v>2.09</v>
      </c>
      <c r="BF7">
        <f t="shared" si="10"/>
        <v>2.09</v>
      </c>
      <c r="BG7">
        <f t="shared" si="10"/>
        <v>2.09</v>
      </c>
      <c r="BH7">
        <f t="shared" si="10"/>
        <v>2.09</v>
      </c>
      <c r="BI7">
        <f t="shared" si="10"/>
        <v>2.09</v>
      </c>
      <c r="BJ7">
        <f t="shared" si="10"/>
        <v>2.09</v>
      </c>
      <c r="BK7">
        <f t="shared" si="10"/>
        <v>2.09</v>
      </c>
      <c r="BL7">
        <f t="shared" si="10"/>
        <v>2.09</v>
      </c>
      <c r="BM7">
        <f t="shared" si="10"/>
        <v>2.09</v>
      </c>
      <c r="BN7">
        <f t="shared" si="10"/>
        <v>2.09</v>
      </c>
      <c r="BO7">
        <f t="shared" si="10"/>
        <v>2.09</v>
      </c>
      <c r="BP7">
        <f t="shared" ref="BP7:CH7" si="11">ROUND(BP6*10%,2)</f>
        <v>2.09</v>
      </c>
      <c r="BQ7">
        <f t="shared" si="11"/>
        <v>2.09</v>
      </c>
      <c r="BR7">
        <f t="shared" si="11"/>
        <v>2.09</v>
      </c>
      <c r="BS7">
        <f t="shared" si="11"/>
        <v>2.09</v>
      </c>
      <c r="BT7">
        <f t="shared" si="11"/>
        <v>2.09</v>
      </c>
      <c r="BU7">
        <f t="shared" si="11"/>
        <v>2.09</v>
      </c>
      <c r="BV7">
        <f t="shared" si="11"/>
        <v>2.09</v>
      </c>
      <c r="BW7">
        <f t="shared" si="11"/>
        <v>2.09</v>
      </c>
      <c r="BX7">
        <f t="shared" si="11"/>
        <v>2.09</v>
      </c>
      <c r="BY7">
        <f t="shared" si="11"/>
        <v>2.09</v>
      </c>
      <c r="BZ7">
        <f t="shared" si="11"/>
        <v>2.09</v>
      </c>
      <c r="CA7">
        <f t="shared" si="11"/>
        <v>2.09</v>
      </c>
      <c r="CB7">
        <f t="shared" si="11"/>
        <v>2.09</v>
      </c>
      <c r="CC7">
        <f t="shared" si="11"/>
        <v>2.09</v>
      </c>
      <c r="CD7">
        <f t="shared" si="11"/>
        <v>2.09</v>
      </c>
      <c r="CE7">
        <f t="shared" si="11"/>
        <v>2.09</v>
      </c>
      <c r="CF7">
        <f t="shared" si="11"/>
        <v>2.09</v>
      </c>
      <c r="CG7">
        <f t="shared" si="11"/>
        <v>2.09</v>
      </c>
      <c r="CH7">
        <f t="shared" si="11"/>
        <v>2.09</v>
      </c>
      <c r="CI7">
        <f>SUM(C7:CH7)</f>
        <v>175.56000000000023</v>
      </c>
    </row>
    <row r="8" spans="2:87" x14ac:dyDescent="0.25">
      <c r="C8" s="7">
        <f>SUM(C6:C7)</f>
        <v>22.953752984288162</v>
      </c>
      <c r="D8" s="7">
        <f t="shared" ref="D8:BO8" si="12">SUM(D6:D7)</f>
        <v>22.953752984288162</v>
      </c>
      <c r="E8" s="7">
        <f t="shared" si="12"/>
        <v>22.953752984288162</v>
      </c>
      <c r="F8" s="7">
        <f t="shared" si="12"/>
        <v>22.953752984288162</v>
      </c>
      <c r="G8" s="7">
        <f t="shared" si="12"/>
        <v>22.953752984288162</v>
      </c>
      <c r="H8" s="7">
        <f t="shared" si="12"/>
        <v>22.953752984288162</v>
      </c>
      <c r="I8" s="7">
        <f t="shared" si="12"/>
        <v>22.953752984288162</v>
      </c>
      <c r="J8" s="7">
        <f t="shared" si="12"/>
        <v>22.953752984288162</v>
      </c>
      <c r="K8" s="7">
        <f t="shared" si="12"/>
        <v>22.953752984288162</v>
      </c>
      <c r="L8" s="7">
        <f t="shared" si="12"/>
        <v>22.953752984288162</v>
      </c>
      <c r="M8" s="7">
        <f t="shared" si="12"/>
        <v>22.953752984288162</v>
      </c>
      <c r="N8" s="7">
        <f t="shared" si="12"/>
        <v>22.953752984288162</v>
      </c>
      <c r="O8" s="7">
        <f t="shared" si="12"/>
        <v>22.953752984288162</v>
      </c>
      <c r="P8" s="7">
        <f t="shared" si="12"/>
        <v>22.953752984288162</v>
      </c>
      <c r="Q8" s="7">
        <f t="shared" si="12"/>
        <v>22.953752984288162</v>
      </c>
      <c r="R8" s="7">
        <f t="shared" si="12"/>
        <v>22.953752984288162</v>
      </c>
      <c r="S8" s="7">
        <f t="shared" si="12"/>
        <v>22.953752984288162</v>
      </c>
      <c r="T8" s="7">
        <f t="shared" si="12"/>
        <v>22.953752984288162</v>
      </c>
      <c r="U8" s="7">
        <f t="shared" si="12"/>
        <v>22.953752984288162</v>
      </c>
      <c r="V8" s="7">
        <f t="shared" si="12"/>
        <v>22.953752984288162</v>
      </c>
      <c r="W8" s="7">
        <f t="shared" si="12"/>
        <v>22.953752984288162</v>
      </c>
      <c r="X8" s="7">
        <f t="shared" si="12"/>
        <v>22.953752984288162</v>
      </c>
      <c r="Y8" s="7">
        <f t="shared" si="12"/>
        <v>22.953752984288162</v>
      </c>
      <c r="Z8" s="7">
        <f t="shared" si="12"/>
        <v>22.953752984288162</v>
      </c>
      <c r="AA8" s="7">
        <f t="shared" si="12"/>
        <v>22.953752984288162</v>
      </c>
      <c r="AB8" s="7">
        <f t="shared" si="12"/>
        <v>22.953752984288162</v>
      </c>
      <c r="AC8" s="7">
        <f t="shared" si="12"/>
        <v>22.953752984288162</v>
      </c>
      <c r="AD8" s="7">
        <f t="shared" si="12"/>
        <v>22.953752984288162</v>
      </c>
      <c r="AE8" s="7">
        <f t="shared" si="12"/>
        <v>22.953752984288162</v>
      </c>
      <c r="AF8" s="7">
        <f t="shared" si="12"/>
        <v>22.953752984288162</v>
      </c>
      <c r="AG8" s="7">
        <f t="shared" si="12"/>
        <v>22.953752984288162</v>
      </c>
      <c r="AH8" s="7">
        <f t="shared" si="12"/>
        <v>22.953752984288162</v>
      </c>
      <c r="AI8" s="7">
        <f t="shared" si="12"/>
        <v>22.953752984288162</v>
      </c>
      <c r="AJ8" s="7">
        <f t="shared" si="12"/>
        <v>22.953752984288162</v>
      </c>
      <c r="AK8" s="7">
        <f t="shared" si="12"/>
        <v>22.953752984288162</v>
      </c>
      <c r="AL8" s="7">
        <f t="shared" si="12"/>
        <v>22.953752984288162</v>
      </c>
      <c r="AM8" s="7">
        <f t="shared" si="12"/>
        <v>22.953752984288162</v>
      </c>
      <c r="AN8" s="7">
        <f t="shared" si="12"/>
        <v>22.953752984288162</v>
      </c>
      <c r="AO8" s="7">
        <f t="shared" si="12"/>
        <v>22.953752984288162</v>
      </c>
      <c r="AP8" s="7">
        <f t="shared" si="12"/>
        <v>22.953752984288162</v>
      </c>
      <c r="AQ8" s="7">
        <f t="shared" si="12"/>
        <v>22.953752984288162</v>
      </c>
      <c r="AR8" s="7">
        <f t="shared" si="12"/>
        <v>22.953752984288162</v>
      </c>
      <c r="AS8" s="7">
        <f t="shared" si="12"/>
        <v>22.953752984288162</v>
      </c>
      <c r="AT8" s="7">
        <f t="shared" si="12"/>
        <v>22.953752984288162</v>
      </c>
      <c r="AU8" s="7">
        <f t="shared" si="12"/>
        <v>22.953752984288162</v>
      </c>
      <c r="AV8" s="7">
        <f t="shared" si="12"/>
        <v>22.953752984288162</v>
      </c>
      <c r="AW8" s="7">
        <f t="shared" si="12"/>
        <v>22.953752984288162</v>
      </c>
      <c r="AX8" s="7">
        <f t="shared" si="12"/>
        <v>22.953752984288162</v>
      </c>
      <c r="AY8" s="7">
        <f t="shared" si="12"/>
        <v>22.953752984288162</v>
      </c>
      <c r="AZ8" s="7">
        <f t="shared" si="12"/>
        <v>22.953752984288162</v>
      </c>
      <c r="BA8" s="7">
        <f t="shared" si="12"/>
        <v>22.953752984288162</v>
      </c>
      <c r="BB8" s="7">
        <f t="shared" si="12"/>
        <v>22.953752984288162</v>
      </c>
      <c r="BC8" s="7">
        <f t="shared" si="12"/>
        <v>22.953752984288162</v>
      </c>
      <c r="BD8" s="7">
        <f t="shared" si="12"/>
        <v>22.953752984288162</v>
      </c>
      <c r="BE8" s="7">
        <f t="shared" si="12"/>
        <v>22.953752984288162</v>
      </c>
      <c r="BF8" s="7">
        <f t="shared" si="12"/>
        <v>22.953752984288162</v>
      </c>
      <c r="BG8" s="7">
        <f t="shared" si="12"/>
        <v>22.953752984288162</v>
      </c>
      <c r="BH8" s="7">
        <f t="shared" si="12"/>
        <v>22.953752984288162</v>
      </c>
      <c r="BI8" s="7">
        <f t="shared" si="12"/>
        <v>22.953752984288162</v>
      </c>
      <c r="BJ8" s="7">
        <f t="shared" si="12"/>
        <v>22.953752984288162</v>
      </c>
      <c r="BK8" s="7">
        <f t="shared" si="12"/>
        <v>22.953752984288162</v>
      </c>
      <c r="BL8" s="7">
        <f t="shared" si="12"/>
        <v>22.953752984288162</v>
      </c>
      <c r="BM8" s="7">
        <f t="shared" si="12"/>
        <v>22.953752984288162</v>
      </c>
      <c r="BN8" s="7">
        <f t="shared" si="12"/>
        <v>22.953752984288162</v>
      </c>
      <c r="BO8" s="7">
        <f t="shared" si="12"/>
        <v>22.953752984288162</v>
      </c>
      <c r="BP8" s="7">
        <f t="shared" ref="BP8:CH8" si="13">SUM(BP6:BP7)</f>
        <v>22.953752984288162</v>
      </c>
      <c r="BQ8" s="7">
        <f t="shared" si="13"/>
        <v>22.953752984288162</v>
      </c>
      <c r="BR8" s="7">
        <f t="shared" si="13"/>
        <v>22.953752984288162</v>
      </c>
      <c r="BS8" s="7">
        <f t="shared" si="13"/>
        <v>22.953752984288162</v>
      </c>
      <c r="BT8" s="7">
        <f t="shared" si="13"/>
        <v>22.953752984288162</v>
      </c>
      <c r="BU8" s="7">
        <f t="shared" si="13"/>
        <v>22.953752984288162</v>
      </c>
      <c r="BV8" s="7">
        <f t="shared" si="13"/>
        <v>22.953752984288162</v>
      </c>
      <c r="BW8" s="7">
        <f t="shared" si="13"/>
        <v>22.953752984288162</v>
      </c>
      <c r="BX8" s="7">
        <f t="shared" si="13"/>
        <v>22.953752984288162</v>
      </c>
      <c r="BY8" s="7">
        <f t="shared" si="13"/>
        <v>22.953752984288162</v>
      </c>
      <c r="BZ8" s="7">
        <f t="shared" si="13"/>
        <v>22.953752984288162</v>
      </c>
      <c r="CA8" s="7">
        <f t="shared" si="13"/>
        <v>22.953752984288162</v>
      </c>
      <c r="CB8" s="7">
        <f t="shared" si="13"/>
        <v>22.953752984288162</v>
      </c>
      <c r="CC8" s="7">
        <f t="shared" si="13"/>
        <v>22.953752984288162</v>
      </c>
      <c r="CD8" s="7">
        <f t="shared" si="13"/>
        <v>22.953752984288162</v>
      </c>
      <c r="CE8" s="7">
        <f t="shared" si="13"/>
        <v>22.953752984288162</v>
      </c>
      <c r="CF8" s="7">
        <f t="shared" si="13"/>
        <v>22.953752984288162</v>
      </c>
      <c r="CG8" s="7">
        <f t="shared" si="13"/>
        <v>22.953752984288162</v>
      </c>
      <c r="CH8" s="7">
        <f t="shared" si="13"/>
        <v>22.953752984288162</v>
      </c>
      <c r="CI8">
        <f>SUM(C8:CH8)</f>
        <v>1928.1152506802089</v>
      </c>
    </row>
    <row r="13" spans="2:87" x14ac:dyDescent="0.25">
      <c r="C13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B2" sqref="B2"/>
    </sheetView>
  </sheetViews>
  <sheetFormatPr defaultRowHeight="14.5" x14ac:dyDescent="0.35"/>
  <sheetData>
    <row r="1" spans="2:9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</row>
    <row r="2" spans="2:9" x14ac:dyDescent="0.25">
      <c r="B2">
        <v>1200</v>
      </c>
      <c r="C2">
        <v>1020</v>
      </c>
      <c r="D2">
        <f>C4</f>
        <v>840</v>
      </c>
      <c r="E2">
        <f>D4</f>
        <v>660</v>
      </c>
      <c r="F2">
        <f>E4</f>
        <v>480</v>
      </c>
      <c r="G2">
        <f>F4</f>
        <v>300</v>
      </c>
      <c r="H2">
        <f>G4</f>
        <v>120</v>
      </c>
    </row>
    <row r="3" spans="2:9" x14ac:dyDescent="0.25">
      <c r="B3">
        <f>ROUND($B$2*15%,2)</f>
        <v>180</v>
      </c>
      <c r="C3">
        <f t="shared" ref="C3:G3" si="0">ROUND($B$2*15%,2)</f>
        <v>180</v>
      </c>
      <c r="D3">
        <f t="shared" si="0"/>
        <v>180</v>
      </c>
      <c r="E3">
        <f t="shared" si="0"/>
        <v>180</v>
      </c>
      <c r="F3">
        <f t="shared" si="0"/>
        <v>180</v>
      </c>
      <c r="G3">
        <f t="shared" si="0"/>
        <v>180</v>
      </c>
      <c r="H3">
        <v>60</v>
      </c>
    </row>
    <row r="4" spans="2:9" x14ac:dyDescent="0.25">
      <c r="B4">
        <f>B2-B3</f>
        <v>1020</v>
      </c>
      <c r="C4">
        <f>C2-C3</f>
        <v>840</v>
      </c>
      <c r="D4">
        <f t="shared" ref="D4:H4" si="1">D2-D3</f>
        <v>660</v>
      </c>
      <c r="E4">
        <f t="shared" si="1"/>
        <v>480</v>
      </c>
      <c r="F4">
        <f t="shared" si="1"/>
        <v>300</v>
      </c>
      <c r="G4">
        <f t="shared" si="1"/>
        <v>120</v>
      </c>
      <c r="H4">
        <f t="shared" si="1"/>
        <v>60</v>
      </c>
    </row>
    <row r="5" spans="2:9" x14ac:dyDescent="0.25">
      <c r="B5">
        <f>B3/12</f>
        <v>15</v>
      </c>
      <c r="C5">
        <f t="shared" ref="C5:H5" si="2">C3/12</f>
        <v>15</v>
      </c>
      <c r="D5">
        <f t="shared" si="2"/>
        <v>15</v>
      </c>
      <c r="E5">
        <f t="shared" si="2"/>
        <v>15</v>
      </c>
      <c r="F5">
        <f t="shared" si="2"/>
        <v>15</v>
      </c>
      <c r="G5">
        <f t="shared" si="2"/>
        <v>15</v>
      </c>
      <c r="H5">
        <f t="shared" si="2"/>
        <v>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20"/>
  <sheetViews>
    <sheetView workbookViewId="0">
      <selection activeCell="B6" sqref="B6"/>
    </sheetView>
  </sheetViews>
  <sheetFormatPr defaultRowHeight="14.5" x14ac:dyDescent="0.35"/>
  <cols>
    <col min="1" max="1" width="35.1796875" customWidth="1"/>
    <col min="10" max="10" width="9.7265625" bestFit="1" customWidth="1"/>
  </cols>
  <sheetData>
    <row r="2" spans="1:10" ht="15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</row>
    <row r="4" spans="1:10" ht="15" x14ac:dyDescent="0.25">
      <c r="A4" t="s">
        <v>29</v>
      </c>
    </row>
    <row r="5" spans="1:10" ht="15" x14ac:dyDescent="0.25">
      <c r="A5" t="s">
        <v>8</v>
      </c>
    </row>
    <row r="6" spans="1:10" ht="15" x14ac:dyDescent="0.25">
      <c r="A6" t="s">
        <v>9</v>
      </c>
      <c r="B6" s="8">
        <f>SUM('P&amp;L'!C6:N6)</f>
        <v>150</v>
      </c>
      <c r="C6" s="8">
        <f>SUM('P&amp;L'!O6:Z6)</f>
        <v>157.5</v>
      </c>
      <c r="D6" s="8">
        <f>SUM('P&amp;L'!AA6:AL6)</f>
        <v>165.375</v>
      </c>
      <c r="E6" s="8">
        <f>SUM('P&amp;L'!AM6:AX6)</f>
        <v>173.64375000000004</v>
      </c>
      <c r="F6" s="8">
        <f>SUM('P&amp;L'!AY6:BJ6)</f>
        <v>182.32593750000004</v>
      </c>
      <c r="G6" s="8">
        <f>SUM('P&amp;L'!BK6:BV6)</f>
        <v>191.44223437500008</v>
      </c>
      <c r="H6" s="8">
        <f>SUM('P&amp;L'!BW6:CH6)</f>
        <v>201.01434609374999</v>
      </c>
      <c r="I6" s="8">
        <f>SUM('P&amp;L'!CI6:CN6)</f>
        <v>105.53253169921878</v>
      </c>
      <c r="J6" s="8">
        <f>SUM(B6:I6)</f>
        <v>1326.8337996679688</v>
      </c>
    </row>
    <row r="7" spans="1:10" ht="15" x14ac:dyDescent="0.25">
      <c r="A7" t="s">
        <v>11</v>
      </c>
      <c r="B7" s="8">
        <f>SUM('P&amp;L'!C7:N7)</f>
        <v>6</v>
      </c>
      <c r="C7" s="8">
        <f>SUM('P&amp;L'!O7:Z7)</f>
        <v>6.3000000000000016</v>
      </c>
      <c r="D7" s="8">
        <f>SUM('P&amp;L'!AA7:AL7)</f>
        <v>6.6149999999999984</v>
      </c>
      <c r="E7" s="8">
        <f>SUM('P&amp;L'!AM7:AX7)</f>
        <v>6.9457499999999994</v>
      </c>
      <c r="F7" s="8">
        <f>SUM('P&amp;L'!AY7:BJ7)</f>
        <v>7.2930375000000032</v>
      </c>
      <c r="G7" s="8">
        <f>SUM('P&amp;L'!BK7:BV7)</f>
        <v>7.6576893749999995</v>
      </c>
      <c r="H7" s="8">
        <f>SUM('P&amp;L'!BW7:CH7)</f>
        <v>8.0405738437500016</v>
      </c>
      <c r="I7" s="8">
        <f>SUM('P&amp;L'!CI7:CN7)</f>
        <v>4.2213012679687516</v>
      </c>
      <c r="J7" s="8">
        <f t="shared" ref="J7:J11" si="0">SUM(B7:I7)</f>
        <v>53.073351986718748</v>
      </c>
    </row>
    <row r="8" spans="1:10" ht="15" x14ac:dyDescent="0.25">
      <c r="A8" t="s">
        <v>12</v>
      </c>
      <c r="B8" s="8">
        <f>SUM('P&amp;L'!C8:N8)</f>
        <v>240</v>
      </c>
      <c r="C8" s="8">
        <f>SUM('P&amp;L'!O8:Z8)</f>
        <v>258</v>
      </c>
      <c r="D8" s="8">
        <f>SUM('P&amp;L'!AA8:AL8)</f>
        <v>277.35000000000008</v>
      </c>
      <c r="E8" s="8">
        <f>SUM('P&amp;L'!AM8:AX8)</f>
        <v>298.15124999999995</v>
      </c>
      <c r="F8" s="8">
        <f>SUM('P&amp;L'!AY8:BJ8)</f>
        <v>320.51259374999995</v>
      </c>
      <c r="G8" s="8">
        <f>SUM('P&amp;L'!BK8:BV8)</f>
        <v>344.55103828124993</v>
      </c>
      <c r="H8" s="8">
        <f>SUM('P&amp;L'!BW8:CH8)</f>
        <v>361.77859019531235</v>
      </c>
      <c r="I8" s="8">
        <f>SUM('P&amp;L'!CI8:CN8)</f>
        <v>194.45599222998041</v>
      </c>
      <c r="J8" s="8">
        <f t="shared" si="0"/>
        <v>2294.7994644565429</v>
      </c>
    </row>
    <row r="9" spans="1:10" ht="15" x14ac:dyDescent="0.25">
      <c r="A9" t="s">
        <v>13</v>
      </c>
      <c r="B9" s="8">
        <f>SUM('P&amp;L'!C9:N9)</f>
        <v>24</v>
      </c>
      <c r="C9" s="8">
        <f>SUM('P&amp;L'!O9:Z9)</f>
        <v>25.799999999999994</v>
      </c>
      <c r="D9" s="8">
        <f>SUM('P&amp;L'!AA9:AL9)</f>
        <v>27.73500000000001</v>
      </c>
      <c r="E9" s="8">
        <f>SUM('P&amp;L'!AM9:AX9)</f>
        <v>29.815125000000009</v>
      </c>
      <c r="F9" s="8">
        <f>SUM('P&amp;L'!AY9:BJ9)</f>
        <v>32.051259374999994</v>
      </c>
      <c r="G9" s="8">
        <f>SUM('P&amp;L'!BK9:BV9)</f>
        <v>34.45510382812499</v>
      </c>
      <c r="H9" s="8">
        <f>SUM('P&amp;L'!BW9:CH9)</f>
        <v>36.177859019531247</v>
      </c>
      <c r="I9" s="8">
        <f>SUM('P&amp;L'!CI9:CN9)</f>
        <v>19.445599222998048</v>
      </c>
      <c r="J9" s="8">
        <f t="shared" si="0"/>
        <v>229.47994644565432</v>
      </c>
    </row>
    <row r="10" spans="1:10" ht="15" x14ac:dyDescent="0.25">
      <c r="A10" t="s">
        <v>14</v>
      </c>
      <c r="B10" s="8">
        <f>SUM('P&amp;L'!C10:N10)</f>
        <v>275.44503581145801</v>
      </c>
      <c r="C10" s="8">
        <f>SUM('P&amp;L'!O10:Z10)</f>
        <v>275.44503581145801</v>
      </c>
      <c r="D10" s="8">
        <f>SUM('P&amp;L'!AA10:AL10)</f>
        <v>275.44503581145801</v>
      </c>
      <c r="E10" s="8">
        <f>SUM('P&amp;L'!AM10:AX10)</f>
        <v>275.44503581145801</v>
      </c>
      <c r="F10" s="8">
        <f>SUM('P&amp;L'!AY10:BJ10)</f>
        <v>275.44503581145801</v>
      </c>
      <c r="G10" s="8">
        <f>SUM('P&amp;L'!BK10:BV10)</f>
        <v>275.44503581145801</v>
      </c>
      <c r="H10" s="8">
        <f>SUM('P&amp;L'!BW10:CH10)</f>
        <v>275.44503581145801</v>
      </c>
      <c r="I10" s="8">
        <f>SUM('P&amp;L'!CI10:CN10)</f>
        <v>0</v>
      </c>
      <c r="J10" s="8">
        <f t="shared" si="0"/>
        <v>1928.1152506802059</v>
      </c>
    </row>
    <row r="11" spans="1:10" ht="15.75" thickBot="1" x14ac:dyDescent="0.3">
      <c r="A11" t="s">
        <v>22</v>
      </c>
      <c r="B11" s="16">
        <f>SUM('P&amp;L'!C11:N11)</f>
        <v>695.44503581145784</v>
      </c>
      <c r="C11" s="16">
        <f>SUM('P&amp;L'!O11:Z11)</f>
        <v>723.04503581145809</v>
      </c>
      <c r="D11" s="16">
        <f>SUM('P&amp;L'!AA11:AL11)</f>
        <v>752.520035811458</v>
      </c>
      <c r="E11" s="16">
        <f>SUM('P&amp;L'!AM11:AX11)</f>
        <v>784.00091081145808</v>
      </c>
      <c r="F11" s="16">
        <f>SUM('P&amp;L'!AY11:BJ11)</f>
        <v>817.62786393645808</v>
      </c>
      <c r="G11" s="16">
        <f>SUM('P&amp;L'!BK11:BV11)</f>
        <v>853.55110167083285</v>
      </c>
      <c r="H11" s="16">
        <f>SUM('P&amp;L'!BW11:CH11)</f>
        <v>882.4564049638019</v>
      </c>
      <c r="I11" s="16">
        <f>SUM('P&amp;L'!CI11:CN11)</f>
        <v>323.65542442016601</v>
      </c>
      <c r="J11" s="16">
        <f t="shared" si="0"/>
        <v>5832.3018132370908</v>
      </c>
    </row>
    <row r="12" spans="1:10" ht="15.75" thickTop="1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" x14ac:dyDescent="0.25">
      <c r="A13" t="s">
        <v>9</v>
      </c>
      <c r="B13" s="8">
        <f>SUM('P&amp;L'!C13:N13)</f>
        <v>150</v>
      </c>
      <c r="C13" s="8">
        <f>SUM('P&amp;L'!O13:Z13)</f>
        <v>157.5</v>
      </c>
      <c r="D13" s="8">
        <f>SUM('P&amp;L'!AA13:AL13)</f>
        <v>165.375</v>
      </c>
      <c r="E13" s="8">
        <f>SUM('P&amp;L'!AM13:AX13)</f>
        <v>173.64375000000004</v>
      </c>
      <c r="F13" s="8">
        <f>SUM('P&amp;L'!AY13:BJ13)</f>
        <v>182.32593750000004</v>
      </c>
      <c r="G13" s="8">
        <f>SUM('P&amp;L'!BK13:BV13)</f>
        <v>191.44223437500008</v>
      </c>
      <c r="H13" s="8">
        <f>SUM('P&amp;L'!BW13:CH13)</f>
        <v>201.01434609374999</v>
      </c>
      <c r="I13" s="8">
        <f>SUM('P&amp;L'!CI13:CN13)</f>
        <v>105.53253169921878</v>
      </c>
      <c r="J13" s="8">
        <f>SUM(B13:I13)</f>
        <v>1326.8337996679688</v>
      </c>
    </row>
    <row r="14" spans="1:10" ht="15" x14ac:dyDescent="0.25">
      <c r="A14" t="s">
        <v>12</v>
      </c>
      <c r="B14" s="8">
        <f>SUM('P&amp;L'!C14:N14)</f>
        <v>192</v>
      </c>
      <c r="C14" s="8">
        <f>SUM('P&amp;L'!O14:Z14)</f>
        <v>206.39999999999995</v>
      </c>
      <c r="D14" s="8">
        <f>SUM('P&amp;L'!AA14:AL14)</f>
        <v>221.88000000000008</v>
      </c>
      <c r="E14" s="8">
        <f>SUM('P&amp;L'!AM14:AX14)</f>
        <v>238.52100000000007</v>
      </c>
      <c r="F14" s="8">
        <f>SUM('P&amp;L'!AY14:BJ14)</f>
        <v>256.41007499999995</v>
      </c>
      <c r="G14" s="8">
        <f>SUM('P&amp;L'!BK14:BV14)</f>
        <v>275.64083062499992</v>
      </c>
      <c r="H14" s="8">
        <f>SUM('P&amp;L'!BW14:CH14)</f>
        <v>289.42287215624998</v>
      </c>
      <c r="I14" s="8">
        <f>SUM('P&amp;L'!CI14:CN14)</f>
        <v>155.56479378398438</v>
      </c>
      <c r="J14" s="8">
        <f>SUM(B14:I14)</f>
        <v>1835.8395715652346</v>
      </c>
    </row>
    <row r="15" spans="1:10" ht="15" x14ac:dyDescent="0.25">
      <c r="A15" t="s">
        <v>15</v>
      </c>
      <c r="B15" s="8">
        <f>SUM('P&amp;L'!C15:N15)</f>
        <v>79.800000000000011</v>
      </c>
      <c r="C15" s="8">
        <f>SUM('P&amp;L'!O15:Z15)</f>
        <v>69.94</v>
      </c>
      <c r="D15" s="8">
        <f>SUM('P&amp;L'!AA15:AL15)</f>
        <v>58.320000000000007</v>
      </c>
      <c r="E15" s="8">
        <f>SUM('P&amp;L'!AM15:AX15)</f>
        <v>46.8</v>
      </c>
      <c r="F15" s="8">
        <f>SUM('P&amp;L'!AY15:BJ15)</f>
        <v>35.21</v>
      </c>
      <c r="G15" s="8">
        <f>SUM('P&amp;L'!BK15:BV15)</f>
        <v>23.64</v>
      </c>
      <c r="H15" s="8">
        <f>SUM('P&amp;L'!BW15:CH15)</f>
        <v>12.110000000000003</v>
      </c>
      <c r="I15" s="8">
        <f>SUM('P&amp;L'!CI15:CN15)</f>
        <v>1.68</v>
      </c>
      <c r="J15" s="8">
        <f>SUM(B15:I15)</f>
        <v>327.5</v>
      </c>
    </row>
    <row r="16" spans="1:10" ht="15" x14ac:dyDescent="0.25">
      <c r="A16" t="s">
        <v>16</v>
      </c>
      <c r="B16" s="8">
        <f>SUM('P&amp;L'!C16:N16)</f>
        <v>180</v>
      </c>
      <c r="C16" s="8">
        <f>SUM('P&amp;L'!O16:Z16)</f>
        <v>180</v>
      </c>
      <c r="D16" s="8">
        <f>SUM('P&amp;L'!AA16:AL16)</f>
        <v>180</v>
      </c>
      <c r="E16" s="8">
        <f>SUM('P&amp;L'!AM16:AX16)</f>
        <v>180</v>
      </c>
      <c r="F16" s="8">
        <f>SUM('P&amp;L'!AY16:BJ16)</f>
        <v>180</v>
      </c>
      <c r="G16" s="8">
        <f>SUM('P&amp;L'!BK16:BV16)</f>
        <v>180</v>
      </c>
      <c r="H16" s="8">
        <f>SUM('P&amp;L'!BW16:CH16)</f>
        <v>60</v>
      </c>
      <c r="I16" s="8">
        <v>0</v>
      </c>
      <c r="J16" s="8">
        <f>SUM(B16:I16)</f>
        <v>1140</v>
      </c>
    </row>
    <row r="17" spans="1:10" ht="15.75" thickBot="1" x14ac:dyDescent="0.3">
      <c r="A17" t="s">
        <v>23</v>
      </c>
      <c r="B17" s="16">
        <f>SUM(B13:B16)</f>
        <v>601.79999999999995</v>
      </c>
      <c r="C17" s="16">
        <f t="shared" ref="C17:J17" si="1">SUM(C13:C16)</f>
        <v>613.83999999999992</v>
      </c>
      <c r="D17" s="16">
        <f t="shared" si="1"/>
        <v>625.57500000000005</v>
      </c>
      <c r="E17" s="16">
        <f t="shared" si="1"/>
        <v>638.96475000000009</v>
      </c>
      <c r="F17" s="16">
        <f t="shared" si="1"/>
        <v>653.94601250000005</v>
      </c>
      <c r="G17" s="16">
        <f t="shared" si="1"/>
        <v>670.72306500000002</v>
      </c>
      <c r="H17" s="16">
        <f t="shared" si="1"/>
        <v>562.54721825000001</v>
      </c>
      <c r="I17" s="16">
        <f t="shared" si="1"/>
        <v>262.77732548320319</v>
      </c>
      <c r="J17" s="16">
        <f t="shared" si="1"/>
        <v>4630.1733712332034</v>
      </c>
    </row>
    <row r="18" spans="1:10" ht="15.75" thickTop="1" x14ac:dyDescent="0.25"/>
    <row r="19" spans="1:10" ht="15.75" thickBot="1" x14ac:dyDescent="0.3">
      <c r="A19" t="s">
        <v>24</v>
      </c>
      <c r="B19" s="16">
        <f>B11-B17</f>
        <v>93.645035811457888</v>
      </c>
      <c r="C19" s="16">
        <f t="shared" ref="C19:J19" si="2">C11-C17</f>
        <v>109.20503581145817</v>
      </c>
      <c r="D19" s="16">
        <f t="shared" si="2"/>
        <v>126.94503581145796</v>
      </c>
      <c r="E19" s="16">
        <f t="shared" si="2"/>
        <v>145.03616081145799</v>
      </c>
      <c r="F19" s="16">
        <f t="shared" si="2"/>
        <v>163.68185143645803</v>
      </c>
      <c r="G19" s="16">
        <f t="shared" si="2"/>
        <v>182.82803667083283</v>
      </c>
      <c r="H19" s="16">
        <f t="shared" si="2"/>
        <v>319.90918671380189</v>
      </c>
      <c r="I19" s="16">
        <f t="shared" si="2"/>
        <v>60.878098936962829</v>
      </c>
      <c r="J19" s="16">
        <f t="shared" si="2"/>
        <v>1202.1284420038874</v>
      </c>
    </row>
    <row r="20" spans="1:10" ht="15.75" thickTop="1" x14ac:dyDescent="0.2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8"/>
  <sheetViews>
    <sheetView topLeftCell="A14" workbookViewId="0">
      <selection activeCell="E28" sqref="E28"/>
    </sheetView>
  </sheetViews>
  <sheetFormatPr defaultRowHeight="14.5" x14ac:dyDescent="0.35"/>
  <cols>
    <col min="3" max="3" width="10.54296875" customWidth="1"/>
    <col min="5" max="5" width="16.54296875" customWidth="1"/>
  </cols>
  <sheetData>
    <row r="3" spans="2:8" x14ac:dyDescent="0.25">
      <c r="B3">
        <v>66879800</v>
      </c>
      <c r="C3" s="7">
        <f>B3/10^5</f>
        <v>668.798</v>
      </c>
      <c r="E3" s="7">
        <v>76879800</v>
      </c>
    </row>
    <row r="4" spans="2:8" x14ac:dyDescent="0.25">
      <c r="B4" s="42">
        <v>0.18</v>
      </c>
      <c r="C4">
        <v>2023440</v>
      </c>
      <c r="E4" s="7">
        <v>2023440</v>
      </c>
    </row>
    <row r="5" spans="2:8" x14ac:dyDescent="0.25">
      <c r="B5" t="s">
        <v>181</v>
      </c>
      <c r="E5" s="7">
        <f>E3+E4</f>
        <v>78903240</v>
      </c>
    </row>
    <row r="6" spans="2:8" x14ac:dyDescent="0.25">
      <c r="E6" s="8">
        <f>E5*18%</f>
        <v>14202583.199999999</v>
      </c>
    </row>
    <row r="7" spans="2:8" x14ac:dyDescent="0.25">
      <c r="E7" s="8">
        <f>E5+E6</f>
        <v>93105823.200000003</v>
      </c>
    </row>
    <row r="9" spans="2:8" x14ac:dyDescent="0.25">
      <c r="C9" t="s">
        <v>182</v>
      </c>
      <c r="E9" s="7">
        <v>4000000</v>
      </c>
    </row>
    <row r="10" spans="2:8" x14ac:dyDescent="0.25">
      <c r="E10" s="8">
        <f>E7+E9</f>
        <v>97105823.200000003</v>
      </c>
    </row>
    <row r="12" spans="2:8" x14ac:dyDescent="0.25">
      <c r="C12" t="s">
        <v>181</v>
      </c>
      <c r="E12" s="68">
        <v>4000000</v>
      </c>
    </row>
    <row r="13" spans="2:8" x14ac:dyDescent="0.25">
      <c r="E13" s="8">
        <f>E10+E12</f>
        <v>101105823.2</v>
      </c>
    </row>
    <row r="15" spans="2:8" x14ac:dyDescent="0.25">
      <c r="H15" s="68"/>
    </row>
    <row r="17" spans="3:6" x14ac:dyDescent="0.25">
      <c r="C17" t="s">
        <v>183</v>
      </c>
      <c r="E17" s="68">
        <v>3000000</v>
      </c>
    </row>
    <row r="18" spans="3:6" x14ac:dyDescent="0.25">
      <c r="C18" t="s">
        <v>19</v>
      </c>
      <c r="E18" s="68">
        <v>664000</v>
      </c>
    </row>
    <row r="19" spans="3:6" x14ac:dyDescent="0.25">
      <c r="E19" s="8">
        <f>E13+E17+E18</f>
        <v>104769823.2</v>
      </c>
    </row>
    <row r="21" spans="3:6" x14ac:dyDescent="0.25">
      <c r="C21" t="s">
        <v>184</v>
      </c>
      <c r="E21" s="68">
        <v>2500000</v>
      </c>
    </row>
    <row r="22" spans="3:6" x14ac:dyDescent="0.25">
      <c r="C22" t="s">
        <v>185</v>
      </c>
      <c r="E22" s="68">
        <v>2000000</v>
      </c>
      <c r="F22" s="68"/>
    </row>
    <row r="23" spans="3:6" x14ac:dyDescent="0.25">
      <c r="C23" t="s">
        <v>186</v>
      </c>
      <c r="E23" s="68">
        <v>500000</v>
      </c>
    </row>
    <row r="24" spans="3:6" x14ac:dyDescent="0.25">
      <c r="C24" t="s">
        <v>187</v>
      </c>
      <c r="E24" s="68">
        <v>1000000</v>
      </c>
    </row>
    <row r="25" spans="3:6" x14ac:dyDescent="0.25">
      <c r="C25" t="s">
        <v>188</v>
      </c>
      <c r="E25" s="68">
        <f>E21+E22+E23+E24</f>
        <v>6000000</v>
      </c>
    </row>
    <row r="26" spans="3:6" x14ac:dyDescent="0.25">
      <c r="E26" s="8">
        <f>E19+E25</f>
        <v>110769823.2</v>
      </c>
    </row>
    <row r="28" spans="3:6" x14ac:dyDescent="0.25">
      <c r="C28" t="s">
        <v>189</v>
      </c>
      <c r="E28" s="42">
        <v>0.02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9"/>
  <sheetViews>
    <sheetView workbookViewId="0">
      <selection activeCell="N16" sqref="N16"/>
    </sheetView>
  </sheetViews>
  <sheetFormatPr defaultRowHeight="14.5" x14ac:dyDescent="0.35"/>
  <cols>
    <col min="2" max="2" width="23.7265625" customWidth="1"/>
    <col min="3" max="12" width="0" hidden="1" customWidth="1"/>
    <col min="14" max="14" width="38" customWidth="1"/>
    <col min="16" max="16" width="9.81640625" bestFit="1" customWidth="1"/>
  </cols>
  <sheetData>
    <row r="1" spans="2:18" ht="15" x14ac:dyDescent="0.25">
      <c r="C1" t="s">
        <v>1</v>
      </c>
      <c r="D1" t="s">
        <v>156</v>
      </c>
      <c r="L1" t="s">
        <v>156</v>
      </c>
    </row>
    <row r="2" spans="2:18" x14ac:dyDescent="0.35">
      <c r="O2" t="s">
        <v>311</v>
      </c>
      <c r="P2" t="s">
        <v>311</v>
      </c>
      <c r="Q2" t="s">
        <v>312</v>
      </c>
      <c r="R2" t="s">
        <v>312</v>
      </c>
    </row>
    <row r="3" spans="2:18" ht="45" x14ac:dyDescent="0.25">
      <c r="B3" s="59" t="s">
        <v>0</v>
      </c>
      <c r="C3" s="58"/>
      <c r="D3" s="58"/>
      <c r="F3" s="41" t="s">
        <v>125</v>
      </c>
      <c r="G3" s="41" t="s">
        <v>178</v>
      </c>
      <c r="H3" s="41" t="s">
        <v>179</v>
      </c>
      <c r="M3" t="s">
        <v>156</v>
      </c>
      <c r="N3" t="s">
        <v>256</v>
      </c>
      <c r="O3" t="s">
        <v>68</v>
      </c>
      <c r="P3" t="s">
        <v>234</v>
      </c>
      <c r="Q3" t="s">
        <v>89</v>
      </c>
      <c r="R3" t="s">
        <v>270</v>
      </c>
    </row>
    <row r="4" spans="2:18" ht="29" x14ac:dyDescent="0.35">
      <c r="B4" t="s">
        <v>2</v>
      </c>
      <c r="C4" s="7">
        <v>54</v>
      </c>
      <c r="D4" s="7">
        <f>54*100</f>
        <v>5400</v>
      </c>
      <c r="F4" s="10">
        <v>5400</v>
      </c>
      <c r="G4" s="10" t="e">
        <f>SUM(#REF!)*-1</f>
        <v>#REF!</v>
      </c>
      <c r="H4" s="11" t="e">
        <f>F4+G4</f>
        <v>#REF!</v>
      </c>
      <c r="J4" s="8">
        <f>D4/5</f>
        <v>1080</v>
      </c>
      <c r="L4" s="8">
        <f>D4*2/5</f>
        <v>2160</v>
      </c>
      <c r="M4" s="7">
        <v>4800</v>
      </c>
      <c r="N4" s="3" t="s">
        <v>257</v>
      </c>
      <c r="O4" s="7">
        <v>1100</v>
      </c>
      <c r="P4" s="7">
        <v>1300</v>
      </c>
      <c r="Q4" s="7">
        <v>1200</v>
      </c>
      <c r="R4" s="7">
        <v>1200</v>
      </c>
    </row>
    <row r="5" spans="2:18" ht="15" thickBot="1" x14ac:dyDescent="0.4">
      <c r="B5" t="s">
        <v>5</v>
      </c>
      <c r="C5" s="54" t="e">
        <f>C4+#REF!+#REF!</f>
        <v>#REF!</v>
      </c>
      <c r="D5" s="54" t="e">
        <f>D4+#REF!+#REF!</f>
        <v>#REF!</v>
      </c>
      <c r="F5" s="10">
        <f>SUM(F4:F4)</f>
        <v>5400</v>
      </c>
      <c r="G5" s="10" t="e">
        <f>SUM(G4:G4)</f>
        <v>#REF!</v>
      </c>
      <c r="H5" s="10" t="e">
        <f>SUM(H4:H4)</f>
        <v>#REF!</v>
      </c>
      <c r="J5" s="8" t="e">
        <f>J4+#REF!+#REF!</f>
        <v>#REF!</v>
      </c>
      <c r="L5" s="54" t="e">
        <f>L4+#REF!+#REF!</f>
        <v>#REF!</v>
      </c>
      <c r="M5" s="54">
        <f>M4</f>
        <v>4800</v>
      </c>
      <c r="O5" s="54">
        <f>SUM(O4)</f>
        <v>1100</v>
      </c>
      <c r="P5" s="54">
        <f t="shared" ref="P5:R5" si="0">SUM(P4)</f>
        <v>1300</v>
      </c>
      <c r="Q5" s="54">
        <f t="shared" si="0"/>
        <v>1200</v>
      </c>
      <c r="R5" s="54">
        <f t="shared" si="0"/>
        <v>1200</v>
      </c>
    </row>
    <row r="6" spans="2:18" ht="15" thickTop="1" x14ac:dyDescent="0.35"/>
    <row r="7" spans="2:18" ht="15" x14ac:dyDescent="0.25">
      <c r="B7" s="1" t="s">
        <v>4</v>
      </c>
    </row>
    <row r="8" spans="2:18" ht="15" x14ac:dyDescent="0.25">
      <c r="B8" t="s">
        <v>6</v>
      </c>
      <c r="C8" s="7" t="e">
        <f>C5*75%</f>
        <v>#REF!</v>
      </c>
      <c r="D8" s="8" t="e">
        <f>C8*100</f>
        <v>#REF!</v>
      </c>
      <c r="L8" s="8" t="e">
        <f>D8*2/5</f>
        <v>#REF!</v>
      </c>
      <c r="M8" s="8">
        <v>3600</v>
      </c>
      <c r="O8" s="7">
        <v>800</v>
      </c>
      <c r="P8" s="7">
        <v>1000</v>
      </c>
      <c r="Q8" s="7">
        <v>900</v>
      </c>
      <c r="R8" s="7">
        <v>900</v>
      </c>
    </row>
    <row r="9" spans="2:18" x14ac:dyDescent="0.35">
      <c r="B9" t="s">
        <v>7</v>
      </c>
      <c r="C9" s="7" t="e">
        <f>C5*25%</f>
        <v>#REF!</v>
      </c>
      <c r="D9" s="8" t="e">
        <f>C9*100</f>
        <v>#REF!</v>
      </c>
      <c r="L9" s="8" t="e">
        <f>D9*2/5</f>
        <v>#REF!</v>
      </c>
      <c r="M9" s="8">
        <v>1200</v>
      </c>
      <c r="O9" s="7">
        <v>300</v>
      </c>
      <c r="P9" s="7">
        <v>300</v>
      </c>
      <c r="Q9" s="7">
        <v>300</v>
      </c>
      <c r="R9" s="7">
        <v>300</v>
      </c>
    </row>
    <row r="10" spans="2:18" ht="15" thickBot="1" x14ac:dyDescent="0.4">
      <c r="C10" s="54" t="e">
        <f>C8+C9</f>
        <v>#REF!</v>
      </c>
      <c r="D10" s="54" t="e">
        <f>D8+D9</f>
        <v>#REF!</v>
      </c>
      <c r="L10" s="54" t="e">
        <f>L8+L9</f>
        <v>#REF!</v>
      </c>
      <c r="M10" s="54">
        <f>M8+M9</f>
        <v>4800</v>
      </c>
      <c r="O10" s="54">
        <f>SUM(O8:O9)</f>
        <v>1100</v>
      </c>
      <c r="P10" s="54">
        <f t="shared" ref="P10:R10" si="1">SUM(P8:P9)</f>
        <v>1300</v>
      </c>
      <c r="Q10" s="54">
        <f t="shared" si="1"/>
        <v>1200</v>
      </c>
      <c r="R10" s="54">
        <f t="shared" si="1"/>
        <v>1200</v>
      </c>
    </row>
    <row r="11" spans="2:18" ht="15" thickTop="1" x14ac:dyDescent="0.35"/>
    <row r="12" spans="2:18" x14ac:dyDescent="0.35">
      <c r="N12" t="s">
        <v>3</v>
      </c>
      <c r="O12" s="7">
        <f>'Location- PL'!C20</f>
        <v>24</v>
      </c>
      <c r="P12" s="7">
        <f>'Location- PL'!C62</f>
        <v>24</v>
      </c>
      <c r="Q12" s="7">
        <f>'Location- PL'!C94</f>
        <v>24</v>
      </c>
      <c r="R12" s="7">
        <f>'Location- PL'!C126</f>
        <v>24</v>
      </c>
    </row>
    <row r="13" spans="2:18" x14ac:dyDescent="0.35">
      <c r="N13" t="s">
        <v>251</v>
      </c>
      <c r="O13">
        <f>'Location- PL'!C21</f>
        <v>17.71</v>
      </c>
      <c r="P13">
        <f>'Location- PL'!C63</f>
        <v>17.71</v>
      </c>
      <c r="Q13">
        <f>'Location- PL'!C95</f>
        <v>19.97</v>
      </c>
      <c r="R13">
        <f>'Location- PL'!C127</f>
        <v>19.97</v>
      </c>
    </row>
    <row r="14" spans="2:18" ht="15" thickBot="1" x14ac:dyDescent="0.4">
      <c r="N14" t="s">
        <v>308</v>
      </c>
      <c r="O14" s="16">
        <f>SUM(O12:O13)</f>
        <v>41.71</v>
      </c>
      <c r="P14" s="16">
        <f t="shared" ref="P14:R14" si="2">SUM(P12:P13)</f>
        <v>41.71</v>
      </c>
      <c r="Q14" s="16">
        <f t="shared" si="2"/>
        <v>43.97</v>
      </c>
      <c r="R14" s="16">
        <f t="shared" si="2"/>
        <v>43.97</v>
      </c>
    </row>
    <row r="15" spans="2:18" ht="15" thickTop="1" x14ac:dyDescent="0.35"/>
    <row r="16" spans="2:18" x14ac:dyDescent="0.35">
      <c r="N16" t="s">
        <v>310</v>
      </c>
      <c r="O16" s="8">
        <v>1058.29</v>
      </c>
      <c r="P16" s="8">
        <v>1258.29</v>
      </c>
      <c r="Q16" s="8">
        <v>1156.03</v>
      </c>
      <c r="R16" s="8">
        <v>1156.03</v>
      </c>
    </row>
    <row r="18" spans="14:18" ht="15" thickBot="1" x14ac:dyDescent="0.4">
      <c r="N18" t="s">
        <v>309</v>
      </c>
      <c r="O18" s="16">
        <f>O14+O16</f>
        <v>1100</v>
      </c>
      <c r="P18" s="16">
        <f>P14+P16</f>
        <v>1300</v>
      </c>
      <c r="Q18" s="16">
        <f>Q14+Q16</f>
        <v>1200</v>
      </c>
      <c r="R18" s="16">
        <f>R14+R16</f>
        <v>1200</v>
      </c>
    </row>
    <row r="19" spans="14:18" ht="15" thickTop="1" x14ac:dyDescent="0.3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O133"/>
  <sheetViews>
    <sheetView workbookViewId="0">
      <pane xSplit="2" ySplit="5" topLeftCell="C11" activePane="bottomRight" state="frozen"/>
      <selection pane="topRight" activeCell="C1" sqref="C1"/>
      <selection pane="bottomLeft" activeCell="A5" sqref="A5"/>
      <selection pane="bottomRight" activeCell="E13" sqref="E13"/>
    </sheetView>
  </sheetViews>
  <sheetFormatPr defaultRowHeight="14.5" x14ac:dyDescent="0.35"/>
  <cols>
    <col min="1" max="1" width="5.453125" customWidth="1"/>
    <col min="2" max="2" width="44.81640625" customWidth="1"/>
    <col min="3" max="3" width="10.7265625" customWidth="1"/>
    <col min="5" max="6" width="9.81640625" bestFit="1" customWidth="1"/>
    <col min="7" max="7" width="9.7265625" customWidth="1"/>
    <col min="8" max="8" width="9.54296875" customWidth="1"/>
    <col min="9" max="9" width="10.1796875" customWidth="1"/>
    <col min="10" max="10" width="10.54296875" customWidth="1"/>
    <col min="11" max="13" width="10.7265625" customWidth="1"/>
  </cols>
  <sheetData>
    <row r="2" spans="2:15" x14ac:dyDescent="0.35">
      <c r="B2" s="1" t="s">
        <v>92</v>
      </c>
    </row>
    <row r="3" spans="2:15" x14ac:dyDescent="0.35">
      <c r="B3" s="1"/>
      <c r="N3" t="s">
        <v>156</v>
      </c>
    </row>
    <row r="4" spans="2:15" x14ac:dyDescent="0.35">
      <c r="B4" s="73" t="s">
        <v>105</v>
      </c>
      <c r="C4" s="168" t="s">
        <v>93</v>
      </c>
      <c r="D4" s="168"/>
      <c r="E4" s="73" t="s">
        <v>94</v>
      </c>
      <c r="F4" s="73" t="s">
        <v>95</v>
      </c>
      <c r="G4" s="73" t="s">
        <v>96</v>
      </c>
      <c r="H4" s="73" t="s">
        <v>97</v>
      </c>
      <c r="I4" s="73" t="s">
        <v>98</v>
      </c>
      <c r="J4" s="73" t="s">
        <v>99</v>
      </c>
      <c r="K4" s="73" t="s">
        <v>100</v>
      </c>
      <c r="L4" s="73" t="s">
        <v>303</v>
      </c>
      <c r="M4" s="73" t="s">
        <v>304</v>
      </c>
      <c r="N4" s="73" t="s">
        <v>104</v>
      </c>
    </row>
    <row r="5" spans="2:15" ht="43.5" x14ac:dyDescent="0.35">
      <c r="B5" s="109" t="s">
        <v>33</v>
      </c>
      <c r="C5" s="110" t="s">
        <v>46</v>
      </c>
      <c r="D5" s="110" t="s">
        <v>102</v>
      </c>
      <c r="E5" s="110" t="s">
        <v>102</v>
      </c>
      <c r="F5" s="110" t="s">
        <v>102</v>
      </c>
      <c r="G5" s="110" t="s">
        <v>102</v>
      </c>
      <c r="H5" s="110" t="s">
        <v>102</v>
      </c>
      <c r="I5" s="110" t="s">
        <v>102</v>
      </c>
      <c r="J5" s="110" t="s">
        <v>102</v>
      </c>
      <c r="K5" s="110" t="s">
        <v>102</v>
      </c>
      <c r="L5" s="110" t="s">
        <v>102</v>
      </c>
      <c r="M5" s="110" t="s">
        <v>102</v>
      </c>
      <c r="N5" s="73"/>
    </row>
    <row r="6" spans="2:15" x14ac:dyDescent="0.35">
      <c r="B6" s="73" t="s">
        <v>103</v>
      </c>
      <c r="C6" s="73">
        <v>2</v>
      </c>
      <c r="D6" s="73">
        <v>2</v>
      </c>
      <c r="E6" s="73">
        <v>12</v>
      </c>
      <c r="F6" s="73">
        <v>12</v>
      </c>
      <c r="G6" s="73">
        <v>12</v>
      </c>
      <c r="H6" s="73">
        <v>12</v>
      </c>
      <c r="I6" s="73">
        <v>12</v>
      </c>
      <c r="J6" s="73">
        <v>12</v>
      </c>
      <c r="K6" s="73">
        <v>12</v>
      </c>
      <c r="L6" s="73">
        <v>12</v>
      </c>
      <c r="M6" s="73">
        <v>12</v>
      </c>
      <c r="N6" s="73">
        <f>SUM(D6:K6)</f>
        <v>86</v>
      </c>
    </row>
    <row r="8" spans="2:15" x14ac:dyDescent="0.35">
      <c r="B8" s="23" t="s">
        <v>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5" x14ac:dyDescent="0.35">
      <c r="B9" s="9" t="s">
        <v>9</v>
      </c>
      <c r="C9" s="9"/>
      <c r="D9" s="10">
        <f>'Detailed Revenue&amp;Expenses'!F5</f>
        <v>25</v>
      </c>
      <c r="E9" s="10">
        <f>'Detailed Revenue&amp;Expenses'!G5</f>
        <v>152.5</v>
      </c>
      <c r="F9" s="10">
        <f>'Detailed Revenue&amp;Expenses'!H5</f>
        <v>160.125</v>
      </c>
      <c r="G9" s="10">
        <f>'Detailed Revenue&amp;Expenses'!I5</f>
        <v>168.13124999999999</v>
      </c>
      <c r="H9" s="10">
        <f>'Detailed Revenue&amp;Expenses'!J5</f>
        <v>176.5378125</v>
      </c>
      <c r="I9" s="10">
        <f>'Detailed Revenue&amp;Expenses'!K5</f>
        <v>185.36470312500001</v>
      </c>
      <c r="J9" s="10">
        <f>'Detailed Revenue&amp;Expenses'!L5</f>
        <v>194.63293828125001</v>
      </c>
      <c r="K9" s="10">
        <f>'Detailed Revenue&amp;Expenses'!M5</f>
        <v>204.36458519531249</v>
      </c>
      <c r="L9" s="10">
        <f>'Detailed Revenue&amp;Expenses'!N5</f>
        <v>214.58281445507816</v>
      </c>
      <c r="M9" s="10">
        <f>'Detailed Revenue&amp;Expenses'!O5</f>
        <v>225.31195517783206</v>
      </c>
      <c r="N9" s="11">
        <f t="shared" ref="N9:N15" si="0">SUM(D9:M9)</f>
        <v>1706.5510587344727</v>
      </c>
      <c r="O9" s="8"/>
    </row>
    <row r="10" spans="2:15" x14ac:dyDescent="0.35">
      <c r="B10" s="9" t="s">
        <v>11</v>
      </c>
      <c r="C10" s="9"/>
      <c r="D10" s="10">
        <f>'Detailed Revenue&amp;Expenses'!F6</f>
        <v>1</v>
      </c>
      <c r="E10" s="10">
        <f>'Detailed Revenue&amp;Expenses'!G6</f>
        <v>6.1000000000000005</v>
      </c>
      <c r="F10" s="10">
        <f>'Detailed Revenue&amp;Expenses'!H6</f>
        <v>6.4050000000000002</v>
      </c>
      <c r="G10" s="10">
        <f>'Detailed Revenue&amp;Expenses'!I6</f>
        <v>6.72525</v>
      </c>
      <c r="H10" s="10">
        <f>'Detailed Revenue&amp;Expenses'!J6</f>
        <v>7.0615125000000001</v>
      </c>
      <c r="I10" s="10">
        <f>'Detailed Revenue&amp;Expenses'!K6</f>
        <v>7.4145881250000008</v>
      </c>
      <c r="J10" s="10">
        <f>'Detailed Revenue&amp;Expenses'!L6</f>
        <v>7.7853175312500005</v>
      </c>
      <c r="K10" s="10">
        <f>'Detailed Revenue&amp;Expenses'!M6</f>
        <v>8.1745834078125004</v>
      </c>
      <c r="L10" s="10">
        <f>'Detailed Revenue&amp;Expenses'!N6</f>
        <v>8.5833125782031274</v>
      </c>
      <c r="M10" s="10">
        <f>'Detailed Revenue&amp;Expenses'!O6</f>
        <v>9.0124782071132827</v>
      </c>
      <c r="N10" s="11">
        <f t="shared" si="0"/>
        <v>68.262042349378902</v>
      </c>
      <c r="O10" s="8"/>
    </row>
    <row r="11" spans="2:15" x14ac:dyDescent="0.35">
      <c r="B11" s="9" t="s">
        <v>12</v>
      </c>
      <c r="C11" s="9"/>
      <c r="D11" s="10">
        <f>'Detailed Revenue&amp;Expenses'!F7</f>
        <v>40</v>
      </c>
      <c r="E11" s="10">
        <f>'Detailed Revenue&amp;Expenses'!G7</f>
        <v>247.5</v>
      </c>
      <c r="F11" s="10">
        <f>'Detailed Revenue&amp;Expenses'!H7</f>
        <v>266.0625</v>
      </c>
      <c r="G11" s="10">
        <f>'Detailed Revenue&amp;Expenses'!I7</f>
        <v>286.01718749999998</v>
      </c>
      <c r="H11" s="10">
        <f>'Detailed Revenue&amp;Expenses'!J7</f>
        <v>307.46847656249992</v>
      </c>
      <c r="I11" s="10">
        <f>'Detailed Revenue&amp;Expenses'!K7</f>
        <v>330.5286123046875</v>
      </c>
      <c r="J11" s="10">
        <f>'Detailed Revenue&amp;Expenses'!L7</f>
        <v>355.31825822753905</v>
      </c>
      <c r="K11" s="10">
        <f>'Detailed Revenue&amp;Expenses'!M7</f>
        <v>381.96712759460439</v>
      </c>
      <c r="L11" s="10">
        <f>'Detailed Revenue&amp;Expenses'!N7</f>
        <v>410.61466216419979</v>
      </c>
      <c r="M11" s="10">
        <f>'Detailed Revenue&amp;Expenses'!O7</f>
        <v>410.61466216419979</v>
      </c>
      <c r="N11" s="11">
        <f t="shared" si="0"/>
        <v>3036.0914865177301</v>
      </c>
      <c r="O11" s="8"/>
    </row>
    <row r="12" spans="2:15" x14ac:dyDescent="0.35">
      <c r="B12" s="9" t="s">
        <v>106</v>
      </c>
      <c r="C12" s="9"/>
      <c r="D12" s="10">
        <f>'Detailed Revenue&amp;Expenses'!F8</f>
        <v>4</v>
      </c>
      <c r="E12" s="10">
        <f>'Detailed Revenue&amp;Expenses'!G8</f>
        <v>24.75</v>
      </c>
      <c r="F12" s="10">
        <f>'Detailed Revenue&amp;Expenses'!H8</f>
        <v>26.606250000000003</v>
      </c>
      <c r="G12" s="10">
        <f>'Detailed Revenue&amp;Expenses'!I8</f>
        <v>28.60171875</v>
      </c>
      <c r="H12" s="10">
        <f>'Detailed Revenue&amp;Expenses'!J8</f>
        <v>30.746847656249994</v>
      </c>
      <c r="I12" s="10">
        <f>'Detailed Revenue&amp;Expenses'!K8</f>
        <v>33.05286123046875</v>
      </c>
      <c r="J12" s="10">
        <f>'Detailed Revenue&amp;Expenses'!L8</f>
        <v>35.531825822753909</v>
      </c>
      <c r="K12" s="10">
        <f>'Detailed Revenue&amp;Expenses'!M8</f>
        <v>38.196712759460439</v>
      </c>
      <c r="L12" s="10">
        <f>'Detailed Revenue&amp;Expenses'!N8</f>
        <v>41.06146621641998</v>
      </c>
      <c r="M12" s="10">
        <f>'Detailed Revenue&amp;Expenses'!O8</f>
        <v>41.06146621641998</v>
      </c>
      <c r="N12" s="11">
        <f t="shared" si="0"/>
        <v>303.60914865177313</v>
      </c>
      <c r="O12" s="8"/>
    </row>
    <row r="13" spans="2:15" x14ac:dyDescent="0.35">
      <c r="B13" s="9" t="s">
        <v>107</v>
      </c>
      <c r="C13" s="9"/>
      <c r="D13" s="11">
        <f>'Detailed Revenue&amp;Expenses'!F9</f>
        <v>36.271999999999998</v>
      </c>
      <c r="E13" s="11">
        <f>'Detailed Revenue&amp;Expenses'!G9</f>
        <v>217.63199999999998</v>
      </c>
      <c r="F13" s="11">
        <f>'Detailed Revenue&amp;Expenses'!H9</f>
        <v>217.63199999999998</v>
      </c>
      <c r="G13" s="11">
        <f>'Detailed Revenue&amp;Expenses'!I9</f>
        <v>217.63199999999998</v>
      </c>
      <c r="H13" s="11">
        <f>'Detailed Revenue&amp;Expenses'!J9</f>
        <v>217.63199999999998</v>
      </c>
      <c r="I13" s="11">
        <f>'Detailed Revenue&amp;Expenses'!K9</f>
        <v>217.63199999999998</v>
      </c>
      <c r="J13" s="11">
        <f>'Detailed Revenue&amp;Expenses'!L9</f>
        <v>217.63199999999998</v>
      </c>
      <c r="K13" s="11">
        <f>'Detailed Revenue&amp;Expenses'!M9</f>
        <v>181.35999999999996</v>
      </c>
      <c r="L13" s="11">
        <f>'Detailed Revenue&amp;Expenses'!N9</f>
        <v>0</v>
      </c>
      <c r="M13" s="11">
        <f>'Detailed Revenue&amp;Expenses'!O9</f>
        <v>0</v>
      </c>
      <c r="N13" s="11">
        <f t="shared" si="0"/>
        <v>1523.4239999999998</v>
      </c>
      <c r="O13" s="8"/>
    </row>
    <row r="14" spans="2:15" x14ac:dyDescent="0.35">
      <c r="B14" s="83" t="s">
        <v>288</v>
      </c>
      <c r="C14" s="9"/>
      <c r="D14" s="10">
        <f>'Detailed Revenue&amp;Expenses'!F10</f>
        <v>20</v>
      </c>
      <c r="E14" s="10">
        <f>'Detailed Revenue&amp;Expenses'!G10</f>
        <v>122</v>
      </c>
      <c r="F14" s="10">
        <f>'Detailed Revenue&amp;Expenses'!H10</f>
        <v>128.1</v>
      </c>
      <c r="G14" s="10">
        <f>'Detailed Revenue&amp;Expenses'!I10</f>
        <v>134.505</v>
      </c>
      <c r="H14" s="10">
        <f>'Detailed Revenue&amp;Expenses'!J10</f>
        <v>141.23025000000001</v>
      </c>
      <c r="I14" s="10">
        <f>'Detailed Revenue&amp;Expenses'!K10</f>
        <v>148.2917625</v>
      </c>
      <c r="J14" s="10">
        <f>'Detailed Revenue&amp;Expenses'!L10</f>
        <v>155.70635062500003</v>
      </c>
      <c r="K14" s="10">
        <f>'Detailed Revenue&amp;Expenses'!M10</f>
        <v>163.49166815625</v>
      </c>
      <c r="L14" s="10">
        <f>'Detailed Revenue&amp;Expenses'!N10</f>
        <v>171.66625156406255</v>
      </c>
      <c r="M14" s="10">
        <f>'Detailed Revenue&amp;Expenses'!O10</f>
        <v>180.24956414226563</v>
      </c>
      <c r="N14" s="11">
        <f t="shared" si="0"/>
        <v>1365.2408469875784</v>
      </c>
      <c r="O14" s="8"/>
    </row>
    <row r="15" spans="2:15" x14ac:dyDescent="0.35">
      <c r="B15" s="9" t="s">
        <v>291</v>
      </c>
      <c r="C15" s="9"/>
      <c r="D15" s="10">
        <f>'Detailed Revenue&amp;Expenses'!F11</f>
        <v>0.8</v>
      </c>
      <c r="E15" s="10">
        <f>'Detailed Revenue&amp;Expenses'!G11</f>
        <v>4.88</v>
      </c>
      <c r="F15" s="10">
        <f>'Detailed Revenue&amp;Expenses'!H11</f>
        <v>5.1239999999999997</v>
      </c>
      <c r="G15" s="10">
        <f>'Detailed Revenue&amp;Expenses'!I11</f>
        <v>5.3802000000000003</v>
      </c>
      <c r="H15" s="10">
        <f>'Detailed Revenue&amp;Expenses'!J11</f>
        <v>5.649210000000001</v>
      </c>
      <c r="I15" s="10">
        <f>'Detailed Revenue&amp;Expenses'!K11</f>
        <v>5.9316705000000001</v>
      </c>
      <c r="J15" s="10">
        <f>'Detailed Revenue&amp;Expenses'!L11</f>
        <v>6.2282540250000009</v>
      </c>
      <c r="K15" s="10">
        <f>'Detailed Revenue&amp;Expenses'!M11</f>
        <v>6.5396667262500001</v>
      </c>
      <c r="L15" s="10">
        <f>'Detailed Revenue&amp;Expenses'!N11</f>
        <v>6.8666500625625018</v>
      </c>
      <c r="M15" s="10">
        <f>'Detailed Revenue&amp;Expenses'!O11</f>
        <v>7.2099825656906251</v>
      </c>
      <c r="N15" s="11">
        <f t="shared" si="0"/>
        <v>54.609633879503114</v>
      </c>
      <c r="O15" s="8"/>
    </row>
    <row r="16" spans="2:15" ht="15" thickBot="1" x14ac:dyDescent="0.4">
      <c r="B16" s="9" t="s">
        <v>5</v>
      </c>
      <c r="C16" s="9"/>
      <c r="D16" s="86">
        <f>SUM(D9:D15)</f>
        <v>127.07199999999999</v>
      </c>
      <c r="E16" s="86">
        <f t="shared" ref="E16:N16" si="1">SUM(E9:E15)</f>
        <v>775.36199999999997</v>
      </c>
      <c r="F16" s="86">
        <f t="shared" si="1"/>
        <v>810.05475000000001</v>
      </c>
      <c r="G16" s="86">
        <f t="shared" si="1"/>
        <v>846.99260624999988</v>
      </c>
      <c r="H16" s="86">
        <f t="shared" si="1"/>
        <v>886.32610921874993</v>
      </c>
      <c r="I16" s="86">
        <f t="shared" si="1"/>
        <v>928.21619778515628</v>
      </c>
      <c r="J16" s="86">
        <f t="shared" si="1"/>
        <v>972.83494451279296</v>
      </c>
      <c r="K16" s="86">
        <f t="shared" si="1"/>
        <v>984.09434383968971</v>
      </c>
      <c r="L16" s="86">
        <f t="shared" si="1"/>
        <v>853.37515704052612</v>
      </c>
      <c r="M16" s="86">
        <f t="shared" si="1"/>
        <v>873.46010847352136</v>
      </c>
      <c r="N16" s="86">
        <f t="shared" si="1"/>
        <v>8057.7882171204365</v>
      </c>
      <c r="O16" s="8"/>
    </row>
    <row r="17" spans="2:14" ht="15" thickTop="1" x14ac:dyDescent="0.35">
      <c r="B17" s="9"/>
      <c r="C17" s="9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2:14" x14ac:dyDescent="0.35">
      <c r="B18" s="23" t="s">
        <v>117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5">
      <c r="B19" s="9" t="s">
        <v>9</v>
      </c>
      <c r="C19" s="9"/>
      <c r="D19" s="11">
        <f>'Detailed Revenue&amp;Expenses'!F14</f>
        <v>25</v>
      </c>
      <c r="E19" s="11">
        <f>'Detailed Revenue&amp;Expenses'!G14</f>
        <v>152.5</v>
      </c>
      <c r="F19" s="11">
        <f>'Detailed Revenue&amp;Expenses'!H14</f>
        <v>160.125</v>
      </c>
      <c r="G19" s="11">
        <f>'Detailed Revenue&amp;Expenses'!I14</f>
        <v>168.13124999999999</v>
      </c>
      <c r="H19" s="11">
        <f>'Detailed Revenue&amp;Expenses'!J14</f>
        <v>176.5378125</v>
      </c>
      <c r="I19" s="11">
        <f>'Detailed Revenue&amp;Expenses'!K14</f>
        <v>185.36470312500001</v>
      </c>
      <c r="J19" s="11">
        <f>'Detailed Revenue&amp;Expenses'!L14</f>
        <v>194.63293828125001</v>
      </c>
      <c r="K19" s="11">
        <f>'Detailed Revenue&amp;Expenses'!M14</f>
        <v>204.36458519531249</v>
      </c>
      <c r="L19" s="11">
        <f>'Detailed Revenue&amp;Expenses'!N14</f>
        <v>214.58281445507816</v>
      </c>
      <c r="M19" s="11">
        <f>'Detailed Revenue&amp;Expenses'!O14</f>
        <v>225.31195517783206</v>
      </c>
      <c r="N19" s="11">
        <f t="shared" ref="N19:N25" si="2">SUM(D19:M19)</f>
        <v>1706.5510587344727</v>
      </c>
    </row>
    <row r="20" spans="2:14" x14ac:dyDescent="0.35">
      <c r="B20" s="9" t="s">
        <v>12</v>
      </c>
      <c r="C20" s="10">
        <f>'Detailed Revenue&amp;Expenses'!E15</f>
        <v>24</v>
      </c>
      <c r="D20" s="11">
        <f>'Detailed Revenue&amp;Expenses'!F15</f>
        <v>32</v>
      </c>
      <c r="E20" s="11">
        <f>'Detailed Revenue&amp;Expenses'!G15</f>
        <v>198</v>
      </c>
      <c r="F20" s="11">
        <f>'Detailed Revenue&amp;Expenses'!H15</f>
        <v>212.85000000000002</v>
      </c>
      <c r="G20" s="11">
        <f>'Detailed Revenue&amp;Expenses'!I15</f>
        <v>228.81375</v>
      </c>
      <c r="H20" s="11">
        <f>'Detailed Revenue&amp;Expenses'!J15</f>
        <v>245.97478124999995</v>
      </c>
      <c r="I20" s="11">
        <f>'Detailed Revenue&amp;Expenses'!K15</f>
        <v>264.42288984375</v>
      </c>
      <c r="J20" s="11">
        <f>'Detailed Revenue&amp;Expenses'!L15</f>
        <v>284.25460658203127</v>
      </c>
      <c r="K20" s="11">
        <f>'Detailed Revenue&amp;Expenses'!M15</f>
        <v>305.57370207568351</v>
      </c>
      <c r="L20" s="11">
        <f>'Detailed Revenue&amp;Expenses'!N15</f>
        <v>328.49172973135984</v>
      </c>
      <c r="M20" s="11">
        <f>'Detailed Revenue&amp;Expenses'!O15</f>
        <v>328.49172973135984</v>
      </c>
      <c r="N20" s="11">
        <f t="shared" si="2"/>
        <v>2428.873189214185</v>
      </c>
    </row>
    <row r="21" spans="2:14" x14ac:dyDescent="0.35">
      <c r="B21" s="9" t="s">
        <v>15</v>
      </c>
      <c r="C21" s="11">
        <f>'Detailed Revenue&amp;Expenses'!E16</f>
        <v>17.71</v>
      </c>
      <c r="D21" s="11">
        <f>'Detailed Revenue&amp;Expenses'!F16</f>
        <v>12.020000000000003</v>
      </c>
      <c r="E21" s="11">
        <f>'Detailed Revenue&amp;Expenses'!G16</f>
        <v>67.47</v>
      </c>
      <c r="F21" s="11">
        <f>'Detailed Revenue&amp;Expenses'!H16</f>
        <v>55.519999999999996</v>
      </c>
      <c r="G21" s="11">
        <f>'Detailed Revenue&amp;Expenses'!I16</f>
        <v>43.519999999999996</v>
      </c>
      <c r="H21" s="11">
        <f>'Detailed Revenue&amp;Expenses'!J16</f>
        <v>31.53</v>
      </c>
      <c r="I21" s="11">
        <f>'Detailed Revenue&amp;Expenses'!K16</f>
        <v>19.519999999999996</v>
      </c>
      <c r="J21" s="11">
        <f>'Detailed Revenue&amp;Expenses'!L16</f>
        <v>7.52</v>
      </c>
      <c r="K21" s="11">
        <f>'Detailed Revenue&amp;Expenses'!M16</f>
        <v>0.08</v>
      </c>
      <c r="L21" s="11">
        <f>'Detailed Revenue&amp;Expenses'!N16</f>
        <v>0</v>
      </c>
      <c r="M21" s="11">
        <f>'Detailed Revenue&amp;Expenses'!O16</f>
        <v>0</v>
      </c>
      <c r="N21" s="11">
        <f t="shared" si="2"/>
        <v>237.18</v>
      </c>
    </row>
    <row r="22" spans="2:14" x14ac:dyDescent="0.35">
      <c r="B22" s="9" t="s">
        <v>16</v>
      </c>
      <c r="C22" s="9"/>
      <c r="D22" s="10">
        <f>'Detailed Revenue&amp;Expenses'!F18</f>
        <v>27.5</v>
      </c>
      <c r="E22" s="10">
        <f>'Detailed Revenue&amp;Expenses'!G18</f>
        <v>160.875</v>
      </c>
      <c r="F22" s="10">
        <f>'Detailed Revenue&amp;Expenses'!H18</f>
        <v>136.74375000000001</v>
      </c>
      <c r="G22" s="10">
        <f>'Detailed Revenue&amp;Expenses'!I18</f>
        <v>116.23218749999999</v>
      </c>
      <c r="H22" s="10">
        <f>'Detailed Revenue&amp;Expenses'!J18</f>
        <v>98.797359374999999</v>
      </c>
      <c r="I22" s="10">
        <f>'Detailed Revenue&amp;Expenses'!K18</f>
        <v>83.97775546874999</v>
      </c>
      <c r="J22" s="10">
        <f>'Detailed Revenue&amp;Expenses'!L18</f>
        <v>71.381092148437489</v>
      </c>
      <c r="K22" s="10">
        <f>'Detailed Revenue&amp;Expenses'!M18</f>
        <v>60.673928326171868</v>
      </c>
      <c r="L22" s="10">
        <f>'Detailed Revenue&amp;Expenses'!N18</f>
        <v>51.572839077246094</v>
      </c>
      <c r="M22" s="10">
        <f>'Detailed Revenue&amp;Expenses'!O18</f>
        <v>43.836913215659173</v>
      </c>
      <c r="N22" s="11">
        <f t="shared" si="2"/>
        <v>851.59082511126451</v>
      </c>
    </row>
    <row r="23" spans="2:14" x14ac:dyDescent="0.35">
      <c r="B23" s="9" t="s">
        <v>221</v>
      </c>
      <c r="C23" s="9"/>
      <c r="D23" s="10">
        <f>'Detailed Revenue&amp;Expenses'!F19</f>
        <v>4</v>
      </c>
      <c r="E23" s="10">
        <f>'Detailed Revenue&amp;Expenses'!G19</f>
        <v>24</v>
      </c>
      <c r="F23" s="10">
        <f>'Detailed Revenue&amp;Expenses'!H19</f>
        <v>24</v>
      </c>
      <c r="G23" s="10">
        <f>'Detailed Revenue&amp;Expenses'!I19</f>
        <v>24</v>
      </c>
      <c r="H23" s="10">
        <f>'Detailed Revenue&amp;Expenses'!J19</f>
        <v>24</v>
      </c>
      <c r="I23" s="10">
        <f>'Detailed Revenue&amp;Expenses'!K19</f>
        <v>24</v>
      </c>
      <c r="J23" s="10">
        <f>'Detailed Revenue&amp;Expenses'!L19</f>
        <v>24</v>
      </c>
      <c r="K23" s="10">
        <f>'Detailed Revenue&amp;Expenses'!M19</f>
        <v>24</v>
      </c>
      <c r="L23" s="10">
        <f>'Detailed Revenue&amp;Expenses'!N19</f>
        <v>24</v>
      </c>
      <c r="M23" s="10">
        <f>'Detailed Revenue&amp;Expenses'!O19</f>
        <v>24</v>
      </c>
      <c r="N23" s="11">
        <f t="shared" si="2"/>
        <v>220</v>
      </c>
    </row>
    <row r="24" spans="2:14" x14ac:dyDescent="0.35">
      <c r="B24" s="9" t="s">
        <v>222</v>
      </c>
      <c r="C24" s="9"/>
      <c r="D24" s="10">
        <f>'Detailed Revenue&amp;Expenses'!F20</f>
        <v>3.8121599999999995</v>
      </c>
      <c r="E24" s="10">
        <f>'Detailed Revenue&amp;Expenses'!G20</f>
        <v>23.260859999999997</v>
      </c>
      <c r="F24" s="10">
        <f>'Detailed Revenue&amp;Expenses'!H20</f>
        <v>24.3016425</v>
      </c>
      <c r="G24" s="10">
        <f>'Detailed Revenue&amp;Expenses'!I20</f>
        <v>25.409778187499995</v>
      </c>
      <c r="H24" s="10">
        <f>'Detailed Revenue&amp;Expenses'!J20</f>
        <v>26.589783276562496</v>
      </c>
      <c r="I24" s="10">
        <f>'Detailed Revenue&amp;Expenses'!K20</f>
        <v>27.846485933554689</v>
      </c>
      <c r="J24" s="10">
        <f>'Detailed Revenue&amp;Expenses'!L20</f>
        <v>29.185048335383787</v>
      </c>
      <c r="K24" s="10">
        <f>'Detailed Revenue&amp;Expenses'!M20</f>
        <v>29.522830315190689</v>
      </c>
      <c r="L24" s="10">
        <f>'Detailed Revenue&amp;Expenses'!N20</f>
        <v>25.601254711215784</v>
      </c>
      <c r="M24" s="10">
        <f>'Detailed Revenue&amp;Expenses'!O20</f>
        <v>26.203803254205638</v>
      </c>
      <c r="N24" s="11">
        <f t="shared" si="2"/>
        <v>241.73364651361308</v>
      </c>
    </row>
    <row r="25" spans="2:14" x14ac:dyDescent="0.35">
      <c r="B25" s="83" t="s">
        <v>288</v>
      </c>
      <c r="C25" s="11"/>
      <c r="D25" s="11">
        <f>'Detailed Revenue&amp;Expenses'!F17</f>
        <v>20</v>
      </c>
      <c r="E25" s="11">
        <f>'Detailed Revenue&amp;Expenses'!G17</f>
        <v>122</v>
      </c>
      <c r="F25" s="11">
        <f>'Detailed Revenue&amp;Expenses'!H17</f>
        <v>128.1</v>
      </c>
      <c r="G25" s="11">
        <f>'Detailed Revenue&amp;Expenses'!I17</f>
        <v>134.505</v>
      </c>
      <c r="H25" s="11">
        <f>'Detailed Revenue&amp;Expenses'!J17</f>
        <v>141.23025000000001</v>
      </c>
      <c r="I25" s="11">
        <f>'Detailed Revenue&amp;Expenses'!K17</f>
        <v>148.2917625</v>
      </c>
      <c r="J25" s="11">
        <f>'Detailed Revenue&amp;Expenses'!L17</f>
        <v>155.70635062500003</v>
      </c>
      <c r="K25" s="11">
        <f>'Detailed Revenue&amp;Expenses'!M17</f>
        <v>163.49166815625</v>
      </c>
      <c r="L25" s="11">
        <f>'Detailed Revenue&amp;Expenses'!N17</f>
        <v>171.66625156406255</v>
      </c>
      <c r="M25" s="11">
        <f>'Detailed Revenue&amp;Expenses'!O17</f>
        <v>180.24956414226563</v>
      </c>
      <c r="N25" s="11">
        <f t="shared" si="2"/>
        <v>1365.2408469875784</v>
      </c>
    </row>
    <row r="26" spans="2:14" ht="15" thickBot="1" x14ac:dyDescent="0.4">
      <c r="B26" s="9" t="s">
        <v>5</v>
      </c>
      <c r="C26" s="9">
        <f>SUM(C19:C22)</f>
        <v>41.71</v>
      </c>
      <c r="D26" s="87">
        <f>SUM(D19:D25)</f>
        <v>124.33216000000002</v>
      </c>
      <c r="E26" s="87">
        <f t="shared" ref="E26:N26" si="3">SUM(E19:E25)</f>
        <v>748.10586000000001</v>
      </c>
      <c r="F26" s="87">
        <f t="shared" si="3"/>
        <v>741.64039249999996</v>
      </c>
      <c r="G26" s="87">
        <f t="shared" si="3"/>
        <v>740.61196568749995</v>
      </c>
      <c r="H26" s="87">
        <f t="shared" si="3"/>
        <v>744.65998640156249</v>
      </c>
      <c r="I26" s="87">
        <f t="shared" si="3"/>
        <v>753.42359687105477</v>
      </c>
      <c r="J26" s="87">
        <f t="shared" si="3"/>
        <v>766.68003597210259</v>
      </c>
      <c r="K26" s="87">
        <f t="shared" si="3"/>
        <v>787.70671406860856</v>
      </c>
      <c r="L26" s="87">
        <f t="shared" si="3"/>
        <v>815.91488953896248</v>
      </c>
      <c r="M26" s="87">
        <f t="shared" si="3"/>
        <v>828.09396552132239</v>
      </c>
      <c r="N26" s="87">
        <f t="shared" si="3"/>
        <v>7051.1695665611132</v>
      </c>
    </row>
    <row r="27" spans="2:14" ht="15" thickTop="1" x14ac:dyDescent="0.35">
      <c r="B27" s="9"/>
      <c r="C27" s="9"/>
      <c r="D27" s="19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2:14" ht="15" thickBot="1" x14ac:dyDescent="0.4">
      <c r="B28" s="9" t="s">
        <v>118</v>
      </c>
      <c r="C28" s="9"/>
      <c r="D28" s="87">
        <f t="shared" ref="D28:N28" si="4">D16-D26</f>
        <v>2.7398399999999725</v>
      </c>
      <c r="E28" s="87">
        <f t="shared" si="4"/>
        <v>27.256139999999959</v>
      </c>
      <c r="F28" s="87">
        <f t="shared" si="4"/>
        <v>68.414357500000051</v>
      </c>
      <c r="G28" s="87">
        <f t="shared" si="4"/>
        <v>106.38064056249993</v>
      </c>
      <c r="H28" s="87">
        <f t="shared" si="4"/>
        <v>141.66612281718744</v>
      </c>
      <c r="I28" s="87">
        <f t="shared" si="4"/>
        <v>174.79260091410151</v>
      </c>
      <c r="J28" s="87">
        <f t="shared" si="4"/>
        <v>206.15490854069037</v>
      </c>
      <c r="K28" s="87">
        <f t="shared" si="4"/>
        <v>196.38762977108115</v>
      </c>
      <c r="L28" s="87">
        <f t="shared" si="4"/>
        <v>37.460267501563635</v>
      </c>
      <c r="M28" s="87">
        <f t="shared" si="4"/>
        <v>45.36614295219897</v>
      </c>
      <c r="N28" s="86">
        <f t="shared" si="4"/>
        <v>1006.6186505593232</v>
      </c>
    </row>
    <row r="29" spans="2:14" ht="15" thickTop="1" x14ac:dyDescent="0.35">
      <c r="B29" s="9" t="s">
        <v>113</v>
      </c>
      <c r="C29" s="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35">
      <c r="B30" s="9" t="s">
        <v>3</v>
      </c>
      <c r="C30" s="11">
        <f>C20</f>
        <v>24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5">
      <c r="B31" s="9" t="s">
        <v>114</v>
      </c>
      <c r="C31" s="11">
        <f>C21</f>
        <v>17.71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5">
      <c r="B32" s="9" t="s">
        <v>115</v>
      </c>
      <c r="C32" s="11">
        <f>SUM(C30:C31)</f>
        <v>41.71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5">
      <c r="B33" s="9" t="s">
        <v>116</v>
      </c>
      <c r="C33" s="11">
        <f>C26-C32</f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9"/>
    </row>
    <row r="35" spans="2:14" x14ac:dyDescent="0.35">
      <c r="B35" s="1" t="s">
        <v>92</v>
      </c>
      <c r="N35" t="s">
        <v>156</v>
      </c>
    </row>
    <row r="36" spans="2:14" x14ac:dyDescent="0.35">
      <c r="B36" s="73" t="s">
        <v>253</v>
      </c>
      <c r="C36" s="168" t="s">
        <v>93</v>
      </c>
      <c r="D36" s="168"/>
      <c r="E36" s="73" t="s">
        <v>94</v>
      </c>
      <c r="F36" s="73" t="s">
        <v>95</v>
      </c>
      <c r="G36" s="73" t="s">
        <v>96</v>
      </c>
      <c r="H36" s="73" t="s">
        <v>97</v>
      </c>
      <c r="I36" s="73" t="s">
        <v>98</v>
      </c>
      <c r="J36" s="73" t="s">
        <v>99</v>
      </c>
      <c r="K36" s="73" t="s">
        <v>100</v>
      </c>
      <c r="L36" s="73" t="s">
        <v>303</v>
      </c>
      <c r="M36" s="73" t="s">
        <v>304</v>
      </c>
      <c r="N36" s="73" t="s">
        <v>104</v>
      </c>
    </row>
    <row r="37" spans="2:14" ht="43.5" x14ac:dyDescent="0.35">
      <c r="B37" s="73" t="s">
        <v>33</v>
      </c>
      <c r="C37" s="111" t="s">
        <v>46</v>
      </c>
      <c r="D37" s="111" t="s">
        <v>102</v>
      </c>
      <c r="E37" s="111" t="s">
        <v>102</v>
      </c>
      <c r="F37" s="111" t="s">
        <v>102</v>
      </c>
      <c r="G37" s="111" t="s">
        <v>102</v>
      </c>
      <c r="H37" s="111" t="s">
        <v>102</v>
      </c>
      <c r="I37" s="111" t="s">
        <v>102</v>
      </c>
      <c r="J37" s="111" t="s">
        <v>102</v>
      </c>
      <c r="K37" s="111" t="s">
        <v>102</v>
      </c>
      <c r="L37" s="111" t="s">
        <v>102</v>
      </c>
      <c r="M37" s="111" t="s">
        <v>102</v>
      </c>
      <c r="N37" s="73"/>
    </row>
    <row r="38" spans="2:14" x14ac:dyDescent="0.35">
      <c r="B38" s="73" t="s">
        <v>103</v>
      </c>
      <c r="C38" s="73">
        <v>3</v>
      </c>
      <c r="D38" s="73">
        <v>1</v>
      </c>
      <c r="E38" s="73">
        <v>12</v>
      </c>
      <c r="F38" s="73">
        <v>12</v>
      </c>
      <c r="G38" s="73">
        <v>12</v>
      </c>
      <c r="H38" s="73">
        <v>12</v>
      </c>
      <c r="I38" s="73">
        <v>12</v>
      </c>
      <c r="J38" s="73">
        <v>12</v>
      </c>
      <c r="K38" s="73">
        <v>12</v>
      </c>
      <c r="L38" s="73">
        <v>12</v>
      </c>
      <c r="M38" s="73">
        <v>12</v>
      </c>
      <c r="N38" s="73">
        <f>SUM(D38:K38)</f>
        <v>85</v>
      </c>
    </row>
    <row r="40" spans="2:14" x14ac:dyDescent="0.35">
      <c r="B40" s="23" t="s">
        <v>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5">
      <c r="B41" s="9" t="s">
        <v>9</v>
      </c>
      <c r="C41" s="10">
        <v>0</v>
      </c>
      <c r="D41" s="10">
        <f>'Detailed Revenue&amp;Expenses'!F31</f>
        <v>12.5</v>
      </c>
      <c r="E41" s="10">
        <f>'Detailed Revenue&amp;Expenses'!G31</f>
        <v>152.5</v>
      </c>
      <c r="F41" s="10">
        <f>'Detailed Revenue&amp;Expenses'!H31</f>
        <v>160.125</v>
      </c>
      <c r="G41" s="10">
        <f>'Detailed Revenue&amp;Expenses'!I31</f>
        <v>168.13124999999999</v>
      </c>
      <c r="H41" s="10">
        <f>'Detailed Revenue&amp;Expenses'!J31</f>
        <v>176.5378125</v>
      </c>
      <c r="I41" s="10">
        <f>'Detailed Revenue&amp;Expenses'!K31</f>
        <v>185.36470312500001</v>
      </c>
      <c r="J41" s="10">
        <f>'Detailed Revenue&amp;Expenses'!L31</f>
        <v>194.63293828125001</v>
      </c>
      <c r="K41" s="10">
        <f>'Detailed Revenue&amp;Expenses'!M31</f>
        <v>204.36458519531249</v>
      </c>
      <c r="L41" s="10">
        <f>'Detailed Revenue&amp;Expenses'!N31</f>
        <v>214.58281445507816</v>
      </c>
      <c r="M41" s="10">
        <f>'Detailed Revenue&amp;Expenses'!O31</f>
        <v>225.31195517783206</v>
      </c>
      <c r="N41" s="11">
        <f t="shared" ref="N41:N47" si="5">SUM(D41:M41)</f>
        <v>1694.0510587344727</v>
      </c>
    </row>
    <row r="42" spans="2:14" x14ac:dyDescent="0.35">
      <c r="B42" s="9" t="s">
        <v>11</v>
      </c>
      <c r="C42" s="10">
        <v>0</v>
      </c>
      <c r="D42" s="10">
        <f>'Detailed Revenue&amp;Expenses'!F32</f>
        <v>0.5</v>
      </c>
      <c r="E42" s="10">
        <f>'Detailed Revenue&amp;Expenses'!G32</f>
        <v>6.1000000000000005</v>
      </c>
      <c r="F42" s="10">
        <f>'Detailed Revenue&amp;Expenses'!H32</f>
        <v>6.4050000000000002</v>
      </c>
      <c r="G42" s="10">
        <f>'Detailed Revenue&amp;Expenses'!I32</f>
        <v>6.72525</v>
      </c>
      <c r="H42" s="10">
        <f>'Detailed Revenue&amp;Expenses'!J32</f>
        <v>7.0615125000000001</v>
      </c>
      <c r="I42" s="10">
        <f>'Detailed Revenue&amp;Expenses'!K32</f>
        <v>7.4145881250000008</v>
      </c>
      <c r="J42" s="10">
        <f>'Detailed Revenue&amp;Expenses'!L32</f>
        <v>7.7853175312500005</v>
      </c>
      <c r="K42" s="10">
        <f>'Detailed Revenue&amp;Expenses'!M32</f>
        <v>8.1745834078125004</v>
      </c>
      <c r="L42" s="10">
        <f>'Detailed Revenue&amp;Expenses'!N32</f>
        <v>8.5833125782031274</v>
      </c>
      <c r="M42" s="10">
        <f>'Detailed Revenue&amp;Expenses'!O32</f>
        <v>9.0124782071132827</v>
      </c>
      <c r="N42" s="11">
        <f t="shared" si="5"/>
        <v>67.762042349378902</v>
      </c>
    </row>
    <row r="43" spans="2:14" x14ac:dyDescent="0.35">
      <c r="B43" s="9" t="s">
        <v>12</v>
      </c>
      <c r="C43" s="10">
        <v>0</v>
      </c>
      <c r="D43" s="10">
        <f>'Detailed Revenue&amp;Expenses'!F33</f>
        <v>20</v>
      </c>
      <c r="E43" s="10">
        <f>'Detailed Revenue&amp;Expenses'!G33</f>
        <v>246</v>
      </c>
      <c r="F43" s="10">
        <f>'Detailed Revenue&amp;Expenses'!H33</f>
        <v>264.45</v>
      </c>
      <c r="G43" s="10">
        <f>'Detailed Revenue&amp;Expenses'!I33</f>
        <v>284.28375</v>
      </c>
      <c r="H43" s="10">
        <f>'Detailed Revenue&amp;Expenses'!J33</f>
        <v>305.60503124999997</v>
      </c>
      <c r="I43" s="10">
        <f>'Detailed Revenue&amp;Expenses'!K33</f>
        <v>328.52540859375</v>
      </c>
      <c r="J43" s="10">
        <f>'Detailed Revenue&amp;Expenses'!L33</f>
        <v>353.16481423828122</v>
      </c>
      <c r="K43" s="10">
        <f>'Detailed Revenue&amp;Expenses'!M33</f>
        <v>379.65217530615223</v>
      </c>
      <c r="L43" s="10">
        <f>'Detailed Revenue&amp;Expenses'!N33</f>
        <v>408.12608845411376</v>
      </c>
      <c r="M43" s="10">
        <f>'Detailed Revenue&amp;Expenses'!O33</f>
        <v>438.73554508817227</v>
      </c>
      <c r="N43" s="11">
        <f t="shared" si="5"/>
        <v>3028.5428129304696</v>
      </c>
    </row>
    <row r="44" spans="2:14" x14ac:dyDescent="0.35">
      <c r="B44" s="9" t="s">
        <v>106</v>
      </c>
      <c r="C44" s="10">
        <v>0</v>
      </c>
      <c r="D44" s="10">
        <f>'Detailed Revenue&amp;Expenses'!F34</f>
        <v>2</v>
      </c>
      <c r="E44" s="10">
        <f>'Detailed Revenue&amp;Expenses'!G34</f>
        <v>24.6</v>
      </c>
      <c r="F44" s="10">
        <f>'Detailed Revenue&amp;Expenses'!H34</f>
        <v>26.445</v>
      </c>
      <c r="G44" s="10">
        <f>'Detailed Revenue&amp;Expenses'!I34</f>
        <v>28.428375000000003</v>
      </c>
      <c r="H44" s="10">
        <f>'Detailed Revenue&amp;Expenses'!J34</f>
        <v>30.560503124999997</v>
      </c>
      <c r="I44" s="10">
        <f>'Detailed Revenue&amp;Expenses'!K34</f>
        <v>32.852540859375004</v>
      </c>
      <c r="J44" s="10">
        <f>'Detailed Revenue&amp;Expenses'!L34</f>
        <v>35.316481423828122</v>
      </c>
      <c r="K44" s="10">
        <f>'Detailed Revenue&amp;Expenses'!M34</f>
        <v>37.965217530615227</v>
      </c>
      <c r="L44" s="10">
        <f>'Detailed Revenue&amp;Expenses'!N34</f>
        <v>40.812608845411376</v>
      </c>
      <c r="M44" s="10">
        <f>'Detailed Revenue&amp;Expenses'!O34</f>
        <v>43.873554508817229</v>
      </c>
      <c r="N44" s="11">
        <f t="shared" si="5"/>
        <v>302.85428129304699</v>
      </c>
    </row>
    <row r="45" spans="2:14" x14ac:dyDescent="0.35">
      <c r="B45" s="9" t="s">
        <v>107</v>
      </c>
      <c r="C45" s="10">
        <v>0</v>
      </c>
      <c r="D45" s="10">
        <f>'Detailed Revenue&amp;Expenses'!F35</f>
        <v>27.378</v>
      </c>
      <c r="E45" s="10">
        <f>'Detailed Revenue&amp;Expenses'!G35</f>
        <v>328.53599999999989</v>
      </c>
      <c r="F45" s="10">
        <f>'Detailed Revenue&amp;Expenses'!H35</f>
        <v>328.53599999999989</v>
      </c>
      <c r="G45" s="10">
        <f>'Detailed Revenue&amp;Expenses'!I35</f>
        <v>328.53599999999989</v>
      </c>
      <c r="H45" s="10">
        <f>'Detailed Revenue&amp;Expenses'!J35</f>
        <v>328.53599999999989</v>
      </c>
      <c r="I45" s="10">
        <f>'Detailed Revenue&amp;Expenses'!K35</f>
        <v>328.53599999999989</v>
      </c>
      <c r="J45" s="10">
        <f>'Detailed Revenue&amp;Expenses'!L35</f>
        <v>328.53599999999989</v>
      </c>
      <c r="K45" s="10">
        <f>'Detailed Revenue&amp;Expenses'!M35</f>
        <v>301.1579999999999</v>
      </c>
      <c r="L45" s="10">
        <f>'Detailed Revenue&amp;Expenses'!N35</f>
        <v>0</v>
      </c>
      <c r="M45" s="10">
        <f>'Detailed Revenue&amp;Expenses'!O35</f>
        <v>0</v>
      </c>
      <c r="N45" s="11">
        <f t="shared" si="5"/>
        <v>2299.751999999999</v>
      </c>
    </row>
    <row r="46" spans="2:14" x14ac:dyDescent="0.35">
      <c r="B46" s="83" t="s">
        <v>288</v>
      </c>
      <c r="C46" s="10"/>
      <c r="D46" s="10">
        <f>'Detailed Revenue&amp;Expenses'!F36</f>
        <v>10</v>
      </c>
      <c r="E46" s="10">
        <f>'Detailed Revenue&amp;Expenses'!G36</f>
        <v>122</v>
      </c>
      <c r="F46" s="10">
        <f>'Detailed Revenue&amp;Expenses'!H36</f>
        <v>128.1</v>
      </c>
      <c r="G46" s="10">
        <f>'Detailed Revenue&amp;Expenses'!I36</f>
        <v>134.505</v>
      </c>
      <c r="H46" s="10">
        <f>'Detailed Revenue&amp;Expenses'!J36</f>
        <v>141.23025000000001</v>
      </c>
      <c r="I46" s="10">
        <f>'Detailed Revenue&amp;Expenses'!K36</f>
        <v>148.2917625</v>
      </c>
      <c r="J46" s="10">
        <f>'Detailed Revenue&amp;Expenses'!L36</f>
        <v>155.70635062500003</v>
      </c>
      <c r="K46" s="10">
        <f>'Detailed Revenue&amp;Expenses'!M36</f>
        <v>163.49166815625</v>
      </c>
      <c r="L46" s="10">
        <f>'Detailed Revenue&amp;Expenses'!N36</f>
        <v>171.66625156406255</v>
      </c>
      <c r="M46" s="10">
        <f>'Detailed Revenue&amp;Expenses'!O36</f>
        <v>180.24956414226563</v>
      </c>
      <c r="N46" s="11">
        <f t="shared" si="5"/>
        <v>1355.2408469875784</v>
      </c>
    </row>
    <row r="47" spans="2:14" x14ac:dyDescent="0.35">
      <c r="B47" s="9" t="s">
        <v>291</v>
      </c>
      <c r="C47" s="10"/>
      <c r="D47" s="10">
        <f>'Detailed Revenue&amp;Expenses'!F37</f>
        <v>0.4</v>
      </c>
      <c r="E47" s="10">
        <f>'Detailed Revenue&amp;Expenses'!G37</f>
        <v>4.88</v>
      </c>
      <c r="F47" s="10">
        <f>'Detailed Revenue&amp;Expenses'!H37</f>
        <v>5.1239999999999997</v>
      </c>
      <c r="G47" s="10">
        <f>'Detailed Revenue&amp;Expenses'!I37</f>
        <v>5.3802000000000003</v>
      </c>
      <c r="H47" s="10">
        <f>'Detailed Revenue&amp;Expenses'!J37</f>
        <v>5.649210000000001</v>
      </c>
      <c r="I47" s="10">
        <f>'Detailed Revenue&amp;Expenses'!K37</f>
        <v>5.9316705000000001</v>
      </c>
      <c r="J47" s="10">
        <f>'Detailed Revenue&amp;Expenses'!L37</f>
        <v>6.2282540250000009</v>
      </c>
      <c r="K47" s="10">
        <f>'Detailed Revenue&amp;Expenses'!M37</f>
        <v>6.5396667262500001</v>
      </c>
      <c r="L47" s="10">
        <f>'Detailed Revenue&amp;Expenses'!N37</f>
        <v>6.8666500625625018</v>
      </c>
      <c r="M47" s="10">
        <f>'Detailed Revenue&amp;Expenses'!O37</f>
        <v>7.2099825656906251</v>
      </c>
      <c r="N47" s="11">
        <f t="shared" si="5"/>
        <v>54.209633879503123</v>
      </c>
    </row>
    <row r="48" spans="2:14" ht="15" thickBot="1" x14ac:dyDescent="0.4">
      <c r="B48" s="9" t="s">
        <v>5</v>
      </c>
      <c r="C48" s="52">
        <f t="shared" ref="C48" si="6">SUM(C41:C45)</f>
        <v>0</v>
      </c>
      <c r="D48" s="86">
        <f>SUM(D41:D47)</f>
        <v>72.778000000000006</v>
      </c>
      <c r="E48" s="86">
        <f t="shared" ref="E48:N48" si="7">SUM(E41:E47)</f>
        <v>884.61599999999987</v>
      </c>
      <c r="F48" s="86">
        <f t="shared" si="7"/>
        <v>919.18499999999995</v>
      </c>
      <c r="G48" s="86">
        <f t="shared" si="7"/>
        <v>955.98982499999988</v>
      </c>
      <c r="H48" s="86">
        <f t="shared" si="7"/>
        <v>995.18031937499995</v>
      </c>
      <c r="I48" s="86">
        <f t="shared" si="7"/>
        <v>1036.9166737031251</v>
      </c>
      <c r="J48" s="86">
        <f t="shared" si="7"/>
        <v>1081.3701561246091</v>
      </c>
      <c r="K48" s="86">
        <f t="shared" si="7"/>
        <v>1101.3458963223923</v>
      </c>
      <c r="L48" s="86">
        <f t="shared" si="7"/>
        <v>850.63772595943146</v>
      </c>
      <c r="M48" s="86">
        <f t="shared" si="7"/>
        <v>904.39307968989112</v>
      </c>
      <c r="N48" s="52">
        <f t="shared" si="7"/>
        <v>8802.4126761744501</v>
      </c>
    </row>
    <row r="49" spans="2:15" ht="15" thickTop="1" x14ac:dyDescent="0.35">
      <c r="B49" s="9"/>
      <c r="C49" s="9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10"/>
    </row>
    <row r="50" spans="2:15" x14ac:dyDescent="0.35">
      <c r="B50" s="23" t="s">
        <v>117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5" x14ac:dyDescent="0.35">
      <c r="B51" s="9" t="s">
        <v>9</v>
      </c>
      <c r="C51" s="10"/>
      <c r="D51" s="11">
        <f>'Detailed Revenue&amp;Expenses'!F40</f>
        <v>12.5</v>
      </c>
      <c r="E51" s="11">
        <f>'Detailed Revenue&amp;Expenses'!G40</f>
        <v>152.5</v>
      </c>
      <c r="F51" s="11">
        <f>'Detailed Revenue&amp;Expenses'!H40</f>
        <v>160.125</v>
      </c>
      <c r="G51" s="11">
        <f>'Detailed Revenue&amp;Expenses'!I40</f>
        <v>168.13124999999999</v>
      </c>
      <c r="H51" s="11">
        <f>'Detailed Revenue&amp;Expenses'!J40</f>
        <v>176.5378125</v>
      </c>
      <c r="I51" s="11">
        <f>'Detailed Revenue&amp;Expenses'!K40</f>
        <v>185.36470312500001</v>
      </c>
      <c r="J51" s="11">
        <f>'Detailed Revenue&amp;Expenses'!L40</f>
        <v>194.63293828125001</v>
      </c>
      <c r="K51" s="11">
        <f>'Detailed Revenue&amp;Expenses'!M40</f>
        <v>204.36458519531249</v>
      </c>
      <c r="L51" s="11">
        <f>'Detailed Revenue&amp;Expenses'!N40</f>
        <v>214.58281445507816</v>
      </c>
      <c r="M51" s="11">
        <f>'Detailed Revenue&amp;Expenses'!O40</f>
        <v>225.31195517783206</v>
      </c>
      <c r="N51" s="11">
        <f t="shared" ref="N51:N57" si="8">SUM(D51:M51)</f>
        <v>1694.0510587344727</v>
      </c>
    </row>
    <row r="52" spans="2:15" x14ac:dyDescent="0.35">
      <c r="B52" s="9" t="s">
        <v>12</v>
      </c>
      <c r="C52" s="10">
        <f>'Detailed Revenue&amp;Expenses'!E15</f>
        <v>24</v>
      </c>
      <c r="D52" s="11">
        <f>'Detailed Revenue&amp;Expenses'!F41</f>
        <v>16</v>
      </c>
      <c r="E52" s="11">
        <f>'Detailed Revenue&amp;Expenses'!G41</f>
        <v>196.8</v>
      </c>
      <c r="F52" s="11">
        <f>'Detailed Revenue&amp;Expenses'!H41</f>
        <v>211.56</v>
      </c>
      <c r="G52" s="11">
        <f>'Detailed Revenue&amp;Expenses'!I41</f>
        <v>227.42700000000002</v>
      </c>
      <c r="H52" s="11">
        <f>'Detailed Revenue&amp;Expenses'!J41</f>
        <v>244.48402499999997</v>
      </c>
      <c r="I52" s="11">
        <f>'Detailed Revenue&amp;Expenses'!K41</f>
        <v>262.82032687500003</v>
      </c>
      <c r="J52" s="11">
        <f>'Detailed Revenue&amp;Expenses'!L41</f>
        <v>282.53185139062498</v>
      </c>
      <c r="K52" s="11">
        <f>'Detailed Revenue&amp;Expenses'!M41</f>
        <v>303.72174024492182</v>
      </c>
      <c r="L52" s="11">
        <f>'Detailed Revenue&amp;Expenses'!N41</f>
        <v>326.500870763291</v>
      </c>
      <c r="M52" s="11">
        <f>'Detailed Revenue&amp;Expenses'!O41</f>
        <v>350.98843607053783</v>
      </c>
      <c r="N52" s="11">
        <f t="shared" si="8"/>
        <v>2422.834250344376</v>
      </c>
    </row>
    <row r="53" spans="2:15" x14ac:dyDescent="0.35">
      <c r="B53" s="9" t="s">
        <v>15</v>
      </c>
      <c r="C53" s="10">
        <f>'Detailed Revenue&amp;Expenses'!E16</f>
        <v>17.71</v>
      </c>
      <c r="D53" s="11">
        <f>'Detailed Revenue&amp;Expenses'!F42</f>
        <v>7.620000000000001</v>
      </c>
      <c r="E53" s="10">
        <f>'Detailed Revenue&amp;Expenses'!G42</f>
        <v>85.34</v>
      </c>
      <c r="F53" s="10">
        <f>'Detailed Revenue&amp;Expenses'!H42</f>
        <v>70.650000000000006</v>
      </c>
      <c r="G53" s="10">
        <f>'Detailed Revenue&amp;Expenses'!I42</f>
        <v>55.640000000000015</v>
      </c>
      <c r="H53" s="10">
        <f>'Detailed Revenue&amp;Expenses'!J42</f>
        <v>40.64</v>
      </c>
      <c r="I53" s="10">
        <f>'Detailed Revenue&amp;Expenses'!K42</f>
        <v>25.630000000000003</v>
      </c>
      <c r="J53" s="10">
        <f>'Detailed Revenue&amp;Expenses'!L42</f>
        <v>10.64</v>
      </c>
      <c r="K53" s="10">
        <f>'Detailed Revenue&amp;Expenses'!M42</f>
        <v>0.32</v>
      </c>
      <c r="L53" s="10">
        <f>'Detailed Revenue&amp;Expenses'!N42</f>
        <v>0</v>
      </c>
      <c r="M53" s="10">
        <f>'Detailed Revenue&amp;Expenses'!O42</f>
        <v>0</v>
      </c>
      <c r="N53" s="11">
        <f t="shared" si="8"/>
        <v>296.48</v>
      </c>
      <c r="O53" s="8"/>
    </row>
    <row r="54" spans="2:15" x14ac:dyDescent="0.35">
      <c r="B54" s="9" t="s">
        <v>16</v>
      </c>
      <c r="C54" s="10">
        <v>0</v>
      </c>
      <c r="D54" s="11">
        <f>'Detailed Revenue&amp;Expenses'!F43</f>
        <v>16.25</v>
      </c>
      <c r="E54" s="11">
        <f>'Detailed Revenue&amp;Expenses'!G43</f>
        <v>192.5625</v>
      </c>
      <c r="F54" s="11">
        <f>'Detailed Revenue&amp;Expenses'!H43</f>
        <v>163.67812499999999</v>
      </c>
      <c r="G54" s="11">
        <f>'Detailed Revenue&amp;Expenses'!I43</f>
        <v>139.12640625</v>
      </c>
      <c r="H54" s="11">
        <f>'Detailed Revenue&amp;Expenses'!J43</f>
        <v>118.25744531249998</v>
      </c>
      <c r="I54" s="11">
        <f>'Detailed Revenue&amp;Expenses'!K43</f>
        <v>100.51882851562499</v>
      </c>
      <c r="J54" s="11">
        <f>'Detailed Revenue&amp;Expenses'!L43</f>
        <v>85.441004238281252</v>
      </c>
      <c r="K54" s="11">
        <f>'Detailed Revenue&amp;Expenses'!M43</f>
        <v>72.624853602539062</v>
      </c>
      <c r="L54" s="11">
        <f>'Detailed Revenue&amp;Expenses'!N43</f>
        <v>61.731125562158198</v>
      </c>
      <c r="M54" s="11">
        <f>'Detailed Revenue&amp;Expenses'!O43</f>
        <v>52.471456727834472</v>
      </c>
      <c r="N54" s="11">
        <f t="shared" si="8"/>
        <v>1002.661745208938</v>
      </c>
    </row>
    <row r="55" spans="2:15" x14ac:dyDescent="0.35">
      <c r="B55" s="9" t="s">
        <v>220</v>
      </c>
      <c r="C55" s="10"/>
      <c r="D55" s="11">
        <f>'Detailed Revenue&amp;Expenses'!F44</f>
        <v>4</v>
      </c>
      <c r="E55" s="11">
        <f>'Detailed Revenue&amp;Expenses'!G44</f>
        <v>24</v>
      </c>
      <c r="F55" s="11">
        <f>'Detailed Revenue&amp;Expenses'!H44</f>
        <v>24</v>
      </c>
      <c r="G55" s="11">
        <f>'Detailed Revenue&amp;Expenses'!I44</f>
        <v>24</v>
      </c>
      <c r="H55" s="11">
        <f>'Detailed Revenue&amp;Expenses'!J44</f>
        <v>24</v>
      </c>
      <c r="I55" s="11">
        <f>'Detailed Revenue&amp;Expenses'!K44</f>
        <v>24</v>
      </c>
      <c r="J55" s="11">
        <f>'Detailed Revenue&amp;Expenses'!L44</f>
        <v>24</v>
      </c>
      <c r="K55" s="11">
        <f>'Detailed Revenue&amp;Expenses'!M44</f>
        <v>24</v>
      </c>
      <c r="L55" s="11">
        <f>'Detailed Revenue&amp;Expenses'!N44</f>
        <v>24</v>
      </c>
      <c r="M55" s="11">
        <f>'Detailed Revenue&amp;Expenses'!O44</f>
        <v>24</v>
      </c>
      <c r="N55" s="11">
        <f t="shared" si="8"/>
        <v>220</v>
      </c>
    </row>
    <row r="56" spans="2:15" x14ac:dyDescent="0.35">
      <c r="B56" s="9" t="s">
        <v>219</v>
      </c>
      <c r="C56" s="10"/>
      <c r="D56" s="11">
        <f>'Detailed Revenue&amp;Expenses'!F45</f>
        <v>2.1833400000000003</v>
      </c>
      <c r="E56" s="11">
        <f>'Detailed Revenue&amp;Expenses'!G45</f>
        <v>26.538479999999996</v>
      </c>
      <c r="F56" s="11">
        <f>'Detailed Revenue&amp;Expenses'!H45</f>
        <v>27.575549999999996</v>
      </c>
      <c r="G56" s="11">
        <f>'Detailed Revenue&amp;Expenses'!I45</f>
        <v>28.679694749999996</v>
      </c>
      <c r="H56" s="11">
        <f>'Detailed Revenue&amp;Expenses'!J45</f>
        <v>29.855409581249997</v>
      </c>
      <c r="I56" s="11">
        <f>'Detailed Revenue&amp;Expenses'!K45</f>
        <v>31.10750021109375</v>
      </c>
      <c r="J56" s="11">
        <f>'Detailed Revenue&amp;Expenses'!L45</f>
        <v>32.441104683738274</v>
      </c>
      <c r="K56" s="11">
        <f>'Detailed Revenue&amp;Expenses'!M45</f>
        <v>33.040376889671769</v>
      </c>
      <c r="L56" s="11">
        <f>'Detailed Revenue&amp;Expenses'!N45</f>
        <v>25.519131778782942</v>
      </c>
      <c r="M56" s="11">
        <f>'Detailed Revenue&amp;Expenses'!O45</f>
        <v>27.131792390696734</v>
      </c>
      <c r="N56" s="11">
        <f t="shared" si="8"/>
        <v>264.07238028523346</v>
      </c>
    </row>
    <row r="57" spans="2:15" x14ac:dyDescent="0.35">
      <c r="B57" s="83" t="s">
        <v>288</v>
      </c>
      <c r="C57" s="10"/>
      <c r="D57" s="11">
        <f>'Detailed Revenue&amp;Expenses'!F46</f>
        <v>10</v>
      </c>
      <c r="E57" s="11">
        <f>'Detailed Revenue&amp;Expenses'!G46</f>
        <v>122</v>
      </c>
      <c r="F57" s="11">
        <f>'Detailed Revenue&amp;Expenses'!H46</f>
        <v>128.1</v>
      </c>
      <c r="G57" s="11">
        <f>'Detailed Revenue&amp;Expenses'!I46</f>
        <v>134.505</v>
      </c>
      <c r="H57" s="11">
        <f>'Detailed Revenue&amp;Expenses'!J46</f>
        <v>141.23025000000001</v>
      </c>
      <c r="I57" s="11">
        <f>'Detailed Revenue&amp;Expenses'!K46</f>
        <v>148.2917625</v>
      </c>
      <c r="J57" s="11">
        <f>'Detailed Revenue&amp;Expenses'!L46</f>
        <v>155.70635062500003</v>
      </c>
      <c r="K57" s="11">
        <f>'Detailed Revenue&amp;Expenses'!M46</f>
        <v>163.49166815625</v>
      </c>
      <c r="L57" s="11">
        <f>'Detailed Revenue&amp;Expenses'!N46</f>
        <v>171.66625156406255</v>
      </c>
      <c r="M57" s="11">
        <f>'Detailed Revenue&amp;Expenses'!O46</f>
        <v>180.24956414226563</v>
      </c>
      <c r="N57" s="11">
        <f t="shared" si="8"/>
        <v>1355.2408469875784</v>
      </c>
    </row>
    <row r="58" spans="2:15" ht="15" thickBot="1" x14ac:dyDescent="0.4">
      <c r="B58" s="9" t="s">
        <v>5</v>
      </c>
      <c r="C58" s="11">
        <f>SUM(C51:C54)</f>
        <v>41.71</v>
      </c>
      <c r="D58" s="87">
        <f>SUM(D51:D57)</f>
        <v>68.553340000000006</v>
      </c>
      <c r="E58" s="87">
        <f t="shared" ref="E58:N58" si="9">SUM(E51:E57)</f>
        <v>799.74098000000004</v>
      </c>
      <c r="F58" s="87">
        <f t="shared" si="9"/>
        <v>785.6886750000001</v>
      </c>
      <c r="G58" s="87">
        <f t="shared" si="9"/>
        <v>777.50935100000004</v>
      </c>
      <c r="H58" s="87">
        <f t="shared" si="9"/>
        <v>775.00494239374984</v>
      </c>
      <c r="I58" s="87">
        <f t="shared" si="9"/>
        <v>777.73312122671882</v>
      </c>
      <c r="J58" s="87">
        <f t="shared" si="9"/>
        <v>785.39324921889454</v>
      </c>
      <c r="K58" s="87">
        <f t="shared" si="9"/>
        <v>801.56322408869505</v>
      </c>
      <c r="L58" s="87">
        <f t="shared" si="9"/>
        <v>824.00019412337292</v>
      </c>
      <c r="M58" s="87">
        <f t="shared" si="9"/>
        <v>860.15320450916681</v>
      </c>
      <c r="N58" s="50">
        <f t="shared" si="9"/>
        <v>7255.3402815605978</v>
      </c>
    </row>
    <row r="59" spans="2:15" ht="15" thickTop="1" x14ac:dyDescent="0.35">
      <c r="B59" s="9"/>
      <c r="C59" s="9"/>
      <c r="D59" s="19"/>
      <c r="E59" s="85"/>
      <c r="F59" s="85"/>
      <c r="G59" s="85"/>
      <c r="H59" s="85"/>
      <c r="I59" s="85"/>
      <c r="J59" s="85"/>
      <c r="K59" s="85"/>
      <c r="L59" s="85"/>
      <c r="M59" s="85"/>
      <c r="N59" s="10"/>
    </row>
    <row r="60" spans="2:15" x14ac:dyDescent="0.35">
      <c r="B60" s="9" t="s">
        <v>118</v>
      </c>
      <c r="C60" s="9"/>
      <c r="D60" s="11">
        <f t="shared" ref="D60:N60" si="10">D48-D58</f>
        <v>4.2246600000000001</v>
      </c>
      <c r="E60" s="11">
        <f t="shared" si="10"/>
        <v>84.875019999999836</v>
      </c>
      <c r="F60" s="11">
        <f t="shared" si="10"/>
        <v>133.49632499999984</v>
      </c>
      <c r="G60" s="11">
        <f t="shared" si="10"/>
        <v>178.48047399999984</v>
      </c>
      <c r="H60" s="11">
        <f t="shared" si="10"/>
        <v>220.17537698125011</v>
      </c>
      <c r="I60" s="11">
        <f t="shared" si="10"/>
        <v>259.18355247640625</v>
      </c>
      <c r="J60" s="11">
        <f t="shared" si="10"/>
        <v>295.9769069057146</v>
      </c>
      <c r="K60" s="11">
        <f t="shared" si="10"/>
        <v>299.78267223369721</v>
      </c>
      <c r="L60" s="11">
        <f t="shared" si="10"/>
        <v>26.637531836058542</v>
      </c>
      <c r="M60" s="11">
        <f t="shared" si="10"/>
        <v>44.239875180724312</v>
      </c>
      <c r="N60" s="10">
        <f t="shared" si="10"/>
        <v>1547.0723946138523</v>
      </c>
    </row>
    <row r="61" spans="2:15" x14ac:dyDescent="0.35">
      <c r="B61" s="9" t="s">
        <v>113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5" x14ac:dyDescent="0.35">
      <c r="B62" s="9" t="s">
        <v>3</v>
      </c>
      <c r="C62" s="11">
        <f>C52</f>
        <v>24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5" x14ac:dyDescent="0.35">
      <c r="B63" s="9" t="s">
        <v>114</v>
      </c>
      <c r="C63" s="11">
        <f>C53</f>
        <v>17.71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5" x14ac:dyDescent="0.35">
      <c r="B64" s="9" t="s">
        <v>115</v>
      </c>
      <c r="C64" s="11">
        <f>SUM(C62:C63)</f>
        <v>41.71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5">
      <c r="B65" s="9" t="s">
        <v>116</v>
      </c>
      <c r="C65" s="11">
        <f>C58-C64</f>
        <v>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9"/>
    </row>
    <row r="66" spans="2:14" x14ac:dyDescent="0.35"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 x14ac:dyDescent="0.35">
      <c r="B67" s="1" t="s">
        <v>92</v>
      </c>
      <c r="N67" t="s">
        <v>156</v>
      </c>
    </row>
    <row r="68" spans="2:14" x14ac:dyDescent="0.35">
      <c r="B68" s="73" t="s">
        <v>275</v>
      </c>
      <c r="C68" s="168" t="s">
        <v>93</v>
      </c>
      <c r="D68" s="168"/>
      <c r="E68" s="73" t="s">
        <v>94</v>
      </c>
      <c r="F68" s="73" t="s">
        <v>95</v>
      </c>
      <c r="G68" s="73" t="s">
        <v>96</v>
      </c>
      <c r="H68" s="73" t="s">
        <v>97</v>
      </c>
      <c r="I68" s="73" t="s">
        <v>98</v>
      </c>
      <c r="J68" s="73" t="s">
        <v>99</v>
      </c>
      <c r="K68" s="73" t="s">
        <v>100</v>
      </c>
      <c r="L68" s="73" t="s">
        <v>303</v>
      </c>
      <c r="M68" s="73" t="s">
        <v>304</v>
      </c>
      <c r="N68" s="73" t="s">
        <v>104</v>
      </c>
    </row>
    <row r="69" spans="2:14" ht="43.5" x14ac:dyDescent="0.35">
      <c r="B69" s="73" t="s">
        <v>33</v>
      </c>
      <c r="C69" s="111" t="s">
        <v>46</v>
      </c>
      <c r="D69" s="111" t="s">
        <v>102</v>
      </c>
      <c r="E69" s="111" t="s">
        <v>102</v>
      </c>
      <c r="F69" s="111" t="s">
        <v>102</v>
      </c>
      <c r="G69" s="111" t="s">
        <v>102</v>
      </c>
      <c r="H69" s="111" t="s">
        <v>102</v>
      </c>
      <c r="I69" s="111" t="s">
        <v>102</v>
      </c>
      <c r="J69" s="111" t="s">
        <v>102</v>
      </c>
      <c r="K69" s="111" t="s">
        <v>102</v>
      </c>
      <c r="L69" s="111" t="s">
        <v>102</v>
      </c>
      <c r="M69" s="111" t="s">
        <v>102</v>
      </c>
      <c r="N69" s="73"/>
    </row>
    <row r="70" spans="2:14" x14ac:dyDescent="0.35">
      <c r="B70" s="73" t="s">
        <v>103</v>
      </c>
      <c r="C70" s="73">
        <v>3</v>
      </c>
      <c r="D70" s="73">
        <v>0</v>
      </c>
      <c r="E70" s="73">
        <v>12</v>
      </c>
      <c r="F70" s="73">
        <v>12</v>
      </c>
      <c r="G70" s="73">
        <v>12</v>
      </c>
      <c r="H70" s="73">
        <v>12</v>
      </c>
      <c r="I70" s="73">
        <v>12</v>
      </c>
      <c r="J70" s="73">
        <v>12</v>
      </c>
      <c r="K70" s="73">
        <v>12</v>
      </c>
      <c r="L70" s="73">
        <v>12</v>
      </c>
      <c r="M70" s="73">
        <v>12</v>
      </c>
      <c r="N70" s="73">
        <f>SUM(D70:M70)</f>
        <v>108</v>
      </c>
    </row>
    <row r="72" spans="2:14" x14ac:dyDescent="0.35">
      <c r="B72" s="23" t="s">
        <v>8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5">
      <c r="B73" s="9" t="s">
        <v>9</v>
      </c>
      <c r="C73" s="10">
        <v>0</v>
      </c>
      <c r="D73" s="10">
        <f>'Detailed Revenue&amp;Expenses'!F66</f>
        <v>0</v>
      </c>
      <c r="E73" s="10">
        <f>'Detailed Revenue&amp;Expenses'!G56</f>
        <v>150</v>
      </c>
      <c r="F73" s="10">
        <f>'Detailed Revenue&amp;Expenses'!H56</f>
        <v>157.5</v>
      </c>
      <c r="G73" s="10">
        <f>'Detailed Revenue&amp;Expenses'!I56</f>
        <v>165.375</v>
      </c>
      <c r="H73" s="10">
        <f>'Detailed Revenue&amp;Expenses'!J56</f>
        <v>173.64375000000004</v>
      </c>
      <c r="I73" s="10">
        <f>'Detailed Revenue&amp;Expenses'!K56</f>
        <v>182.32593750000001</v>
      </c>
      <c r="J73" s="10">
        <f>'Detailed Revenue&amp;Expenses'!L56</f>
        <v>191.44223437500003</v>
      </c>
      <c r="K73" s="10">
        <f>'Detailed Revenue&amp;Expenses'!M56</f>
        <v>201.01434609374999</v>
      </c>
      <c r="L73" s="10">
        <f>'Detailed Revenue&amp;Expenses'!N56</f>
        <v>211.06506339843753</v>
      </c>
      <c r="M73" s="10">
        <f>'Detailed Revenue&amp;Expenses'!O56</f>
        <v>221.6183165683594</v>
      </c>
      <c r="N73" s="11">
        <f>SUM(D73:M73)</f>
        <v>1653.9846479355472</v>
      </c>
    </row>
    <row r="74" spans="2:14" x14ac:dyDescent="0.35">
      <c r="B74" s="9" t="s">
        <v>11</v>
      </c>
      <c r="C74" s="10">
        <v>0</v>
      </c>
      <c r="D74" s="10">
        <f>'Detailed Revenue&amp;Expenses'!F67</f>
        <v>0</v>
      </c>
      <c r="E74" s="10">
        <f>'Detailed Revenue&amp;Expenses'!G57</f>
        <v>6</v>
      </c>
      <c r="F74" s="10">
        <f>'Detailed Revenue&amp;Expenses'!H57</f>
        <v>6.3</v>
      </c>
      <c r="G74" s="10">
        <f>'Detailed Revenue&amp;Expenses'!I57</f>
        <v>6.6150000000000002</v>
      </c>
      <c r="H74" s="10">
        <f>'Detailed Revenue&amp;Expenses'!J57</f>
        <v>6.9457500000000021</v>
      </c>
      <c r="I74" s="10">
        <f>'Detailed Revenue&amp;Expenses'!K57</f>
        <v>7.2930375000000005</v>
      </c>
      <c r="J74" s="10">
        <f>'Detailed Revenue&amp;Expenses'!L57</f>
        <v>7.6576893750000012</v>
      </c>
      <c r="K74" s="10">
        <f>'Detailed Revenue&amp;Expenses'!M57</f>
        <v>8.0405738437499998</v>
      </c>
      <c r="L74" s="10">
        <f>'Detailed Revenue&amp;Expenses'!N57</f>
        <v>8.4426025359375014</v>
      </c>
      <c r="M74" s="10">
        <f>'Detailed Revenue&amp;Expenses'!O57</f>
        <v>8.8647326627343759</v>
      </c>
      <c r="N74" s="11">
        <f t="shared" ref="N74:N79" si="11">SUM(D74:M74)</f>
        <v>66.159385917421886</v>
      </c>
    </row>
    <row r="75" spans="2:14" x14ac:dyDescent="0.35">
      <c r="B75" s="9" t="s">
        <v>12</v>
      </c>
      <c r="C75" s="10">
        <v>0</v>
      </c>
      <c r="D75" s="10">
        <f>'Detailed Revenue&amp;Expenses'!F68</f>
        <v>0</v>
      </c>
      <c r="E75" s="10">
        <f>'Detailed Revenue&amp;Expenses'!G58</f>
        <v>240</v>
      </c>
      <c r="F75" s="10">
        <f>'Detailed Revenue&amp;Expenses'!H58</f>
        <v>258</v>
      </c>
      <c r="G75" s="10">
        <f>'Detailed Revenue&amp;Expenses'!I58</f>
        <v>277.34999999999997</v>
      </c>
      <c r="H75" s="10">
        <f>'Detailed Revenue&amp;Expenses'!J58</f>
        <v>298.15124999999995</v>
      </c>
      <c r="I75" s="10">
        <f>'Detailed Revenue&amp;Expenses'!K58</f>
        <v>320.51259374999995</v>
      </c>
      <c r="J75" s="10">
        <f>'Detailed Revenue&amp;Expenses'!L58</f>
        <v>344.55103828124999</v>
      </c>
      <c r="K75" s="10">
        <f>'Detailed Revenue&amp;Expenses'!M58</f>
        <v>370.3923661523437</v>
      </c>
      <c r="L75" s="10">
        <f>'Detailed Revenue&amp;Expenses'!N58</f>
        <v>398.17179361376947</v>
      </c>
      <c r="M75" s="10">
        <f>'Detailed Revenue&amp;Expenses'!O58</f>
        <v>428.03467813480211</v>
      </c>
      <c r="N75" s="11">
        <f t="shared" si="11"/>
        <v>2935.1637199321649</v>
      </c>
    </row>
    <row r="76" spans="2:14" x14ac:dyDescent="0.35">
      <c r="B76" s="9" t="s">
        <v>106</v>
      </c>
      <c r="C76" s="10">
        <v>0</v>
      </c>
      <c r="D76" s="10">
        <f>'Detailed Revenue&amp;Expenses'!F69</f>
        <v>0</v>
      </c>
      <c r="E76" s="10">
        <f>'Detailed Revenue&amp;Expenses'!G59</f>
        <v>24</v>
      </c>
      <c r="F76" s="10">
        <f>'Detailed Revenue&amp;Expenses'!H59</f>
        <v>25.8</v>
      </c>
      <c r="G76" s="10">
        <f>'Detailed Revenue&amp;Expenses'!I59</f>
        <v>27.734999999999999</v>
      </c>
      <c r="H76" s="10">
        <f>'Detailed Revenue&amp;Expenses'!J59</f>
        <v>29.815124999999995</v>
      </c>
      <c r="I76" s="10">
        <f>'Detailed Revenue&amp;Expenses'!K59</f>
        <v>32.051259374999994</v>
      </c>
      <c r="J76" s="10">
        <f>'Detailed Revenue&amp;Expenses'!L59</f>
        <v>34.455103828124997</v>
      </c>
      <c r="K76" s="10">
        <f>'Detailed Revenue&amp;Expenses'!M59</f>
        <v>37.039236615234373</v>
      </c>
      <c r="L76" s="10">
        <f>'Detailed Revenue&amp;Expenses'!N59</f>
        <v>39.817179361376951</v>
      </c>
      <c r="M76" s="10">
        <f>'Detailed Revenue&amp;Expenses'!O59</f>
        <v>42.803467813480211</v>
      </c>
      <c r="N76" s="11">
        <f t="shared" si="11"/>
        <v>293.51637199321658</v>
      </c>
    </row>
    <row r="77" spans="2:14" x14ac:dyDescent="0.35">
      <c r="B77" s="9" t="s">
        <v>107</v>
      </c>
      <c r="C77" s="10">
        <v>0</v>
      </c>
      <c r="D77" s="10">
        <f>'Detailed Revenue&amp;Expenses'!F70</f>
        <v>0</v>
      </c>
      <c r="E77" s="10">
        <f>'Detailed Revenue&amp;Expenses'!G60</f>
        <v>343.20000000000005</v>
      </c>
      <c r="F77" s="10">
        <f>'Detailed Revenue&amp;Expenses'!H60</f>
        <v>343.20000000000005</v>
      </c>
      <c r="G77" s="10">
        <f>'Detailed Revenue&amp;Expenses'!I60</f>
        <v>343.20000000000005</v>
      </c>
      <c r="H77" s="10">
        <f>'Detailed Revenue&amp;Expenses'!J60</f>
        <v>343.20000000000005</v>
      </c>
      <c r="I77" s="10">
        <f>'Detailed Revenue&amp;Expenses'!K60</f>
        <v>343.20000000000005</v>
      </c>
      <c r="J77" s="10">
        <f>'Detailed Revenue&amp;Expenses'!L60</f>
        <v>343.20000000000005</v>
      </c>
      <c r="K77" s="10">
        <f>'Detailed Revenue&amp;Expenses'!M60</f>
        <v>343.20000000000005</v>
      </c>
      <c r="L77" s="10">
        <f>'Detailed Revenue&amp;Expenses'!N60</f>
        <v>0</v>
      </c>
      <c r="M77" s="10">
        <f>'Detailed Revenue&amp;Expenses'!O60</f>
        <v>0</v>
      </c>
      <c r="N77" s="11">
        <f t="shared" si="11"/>
        <v>2402.4000000000005</v>
      </c>
    </row>
    <row r="78" spans="2:14" x14ac:dyDescent="0.35">
      <c r="B78" s="83" t="s">
        <v>288</v>
      </c>
      <c r="C78" s="10"/>
      <c r="D78" s="10"/>
      <c r="E78" s="10">
        <f>'Detailed Revenue&amp;Expenses'!G61</f>
        <v>122</v>
      </c>
      <c r="F78" s="10">
        <f>'Detailed Revenue&amp;Expenses'!H61</f>
        <v>128.1</v>
      </c>
      <c r="G78" s="10">
        <f>'Detailed Revenue&amp;Expenses'!I61</f>
        <v>134.505</v>
      </c>
      <c r="H78" s="10">
        <f>'Detailed Revenue&amp;Expenses'!J61</f>
        <v>141.23025000000001</v>
      </c>
      <c r="I78" s="10">
        <f>'Detailed Revenue&amp;Expenses'!K61</f>
        <v>148.2917625</v>
      </c>
      <c r="J78" s="10">
        <f>'Detailed Revenue&amp;Expenses'!L61</f>
        <v>155.70635062500003</v>
      </c>
      <c r="K78" s="10">
        <f>'Detailed Revenue&amp;Expenses'!M61</f>
        <v>163.49166815625</v>
      </c>
      <c r="L78" s="10">
        <f>'Detailed Revenue&amp;Expenses'!N61</f>
        <v>171.66625156406255</v>
      </c>
      <c r="M78" s="10">
        <f>'Detailed Revenue&amp;Expenses'!O61</f>
        <v>180.24956414226563</v>
      </c>
      <c r="N78" s="11">
        <f t="shared" si="11"/>
        <v>1345.2408469875784</v>
      </c>
    </row>
    <row r="79" spans="2:14" x14ac:dyDescent="0.35">
      <c r="B79" s="9" t="s">
        <v>291</v>
      </c>
      <c r="C79" s="10"/>
      <c r="D79" s="10"/>
      <c r="E79" s="10">
        <f>'Detailed Revenue&amp;Expenses'!G62</f>
        <v>4.88</v>
      </c>
      <c r="F79" s="10">
        <f>'Detailed Revenue&amp;Expenses'!H62</f>
        <v>5.1239999999999997</v>
      </c>
      <c r="G79" s="10">
        <f>'Detailed Revenue&amp;Expenses'!I62</f>
        <v>5.3802000000000003</v>
      </c>
      <c r="H79" s="10">
        <f>'Detailed Revenue&amp;Expenses'!J62</f>
        <v>5.649210000000001</v>
      </c>
      <c r="I79" s="10">
        <f>'Detailed Revenue&amp;Expenses'!K62</f>
        <v>5.9316705000000001</v>
      </c>
      <c r="J79" s="10">
        <f>'Detailed Revenue&amp;Expenses'!L62</f>
        <v>6.2282540250000009</v>
      </c>
      <c r="K79" s="10">
        <f>'Detailed Revenue&amp;Expenses'!M62</f>
        <v>6.5396667262500001</v>
      </c>
      <c r="L79" s="10">
        <f>'Detailed Revenue&amp;Expenses'!N62</f>
        <v>6.8666500625625018</v>
      </c>
      <c r="M79" s="10">
        <f>'Detailed Revenue&amp;Expenses'!O62</f>
        <v>7.2099825656906251</v>
      </c>
      <c r="N79" s="11">
        <f t="shared" si="11"/>
        <v>53.809633879503117</v>
      </c>
    </row>
    <row r="80" spans="2:14" x14ac:dyDescent="0.35">
      <c r="B80" s="9" t="s">
        <v>5</v>
      </c>
      <c r="C80" s="52">
        <f t="shared" ref="C80:D80" si="12">SUM(C73:C77)</f>
        <v>0</v>
      </c>
      <c r="D80" s="52">
        <f t="shared" si="12"/>
        <v>0</v>
      </c>
      <c r="E80" s="52">
        <f>SUM(E73:E79)</f>
        <v>890.08</v>
      </c>
      <c r="F80" s="52">
        <f t="shared" ref="F80:N80" si="13">SUM(F73:F79)</f>
        <v>924.02400000000011</v>
      </c>
      <c r="G80" s="52">
        <f t="shared" si="13"/>
        <v>960.16020000000003</v>
      </c>
      <c r="H80" s="52">
        <f t="shared" si="13"/>
        <v>998.63533500000017</v>
      </c>
      <c r="I80" s="52">
        <f t="shared" si="13"/>
        <v>1039.6062611249999</v>
      </c>
      <c r="J80" s="52">
        <f t="shared" si="13"/>
        <v>1083.2406705093751</v>
      </c>
      <c r="K80" s="52">
        <f t="shared" si="13"/>
        <v>1129.7178575875782</v>
      </c>
      <c r="L80" s="52">
        <f t="shared" si="13"/>
        <v>836.02954053614644</v>
      </c>
      <c r="M80" s="52">
        <f t="shared" si="13"/>
        <v>888.7807418873324</v>
      </c>
      <c r="N80" s="52">
        <f t="shared" si="13"/>
        <v>8750.2746066454329</v>
      </c>
    </row>
    <row r="81" spans="2:14" x14ac:dyDescent="0.35"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5">
      <c r="B82" s="23" t="s">
        <v>117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5">
      <c r="B83" s="9" t="s">
        <v>9</v>
      </c>
      <c r="C83" s="10"/>
      <c r="D83" s="11">
        <f>'Detailed Revenue&amp;Expenses'!F74</f>
        <v>0</v>
      </c>
      <c r="E83" s="11">
        <f>E73</f>
        <v>150</v>
      </c>
      <c r="F83" s="11">
        <f t="shared" ref="F83:M83" si="14">F73</f>
        <v>157.5</v>
      </c>
      <c r="G83" s="11">
        <f t="shared" si="14"/>
        <v>165.375</v>
      </c>
      <c r="H83" s="11">
        <f t="shared" si="14"/>
        <v>173.64375000000004</v>
      </c>
      <c r="I83" s="11">
        <f t="shared" si="14"/>
        <v>182.32593750000001</v>
      </c>
      <c r="J83" s="11">
        <f t="shared" si="14"/>
        <v>191.44223437500003</v>
      </c>
      <c r="K83" s="11">
        <f t="shared" si="14"/>
        <v>201.01434609374999</v>
      </c>
      <c r="L83" s="11">
        <f t="shared" si="14"/>
        <v>211.06506339843753</v>
      </c>
      <c r="M83" s="11">
        <f t="shared" si="14"/>
        <v>221.6183165683594</v>
      </c>
      <c r="N83" s="11">
        <f>SUM(D83:M83)</f>
        <v>1653.9846479355472</v>
      </c>
    </row>
    <row r="84" spans="2:14" x14ac:dyDescent="0.35">
      <c r="B84" s="9" t="s">
        <v>12</v>
      </c>
      <c r="C84" s="10">
        <v>24</v>
      </c>
      <c r="D84" s="11">
        <f>'Detailed Revenue&amp;Expenses'!F75</f>
        <v>0</v>
      </c>
      <c r="E84" s="11">
        <f>E75*80%</f>
        <v>192</v>
      </c>
      <c r="F84" s="11">
        <f t="shared" ref="F84:M84" si="15">F75*80%</f>
        <v>206.4</v>
      </c>
      <c r="G84" s="11">
        <f t="shared" si="15"/>
        <v>221.88</v>
      </c>
      <c r="H84" s="11">
        <f t="shared" si="15"/>
        <v>238.52099999999996</v>
      </c>
      <c r="I84" s="11">
        <f t="shared" si="15"/>
        <v>256.41007499999995</v>
      </c>
      <c r="J84" s="11">
        <f t="shared" si="15"/>
        <v>275.64083062499998</v>
      </c>
      <c r="K84" s="11">
        <f t="shared" si="15"/>
        <v>296.31389292187498</v>
      </c>
      <c r="L84" s="11">
        <f t="shared" si="15"/>
        <v>318.53743489101561</v>
      </c>
      <c r="M84" s="11">
        <f t="shared" si="15"/>
        <v>342.42774250784169</v>
      </c>
      <c r="N84" s="11">
        <f t="shared" ref="N84:N89" si="16">SUM(D84:M84)</f>
        <v>2348.1309759457326</v>
      </c>
    </row>
    <row r="85" spans="2:14" x14ac:dyDescent="0.35">
      <c r="B85" s="9" t="s">
        <v>15</v>
      </c>
      <c r="C85" s="10">
        <f>'Detailed Revenue&amp;Expenses'!E67</f>
        <v>19.97</v>
      </c>
      <c r="D85" s="10">
        <f>'Detailed Revenue&amp;Expenses'!F67</f>
        <v>0</v>
      </c>
      <c r="E85" s="10">
        <f>'Detailed Revenue&amp;Expenses'!G67</f>
        <v>77.650000000000006</v>
      </c>
      <c r="F85" s="10">
        <f>'Detailed Revenue&amp;Expenses'!H67</f>
        <v>64.710000000000008</v>
      </c>
      <c r="G85" s="10">
        <f>'Detailed Revenue&amp;Expenses'!I67</f>
        <v>51.2</v>
      </c>
      <c r="H85" s="10">
        <f>'Detailed Revenue&amp;Expenses'!J67</f>
        <v>37.69</v>
      </c>
      <c r="I85" s="10">
        <f>'Detailed Revenue&amp;Expenses'!K67</f>
        <v>24.21</v>
      </c>
      <c r="J85" s="10">
        <f>'Detailed Revenue&amp;Expenses'!L67</f>
        <v>10.700000000000001</v>
      </c>
      <c r="K85" s="10">
        <f>'Detailed Revenue&amp;Expenses'!M67</f>
        <v>0.56000000000000005</v>
      </c>
      <c r="L85" s="10">
        <f>'Detailed Revenue&amp;Expenses'!N67</f>
        <v>0</v>
      </c>
      <c r="M85" s="10">
        <f>'Detailed Revenue&amp;Expenses'!O67</f>
        <v>0</v>
      </c>
      <c r="N85" s="11">
        <f t="shared" si="16"/>
        <v>266.72000000000003</v>
      </c>
    </row>
    <row r="86" spans="2:14" x14ac:dyDescent="0.35">
      <c r="B86" s="9" t="s">
        <v>16</v>
      </c>
      <c r="C86" s="10">
        <v>0</v>
      </c>
      <c r="D86" s="11">
        <f>'Detailed Revenue&amp;Expenses'!F77</f>
        <v>0</v>
      </c>
      <c r="E86" s="10">
        <f>'Detailed Revenue&amp;Expenses'!G68</f>
        <v>180</v>
      </c>
      <c r="F86" s="10">
        <f>'Detailed Revenue&amp;Expenses'!H68</f>
        <v>153</v>
      </c>
      <c r="G86" s="10">
        <f>'Detailed Revenue&amp;Expenses'!I68</f>
        <v>130.04999999999998</v>
      </c>
      <c r="H86" s="10">
        <f>'Detailed Revenue&amp;Expenses'!J68</f>
        <v>110.5425</v>
      </c>
      <c r="I86" s="10">
        <f>'Detailed Revenue&amp;Expenses'!K68</f>
        <v>93.961124999999996</v>
      </c>
      <c r="J86" s="10">
        <f>'Detailed Revenue&amp;Expenses'!L68</f>
        <v>79.866956250000001</v>
      </c>
      <c r="K86" s="10">
        <f>'Detailed Revenue&amp;Expenses'!M68</f>
        <v>67.8869128125</v>
      </c>
      <c r="L86" s="10">
        <f>'Detailed Revenue&amp;Expenses'!N68</f>
        <v>57.703875890625</v>
      </c>
      <c r="M86" s="10">
        <f>'Detailed Revenue&amp;Expenses'!O68</f>
        <v>49.048294507031251</v>
      </c>
      <c r="N86" s="11">
        <f t="shared" si="16"/>
        <v>922.05966446015634</v>
      </c>
    </row>
    <row r="87" spans="2:14" x14ac:dyDescent="0.35">
      <c r="B87" s="9" t="s">
        <v>220</v>
      </c>
      <c r="C87" s="10"/>
      <c r="D87" s="11">
        <f>'Detailed Revenue&amp;Expenses'!F78</f>
        <v>0</v>
      </c>
      <c r="E87" s="10">
        <f>'Detailed Revenue&amp;Expenses'!G69</f>
        <v>24</v>
      </c>
      <c r="F87" s="10">
        <f>'Detailed Revenue&amp;Expenses'!H69</f>
        <v>24</v>
      </c>
      <c r="G87" s="10">
        <f>'Detailed Revenue&amp;Expenses'!I69</f>
        <v>24</v>
      </c>
      <c r="H87" s="10">
        <f>'Detailed Revenue&amp;Expenses'!J69</f>
        <v>24</v>
      </c>
      <c r="I87" s="10">
        <f>'Detailed Revenue&amp;Expenses'!K69</f>
        <v>24</v>
      </c>
      <c r="J87" s="10">
        <f>'Detailed Revenue&amp;Expenses'!L69</f>
        <v>24</v>
      </c>
      <c r="K87" s="10">
        <f>'Detailed Revenue&amp;Expenses'!M69</f>
        <v>24</v>
      </c>
      <c r="L87" s="10">
        <f>'Detailed Revenue&amp;Expenses'!N69</f>
        <v>24</v>
      </c>
      <c r="M87" s="10">
        <f>'Detailed Revenue&amp;Expenses'!O69</f>
        <v>24</v>
      </c>
      <c r="N87" s="11">
        <f t="shared" si="16"/>
        <v>216</v>
      </c>
    </row>
    <row r="88" spans="2:14" x14ac:dyDescent="0.35">
      <c r="B88" s="9" t="s">
        <v>219</v>
      </c>
      <c r="C88" s="10"/>
      <c r="D88" s="11">
        <f>'Detailed Revenue&amp;Expenses'!F79</f>
        <v>0</v>
      </c>
      <c r="E88" s="10">
        <f>'Detailed Revenue&amp;Expenses'!G70</f>
        <v>26.702400000000001</v>
      </c>
      <c r="F88" s="10">
        <f>'Detailed Revenue&amp;Expenses'!H70</f>
        <v>27.720720000000004</v>
      </c>
      <c r="G88" s="10">
        <f>'Detailed Revenue&amp;Expenses'!I70</f>
        <v>28.804805999999999</v>
      </c>
      <c r="H88" s="10">
        <f>'Detailed Revenue&amp;Expenses'!J70</f>
        <v>29.959060050000005</v>
      </c>
      <c r="I88" s="10">
        <f>'Detailed Revenue&amp;Expenses'!K70</f>
        <v>31.188187833749996</v>
      </c>
      <c r="J88" s="10">
        <f>'Detailed Revenue&amp;Expenses'!L70</f>
        <v>32.497220115281252</v>
      </c>
      <c r="K88" s="10">
        <f>'Detailed Revenue&amp;Expenses'!M70</f>
        <v>33.891535727627343</v>
      </c>
      <c r="L88" s="10">
        <f>'Detailed Revenue&amp;Expenses'!N70</f>
        <v>25.080886216084391</v>
      </c>
      <c r="M88" s="10">
        <f>'Detailed Revenue&amp;Expenses'!O70</f>
        <v>26.66342225661997</v>
      </c>
      <c r="N88" s="11">
        <f t="shared" si="16"/>
        <v>262.50823819936295</v>
      </c>
    </row>
    <row r="89" spans="2:14" x14ac:dyDescent="0.35">
      <c r="B89" s="83" t="s">
        <v>288</v>
      </c>
      <c r="C89" s="10"/>
      <c r="D89" s="11"/>
      <c r="E89" s="10">
        <f>'Detailed Revenue&amp;Expenses'!G71</f>
        <v>122</v>
      </c>
      <c r="F89" s="10">
        <f>'Detailed Revenue&amp;Expenses'!H71</f>
        <v>128.1</v>
      </c>
      <c r="G89" s="10">
        <f>'Detailed Revenue&amp;Expenses'!I71</f>
        <v>134.505</v>
      </c>
      <c r="H89" s="10">
        <f>'Detailed Revenue&amp;Expenses'!J71</f>
        <v>141.23025000000001</v>
      </c>
      <c r="I89" s="10">
        <f>'Detailed Revenue&amp;Expenses'!K71</f>
        <v>148.2917625</v>
      </c>
      <c r="J89" s="10">
        <f>'Detailed Revenue&amp;Expenses'!L71</f>
        <v>155.70635062500003</v>
      </c>
      <c r="K89" s="10">
        <f>'Detailed Revenue&amp;Expenses'!M71</f>
        <v>163.49166815625</v>
      </c>
      <c r="L89" s="10">
        <f>'Detailed Revenue&amp;Expenses'!N71</f>
        <v>171.66625156406255</v>
      </c>
      <c r="M89" s="10">
        <f>'Detailed Revenue&amp;Expenses'!O71</f>
        <v>180.24956414226563</v>
      </c>
      <c r="N89" s="11">
        <f t="shared" si="16"/>
        <v>1345.2408469875784</v>
      </c>
    </row>
    <row r="90" spans="2:14" x14ac:dyDescent="0.35">
      <c r="B90" s="9" t="s">
        <v>5</v>
      </c>
      <c r="C90" s="11">
        <f>SUM(C83:C86)</f>
        <v>43.97</v>
      </c>
      <c r="D90" s="50">
        <f t="shared" ref="D90" si="17">SUM(D83:D88)</f>
        <v>0</v>
      </c>
      <c r="E90" s="50">
        <f>SUM(E83:E89)</f>
        <v>772.35239999999999</v>
      </c>
      <c r="F90" s="50">
        <f t="shared" ref="F90:N90" si="18">SUM(F83:F89)</f>
        <v>761.43072000000006</v>
      </c>
      <c r="G90" s="50">
        <f t="shared" si="18"/>
        <v>755.81480599999998</v>
      </c>
      <c r="H90" s="50">
        <f t="shared" si="18"/>
        <v>755.58656005000012</v>
      </c>
      <c r="I90" s="50">
        <f t="shared" si="18"/>
        <v>760.38708783375</v>
      </c>
      <c r="J90" s="50">
        <f t="shared" si="18"/>
        <v>769.8535919902813</v>
      </c>
      <c r="K90" s="50">
        <f t="shared" si="18"/>
        <v>787.15835571200228</v>
      </c>
      <c r="L90" s="50">
        <f t="shared" si="18"/>
        <v>808.05351196022514</v>
      </c>
      <c r="M90" s="50">
        <f t="shared" si="18"/>
        <v>844.00733998211797</v>
      </c>
      <c r="N90" s="11">
        <f t="shared" si="18"/>
        <v>7014.6443735283783</v>
      </c>
    </row>
    <row r="91" spans="2:14" x14ac:dyDescent="0.35">
      <c r="B91" s="9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5">
      <c r="B92" s="9" t="s">
        <v>118</v>
      </c>
      <c r="C92" s="9"/>
      <c r="D92" s="11">
        <f t="shared" ref="D92:N92" si="19">D80-D90</f>
        <v>0</v>
      </c>
      <c r="E92" s="11">
        <f t="shared" si="19"/>
        <v>117.72760000000005</v>
      </c>
      <c r="F92" s="11">
        <f t="shared" si="19"/>
        <v>162.59328000000005</v>
      </c>
      <c r="G92" s="11">
        <f t="shared" si="19"/>
        <v>204.34539400000006</v>
      </c>
      <c r="H92" s="11">
        <f t="shared" si="19"/>
        <v>243.04877495000005</v>
      </c>
      <c r="I92" s="11">
        <f t="shared" si="19"/>
        <v>279.21917329124994</v>
      </c>
      <c r="J92" s="11">
        <f t="shared" si="19"/>
        <v>313.38707851909385</v>
      </c>
      <c r="K92" s="11">
        <f t="shared" si="19"/>
        <v>342.55950187557596</v>
      </c>
      <c r="L92" s="11">
        <f t="shared" si="19"/>
        <v>27.976028575921305</v>
      </c>
      <c r="M92" s="11">
        <f t="shared" si="19"/>
        <v>44.773401905214428</v>
      </c>
      <c r="N92" s="10">
        <f t="shared" si="19"/>
        <v>1735.6302331170546</v>
      </c>
    </row>
    <row r="93" spans="2:14" x14ac:dyDescent="0.35">
      <c r="B93" s="9" t="s">
        <v>113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5">
      <c r="B94" s="9" t="s">
        <v>3</v>
      </c>
      <c r="C94" s="11">
        <f>C84</f>
        <v>24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5">
      <c r="B95" s="9" t="s">
        <v>114</v>
      </c>
      <c r="C95" s="11">
        <f>C85</f>
        <v>19.97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5">
      <c r="B96" s="9" t="s">
        <v>115</v>
      </c>
      <c r="C96" s="11">
        <f>SUM(C94:C95)</f>
        <v>43.97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5">
      <c r="B97" s="9" t="s">
        <v>116</v>
      </c>
      <c r="C97" s="11">
        <f>C90-C96</f>
        <v>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9"/>
    </row>
    <row r="99" spans="2:14" x14ac:dyDescent="0.35">
      <c r="B99" s="1" t="s">
        <v>92</v>
      </c>
      <c r="N99" t="s">
        <v>156</v>
      </c>
    </row>
    <row r="100" spans="2:14" x14ac:dyDescent="0.35">
      <c r="B100" s="73" t="s">
        <v>276</v>
      </c>
      <c r="C100" s="168" t="s">
        <v>93</v>
      </c>
      <c r="D100" s="168"/>
      <c r="E100" s="73" t="s">
        <v>94</v>
      </c>
      <c r="F100" s="73" t="s">
        <v>95</v>
      </c>
      <c r="G100" s="73" t="s">
        <v>96</v>
      </c>
      <c r="H100" s="73" t="s">
        <v>97</v>
      </c>
      <c r="I100" s="73" t="s">
        <v>98</v>
      </c>
      <c r="J100" s="73" t="s">
        <v>99</v>
      </c>
      <c r="K100" s="73" t="s">
        <v>100</v>
      </c>
      <c r="L100" s="73" t="s">
        <v>303</v>
      </c>
      <c r="M100" s="73" t="s">
        <v>304</v>
      </c>
      <c r="N100" s="73" t="s">
        <v>104</v>
      </c>
    </row>
    <row r="101" spans="2:14" ht="43.5" x14ac:dyDescent="0.35">
      <c r="B101" s="73" t="s">
        <v>33</v>
      </c>
      <c r="C101" s="111" t="s">
        <v>46</v>
      </c>
      <c r="D101" s="111" t="s">
        <v>102</v>
      </c>
      <c r="E101" s="111" t="s">
        <v>102</v>
      </c>
      <c r="F101" s="111" t="s">
        <v>102</v>
      </c>
      <c r="G101" s="111" t="s">
        <v>102</v>
      </c>
      <c r="H101" s="111" t="s">
        <v>102</v>
      </c>
      <c r="I101" s="111" t="s">
        <v>102</v>
      </c>
      <c r="J101" s="111" t="s">
        <v>102</v>
      </c>
      <c r="K101" s="111" t="s">
        <v>102</v>
      </c>
      <c r="L101" s="111" t="s">
        <v>102</v>
      </c>
      <c r="M101" s="111" t="s">
        <v>102</v>
      </c>
      <c r="N101" s="73"/>
    </row>
    <row r="102" spans="2:14" x14ac:dyDescent="0.35">
      <c r="B102" s="73" t="s">
        <v>103</v>
      </c>
      <c r="C102" s="73">
        <v>3</v>
      </c>
      <c r="D102" s="73">
        <v>0</v>
      </c>
      <c r="E102" s="73">
        <v>12</v>
      </c>
      <c r="F102" s="73">
        <v>12</v>
      </c>
      <c r="G102" s="73">
        <v>12</v>
      </c>
      <c r="H102" s="73">
        <v>12</v>
      </c>
      <c r="I102" s="73">
        <v>12</v>
      </c>
      <c r="J102" s="73">
        <v>12</v>
      </c>
      <c r="K102" s="73">
        <v>12</v>
      </c>
      <c r="L102" s="73">
        <v>12</v>
      </c>
      <c r="M102" s="73">
        <v>12</v>
      </c>
      <c r="N102" s="73">
        <f>SUM(D102:K102)</f>
        <v>84</v>
      </c>
    </row>
    <row r="104" spans="2:14" x14ac:dyDescent="0.35">
      <c r="B104" s="23" t="s">
        <v>8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5">
      <c r="B105" s="9" t="s">
        <v>9</v>
      </c>
      <c r="C105" s="10">
        <v>0</v>
      </c>
      <c r="D105" s="10">
        <f>'Detailed Revenue&amp;Expenses'!F99</f>
        <v>0</v>
      </c>
      <c r="E105" s="10">
        <f>'Detailed Revenue&amp;Expenses'!G79</f>
        <v>150</v>
      </c>
      <c r="F105" s="10">
        <f>'Detailed Revenue&amp;Expenses'!H79</f>
        <v>157.5</v>
      </c>
      <c r="G105" s="10">
        <f>'Detailed Revenue&amp;Expenses'!I79</f>
        <v>165.375</v>
      </c>
      <c r="H105" s="10">
        <f>'Detailed Revenue&amp;Expenses'!J79</f>
        <v>173.64375000000004</v>
      </c>
      <c r="I105" s="10">
        <f>'Detailed Revenue&amp;Expenses'!K79</f>
        <v>182.32593750000001</v>
      </c>
      <c r="J105" s="10">
        <f>'Detailed Revenue&amp;Expenses'!L79</f>
        <v>191.44223437500003</v>
      </c>
      <c r="K105" s="10">
        <f>'Detailed Revenue&amp;Expenses'!M79</f>
        <v>201.01434609374999</v>
      </c>
      <c r="L105" s="10">
        <f>'Detailed Revenue&amp;Expenses'!N79</f>
        <v>211.06506339843753</v>
      </c>
      <c r="M105" s="10">
        <f>'Detailed Revenue&amp;Expenses'!O79</f>
        <v>221.6183165683594</v>
      </c>
      <c r="N105" s="11">
        <f t="shared" ref="N105:N111" si="20">SUM(D105:M105)</f>
        <v>1653.9846479355472</v>
      </c>
    </row>
    <row r="106" spans="2:14" x14ac:dyDescent="0.35">
      <c r="B106" s="9" t="s">
        <v>11</v>
      </c>
      <c r="C106" s="10">
        <v>0</v>
      </c>
      <c r="D106" s="10">
        <f>'Detailed Revenue&amp;Expenses'!F100</f>
        <v>0</v>
      </c>
      <c r="E106" s="10">
        <f>'Detailed Revenue&amp;Expenses'!G80</f>
        <v>6</v>
      </c>
      <c r="F106" s="10">
        <f>'Detailed Revenue&amp;Expenses'!H80</f>
        <v>6.3</v>
      </c>
      <c r="G106" s="10">
        <f>'Detailed Revenue&amp;Expenses'!I80</f>
        <v>6.6150000000000002</v>
      </c>
      <c r="H106" s="10">
        <f>'Detailed Revenue&amp;Expenses'!J80</f>
        <v>6.9457500000000021</v>
      </c>
      <c r="I106" s="10">
        <f>'Detailed Revenue&amp;Expenses'!K80</f>
        <v>7.2930375000000005</v>
      </c>
      <c r="J106" s="10">
        <f>'Detailed Revenue&amp;Expenses'!L80</f>
        <v>7.6576893750000012</v>
      </c>
      <c r="K106" s="10">
        <f>'Detailed Revenue&amp;Expenses'!M80</f>
        <v>8.0405738437499998</v>
      </c>
      <c r="L106" s="10">
        <f>'Detailed Revenue&amp;Expenses'!N80</f>
        <v>8.4426025359375014</v>
      </c>
      <c r="M106" s="10">
        <f>'Detailed Revenue&amp;Expenses'!O80</f>
        <v>8.8647326627343759</v>
      </c>
      <c r="N106" s="11">
        <f t="shared" si="20"/>
        <v>66.159385917421886</v>
      </c>
    </row>
    <row r="107" spans="2:14" x14ac:dyDescent="0.35">
      <c r="B107" s="9" t="s">
        <v>12</v>
      </c>
      <c r="C107" s="10">
        <v>0</v>
      </c>
      <c r="D107" s="10">
        <f>'Detailed Revenue&amp;Expenses'!F101</f>
        <v>0</v>
      </c>
      <c r="E107" s="10">
        <f>'Detailed Revenue&amp;Expenses'!G81</f>
        <v>240</v>
      </c>
      <c r="F107" s="10">
        <f>'Detailed Revenue&amp;Expenses'!H81</f>
        <v>258</v>
      </c>
      <c r="G107" s="10">
        <f>'Detailed Revenue&amp;Expenses'!I81</f>
        <v>277.34999999999997</v>
      </c>
      <c r="H107" s="10">
        <f>'Detailed Revenue&amp;Expenses'!J81</f>
        <v>298.15124999999995</v>
      </c>
      <c r="I107" s="10">
        <f>'Detailed Revenue&amp;Expenses'!K81</f>
        <v>320.51259374999995</v>
      </c>
      <c r="J107" s="10">
        <f>'Detailed Revenue&amp;Expenses'!L81</f>
        <v>344.55103828124999</v>
      </c>
      <c r="K107" s="10">
        <f>'Detailed Revenue&amp;Expenses'!M81</f>
        <v>370.3923661523437</v>
      </c>
      <c r="L107" s="10">
        <f>'Detailed Revenue&amp;Expenses'!N81</f>
        <v>398.17179361376947</v>
      </c>
      <c r="M107" s="10">
        <f>'Detailed Revenue&amp;Expenses'!O81</f>
        <v>428.03467813480211</v>
      </c>
      <c r="N107" s="11">
        <f t="shared" si="20"/>
        <v>2935.1637199321649</v>
      </c>
    </row>
    <row r="108" spans="2:14" x14ac:dyDescent="0.35">
      <c r="B108" s="9" t="s">
        <v>106</v>
      </c>
      <c r="C108" s="10">
        <v>0</v>
      </c>
      <c r="D108" s="10">
        <f>'Detailed Revenue&amp;Expenses'!F102</f>
        <v>0</v>
      </c>
      <c r="E108" s="10">
        <f>'Detailed Revenue&amp;Expenses'!G82</f>
        <v>24</v>
      </c>
      <c r="F108" s="10">
        <f>'Detailed Revenue&amp;Expenses'!H82</f>
        <v>25.8</v>
      </c>
      <c r="G108" s="10">
        <f>'Detailed Revenue&amp;Expenses'!I82</f>
        <v>27.734999999999999</v>
      </c>
      <c r="H108" s="10">
        <f>'Detailed Revenue&amp;Expenses'!J82</f>
        <v>29.815124999999995</v>
      </c>
      <c r="I108" s="10">
        <f>'Detailed Revenue&amp;Expenses'!K82</f>
        <v>32.051259374999994</v>
      </c>
      <c r="J108" s="10">
        <f>'Detailed Revenue&amp;Expenses'!L82</f>
        <v>34.455103828124997</v>
      </c>
      <c r="K108" s="10">
        <f>'Detailed Revenue&amp;Expenses'!M82</f>
        <v>37.039236615234373</v>
      </c>
      <c r="L108" s="10">
        <f>'Detailed Revenue&amp;Expenses'!N82</f>
        <v>39.817179361376951</v>
      </c>
      <c r="M108" s="10">
        <f>'Detailed Revenue&amp;Expenses'!O82</f>
        <v>42.803467813480211</v>
      </c>
      <c r="N108" s="11">
        <f t="shared" si="20"/>
        <v>293.51637199321658</v>
      </c>
    </row>
    <row r="109" spans="2:14" x14ac:dyDescent="0.35">
      <c r="B109" s="9" t="s">
        <v>107</v>
      </c>
      <c r="C109" s="10">
        <v>0</v>
      </c>
      <c r="D109" s="10">
        <f>'Detailed Revenue&amp;Expenses'!F103</f>
        <v>0</v>
      </c>
      <c r="E109" s="10">
        <f>'Detailed Revenue&amp;Expenses'!G83</f>
        <v>343.20000000000005</v>
      </c>
      <c r="F109" s="10">
        <f>'Detailed Revenue&amp;Expenses'!H83</f>
        <v>343.20000000000005</v>
      </c>
      <c r="G109" s="10">
        <f>'Detailed Revenue&amp;Expenses'!I83</f>
        <v>343.20000000000005</v>
      </c>
      <c r="H109" s="10">
        <f>'Detailed Revenue&amp;Expenses'!J83</f>
        <v>343.20000000000005</v>
      </c>
      <c r="I109" s="10">
        <f>'Detailed Revenue&amp;Expenses'!K83</f>
        <v>343.20000000000005</v>
      </c>
      <c r="J109" s="10">
        <f>'Detailed Revenue&amp;Expenses'!L83</f>
        <v>343.20000000000005</v>
      </c>
      <c r="K109" s="10">
        <f>'Detailed Revenue&amp;Expenses'!M83</f>
        <v>343.20000000000005</v>
      </c>
      <c r="L109" s="10">
        <f>'Detailed Revenue&amp;Expenses'!N83</f>
        <v>0</v>
      </c>
      <c r="M109" s="10">
        <f>'Detailed Revenue&amp;Expenses'!O83</f>
        <v>0</v>
      </c>
      <c r="N109" s="11">
        <f t="shared" si="20"/>
        <v>2402.4000000000005</v>
      </c>
    </row>
    <row r="110" spans="2:14" x14ac:dyDescent="0.35">
      <c r="B110" s="83" t="s">
        <v>288</v>
      </c>
      <c r="C110" s="10"/>
      <c r="D110" s="10"/>
      <c r="E110" s="10">
        <f>'Detailed Revenue&amp;Expenses'!G84</f>
        <v>122</v>
      </c>
      <c r="F110" s="10">
        <f>'Detailed Revenue&amp;Expenses'!H84</f>
        <v>128.1</v>
      </c>
      <c r="G110" s="10">
        <f>'Detailed Revenue&amp;Expenses'!I84</f>
        <v>134.505</v>
      </c>
      <c r="H110" s="10">
        <f>'Detailed Revenue&amp;Expenses'!J84</f>
        <v>141.23025000000001</v>
      </c>
      <c r="I110" s="10">
        <f>'Detailed Revenue&amp;Expenses'!K84</f>
        <v>148.2917625</v>
      </c>
      <c r="J110" s="10">
        <f>'Detailed Revenue&amp;Expenses'!L84</f>
        <v>155.70635062500003</v>
      </c>
      <c r="K110" s="10">
        <f>'Detailed Revenue&amp;Expenses'!M84</f>
        <v>163.49166815625</v>
      </c>
      <c r="L110" s="10">
        <f>'Detailed Revenue&amp;Expenses'!N84</f>
        <v>171.66625156406255</v>
      </c>
      <c r="M110" s="10">
        <f>'Detailed Revenue&amp;Expenses'!O84</f>
        <v>180.24956414226563</v>
      </c>
      <c r="N110" s="11">
        <f t="shared" si="20"/>
        <v>1345.2408469875784</v>
      </c>
    </row>
    <row r="111" spans="2:14" x14ac:dyDescent="0.35">
      <c r="B111" s="9" t="s">
        <v>291</v>
      </c>
      <c r="C111" s="10"/>
      <c r="D111" s="10"/>
      <c r="E111" s="10">
        <f>'Detailed Revenue&amp;Expenses'!G85</f>
        <v>4.88</v>
      </c>
      <c r="F111" s="10">
        <f>'Detailed Revenue&amp;Expenses'!H85</f>
        <v>5.1239999999999997</v>
      </c>
      <c r="G111" s="10">
        <f>'Detailed Revenue&amp;Expenses'!I85</f>
        <v>5.3802000000000003</v>
      </c>
      <c r="H111" s="10">
        <f>'Detailed Revenue&amp;Expenses'!J85</f>
        <v>5.649210000000001</v>
      </c>
      <c r="I111" s="10">
        <f>'Detailed Revenue&amp;Expenses'!K85</f>
        <v>5.9316705000000001</v>
      </c>
      <c r="J111" s="10">
        <f>'Detailed Revenue&amp;Expenses'!L85</f>
        <v>6.2282540250000009</v>
      </c>
      <c r="K111" s="10">
        <f>'Detailed Revenue&amp;Expenses'!M85</f>
        <v>6.5396667262500001</v>
      </c>
      <c r="L111" s="10">
        <f>'Detailed Revenue&amp;Expenses'!N85</f>
        <v>6.8666500625625018</v>
      </c>
      <c r="M111" s="10">
        <f>'Detailed Revenue&amp;Expenses'!O85</f>
        <v>7.2099825656906251</v>
      </c>
      <c r="N111" s="11">
        <f t="shared" si="20"/>
        <v>53.809633879503117</v>
      </c>
    </row>
    <row r="112" spans="2:14" x14ac:dyDescent="0.35">
      <c r="B112" s="9" t="s">
        <v>5</v>
      </c>
      <c r="C112" s="52">
        <f t="shared" ref="C112:D112" si="21">SUM(C105:C109)</f>
        <v>0</v>
      </c>
      <c r="D112" s="52">
        <f t="shared" si="21"/>
        <v>0</v>
      </c>
      <c r="E112" s="52">
        <f>SUM(E105:E111)</f>
        <v>890.08</v>
      </c>
      <c r="F112" s="52">
        <f t="shared" ref="F112:N112" si="22">SUM(F105:F111)</f>
        <v>924.02400000000011</v>
      </c>
      <c r="G112" s="52">
        <f t="shared" si="22"/>
        <v>960.16020000000003</v>
      </c>
      <c r="H112" s="52">
        <f t="shared" si="22"/>
        <v>998.63533500000017</v>
      </c>
      <c r="I112" s="52">
        <f t="shared" si="22"/>
        <v>1039.6062611249999</v>
      </c>
      <c r="J112" s="52">
        <f t="shared" si="22"/>
        <v>1083.2406705093751</v>
      </c>
      <c r="K112" s="52">
        <f t="shared" si="22"/>
        <v>1129.7178575875782</v>
      </c>
      <c r="L112" s="52">
        <f t="shared" si="22"/>
        <v>836.02954053614644</v>
      </c>
      <c r="M112" s="52">
        <f t="shared" si="22"/>
        <v>888.7807418873324</v>
      </c>
      <c r="N112" s="52">
        <f t="shared" si="22"/>
        <v>8750.2746066454329</v>
      </c>
    </row>
    <row r="113" spans="2:14" x14ac:dyDescent="0.35">
      <c r="B113" s="9"/>
      <c r="C113" s="9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5">
      <c r="B114" s="23" t="s">
        <v>117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5">
      <c r="B115" s="9" t="s">
        <v>9</v>
      </c>
      <c r="C115" s="10"/>
      <c r="D115" s="11">
        <f>'Detailed Revenue&amp;Expenses'!F106</f>
        <v>0</v>
      </c>
      <c r="E115" s="11">
        <f>'Detailed Revenue&amp;Expenses'!G88</f>
        <v>150</v>
      </c>
      <c r="F115" s="11">
        <f>'Detailed Revenue&amp;Expenses'!H88</f>
        <v>157.5</v>
      </c>
      <c r="G115" s="11">
        <f>'Detailed Revenue&amp;Expenses'!I88</f>
        <v>165.375</v>
      </c>
      <c r="H115" s="11">
        <f>'Detailed Revenue&amp;Expenses'!J88</f>
        <v>173.64375000000004</v>
      </c>
      <c r="I115" s="11">
        <f>'Detailed Revenue&amp;Expenses'!K88</f>
        <v>182.32593750000001</v>
      </c>
      <c r="J115" s="11">
        <f>'Detailed Revenue&amp;Expenses'!L88</f>
        <v>191.44223437500003</v>
      </c>
      <c r="K115" s="11">
        <f>'Detailed Revenue&amp;Expenses'!M88</f>
        <v>201.01434609374999</v>
      </c>
      <c r="L115" s="11">
        <f>'Detailed Revenue&amp;Expenses'!N88</f>
        <v>211.06506339843753</v>
      </c>
      <c r="M115" s="11">
        <f>'Detailed Revenue&amp;Expenses'!O88</f>
        <v>221.6183165683594</v>
      </c>
      <c r="N115" s="11">
        <f t="shared" ref="N115:N121" si="23">SUM(D115:M115)</f>
        <v>1653.9846479355472</v>
      </c>
    </row>
    <row r="116" spans="2:14" x14ac:dyDescent="0.35">
      <c r="B116" s="9" t="s">
        <v>12</v>
      </c>
      <c r="C116" s="10">
        <v>24</v>
      </c>
      <c r="D116" s="11">
        <f>'Detailed Revenue&amp;Expenses'!F107</f>
        <v>0</v>
      </c>
      <c r="E116" s="11">
        <f>'Detailed Revenue&amp;Expenses'!G89</f>
        <v>192</v>
      </c>
      <c r="F116" s="11">
        <f>'Detailed Revenue&amp;Expenses'!H89</f>
        <v>206.4</v>
      </c>
      <c r="G116" s="11">
        <f>'Detailed Revenue&amp;Expenses'!I89</f>
        <v>221.88</v>
      </c>
      <c r="H116" s="11">
        <f>'Detailed Revenue&amp;Expenses'!J89</f>
        <v>238.52099999999996</v>
      </c>
      <c r="I116" s="11">
        <f>'Detailed Revenue&amp;Expenses'!K89</f>
        <v>256.41007499999995</v>
      </c>
      <c r="J116" s="11">
        <f>'Detailed Revenue&amp;Expenses'!L89</f>
        <v>275.64083062499998</v>
      </c>
      <c r="K116" s="11">
        <f>'Detailed Revenue&amp;Expenses'!M89</f>
        <v>296.31389292187498</v>
      </c>
      <c r="L116" s="11">
        <f>'Detailed Revenue&amp;Expenses'!N89</f>
        <v>318.53743489101561</v>
      </c>
      <c r="M116" s="11">
        <f>'Detailed Revenue&amp;Expenses'!O89</f>
        <v>342.42774250784169</v>
      </c>
      <c r="N116" s="11">
        <f t="shared" si="23"/>
        <v>2348.1309759457326</v>
      </c>
    </row>
    <row r="117" spans="2:14" x14ac:dyDescent="0.35">
      <c r="B117" s="9" t="s">
        <v>15</v>
      </c>
      <c r="C117" s="10">
        <f>'Loan Schedule'!AJ3</f>
        <v>19.97</v>
      </c>
      <c r="D117" s="10">
        <f>'Detailed Revenue&amp;Expenses'!F100</f>
        <v>0</v>
      </c>
      <c r="E117" s="10">
        <f>'Detailed Revenue&amp;Expenses'!G90</f>
        <v>77.650000000000006</v>
      </c>
      <c r="F117" s="10">
        <f>'Detailed Revenue&amp;Expenses'!H90</f>
        <v>64.710000000000008</v>
      </c>
      <c r="G117" s="10">
        <f>'Detailed Revenue&amp;Expenses'!I90</f>
        <v>51.2</v>
      </c>
      <c r="H117" s="10">
        <f>'Detailed Revenue&amp;Expenses'!J90</f>
        <v>37.69</v>
      </c>
      <c r="I117" s="10">
        <f>'Detailed Revenue&amp;Expenses'!K90</f>
        <v>24.21</v>
      </c>
      <c r="J117" s="10">
        <f>'Detailed Revenue&amp;Expenses'!L90</f>
        <v>10.700000000000001</v>
      </c>
      <c r="K117" s="10">
        <f>'Detailed Revenue&amp;Expenses'!M90</f>
        <v>0.56000000000000005</v>
      </c>
      <c r="L117" s="10">
        <f>'Detailed Revenue&amp;Expenses'!N90</f>
        <v>0</v>
      </c>
      <c r="M117" s="10">
        <f>'Detailed Revenue&amp;Expenses'!O90</f>
        <v>0</v>
      </c>
      <c r="N117" s="11">
        <f t="shared" si="23"/>
        <v>266.72000000000003</v>
      </c>
    </row>
    <row r="118" spans="2:14" x14ac:dyDescent="0.35">
      <c r="B118" s="9" t="s">
        <v>16</v>
      </c>
      <c r="C118" s="10">
        <v>0</v>
      </c>
      <c r="D118" s="11">
        <f>'Detailed Revenue&amp;Expenses'!F109</f>
        <v>0</v>
      </c>
      <c r="E118" s="10">
        <f>'Detailed Revenue&amp;Expenses'!G91</f>
        <v>180</v>
      </c>
      <c r="F118" s="10">
        <f>'Detailed Revenue&amp;Expenses'!H91</f>
        <v>153</v>
      </c>
      <c r="G118" s="10">
        <f>'Detailed Revenue&amp;Expenses'!I91</f>
        <v>130.04999999999998</v>
      </c>
      <c r="H118" s="10">
        <f>'Detailed Revenue&amp;Expenses'!J91</f>
        <v>110.5425</v>
      </c>
      <c r="I118" s="10">
        <f>'Detailed Revenue&amp;Expenses'!K91</f>
        <v>93.961124999999996</v>
      </c>
      <c r="J118" s="10">
        <f>'Detailed Revenue&amp;Expenses'!L91</f>
        <v>79.866956250000001</v>
      </c>
      <c r="K118" s="10">
        <f>'Detailed Revenue&amp;Expenses'!M91</f>
        <v>67.8869128125</v>
      </c>
      <c r="L118" s="10">
        <f>'Detailed Revenue&amp;Expenses'!N91</f>
        <v>57.703875890625</v>
      </c>
      <c r="M118" s="10">
        <f>'Detailed Revenue&amp;Expenses'!O91</f>
        <v>49.048294507031251</v>
      </c>
      <c r="N118" s="11">
        <f t="shared" si="23"/>
        <v>922.05966446015634</v>
      </c>
    </row>
    <row r="119" spans="2:14" x14ac:dyDescent="0.35">
      <c r="B119" s="9" t="s">
        <v>220</v>
      </c>
      <c r="C119" s="10"/>
      <c r="D119" s="11">
        <f>'Detailed Revenue&amp;Expenses'!F110</f>
        <v>0</v>
      </c>
      <c r="E119" s="10">
        <f>'Detailed Revenue&amp;Expenses'!G92</f>
        <v>24</v>
      </c>
      <c r="F119" s="10">
        <f>'Detailed Revenue&amp;Expenses'!H92</f>
        <v>24</v>
      </c>
      <c r="G119" s="10">
        <f>'Detailed Revenue&amp;Expenses'!I92</f>
        <v>24</v>
      </c>
      <c r="H119" s="10">
        <f>'Detailed Revenue&amp;Expenses'!J92</f>
        <v>24</v>
      </c>
      <c r="I119" s="10">
        <f>'Detailed Revenue&amp;Expenses'!K92</f>
        <v>24</v>
      </c>
      <c r="J119" s="10">
        <f>'Detailed Revenue&amp;Expenses'!L92</f>
        <v>24</v>
      </c>
      <c r="K119" s="10">
        <f>'Detailed Revenue&amp;Expenses'!M92</f>
        <v>24</v>
      </c>
      <c r="L119" s="10">
        <f>'Detailed Revenue&amp;Expenses'!N92</f>
        <v>24</v>
      </c>
      <c r="M119" s="10">
        <f>'Detailed Revenue&amp;Expenses'!O92</f>
        <v>24</v>
      </c>
      <c r="N119" s="11">
        <f t="shared" si="23"/>
        <v>216</v>
      </c>
    </row>
    <row r="120" spans="2:14" x14ac:dyDescent="0.35">
      <c r="B120" s="9" t="s">
        <v>219</v>
      </c>
      <c r="C120" s="10"/>
      <c r="D120" s="11">
        <f>'Detailed Revenue&amp;Expenses'!F111</f>
        <v>0</v>
      </c>
      <c r="E120" s="10">
        <f>'Detailed Revenue&amp;Expenses'!G93</f>
        <v>26.702400000000001</v>
      </c>
      <c r="F120" s="10">
        <f>'Detailed Revenue&amp;Expenses'!H93</f>
        <v>27.720720000000004</v>
      </c>
      <c r="G120" s="10">
        <f>'Detailed Revenue&amp;Expenses'!I93</f>
        <v>28.804805999999999</v>
      </c>
      <c r="H120" s="10">
        <f>'Detailed Revenue&amp;Expenses'!J93</f>
        <v>29.959060050000005</v>
      </c>
      <c r="I120" s="10">
        <f>'Detailed Revenue&amp;Expenses'!K93</f>
        <v>31.188187833749996</v>
      </c>
      <c r="J120" s="10">
        <f>'Detailed Revenue&amp;Expenses'!L93</f>
        <v>32.497220115281252</v>
      </c>
      <c r="K120" s="10">
        <f>'Detailed Revenue&amp;Expenses'!M93</f>
        <v>33.891535727627343</v>
      </c>
      <c r="L120" s="10">
        <f>'Detailed Revenue&amp;Expenses'!N93</f>
        <v>25.080886216084391</v>
      </c>
      <c r="M120" s="10">
        <f>'Detailed Revenue&amp;Expenses'!O93</f>
        <v>26.66342225661997</v>
      </c>
      <c r="N120" s="11">
        <f t="shared" si="23"/>
        <v>262.50823819936295</v>
      </c>
    </row>
    <row r="121" spans="2:14" x14ac:dyDescent="0.35">
      <c r="B121" s="83" t="s">
        <v>288</v>
      </c>
      <c r="C121" s="10"/>
      <c r="D121" s="11"/>
      <c r="E121" s="10">
        <f>'Detailed Revenue&amp;Expenses'!G94</f>
        <v>122</v>
      </c>
      <c r="F121" s="10">
        <f>'Detailed Revenue&amp;Expenses'!H94</f>
        <v>128.1</v>
      </c>
      <c r="G121" s="10">
        <f>'Detailed Revenue&amp;Expenses'!I94</f>
        <v>134.505</v>
      </c>
      <c r="H121" s="10">
        <f>'Detailed Revenue&amp;Expenses'!J94</f>
        <v>141.23025000000001</v>
      </c>
      <c r="I121" s="10">
        <f>'Detailed Revenue&amp;Expenses'!K94</f>
        <v>148.2917625</v>
      </c>
      <c r="J121" s="10">
        <f>'Detailed Revenue&amp;Expenses'!L94</f>
        <v>155.70635062500003</v>
      </c>
      <c r="K121" s="10">
        <f>'Detailed Revenue&amp;Expenses'!M94</f>
        <v>163.49166815625</v>
      </c>
      <c r="L121" s="10">
        <f>'Detailed Revenue&amp;Expenses'!N94</f>
        <v>171.66625156406255</v>
      </c>
      <c r="M121" s="10">
        <f>'Detailed Revenue&amp;Expenses'!O94</f>
        <v>180.24956414226563</v>
      </c>
      <c r="N121" s="11">
        <f t="shared" si="23"/>
        <v>1345.2408469875784</v>
      </c>
    </row>
    <row r="122" spans="2:14" x14ac:dyDescent="0.35">
      <c r="B122" s="9" t="s">
        <v>5</v>
      </c>
      <c r="C122" s="11">
        <f>SUM(C115:C118)</f>
        <v>43.97</v>
      </c>
      <c r="D122" s="11">
        <f t="shared" ref="D122" si="24">SUM(D115:D120)</f>
        <v>0</v>
      </c>
      <c r="E122" s="50">
        <f>SUM(E115:E121)</f>
        <v>772.35239999999999</v>
      </c>
      <c r="F122" s="50">
        <f t="shared" ref="F122:N122" si="25">SUM(F115:F121)</f>
        <v>761.43072000000006</v>
      </c>
      <c r="G122" s="50">
        <f t="shared" si="25"/>
        <v>755.81480599999998</v>
      </c>
      <c r="H122" s="50">
        <f t="shared" si="25"/>
        <v>755.58656005000012</v>
      </c>
      <c r="I122" s="50">
        <f t="shared" si="25"/>
        <v>760.38708783375</v>
      </c>
      <c r="J122" s="50">
        <f t="shared" si="25"/>
        <v>769.8535919902813</v>
      </c>
      <c r="K122" s="50">
        <f t="shared" si="25"/>
        <v>787.15835571200228</v>
      </c>
      <c r="L122" s="50">
        <f t="shared" si="25"/>
        <v>808.05351196022514</v>
      </c>
      <c r="M122" s="50">
        <f t="shared" si="25"/>
        <v>844.00733998211797</v>
      </c>
      <c r="N122" s="11">
        <f t="shared" si="25"/>
        <v>7014.6443735283783</v>
      </c>
    </row>
    <row r="123" spans="2:14" x14ac:dyDescent="0.35">
      <c r="B123" s="9"/>
      <c r="C123" s="9"/>
      <c r="D123" s="9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5">
      <c r="B124" s="9" t="s">
        <v>118</v>
      </c>
      <c r="C124" s="9"/>
      <c r="D124" s="11">
        <f t="shared" ref="D124:N124" si="26">D112-D122</f>
        <v>0</v>
      </c>
      <c r="E124" s="11">
        <f t="shared" si="26"/>
        <v>117.72760000000005</v>
      </c>
      <c r="F124" s="11">
        <f t="shared" si="26"/>
        <v>162.59328000000005</v>
      </c>
      <c r="G124" s="11">
        <f t="shared" si="26"/>
        <v>204.34539400000006</v>
      </c>
      <c r="H124" s="11">
        <f t="shared" si="26"/>
        <v>243.04877495000005</v>
      </c>
      <c r="I124" s="11">
        <f t="shared" si="26"/>
        <v>279.21917329124994</v>
      </c>
      <c r="J124" s="11">
        <f t="shared" si="26"/>
        <v>313.38707851909385</v>
      </c>
      <c r="K124" s="11">
        <f t="shared" si="26"/>
        <v>342.55950187557596</v>
      </c>
      <c r="L124" s="11">
        <f t="shared" si="26"/>
        <v>27.976028575921305</v>
      </c>
      <c r="M124" s="11">
        <f t="shared" si="26"/>
        <v>44.773401905214428</v>
      </c>
      <c r="N124" s="10">
        <f t="shared" si="26"/>
        <v>1735.6302331170546</v>
      </c>
    </row>
    <row r="125" spans="2:14" x14ac:dyDescent="0.35">
      <c r="B125" s="9" t="s">
        <v>113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5">
      <c r="B126" s="9" t="s">
        <v>3</v>
      </c>
      <c r="C126" s="11">
        <f>C116</f>
        <v>24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5">
      <c r="B127" s="9" t="s">
        <v>114</v>
      </c>
      <c r="C127" s="11">
        <f>C117</f>
        <v>19.97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5">
      <c r="B128" s="9" t="s">
        <v>115</v>
      </c>
      <c r="C128" s="11">
        <f>SUM(C126:C127)</f>
        <v>43.97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5">
      <c r="B129" s="9" t="s">
        <v>116</v>
      </c>
      <c r="C129" s="11">
        <f>C122-C128</f>
        <v>0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9"/>
    </row>
    <row r="133" spans="2:14" x14ac:dyDescent="0.35">
      <c r="C133" s="132">
        <f>C127+C95+C53+C21</f>
        <v>75.36</v>
      </c>
    </row>
  </sheetData>
  <mergeCells count="4">
    <mergeCell ref="C4:D4"/>
    <mergeCell ref="C36:D36"/>
    <mergeCell ref="C68:D68"/>
    <mergeCell ref="C100:D10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1"/>
  <sheetViews>
    <sheetView tabSelected="1" topLeftCell="B1" workbookViewId="0">
      <selection activeCell="D14" sqref="D14"/>
    </sheetView>
  </sheetViews>
  <sheetFormatPr defaultRowHeight="14.5" x14ac:dyDescent="0.35"/>
  <cols>
    <col min="2" max="2" width="44.453125" customWidth="1"/>
    <col min="3" max="4" width="8.7265625" customWidth="1"/>
    <col min="5" max="5" width="11.453125" customWidth="1"/>
    <col min="6" max="6" width="11.7265625" customWidth="1"/>
    <col min="7" max="7" width="12.453125" customWidth="1"/>
    <col min="8" max="8" width="10.7265625" customWidth="1"/>
    <col min="9" max="9" width="11.54296875" customWidth="1"/>
    <col min="10" max="10" width="10.7265625" customWidth="1"/>
    <col min="11" max="13" width="11" customWidth="1"/>
    <col min="14" max="14" width="11.81640625" bestFit="1" customWidth="1"/>
    <col min="15" max="15" width="9.7265625" hidden="1" customWidth="1"/>
  </cols>
  <sheetData>
    <row r="2" spans="2:15" x14ac:dyDescent="0.35">
      <c r="B2" s="1" t="s">
        <v>120</v>
      </c>
      <c r="N2" s="60" t="s">
        <v>156</v>
      </c>
    </row>
    <row r="3" spans="2:15" x14ac:dyDescent="0.35">
      <c r="B3" s="73" t="s">
        <v>119</v>
      </c>
      <c r="C3" s="168" t="s">
        <v>93</v>
      </c>
      <c r="D3" s="168"/>
      <c r="E3" s="112" t="s">
        <v>94</v>
      </c>
      <c r="F3" s="112" t="s">
        <v>95</v>
      </c>
      <c r="G3" s="112" t="s">
        <v>96</v>
      </c>
      <c r="H3" s="112" t="s">
        <v>97</v>
      </c>
      <c r="I3" s="112" t="s">
        <v>98</v>
      </c>
      <c r="J3" s="112" t="s">
        <v>99</v>
      </c>
      <c r="K3" s="112" t="s">
        <v>100</v>
      </c>
      <c r="L3" s="133" t="s">
        <v>303</v>
      </c>
      <c r="M3" s="133" t="s">
        <v>304</v>
      </c>
      <c r="N3" s="73" t="s">
        <v>104</v>
      </c>
    </row>
    <row r="4" spans="2:15" ht="43.5" x14ac:dyDescent="0.35">
      <c r="B4" s="109" t="s">
        <v>33</v>
      </c>
      <c r="C4" s="111" t="s">
        <v>101</v>
      </c>
      <c r="D4" s="111" t="s">
        <v>102</v>
      </c>
      <c r="E4" s="111" t="s">
        <v>102</v>
      </c>
      <c r="F4" s="111" t="s">
        <v>102</v>
      </c>
      <c r="G4" s="111" t="s">
        <v>102</v>
      </c>
      <c r="H4" s="111" t="s">
        <v>102</v>
      </c>
      <c r="I4" s="111" t="s">
        <v>102</v>
      </c>
      <c r="J4" s="111" t="s">
        <v>102</v>
      </c>
      <c r="K4" s="111" t="s">
        <v>102</v>
      </c>
      <c r="L4" s="111" t="s">
        <v>102</v>
      </c>
      <c r="M4" s="111" t="s">
        <v>102</v>
      </c>
      <c r="N4" s="73"/>
    </row>
    <row r="5" spans="2:15" x14ac:dyDescent="0.3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15" x14ac:dyDescent="0.35">
      <c r="B6" s="23" t="s">
        <v>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2:15" x14ac:dyDescent="0.35">
      <c r="B7" s="9" t="s">
        <v>9</v>
      </c>
      <c r="C7" s="11">
        <f>SUM('Location- PL'!C9,'Location- PL'!C41)</f>
        <v>0</v>
      </c>
      <c r="D7" s="11">
        <f>SUM('Location- PL'!D9,'Location- PL'!D41,'Location- PL'!D73,'Location- PL'!D105)</f>
        <v>37.5</v>
      </c>
      <c r="E7" s="11">
        <f>SUM('Location- PL'!E9,'Location- PL'!E41,'Location- PL'!E73,'Location- PL'!E105)</f>
        <v>605</v>
      </c>
      <c r="F7" s="11">
        <f>SUM('Location- PL'!F9,'Location- PL'!F41,'Location- PL'!F73,'Location- PL'!F105)</f>
        <v>635.25</v>
      </c>
      <c r="G7" s="11">
        <f>SUM('Location- PL'!G9,'Location- PL'!G41,'Location- PL'!G73,'Location- PL'!G105)</f>
        <v>667.01250000000005</v>
      </c>
      <c r="H7" s="11">
        <f>SUM('Location- PL'!H9,'Location- PL'!H41,'Location- PL'!H73,'Location- PL'!H105)</f>
        <v>700.36312500000008</v>
      </c>
      <c r="I7" s="11">
        <f>SUM('Location- PL'!I9,'Location- PL'!I41,'Location- PL'!I73,'Location- PL'!I105)</f>
        <v>735.38128125000003</v>
      </c>
      <c r="J7" s="11">
        <f>SUM('Location- PL'!J9,'Location- PL'!J41,'Location- PL'!J73,'Location- PL'!J105)</f>
        <v>772.15034531250001</v>
      </c>
      <c r="K7" s="11">
        <f>SUM('Location- PL'!K9,'Location- PL'!K41,'Location- PL'!K73,'Location- PL'!K105)</f>
        <v>810.7578625781249</v>
      </c>
      <c r="L7" s="11">
        <f>SUM('Location- PL'!L9,'Location- PL'!L41,'Location- PL'!L73,'Location- PL'!L105)</f>
        <v>851.2957557070315</v>
      </c>
      <c r="M7" s="11">
        <f>SUM('Location- PL'!M9,'Location- PL'!M41,'Location- PL'!M73,'Location- PL'!M105)</f>
        <v>893.86054349238293</v>
      </c>
      <c r="N7" s="52">
        <f t="shared" ref="N7:N13" si="0">SUM(D7:M7)</f>
        <v>6708.5714133400397</v>
      </c>
      <c r="O7" s="8" t="e">
        <f>SUM('Location- PL'!N9,'Location- PL'!N41,'Location- PL'!#REF!,'Location- PL'!#REF!,'Location- PL'!#REF!)</f>
        <v>#REF!</v>
      </c>
    </row>
    <row r="8" spans="2:15" x14ac:dyDescent="0.35">
      <c r="B8" s="9" t="s">
        <v>11</v>
      </c>
      <c r="C8" s="11">
        <f>SUM('Location- PL'!C10,'Location- PL'!C42)</f>
        <v>0</v>
      </c>
      <c r="D8" s="11">
        <f>SUM('Location- PL'!D10,'Location- PL'!D42,'Location- PL'!D74,'Location- PL'!D106)</f>
        <v>1.5</v>
      </c>
      <c r="E8" s="11">
        <f>SUM('Location- PL'!E10,'Location- PL'!E42,'Location- PL'!E74,'Location- PL'!E106)</f>
        <v>24.200000000000003</v>
      </c>
      <c r="F8" s="11">
        <f>SUM('Location- PL'!F10,'Location- PL'!F42,'Location- PL'!F74,'Location- PL'!F106)</f>
        <v>25.41</v>
      </c>
      <c r="G8" s="11">
        <f>SUM('Location- PL'!G10,'Location- PL'!G42,'Location- PL'!G74,'Location- PL'!G106)</f>
        <v>26.680500000000002</v>
      </c>
      <c r="H8" s="11">
        <f>SUM('Location- PL'!H10,'Location- PL'!H42,'Location- PL'!H74,'Location- PL'!H106)</f>
        <v>28.014525000000006</v>
      </c>
      <c r="I8" s="11">
        <f>SUM('Location- PL'!I10,'Location- PL'!I42,'Location- PL'!I74,'Location- PL'!I106)</f>
        <v>29.415251250000001</v>
      </c>
      <c r="J8" s="11">
        <f>SUM('Location- PL'!J10,'Location- PL'!J42,'Location- PL'!J74,'Location- PL'!J106)</f>
        <v>30.886013812500003</v>
      </c>
      <c r="K8" s="11">
        <f>SUM('Location- PL'!K10,'Location- PL'!K42,'Location- PL'!K74,'Location- PL'!K106)</f>
        <v>32.430314503125004</v>
      </c>
      <c r="L8" s="11">
        <f>SUM('Location- PL'!L10,'Location- PL'!L42,'Location- PL'!L74,'Location- PL'!L106)</f>
        <v>34.051830228281261</v>
      </c>
      <c r="M8" s="11">
        <f>SUM('Location- PL'!M10,'Location- PL'!M42,'Location- PL'!M74,'Location- PL'!M106)</f>
        <v>35.754421739695317</v>
      </c>
      <c r="N8" s="52">
        <f t="shared" si="0"/>
        <v>268.3428565336016</v>
      </c>
      <c r="O8" s="8" t="e">
        <f>SUM('Location- PL'!N10,'Location- PL'!N42,'Location- PL'!#REF!,'Location- PL'!#REF!,'Location- PL'!#REF!)</f>
        <v>#REF!</v>
      </c>
    </row>
    <row r="9" spans="2:15" x14ac:dyDescent="0.35">
      <c r="B9" s="9" t="s">
        <v>12</v>
      </c>
      <c r="C9" s="11">
        <f>SUM('Location- PL'!C11,'Location- PL'!C43)</f>
        <v>0</v>
      </c>
      <c r="D9" s="11">
        <f>SUM('Location- PL'!D11,'Location- PL'!D43,'Location- PL'!D75,'Location- PL'!D107)</f>
        <v>60</v>
      </c>
      <c r="E9" s="11">
        <f>SUM('Location- PL'!E11,'Location- PL'!E43,'Location- PL'!E75,'Location- PL'!E107)</f>
        <v>973.5</v>
      </c>
      <c r="F9" s="11">
        <f>SUM('Location- PL'!F11,'Location- PL'!F43,'Location- PL'!F75,'Location- PL'!F107)</f>
        <v>1046.5125</v>
      </c>
      <c r="G9" s="11">
        <f>SUM('Location- PL'!G11,'Location- PL'!G43,'Location- PL'!G75,'Location- PL'!G107)</f>
        <v>1125.0009374999997</v>
      </c>
      <c r="H9" s="11">
        <f>SUM('Location- PL'!H11,'Location- PL'!H43,'Location- PL'!H75,'Location- PL'!H107)</f>
        <v>1209.3760078124997</v>
      </c>
      <c r="I9" s="11">
        <f>SUM('Location- PL'!I11,'Location- PL'!I43,'Location- PL'!I75,'Location- PL'!I107)</f>
        <v>1300.0792083984375</v>
      </c>
      <c r="J9" s="11">
        <f>SUM('Location- PL'!J11,'Location- PL'!J43,'Location- PL'!J75,'Location- PL'!J107)</f>
        <v>1397.5851490283201</v>
      </c>
      <c r="K9" s="11">
        <f>SUM('Location- PL'!K11,'Location- PL'!K43,'Location- PL'!K75,'Location- PL'!K107)</f>
        <v>1502.404035205444</v>
      </c>
      <c r="L9" s="11">
        <f>SUM('Location- PL'!L11,'Location- PL'!L43,'Location- PL'!L75,'Location- PL'!L107)</f>
        <v>1615.0843378458526</v>
      </c>
      <c r="M9" s="11">
        <f>SUM('Location- PL'!M11,'Location- PL'!M43,'Location- PL'!M75,'Location- PL'!M107)</f>
        <v>1705.4195635219762</v>
      </c>
      <c r="N9" s="52">
        <f t="shared" si="0"/>
        <v>11934.96173931253</v>
      </c>
      <c r="O9" s="8" t="e">
        <f>SUM('Location- PL'!N11,'Location- PL'!N43,'Location- PL'!#REF!,'Location- PL'!#REF!,'Location- PL'!#REF!)</f>
        <v>#REF!</v>
      </c>
    </row>
    <row r="10" spans="2:15" x14ac:dyDescent="0.35">
      <c r="B10" s="9" t="s">
        <v>106</v>
      </c>
      <c r="C10" s="11">
        <f>SUM('Location- PL'!C12,'Location- PL'!C44)</f>
        <v>0</v>
      </c>
      <c r="D10" s="11">
        <f>SUM('Location- PL'!D12,'Location- PL'!D44,'Location- PL'!D76,'Location- PL'!D108)</f>
        <v>6</v>
      </c>
      <c r="E10" s="11">
        <f>SUM('Location- PL'!E12,'Location- PL'!E44,'Location- PL'!E76,'Location- PL'!E108)</f>
        <v>97.35</v>
      </c>
      <c r="F10" s="11">
        <f>SUM('Location- PL'!F12,'Location- PL'!F44,'Location- PL'!F76,'Location- PL'!F108)</f>
        <v>104.65125</v>
      </c>
      <c r="G10" s="11">
        <f>SUM('Location- PL'!G12,'Location- PL'!G44,'Location- PL'!G76,'Location- PL'!G108)</f>
        <v>112.50009375</v>
      </c>
      <c r="H10" s="11">
        <f>SUM('Location- PL'!H12,'Location- PL'!H44,'Location- PL'!H76,'Location- PL'!H108)</f>
        <v>120.93760078124998</v>
      </c>
      <c r="I10" s="11">
        <f>SUM('Location- PL'!I12,'Location- PL'!I44,'Location- PL'!I76,'Location- PL'!I108)</f>
        <v>130.00792083984376</v>
      </c>
      <c r="J10" s="11">
        <f>SUM('Location- PL'!J12,'Location- PL'!J44,'Location- PL'!J76,'Location- PL'!J108)</f>
        <v>139.75851490283205</v>
      </c>
      <c r="K10" s="11">
        <f>SUM('Location- PL'!K12,'Location- PL'!K44,'Location- PL'!K76,'Location- PL'!K108)</f>
        <v>150.24040352054442</v>
      </c>
      <c r="L10" s="11">
        <f>SUM('Location- PL'!L12,'Location- PL'!L44,'Location- PL'!L76,'Location- PL'!L108)</f>
        <v>161.50843378458526</v>
      </c>
      <c r="M10" s="11">
        <f>SUM('Location- PL'!M12,'Location- PL'!M44,'Location- PL'!M76,'Location- PL'!M108)</f>
        <v>170.54195635219764</v>
      </c>
      <c r="N10" s="52">
        <f t="shared" si="0"/>
        <v>1193.496173931253</v>
      </c>
      <c r="O10" s="8" t="e">
        <f>SUM('Location- PL'!N12,'Location- PL'!N44,'Location- PL'!#REF!,'Location- PL'!#REF!,'Location- PL'!#REF!)</f>
        <v>#REF!</v>
      </c>
    </row>
    <row r="11" spans="2:15" x14ac:dyDescent="0.35">
      <c r="B11" s="9" t="s">
        <v>107</v>
      </c>
      <c r="C11" s="11">
        <f>SUM('Location- PL'!C13,'Location- PL'!C45)</f>
        <v>0</v>
      </c>
      <c r="D11" s="11">
        <f>SUM('Location- PL'!D13,'Location- PL'!D45,'Location- PL'!D77,'Location- PL'!D109)</f>
        <v>63.65</v>
      </c>
      <c r="E11" s="11">
        <f>SUM('Location- PL'!E13,'Location- PL'!E45,'Location- PL'!E77,'Location- PL'!E109)</f>
        <v>1232.568</v>
      </c>
      <c r="F11" s="11">
        <f>SUM('Location- PL'!F13,'Location- PL'!F45,'Location- PL'!F77,'Location- PL'!F109)</f>
        <v>1232.568</v>
      </c>
      <c r="G11" s="11">
        <f>SUM('Location- PL'!G13,'Location- PL'!G45,'Location- PL'!G77,'Location- PL'!G109)</f>
        <v>1232.568</v>
      </c>
      <c r="H11" s="11">
        <f>SUM('Location- PL'!H13,'Location- PL'!H45,'Location- PL'!H77,'Location- PL'!H109)</f>
        <v>1232.568</v>
      </c>
      <c r="I11" s="11">
        <f>SUM('Location- PL'!I13,'Location- PL'!I45,'Location- PL'!I77,'Location- PL'!I109)</f>
        <v>1232.568</v>
      </c>
      <c r="J11" s="11">
        <f>SUM('Location- PL'!J13,'Location- PL'!J45,'Location- PL'!J77,'Location- PL'!J109)</f>
        <v>1232.568</v>
      </c>
      <c r="K11" s="11">
        <f>SUM('Location- PL'!K13,'Location- PL'!K45,'Location- PL'!K77,'Location- PL'!K109)</f>
        <v>1168.9179999999999</v>
      </c>
      <c r="L11" s="11">
        <f>SUM('Location- PL'!L13,'Location- PL'!L45,'Location- PL'!L77,'Location- PL'!L109)</f>
        <v>0</v>
      </c>
      <c r="M11" s="11">
        <f>SUM('Location- PL'!M13,'Location- PL'!M45,'Location- PL'!M77,'Location- PL'!M109)</f>
        <v>0</v>
      </c>
      <c r="N11" s="52">
        <f t="shared" si="0"/>
        <v>8627.9760000000006</v>
      </c>
      <c r="O11" s="8" t="e">
        <f>SUM('Location- PL'!N13,'Location- PL'!N45,'Location- PL'!#REF!,'Location- PL'!#REF!,'Location- PL'!#REF!)</f>
        <v>#REF!</v>
      </c>
    </row>
    <row r="12" spans="2:15" x14ac:dyDescent="0.35">
      <c r="B12" s="9" t="s">
        <v>288</v>
      </c>
      <c r="C12" s="11"/>
      <c r="D12" s="11">
        <f>SUM('Location- PL'!D14,'Location- PL'!D46,'Location- PL'!D78,'Location- PL'!D110)</f>
        <v>30</v>
      </c>
      <c r="E12" s="11">
        <f>SUM('Location- PL'!E14,'Location- PL'!E46,'Location- PL'!E78,'Location- PL'!E110)</f>
        <v>488</v>
      </c>
      <c r="F12" s="11">
        <f>SUM('Location- PL'!F14,'Location- PL'!F46,'Location- PL'!F78,'Location- PL'!F110)</f>
        <v>512.4</v>
      </c>
      <c r="G12" s="11">
        <f>SUM('Location- PL'!G14,'Location- PL'!G46,'Location- PL'!G78,'Location- PL'!G110)</f>
        <v>538.02</v>
      </c>
      <c r="H12" s="11">
        <f>SUM('Location- PL'!H14,'Location- PL'!H46,'Location- PL'!H78,'Location- PL'!H110)</f>
        <v>564.92100000000005</v>
      </c>
      <c r="I12" s="11">
        <f>SUM('Location- PL'!I14,'Location- PL'!I46,'Location- PL'!I78,'Location- PL'!I110)</f>
        <v>593.16705000000002</v>
      </c>
      <c r="J12" s="11">
        <f>SUM('Location- PL'!J14,'Location- PL'!J46,'Location- PL'!J78,'Location- PL'!J110)</f>
        <v>622.82540250000011</v>
      </c>
      <c r="K12" s="11">
        <f>SUM('Location- PL'!K14,'Location- PL'!K46,'Location- PL'!K78,'Location- PL'!K110)</f>
        <v>653.966672625</v>
      </c>
      <c r="L12" s="11">
        <f>SUM('Location- PL'!L14,'Location- PL'!L46,'Location- PL'!L78,'Location- PL'!L110)</f>
        <v>686.66500625625019</v>
      </c>
      <c r="M12" s="11">
        <f>SUM('Location- PL'!M14,'Location- PL'!M46,'Location- PL'!M78,'Location- PL'!M110)</f>
        <v>720.99825656906251</v>
      </c>
      <c r="N12" s="52">
        <f t="shared" si="0"/>
        <v>5410.9633879503135</v>
      </c>
      <c r="O12" s="8"/>
    </row>
    <row r="13" spans="2:15" x14ac:dyDescent="0.35">
      <c r="B13" s="9" t="s">
        <v>291</v>
      </c>
      <c r="C13" s="11"/>
      <c r="D13" s="11">
        <f>SUM('Location- PL'!D15,'Location- PL'!D47,'Location- PL'!D79,'Location- PL'!D111)</f>
        <v>1.2000000000000002</v>
      </c>
      <c r="E13" s="11">
        <f>SUM('Location- PL'!E15,'Location- PL'!E47,'Location- PL'!E79,'Location- PL'!E111)</f>
        <v>19.52</v>
      </c>
      <c r="F13" s="11">
        <f>SUM('Location- PL'!F15,'Location- PL'!F47,'Location- PL'!F79,'Location- PL'!F111)</f>
        <v>20.495999999999999</v>
      </c>
      <c r="G13" s="11">
        <f>SUM('Location- PL'!G15,'Location- PL'!G47,'Location- PL'!G79,'Location- PL'!G111)</f>
        <v>21.520800000000001</v>
      </c>
      <c r="H13" s="11">
        <f>SUM('Location- PL'!H15,'Location- PL'!H47,'Location- PL'!H79,'Location- PL'!H111)</f>
        <v>22.596840000000004</v>
      </c>
      <c r="I13" s="11">
        <f>SUM('Location- PL'!I15,'Location- PL'!I47,'Location- PL'!I79,'Location- PL'!I111)</f>
        <v>23.726682</v>
      </c>
      <c r="J13" s="11">
        <f>SUM('Location- PL'!J15,'Location- PL'!J47,'Location- PL'!J79,'Location- PL'!J111)</f>
        <v>24.913016100000004</v>
      </c>
      <c r="K13" s="11">
        <f>SUM('Location- PL'!K15,'Location- PL'!K47,'Location- PL'!K79,'Location- PL'!K111)</f>
        <v>26.158666905</v>
      </c>
      <c r="L13" s="11">
        <f>SUM('Location- PL'!L15,'Location- PL'!L47,'Location- PL'!L79,'Location- PL'!L111)</f>
        <v>27.466600250250007</v>
      </c>
      <c r="M13" s="11">
        <f>SUM('Location- PL'!M15,'Location- PL'!M47,'Location- PL'!M79,'Location- PL'!M111)</f>
        <v>28.8399302627625</v>
      </c>
      <c r="N13" s="52">
        <f t="shared" si="0"/>
        <v>216.43853551801249</v>
      </c>
      <c r="O13" s="8"/>
    </row>
    <row r="14" spans="2:15" ht="15" thickBot="1" x14ac:dyDescent="0.4">
      <c r="B14" s="23" t="s">
        <v>5</v>
      </c>
      <c r="C14" s="9"/>
      <c r="D14" s="52">
        <f>SUM(D7:D13)</f>
        <v>199.85</v>
      </c>
      <c r="E14" s="52">
        <f t="shared" ref="E14:M14" si="1">SUM(E7:E13)</f>
        <v>3440.1379999999999</v>
      </c>
      <c r="F14" s="52">
        <f t="shared" si="1"/>
        <v>3577.28775</v>
      </c>
      <c r="G14" s="52">
        <f t="shared" si="1"/>
        <v>3723.3028312499991</v>
      </c>
      <c r="H14" s="52">
        <f t="shared" si="1"/>
        <v>3878.7770985937505</v>
      </c>
      <c r="I14" s="52">
        <f t="shared" si="1"/>
        <v>4044.3453937382815</v>
      </c>
      <c r="J14" s="52">
        <f t="shared" si="1"/>
        <v>4220.6864416561521</v>
      </c>
      <c r="K14" s="52">
        <f t="shared" si="1"/>
        <v>4344.8759553372383</v>
      </c>
      <c r="L14" s="52">
        <f t="shared" si="1"/>
        <v>3376.0719640722505</v>
      </c>
      <c r="M14" s="52">
        <f t="shared" si="1"/>
        <v>3555.4146719380774</v>
      </c>
      <c r="N14" s="52">
        <f>SUM(N7:N13)</f>
        <v>34360.75010658575</v>
      </c>
      <c r="O14" s="53" t="e">
        <f t="shared" ref="O14" si="2">SUM(O7:O11)</f>
        <v>#REF!</v>
      </c>
    </row>
    <row r="15" spans="2:15" ht="15" thickTop="1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5" x14ac:dyDescent="0.35">
      <c r="B16" s="23" t="s">
        <v>117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7" x14ac:dyDescent="0.35">
      <c r="B17" s="9" t="s">
        <v>9</v>
      </c>
      <c r="C17" s="11">
        <f>SUM('Location- PL'!C19,'Location- PL'!C51)</f>
        <v>0</v>
      </c>
      <c r="D17" s="11">
        <f>SUM('Location- PL'!D19,'Location- PL'!D51,'Location- PL'!D83,'Location- PL'!D115)</f>
        <v>37.5</v>
      </c>
      <c r="E17" s="11">
        <f>SUM('Location- PL'!E19,'Location- PL'!E51,'Location- PL'!E83,'Location- PL'!E115)</f>
        <v>605</v>
      </c>
      <c r="F17" s="11">
        <f>SUM('Location- PL'!F19,'Location- PL'!F51,'Location- PL'!F83,'Location- PL'!F115)</f>
        <v>635.25</v>
      </c>
      <c r="G17" s="11">
        <f>SUM('Location- PL'!G19,'Location- PL'!G51,'Location- PL'!G83,'Location- PL'!G115)</f>
        <v>667.01250000000005</v>
      </c>
      <c r="H17" s="11">
        <f>SUM('Location- PL'!H19,'Location- PL'!H51,'Location- PL'!H83,'Location- PL'!H115)</f>
        <v>700.36312500000008</v>
      </c>
      <c r="I17" s="11">
        <f>SUM('Location- PL'!I19,'Location- PL'!I51,'Location- PL'!I83,'Location- PL'!I115)</f>
        <v>735.38128125000003</v>
      </c>
      <c r="J17" s="11">
        <f>SUM('Location- PL'!J19,'Location- PL'!J51,'Location- PL'!J83,'Location- PL'!J115)</f>
        <v>772.15034531250001</v>
      </c>
      <c r="K17" s="11">
        <f>SUM('Location- PL'!K19,'Location- PL'!K51,'Location- PL'!K83,'Location- PL'!K115)</f>
        <v>810.7578625781249</v>
      </c>
      <c r="L17" s="11">
        <f>SUM('Location- PL'!L19,'Location- PL'!L51,'Location- PL'!L83,'Location- PL'!L115)</f>
        <v>851.2957557070315</v>
      </c>
      <c r="M17" s="11">
        <f>SUM('Location- PL'!M19,'Location- PL'!M51,'Location- PL'!M83,'Location- PL'!M115)</f>
        <v>893.86054349238293</v>
      </c>
      <c r="N17" s="52">
        <f t="shared" ref="N17:N23" si="3">SUM(D17:M17)</f>
        <v>6708.5714133400397</v>
      </c>
      <c r="O17" s="8" t="e">
        <f>SUM('Location- PL'!N19,'Location- PL'!N51,'Location- PL'!#REF!,'Location- PL'!#REF!,'Location- PL'!#REF!)</f>
        <v>#REF!</v>
      </c>
      <c r="P17" s="8">
        <f>I17+I21</f>
        <v>831.38128125000003</v>
      </c>
      <c r="Q17" s="8">
        <f>I17+I21</f>
        <v>831.38128125000003</v>
      </c>
    </row>
    <row r="18" spans="2:17" x14ac:dyDescent="0.35">
      <c r="B18" s="9" t="s">
        <v>12</v>
      </c>
      <c r="C18" s="11">
        <f>SUM('Location- PL'!C20,'Location- PL'!C52)</f>
        <v>48</v>
      </c>
      <c r="D18" s="11">
        <f>SUM('Location- PL'!D20,'Location- PL'!D52,'Location- PL'!D84,'Location- PL'!D116)</f>
        <v>48</v>
      </c>
      <c r="E18" s="11">
        <f>SUM('Location- PL'!E20,'Location- PL'!E52,'Location- PL'!E84,'Location- PL'!E116)</f>
        <v>778.8</v>
      </c>
      <c r="F18" s="11">
        <f>SUM('Location- PL'!F20,'Location- PL'!F52,'Location- PL'!F84,'Location- PL'!F116)</f>
        <v>837.21</v>
      </c>
      <c r="G18" s="11">
        <f>SUM('Location- PL'!G20,'Location- PL'!G52,'Location- PL'!G84,'Location- PL'!G116)</f>
        <v>900.00075000000004</v>
      </c>
      <c r="H18" s="11">
        <f>SUM('Location- PL'!H20,'Location- PL'!H52,'Location- PL'!H84,'Location- PL'!H116)</f>
        <v>967.50080624999987</v>
      </c>
      <c r="I18" s="11">
        <f>SUM('Location- PL'!I20,'Location- PL'!I52,'Location- PL'!I84,'Location- PL'!I116)</f>
        <v>1040.0633667187501</v>
      </c>
      <c r="J18" s="11">
        <f>SUM('Location- PL'!J20,'Location- PL'!J52,'Location- PL'!J84,'Location- PL'!J116)</f>
        <v>1118.0681192226564</v>
      </c>
      <c r="K18" s="11">
        <f>SUM('Location- PL'!K20,'Location- PL'!K52,'Location- PL'!K84,'Location- PL'!K116)</f>
        <v>1201.9232281643554</v>
      </c>
      <c r="L18" s="11">
        <f>SUM('Location- PL'!L20,'Location- PL'!L52,'Location- PL'!L84,'Location- PL'!L116)</f>
        <v>1292.0674702766821</v>
      </c>
      <c r="M18" s="11">
        <f>SUM('Location- PL'!M20,'Location- PL'!M52,'Location- PL'!M84,'Location- PL'!M116)</f>
        <v>1364.3356508175812</v>
      </c>
      <c r="N18" s="52">
        <f t="shared" si="3"/>
        <v>9547.969391450024</v>
      </c>
      <c r="O18" s="8" t="e">
        <f>SUM('Location- PL'!N20,'Location- PL'!N52,'Location- PL'!#REF!,'Location- PL'!#REF!,'Location- PL'!#REF!)</f>
        <v>#REF!</v>
      </c>
    </row>
    <row r="19" spans="2:17" x14ac:dyDescent="0.35">
      <c r="B19" s="9" t="s">
        <v>15</v>
      </c>
      <c r="C19" s="11">
        <f>SUM('Location- PL'!C21,'Location- PL'!C53)</f>
        <v>35.42</v>
      </c>
      <c r="D19" s="11">
        <f>SUM('Location- PL'!D21,'Location- PL'!D53,'Location- PL'!D85,'Location- PL'!D117)</f>
        <v>19.640000000000004</v>
      </c>
      <c r="E19" s="11">
        <f>SUM('Location- PL'!E21,'Location- PL'!E53,'Location- PL'!E85,'Location- PL'!E117)</f>
        <v>308.11</v>
      </c>
      <c r="F19" s="11">
        <f>SUM('Location- PL'!F21,'Location- PL'!F53,'Location- PL'!F85,'Location- PL'!F117)</f>
        <v>255.59</v>
      </c>
      <c r="G19" s="11">
        <f>SUM('Location- PL'!G21,'Location- PL'!G53,'Location- PL'!G85,'Location- PL'!G117)</f>
        <v>201.56</v>
      </c>
      <c r="H19" s="11">
        <f>SUM('Location- PL'!H21,'Location- PL'!H53,'Location- PL'!H85,'Location- PL'!H117)</f>
        <v>147.55000000000001</v>
      </c>
      <c r="I19" s="11">
        <f>SUM('Location- PL'!I21,'Location- PL'!I53,'Location- PL'!I85,'Location- PL'!I117)</f>
        <v>93.57</v>
      </c>
      <c r="J19" s="11">
        <f>SUM('Location- PL'!J21,'Location- PL'!J53,'Location- PL'!J85,'Location- PL'!J117)</f>
        <v>39.56</v>
      </c>
      <c r="K19" s="11">
        <f>SUM('Location- PL'!K21,'Location- PL'!K53,'Location- PL'!K85,'Location- PL'!K117)</f>
        <v>1.52</v>
      </c>
      <c r="L19" s="11">
        <f>SUM('Location- PL'!L21,'Location- PL'!L53,'Location- PL'!L85,'Location- PL'!L117)</f>
        <v>0</v>
      </c>
      <c r="M19" s="11">
        <f>SUM('Location- PL'!M21,'Location- PL'!M53,'Location- PL'!M85,'Location- PL'!M117)</f>
        <v>0</v>
      </c>
      <c r="N19" s="52">
        <f t="shared" si="3"/>
        <v>1067.0999999999999</v>
      </c>
      <c r="O19" s="8" t="e">
        <f>SUM('Location- PL'!N21,'Location- PL'!N53,'Location- PL'!#REF!,'Location- PL'!#REF!,'Location- PL'!#REF!)</f>
        <v>#REF!</v>
      </c>
    </row>
    <row r="20" spans="2:17" x14ac:dyDescent="0.35">
      <c r="B20" s="9" t="s">
        <v>16</v>
      </c>
      <c r="C20" s="11">
        <f>SUM('Location- PL'!C22,'Location- PL'!C54)</f>
        <v>0</v>
      </c>
      <c r="D20" s="11">
        <f>SUM('Location- PL'!D22,'Location- PL'!D54,'Location- PL'!D86,'Location- PL'!D118)</f>
        <v>43.75</v>
      </c>
      <c r="E20" s="11">
        <f>SUM('Location- PL'!E22,'Location- PL'!E54,'Location- PL'!E86,'Location- PL'!E118)</f>
        <v>713.4375</v>
      </c>
      <c r="F20" s="11">
        <f>SUM('Location- PL'!F22,'Location- PL'!F54,'Location- PL'!F86,'Location- PL'!F118)</f>
        <v>606.421875</v>
      </c>
      <c r="G20" s="11">
        <f>SUM('Location- PL'!G22,'Location- PL'!G54,'Location- PL'!G86,'Location- PL'!G118)</f>
        <v>515.45859374999998</v>
      </c>
      <c r="H20" s="11">
        <f>SUM('Location- PL'!H22,'Location- PL'!H54,'Location- PL'!H86,'Location- PL'!H118)</f>
        <v>438.13980468750003</v>
      </c>
      <c r="I20" s="11">
        <f>SUM('Location- PL'!I22,'Location- PL'!I54,'Location- PL'!I86,'Location- PL'!I118)</f>
        <v>372.41883398437494</v>
      </c>
      <c r="J20" s="11">
        <f>SUM('Location- PL'!J22,'Location- PL'!J54,'Location- PL'!J86,'Location- PL'!J118)</f>
        <v>316.5560088867187</v>
      </c>
      <c r="K20" s="11">
        <f>SUM('Location- PL'!K22,'Location- PL'!K54,'Location- PL'!K86,'Location- PL'!K118)</f>
        <v>269.0726075537109</v>
      </c>
      <c r="L20" s="11">
        <f>SUM('Location- PL'!L22,'Location- PL'!L54,'Location- PL'!L86,'Location- PL'!L118)</f>
        <v>228.71171642065428</v>
      </c>
      <c r="M20" s="11">
        <f>SUM('Location- PL'!M22,'Location- PL'!M54,'Location- PL'!M86,'Location- PL'!M118)</f>
        <v>194.40495895755615</v>
      </c>
      <c r="N20" s="52">
        <f t="shared" si="3"/>
        <v>3698.3718992405152</v>
      </c>
      <c r="O20" s="8" t="e">
        <f>SUM('Location- PL'!N22,'Location- PL'!N54,'Location- PL'!#REF!,'Location- PL'!#REF!,'Location- PL'!#REF!)</f>
        <v>#REF!</v>
      </c>
    </row>
    <row r="21" spans="2:17" x14ac:dyDescent="0.35">
      <c r="B21" s="9" t="s">
        <v>220</v>
      </c>
      <c r="C21" s="11"/>
      <c r="D21" s="11">
        <f>SUM('Location- PL'!D23,'Location- PL'!D55,'Location- PL'!D87,'Location- PL'!D119)</f>
        <v>8</v>
      </c>
      <c r="E21" s="11">
        <f>SUM('Location- PL'!E23,'Location- PL'!E55,'Location- PL'!E87,'Location- PL'!E119)</f>
        <v>96</v>
      </c>
      <c r="F21" s="11">
        <f>SUM('Location- PL'!F23,'Location- PL'!F55,'Location- PL'!F87,'Location- PL'!F119)</f>
        <v>96</v>
      </c>
      <c r="G21" s="11">
        <f>SUM('Location- PL'!G23,'Location- PL'!G55,'Location- PL'!G87,'Location- PL'!G119)</f>
        <v>96</v>
      </c>
      <c r="H21" s="11">
        <f>SUM('Location- PL'!H23,'Location- PL'!H55,'Location- PL'!H87,'Location- PL'!H119)</f>
        <v>96</v>
      </c>
      <c r="I21" s="11">
        <f>SUM('Location- PL'!I23,'Location- PL'!I55,'Location- PL'!I87,'Location- PL'!I119)</f>
        <v>96</v>
      </c>
      <c r="J21" s="11">
        <f>SUM('Location- PL'!J23,'Location- PL'!J55,'Location- PL'!J87,'Location- PL'!J119)</f>
        <v>96</v>
      </c>
      <c r="K21" s="11">
        <f>SUM('Location- PL'!K23,'Location- PL'!K55,'Location- PL'!K87,'Location- PL'!K119)</f>
        <v>96</v>
      </c>
      <c r="L21" s="11">
        <f>SUM('Location- PL'!L23,'Location- PL'!L55,'Location- PL'!L87,'Location- PL'!L119)</f>
        <v>96</v>
      </c>
      <c r="M21" s="11">
        <f>SUM('Location- PL'!M23,'Location- PL'!M55,'Location- PL'!M87,'Location- PL'!M119)</f>
        <v>96</v>
      </c>
      <c r="N21" s="52">
        <f t="shared" si="3"/>
        <v>872</v>
      </c>
      <c r="O21" s="8"/>
    </row>
    <row r="22" spans="2:17" x14ac:dyDescent="0.35">
      <c r="B22" s="9" t="s">
        <v>219</v>
      </c>
      <c r="C22" s="11"/>
      <c r="D22" s="11">
        <f>SUM('Location- PL'!D24,'Location- PL'!D56,'Location- PL'!D88,'Location- PL'!D120)</f>
        <v>5.9954999999999998</v>
      </c>
      <c r="E22" s="11">
        <f>SUM('Location- PL'!E24,'Location- PL'!E56,'Location- PL'!E88,'Location- PL'!E120)</f>
        <v>103.20414</v>
      </c>
      <c r="F22" s="11">
        <f>SUM('Location- PL'!F24,'Location- PL'!F56,'Location- PL'!F88,'Location- PL'!F120)</f>
        <v>107.31863249999999</v>
      </c>
      <c r="G22" s="11">
        <f>SUM('Location- PL'!G24,'Location- PL'!G56,'Location- PL'!G88,'Location- PL'!G120)</f>
        <v>111.69908493749999</v>
      </c>
      <c r="H22" s="11">
        <f>SUM('Location- PL'!H24,'Location- PL'!H56,'Location- PL'!H88,'Location- PL'!H120)</f>
        <v>116.3633129578125</v>
      </c>
      <c r="I22" s="11">
        <f>SUM('Location- PL'!I24,'Location- PL'!I56,'Location- PL'!I88,'Location- PL'!I120)</f>
        <v>121.33036181214842</v>
      </c>
      <c r="J22" s="11">
        <f>SUM('Location- PL'!J24,'Location- PL'!J56,'Location- PL'!J88,'Location- PL'!J120)</f>
        <v>126.62059324968456</v>
      </c>
      <c r="K22" s="11">
        <f>SUM('Location- PL'!K24,'Location- PL'!K56,'Location- PL'!K88,'Location- PL'!K120)</f>
        <v>130.34627866011715</v>
      </c>
      <c r="L22" s="11">
        <f>SUM('Location- PL'!L24,'Location- PL'!L56,'Location- PL'!L88,'Location- PL'!L120)</f>
        <v>101.28215892216751</v>
      </c>
      <c r="M22" s="11">
        <f>SUM('Location- PL'!M24,'Location- PL'!M56,'Location- PL'!M88,'Location- PL'!M120)</f>
        <v>106.6624401581423</v>
      </c>
      <c r="N22" s="52">
        <f t="shared" si="3"/>
        <v>1030.8225031975724</v>
      </c>
      <c r="O22" s="8"/>
    </row>
    <row r="23" spans="2:17" x14ac:dyDescent="0.35">
      <c r="B23" s="9" t="s">
        <v>288</v>
      </c>
      <c r="C23" s="11"/>
      <c r="D23" s="11">
        <f>SUM('Location- PL'!D25,'Location- PL'!D57,'Location- PL'!D89,'Location- PL'!D121)</f>
        <v>30</v>
      </c>
      <c r="E23" s="11">
        <f>SUM('Location- PL'!E25,'Location- PL'!E57,'Location- PL'!E89,'Location- PL'!E121)</f>
        <v>488</v>
      </c>
      <c r="F23" s="11">
        <f>SUM('Location- PL'!F25,'Location- PL'!F57,'Location- PL'!F89,'Location- PL'!F121)</f>
        <v>512.4</v>
      </c>
      <c r="G23" s="11">
        <f>SUM('Location- PL'!G25,'Location- PL'!G57,'Location- PL'!G89,'Location- PL'!G121)</f>
        <v>538.02</v>
      </c>
      <c r="H23" s="11">
        <f>SUM('Location- PL'!H25,'Location- PL'!H57,'Location- PL'!H89,'Location- PL'!H121)</f>
        <v>564.92100000000005</v>
      </c>
      <c r="I23" s="11">
        <f>SUM('Location- PL'!I25,'Location- PL'!I57,'Location- PL'!I89,'Location- PL'!I121)</f>
        <v>593.16705000000002</v>
      </c>
      <c r="J23" s="11">
        <f>SUM('Location- PL'!J25,'Location- PL'!J57,'Location- PL'!J89,'Location- PL'!J121)</f>
        <v>622.82540250000011</v>
      </c>
      <c r="K23" s="11">
        <f>SUM('Location- PL'!K25,'Location- PL'!K57,'Location- PL'!K89,'Location- PL'!K121)</f>
        <v>653.966672625</v>
      </c>
      <c r="L23" s="11">
        <f>SUM('Location- PL'!L25,'Location- PL'!L57,'Location- PL'!L89,'Location- PL'!L121)</f>
        <v>686.66500625625019</v>
      </c>
      <c r="M23" s="11">
        <f>SUM('Location- PL'!M25,'Location- PL'!M57,'Location- PL'!M89,'Location- PL'!M121)</f>
        <v>720.99825656906251</v>
      </c>
      <c r="N23" s="52">
        <f t="shared" si="3"/>
        <v>5410.9633879503135</v>
      </c>
      <c r="O23" s="8"/>
    </row>
    <row r="24" spans="2:17" ht="15" thickBot="1" x14ac:dyDescent="0.4">
      <c r="B24" s="23" t="s">
        <v>5</v>
      </c>
      <c r="C24" s="52">
        <f t="shared" ref="C24" si="4">SUM(C17:C22)</f>
        <v>83.42</v>
      </c>
      <c r="D24" s="52">
        <f>SUM(D17:D23)</f>
        <v>192.88549999999998</v>
      </c>
      <c r="E24" s="52">
        <f t="shared" ref="E24:N24" si="5">SUM(E17:E23)</f>
        <v>3092.5516399999997</v>
      </c>
      <c r="F24" s="52">
        <f t="shared" si="5"/>
        <v>3050.1905075000004</v>
      </c>
      <c r="G24" s="52">
        <f t="shared" si="5"/>
        <v>3029.7509286875002</v>
      </c>
      <c r="H24" s="52">
        <f t="shared" si="5"/>
        <v>3030.8380488953126</v>
      </c>
      <c r="I24" s="52">
        <f t="shared" si="5"/>
        <v>3051.9308937652736</v>
      </c>
      <c r="J24" s="52">
        <f t="shared" si="5"/>
        <v>3091.7804691715596</v>
      </c>
      <c r="K24" s="52">
        <f t="shared" si="5"/>
        <v>3163.5866495813079</v>
      </c>
      <c r="L24" s="52">
        <f t="shared" si="5"/>
        <v>3256.0221075827858</v>
      </c>
      <c r="M24" s="52">
        <f t="shared" si="5"/>
        <v>3376.2618499947248</v>
      </c>
      <c r="N24" s="52">
        <f t="shared" si="5"/>
        <v>28335.798595178461</v>
      </c>
      <c r="O24" s="53" t="e">
        <f t="shared" ref="O24" si="6">SUM(O17:O20)</f>
        <v>#REF!</v>
      </c>
    </row>
    <row r="25" spans="2:17" ht="15" thickTop="1" x14ac:dyDescent="0.3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7" x14ac:dyDescent="0.35">
      <c r="B26" s="23" t="s">
        <v>118</v>
      </c>
      <c r="C26" s="52"/>
      <c r="D26" s="52">
        <f t="shared" ref="D26:N26" si="7">D14-D24</f>
        <v>6.9645000000000152</v>
      </c>
      <c r="E26" s="52">
        <f t="shared" si="7"/>
        <v>347.58636000000024</v>
      </c>
      <c r="F26" s="52">
        <f t="shared" si="7"/>
        <v>527.09724249999954</v>
      </c>
      <c r="G26" s="52">
        <f t="shared" si="7"/>
        <v>693.55190256249898</v>
      </c>
      <c r="H26" s="52">
        <f t="shared" si="7"/>
        <v>847.93904969843788</v>
      </c>
      <c r="I26" s="52">
        <f t="shared" si="7"/>
        <v>992.41449997300788</v>
      </c>
      <c r="J26" s="52">
        <f t="shared" si="7"/>
        <v>1128.9059724845924</v>
      </c>
      <c r="K26" s="52">
        <f t="shared" si="7"/>
        <v>1181.2893057559304</v>
      </c>
      <c r="L26" s="52">
        <f t="shared" si="7"/>
        <v>120.04985648946467</v>
      </c>
      <c r="M26" s="52">
        <f t="shared" si="7"/>
        <v>179.15282194335259</v>
      </c>
      <c r="N26" s="52">
        <f t="shared" si="7"/>
        <v>6024.9515114072892</v>
      </c>
      <c r="O26" s="7" t="e">
        <f t="shared" ref="O26" si="8">O14-O24</f>
        <v>#REF!</v>
      </c>
      <c r="P26" s="8">
        <f>'Location- PL'!N60*2</f>
        <v>3094.1447892277047</v>
      </c>
    </row>
    <row r="27" spans="2:17" x14ac:dyDescent="0.35">
      <c r="B27" s="9" t="s">
        <v>113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7" x14ac:dyDescent="0.35">
      <c r="B28" s="9" t="s">
        <v>3</v>
      </c>
      <c r="C28" s="11">
        <f>SUM('Location- PL'!C30,'Location- PL'!C62)</f>
        <v>48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7" x14ac:dyDescent="0.35">
      <c r="B29" s="9" t="s">
        <v>114</v>
      </c>
      <c r="C29" s="11">
        <f>SUM('Location- PL'!C31,'Location- PL'!C63)</f>
        <v>35.42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7" x14ac:dyDescent="0.35">
      <c r="B30" s="9" t="s">
        <v>115</v>
      </c>
      <c r="C30" s="52">
        <f>SUM(C28:C29)</f>
        <v>83.42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7" x14ac:dyDescent="0.35">
      <c r="B31" s="9" t="s">
        <v>116</v>
      </c>
      <c r="C31" s="10">
        <f>C24-C30</f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3" spans="2:15" x14ac:dyDescent="0.35">
      <c r="B33" t="s">
        <v>44</v>
      </c>
      <c r="D33" s="8">
        <f>'Location- PL'!D28</f>
        <v>2.7398399999999725</v>
      </c>
      <c r="E33" s="8">
        <f>'Location- PL'!E28</f>
        <v>27.256139999999959</v>
      </c>
      <c r="F33" s="8">
        <f>'Location- PL'!F28</f>
        <v>68.414357500000051</v>
      </c>
      <c r="G33" s="8">
        <f>'Location- PL'!G28</f>
        <v>106.38064056249993</v>
      </c>
      <c r="H33" s="8">
        <f>'Location- PL'!H28</f>
        <v>141.66612281718744</v>
      </c>
      <c r="I33" s="8">
        <f>'Location- PL'!I28</f>
        <v>174.79260091410151</v>
      </c>
      <c r="J33" s="8">
        <f>'Location- PL'!J28</f>
        <v>206.15490854069037</v>
      </c>
      <c r="K33" s="8">
        <f>'Location- PL'!K28</f>
        <v>196.38762977108115</v>
      </c>
      <c r="L33" s="8">
        <f>'Location- PL'!L28</f>
        <v>37.460267501563635</v>
      </c>
      <c r="M33" s="8">
        <f>'Location- PL'!M28</f>
        <v>45.36614295219897</v>
      </c>
    </row>
    <row r="34" spans="2:15" x14ac:dyDescent="0.35">
      <c r="B34" t="s">
        <v>229</v>
      </c>
      <c r="D34" s="8">
        <f>'Location- PL'!D60</f>
        <v>4.2246600000000001</v>
      </c>
      <c r="E34" s="8">
        <f>'Location- PL'!E60</f>
        <v>84.875019999999836</v>
      </c>
      <c r="F34" s="8">
        <f>'Location- PL'!F60</f>
        <v>133.49632499999984</v>
      </c>
      <c r="G34" s="8">
        <f>'Location- PL'!G60</f>
        <v>178.48047399999984</v>
      </c>
      <c r="H34" s="8">
        <f>'Location- PL'!H60</f>
        <v>220.17537698125011</v>
      </c>
      <c r="I34" s="8">
        <f>'Location- PL'!I60</f>
        <v>259.18355247640625</v>
      </c>
      <c r="J34" s="8">
        <f>'Location- PL'!J60</f>
        <v>295.9769069057146</v>
      </c>
      <c r="K34" s="8">
        <f>'Location- PL'!K60</f>
        <v>299.78267223369721</v>
      </c>
      <c r="L34" s="8">
        <f>'Location- PL'!L60</f>
        <v>26.637531836058542</v>
      </c>
      <c r="M34" s="8">
        <f>'Location- PL'!M60</f>
        <v>44.239875180724312</v>
      </c>
      <c r="N34" s="8"/>
    </row>
    <row r="35" spans="2:15" x14ac:dyDescent="0.35">
      <c r="B35" t="s">
        <v>267</v>
      </c>
      <c r="D35" s="11">
        <f>'Location- PL'!D92</f>
        <v>0</v>
      </c>
      <c r="E35" s="11">
        <f>'Location- PL'!E92</f>
        <v>117.72760000000005</v>
      </c>
      <c r="F35" s="11">
        <f>'Location- PL'!F92</f>
        <v>162.59328000000005</v>
      </c>
      <c r="G35" s="11">
        <f>'Location- PL'!G92</f>
        <v>204.34539400000006</v>
      </c>
      <c r="H35" s="11">
        <f>'Location- PL'!H92</f>
        <v>243.04877495000005</v>
      </c>
      <c r="I35" s="11">
        <f>'Location- PL'!I92</f>
        <v>279.21917329124994</v>
      </c>
      <c r="J35" s="11">
        <f>'Location- PL'!J92</f>
        <v>313.38707851909385</v>
      </c>
      <c r="K35" s="11">
        <f>'Location- PL'!K92</f>
        <v>342.55950187557596</v>
      </c>
      <c r="L35" s="11">
        <f>'Location- PL'!L92</f>
        <v>27.976028575921305</v>
      </c>
      <c r="M35" s="11">
        <f>'Location- PL'!M92</f>
        <v>44.773401905214428</v>
      </c>
      <c r="N35" s="8"/>
      <c r="O35" s="8">
        <f>N34-N35</f>
        <v>0</v>
      </c>
    </row>
    <row r="36" spans="2:15" x14ac:dyDescent="0.35">
      <c r="B36" t="s">
        <v>277</v>
      </c>
      <c r="D36" s="11">
        <f>'Location- PL'!D124</f>
        <v>0</v>
      </c>
      <c r="E36" s="11">
        <f>'Location- PL'!E124</f>
        <v>117.72760000000005</v>
      </c>
      <c r="F36" s="11">
        <f>'Location- PL'!F124</f>
        <v>162.59328000000005</v>
      </c>
      <c r="G36" s="11">
        <f>'Location- PL'!G124</f>
        <v>204.34539400000006</v>
      </c>
      <c r="H36" s="11">
        <f>'Location- PL'!H124</f>
        <v>243.04877495000005</v>
      </c>
      <c r="I36" s="11">
        <f>'Location- PL'!I124</f>
        <v>279.21917329124994</v>
      </c>
      <c r="J36" s="11">
        <f>'Location- PL'!J124</f>
        <v>313.38707851909385</v>
      </c>
      <c r="K36" s="11">
        <f>'Location- PL'!K124</f>
        <v>342.55950187557596</v>
      </c>
      <c r="L36" s="11">
        <f>'Location- PL'!L124</f>
        <v>27.976028575921305</v>
      </c>
      <c r="M36" s="11">
        <f>'Location- PL'!M124</f>
        <v>44.773401905214428</v>
      </c>
      <c r="N36" s="8"/>
      <c r="O36" s="8">
        <f>N35-N36</f>
        <v>0</v>
      </c>
    </row>
    <row r="37" spans="2:15" x14ac:dyDescent="0.35">
      <c r="D37" s="8">
        <f>SUM(D33:D36)</f>
        <v>6.9644999999999726</v>
      </c>
      <c r="E37" s="8">
        <f t="shared" ref="E37:M37" si="9">SUM(E33:E36)</f>
        <v>347.5863599999999</v>
      </c>
      <c r="F37" s="8">
        <f t="shared" si="9"/>
        <v>527.09724249999999</v>
      </c>
      <c r="G37" s="8">
        <f t="shared" si="9"/>
        <v>693.55190256249989</v>
      </c>
      <c r="H37" s="8">
        <f t="shared" si="9"/>
        <v>847.93904969843766</v>
      </c>
      <c r="I37" s="8">
        <f t="shared" si="9"/>
        <v>992.41449997300765</v>
      </c>
      <c r="J37" s="8">
        <f t="shared" si="9"/>
        <v>1128.9059724845927</v>
      </c>
      <c r="K37" s="8">
        <f t="shared" si="9"/>
        <v>1181.2893057559304</v>
      </c>
      <c r="L37" s="8">
        <f t="shared" si="9"/>
        <v>120.04985648946479</v>
      </c>
      <c r="M37" s="8">
        <f t="shared" si="9"/>
        <v>179.15282194335214</v>
      </c>
      <c r="N37" s="8">
        <f>SUM(D37:M37)</f>
        <v>6024.9515114072856</v>
      </c>
      <c r="O37" s="8">
        <f>N36-N37</f>
        <v>-6024.9515114072856</v>
      </c>
    </row>
    <row r="38" spans="2:15" x14ac:dyDescent="0.35">
      <c r="D38" s="132">
        <f>D26-D37</f>
        <v>4.2632564145606011E-14</v>
      </c>
      <c r="E38" s="132">
        <f t="shared" ref="E38:N38" si="10">E26-E37</f>
        <v>0</v>
      </c>
      <c r="F38" s="132">
        <f t="shared" si="10"/>
        <v>0</v>
      </c>
      <c r="G38" s="132">
        <f t="shared" si="10"/>
        <v>-9.0949470177292824E-13</v>
      </c>
      <c r="H38" s="132">
        <f t="shared" si="10"/>
        <v>0</v>
      </c>
      <c r="I38" s="132">
        <f t="shared" si="10"/>
        <v>0</v>
      </c>
      <c r="J38" s="132">
        <f t="shared" si="10"/>
        <v>0</v>
      </c>
      <c r="K38" s="132">
        <f t="shared" si="10"/>
        <v>0</v>
      </c>
      <c r="L38" s="132">
        <f t="shared" si="10"/>
        <v>-1.1368683772161603E-13</v>
      </c>
      <c r="M38" s="132">
        <f t="shared" si="10"/>
        <v>4.5474735088646412E-13</v>
      </c>
      <c r="N38" s="132">
        <f t="shared" si="10"/>
        <v>0</v>
      </c>
      <c r="O38" s="8">
        <f>N37-N38</f>
        <v>6024.9515114072856</v>
      </c>
    </row>
    <row r="39" spans="2:15" x14ac:dyDescent="0.35">
      <c r="N39" s="8"/>
    </row>
    <row r="40" spans="2:15" x14ac:dyDescent="0.35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5" x14ac:dyDescent="0.35">
      <c r="D41" s="8"/>
      <c r="E41" s="8"/>
      <c r="F41" s="8"/>
      <c r="G41" s="8"/>
      <c r="H41" s="8"/>
      <c r="I41" s="8"/>
      <c r="J41" s="8"/>
      <c r="K41" s="8"/>
      <c r="L41" s="8"/>
      <c r="M41" s="8"/>
    </row>
  </sheetData>
  <mergeCells count="1"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M124"/>
  <sheetViews>
    <sheetView workbookViewId="0">
      <selection activeCell="D1" sqref="D1"/>
    </sheetView>
  </sheetViews>
  <sheetFormatPr defaultRowHeight="14.5" x14ac:dyDescent="0.35"/>
  <cols>
    <col min="2" max="2" width="29.453125" customWidth="1"/>
    <col min="3" max="3" width="11.1796875" customWidth="1"/>
    <col min="4" max="4" width="9.7265625" customWidth="1"/>
    <col min="5" max="5" width="9.81640625" bestFit="1" customWidth="1"/>
  </cols>
  <sheetData>
    <row r="2" spans="2:13" x14ac:dyDescent="0.35">
      <c r="B2" s="107" t="s">
        <v>121</v>
      </c>
      <c r="C2" s="113"/>
      <c r="D2" s="74" t="s">
        <v>143</v>
      </c>
      <c r="E2" s="93" t="s">
        <v>144</v>
      </c>
      <c r="F2" s="74" t="s">
        <v>145</v>
      </c>
      <c r="G2" s="93" t="s">
        <v>146</v>
      </c>
      <c r="H2" s="74" t="s">
        <v>84</v>
      </c>
      <c r="I2" s="93" t="s">
        <v>85</v>
      </c>
      <c r="J2" s="74" t="s">
        <v>147</v>
      </c>
      <c r="K2" s="114" t="s">
        <v>87</v>
      </c>
      <c r="L2" s="74" t="s">
        <v>88</v>
      </c>
      <c r="M2" s="74" t="s">
        <v>305</v>
      </c>
    </row>
    <row r="3" spans="2:13" ht="15" x14ac:dyDescent="0.25">
      <c r="B3" s="36"/>
      <c r="D3" s="18"/>
      <c r="F3" s="18"/>
      <c r="H3" s="18"/>
      <c r="J3" s="18"/>
      <c r="K3" s="20"/>
      <c r="L3" s="18"/>
      <c r="M3" s="18"/>
    </row>
    <row r="4" spans="2:13" ht="15" x14ac:dyDescent="0.25">
      <c r="B4" s="39" t="s">
        <v>122</v>
      </c>
      <c r="D4" s="18"/>
      <c r="F4" s="18"/>
      <c r="H4" s="18"/>
      <c r="J4" s="18"/>
      <c r="K4" s="20"/>
      <c r="L4" s="18"/>
      <c r="M4" s="18"/>
    </row>
    <row r="5" spans="2:13" ht="15" x14ac:dyDescent="0.25">
      <c r="B5" s="36"/>
      <c r="D5" s="18"/>
      <c r="F5" s="18"/>
      <c r="H5" s="18"/>
      <c r="J5" s="18"/>
      <c r="K5" s="20"/>
      <c r="L5" s="18"/>
      <c r="M5" s="18"/>
    </row>
    <row r="6" spans="2:13" ht="15" x14ac:dyDescent="0.25">
      <c r="B6" s="36" t="s">
        <v>286</v>
      </c>
      <c r="D6" s="26">
        <f>300</f>
        <v>300</v>
      </c>
      <c r="E6" s="80">
        <v>300</v>
      </c>
      <c r="F6" s="26">
        <v>300</v>
      </c>
      <c r="G6" s="80">
        <v>300</v>
      </c>
      <c r="H6" s="65">
        <f>G6</f>
        <v>300</v>
      </c>
      <c r="I6" s="8">
        <f>H6</f>
        <v>300</v>
      </c>
      <c r="J6" s="65">
        <v>300</v>
      </c>
      <c r="K6" s="88">
        <v>300</v>
      </c>
      <c r="L6" s="151">
        <v>300</v>
      </c>
      <c r="M6" s="151">
        <v>300</v>
      </c>
    </row>
    <row r="7" spans="2:13" ht="15" x14ac:dyDescent="0.25">
      <c r="B7" s="36" t="s">
        <v>128</v>
      </c>
      <c r="D7" s="26"/>
      <c r="E7" s="80"/>
      <c r="F7" s="26"/>
      <c r="G7" s="80"/>
      <c r="H7" s="65"/>
      <c r="I7" s="8"/>
      <c r="J7" s="65"/>
      <c r="K7" s="88"/>
      <c r="L7" s="18"/>
      <c r="M7" s="18"/>
    </row>
    <row r="8" spans="2:13" ht="15" x14ac:dyDescent="0.25">
      <c r="B8" s="36" t="s">
        <v>126</v>
      </c>
      <c r="D8" s="26"/>
      <c r="E8" s="80">
        <f t="shared" ref="E8:K8" si="0">D10</f>
        <v>2.7398399999999725</v>
      </c>
      <c r="F8" s="26">
        <f t="shared" si="0"/>
        <v>29.995979999999932</v>
      </c>
      <c r="G8" s="80">
        <f t="shared" si="0"/>
        <v>98.410337499999983</v>
      </c>
      <c r="H8" s="65">
        <f t="shared" si="0"/>
        <v>204.7909780624999</v>
      </c>
      <c r="I8" s="8">
        <f t="shared" si="0"/>
        <v>346.45710087968735</v>
      </c>
      <c r="J8" s="65">
        <f t="shared" si="0"/>
        <v>521.24970179378886</v>
      </c>
      <c r="K8" s="88">
        <f t="shared" si="0"/>
        <v>727.40461033447923</v>
      </c>
      <c r="L8" s="65">
        <f>K10</f>
        <v>923.79224010556038</v>
      </c>
      <c r="M8" s="65">
        <f>L10</f>
        <v>961.25250760712402</v>
      </c>
    </row>
    <row r="9" spans="2:13" ht="15" x14ac:dyDescent="0.25">
      <c r="B9" s="36" t="s">
        <v>152</v>
      </c>
      <c r="D9" s="26">
        <f>'Location- PL'!D28</f>
        <v>2.7398399999999725</v>
      </c>
      <c r="E9" s="80">
        <f>'Location- PL'!E28</f>
        <v>27.256139999999959</v>
      </c>
      <c r="F9" s="26">
        <f>'Location- PL'!F28</f>
        <v>68.414357500000051</v>
      </c>
      <c r="G9" s="80">
        <f>'Location- PL'!G28</f>
        <v>106.38064056249993</v>
      </c>
      <c r="H9" s="26">
        <f>'Location- PL'!H28</f>
        <v>141.66612281718744</v>
      </c>
      <c r="I9" s="80">
        <f>'Location- PL'!I28</f>
        <v>174.79260091410151</v>
      </c>
      <c r="J9" s="26">
        <f>'Location- PL'!J28</f>
        <v>206.15490854069037</v>
      </c>
      <c r="K9" s="91">
        <f>'Location- PL'!K28</f>
        <v>196.38762977108115</v>
      </c>
      <c r="L9" s="26">
        <f>'Location- PL'!L28</f>
        <v>37.460267501563635</v>
      </c>
      <c r="M9" s="26">
        <f>'Location- PL'!M28</f>
        <v>45.36614295219897</v>
      </c>
    </row>
    <row r="10" spans="2:13" ht="15" x14ac:dyDescent="0.25">
      <c r="B10" s="36" t="s">
        <v>21</v>
      </c>
      <c r="D10" s="26">
        <f t="shared" ref="D10:M10" si="1">D8+D9</f>
        <v>2.7398399999999725</v>
      </c>
      <c r="E10" s="80">
        <f t="shared" si="1"/>
        <v>29.995979999999932</v>
      </c>
      <c r="F10" s="26">
        <f t="shared" si="1"/>
        <v>98.410337499999983</v>
      </c>
      <c r="G10" s="80">
        <f t="shared" si="1"/>
        <v>204.7909780624999</v>
      </c>
      <c r="H10" s="26">
        <f t="shared" si="1"/>
        <v>346.45710087968735</v>
      </c>
      <c r="I10" s="80">
        <f t="shared" si="1"/>
        <v>521.24970179378886</v>
      </c>
      <c r="J10" s="26">
        <f t="shared" si="1"/>
        <v>727.40461033447923</v>
      </c>
      <c r="K10" s="91">
        <f t="shared" si="1"/>
        <v>923.79224010556038</v>
      </c>
      <c r="L10" s="26">
        <f t="shared" si="1"/>
        <v>961.25250760712402</v>
      </c>
      <c r="M10" s="26">
        <f t="shared" si="1"/>
        <v>1006.618650559323</v>
      </c>
    </row>
    <row r="11" spans="2:13" ht="15" x14ac:dyDescent="0.25">
      <c r="B11" s="36" t="s">
        <v>153</v>
      </c>
      <c r="D11" s="26">
        <f>'Loan Schedule'!I3</f>
        <v>800</v>
      </c>
      <c r="E11" s="80">
        <f>'Loan Schedule'!I4</f>
        <v>677.77777777777771</v>
      </c>
      <c r="F11" s="26">
        <f>'Loan Schedule'!I5</f>
        <v>544.44444444444434</v>
      </c>
      <c r="G11" s="80">
        <f>'Loan Schedule'!I6</f>
        <v>411.11111111111097</v>
      </c>
      <c r="H11" s="65">
        <f>'Loan Schedule'!I7</f>
        <v>277.7777777777776</v>
      </c>
      <c r="I11" s="8">
        <f>'Loan Schedule'!I8</f>
        <v>144.44444444444423</v>
      </c>
      <c r="J11" s="65">
        <f>'Loan Schedule'!I9</f>
        <v>11.111111111110898</v>
      </c>
      <c r="K11" s="91">
        <f>'Loan Schedule'!$I10</f>
        <v>-2.1309343178899098E-13</v>
      </c>
      <c r="L11" s="26">
        <f>'Loan Schedule'!$I11</f>
        <v>0</v>
      </c>
      <c r="M11" s="26">
        <f>'Loan Schedule'!$I12</f>
        <v>0</v>
      </c>
    </row>
    <row r="12" spans="2:13" ht="15" hidden="1" x14ac:dyDescent="0.25">
      <c r="B12" s="36" t="s">
        <v>142</v>
      </c>
      <c r="D12" s="26">
        <f>'Location-CFS'!D23</f>
        <v>0</v>
      </c>
      <c r="E12" s="80">
        <f>D12+'Location-CFS'!E23</f>
        <v>0</v>
      </c>
      <c r="F12" s="26">
        <f>E12+'Location-CFS'!F23</f>
        <v>0</v>
      </c>
      <c r="G12" s="80">
        <f>F12+'Location-CFS'!G23</f>
        <v>0</v>
      </c>
      <c r="H12" s="65">
        <f>G12</f>
        <v>0</v>
      </c>
      <c r="I12" s="8">
        <f>H12+'Location-CFS'!I23</f>
        <v>0</v>
      </c>
      <c r="J12" s="65">
        <f>I12+'Location-CFS'!J23</f>
        <v>0</v>
      </c>
      <c r="K12" s="88">
        <f>J12+'Location-CFS'!K23</f>
        <v>0</v>
      </c>
      <c r="L12" s="18"/>
      <c r="M12" s="18"/>
    </row>
    <row r="13" spans="2:13" x14ac:dyDescent="0.35">
      <c r="B13" s="36"/>
      <c r="D13" s="26"/>
      <c r="E13" s="80"/>
      <c r="F13" s="26"/>
      <c r="G13" s="80"/>
      <c r="H13" s="65"/>
      <c r="I13" s="8"/>
      <c r="J13" s="65"/>
      <c r="K13" s="88"/>
      <c r="L13" s="18"/>
      <c r="M13" s="18"/>
    </row>
    <row r="14" spans="2:13" ht="15" thickBot="1" x14ac:dyDescent="0.4">
      <c r="B14" s="116" t="s">
        <v>5</v>
      </c>
      <c r="C14" s="117"/>
      <c r="D14" s="120">
        <f t="shared" ref="D14:M14" si="2">D6+D10+D11+D12</f>
        <v>1102.73984</v>
      </c>
      <c r="E14" s="119">
        <f t="shared" si="2"/>
        <v>1007.7737577777776</v>
      </c>
      <c r="F14" s="120">
        <f t="shared" si="2"/>
        <v>942.85478194444431</v>
      </c>
      <c r="G14" s="119">
        <f t="shared" si="2"/>
        <v>915.90208917361088</v>
      </c>
      <c r="H14" s="120">
        <f t="shared" si="2"/>
        <v>924.23487865746495</v>
      </c>
      <c r="I14" s="119">
        <f t="shared" si="2"/>
        <v>965.69414623823309</v>
      </c>
      <c r="J14" s="120">
        <f t="shared" si="2"/>
        <v>1038.5157214455901</v>
      </c>
      <c r="K14" s="121">
        <f t="shared" si="2"/>
        <v>1223.79224010556</v>
      </c>
      <c r="L14" s="120">
        <f t="shared" si="2"/>
        <v>1261.252507607124</v>
      </c>
      <c r="M14" s="120">
        <f t="shared" si="2"/>
        <v>1306.618650559323</v>
      </c>
    </row>
    <row r="15" spans="2:13" ht="15" thickTop="1" x14ac:dyDescent="0.35">
      <c r="B15" s="36"/>
      <c r="D15" s="18"/>
      <c r="E15" s="80"/>
      <c r="F15" s="18"/>
      <c r="H15" s="18"/>
      <c r="J15" s="18"/>
      <c r="K15" s="20"/>
      <c r="L15" s="18"/>
      <c r="M15" s="18"/>
    </row>
    <row r="16" spans="2:13" ht="15" x14ac:dyDescent="0.25">
      <c r="B16" s="39" t="s">
        <v>125</v>
      </c>
      <c r="D16" s="18"/>
      <c r="E16" s="80"/>
      <c r="F16" s="18"/>
      <c r="H16" s="18"/>
      <c r="J16" s="18"/>
      <c r="K16" s="20"/>
      <c r="L16" s="18"/>
      <c r="M16" s="18"/>
    </row>
    <row r="17" spans="2:13" ht="15" x14ac:dyDescent="0.25">
      <c r="B17" s="36" t="s">
        <v>126</v>
      </c>
      <c r="D17" s="65">
        <f>'Depreciation Schedule'!C4</f>
        <v>1100</v>
      </c>
      <c r="E17" s="80">
        <f t="shared" ref="E17:K17" si="3">D19</f>
        <v>1072.5</v>
      </c>
      <c r="F17" s="65">
        <f t="shared" si="3"/>
        <v>911.625</v>
      </c>
      <c r="G17" s="8">
        <f t="shared" si="3"/>
        <v>774.88125000000002</v>
      </c>
      <c r="H17" s="65">
        <f t="shared" si="3"/>
        <v>658.64906250000001</v>
      </c>
      <c r="I17" s="8">
        <f t="shared" si="3"/>
        <v>559.85170312499997</v>
      </c>
      <c r="J17" s="65">
        <f t="shared" si="3"/>
        <v>475.87394765624998</v>
      </c>
      <c r="K17" s="88">
        <f t="shared" si="3"/>
        <v>404.49285550781246</v>
      </c>
      <c r="L17" s="65">
        <f>K19</f>
        <v>343.81892718164062</v>
      </c>
      <c r="M17" s="65">
        <f>L19</f>
        <v>292.24608810439452</v>
      </c>
    </row>
    <row r="18" spans="2:13" ht="15" x14ac:dyDescent="0.25">
      <c r="B18" s="36" t="s">
        <v>127</v>
      </c>
      <c r="D18" s="67">
        <f>'Depreciation Schedule'!C5</f>
        <v>27.5</v>
      </c>
      <c r="E18" s="56">
        <f>'Depreciation Schedule'!D5</f>
        <v>160.875</v>
      </c>
      <c r="F18" s="67">
        <f>'Depreciation Schedule'!E5</f>
        <v>136.74375000000001</v>
      </c>
      <c r="G18" s="55">
        <f>'Depreciation Schedule'!F5</f>
        <v>116.23218749999999</v>
      </c>
      <c r="H18" s="67">
        <f>'Depreciation Schedule'!G5</f>
        <v>98.797359374999999</v>
      </c>
      <c r="I18" s="55">
        <f>'Depreciation Schedule'!H5</f>
        <v>83.97775546874999</v>
      </c>
      <c r="J18" s="67">
        <f>'Depreciation Schedule'!I5</f>
        <v>71.381092148437489</v>
      </c>
      <c r="K18" s="89">
        <f>'Depreciation Schedule'!J5</f>
        <v>60.673928326171868</v>
      </c>
      <c r="L18" s="67">
        <f>'Depreciation Schedule'!K5</f>
        <v>51.572839077246094</v>
      </c>
      <c r="M18" s="67">
        <f>'Depreciation Schedule'!L5</f>
        <v>43.836913215659173</v>
      </c>
    </row>
    <row r="19" spans="2:13" ht="15" x14ac:dyDescent="0.25">
      <c r="B19" s="36" t="s">
        <v>21</v>
      </c>
      <c r="D19" s="65">
        <f t="shared" ref="D19:M19" si="4">D17-D18</f>
        <v>1072.5</v>
      </c>
      <c r="E19" s="80">
        <f t="shared" si="4"/>
        <v>911.625</v>
      </c>
      <c r="F19" s="26">
        <f t="shared" si="4"/>
        <v>774.88125000000002</v>
      </c>
      <c r="G19" s="80">
        <f t="shared" si="4"/>
        <v>658.64906250000001</v>
      </c>
      <c r="H19" s="26">
        <f t="shared" si="4"/>
        <v>559.85170312499997</v>
      </c>
      <c r="I19" s="80">
        <f t="shared" si="4"/>
        <v>475.87394765624998</v>
      </c>
      <c r="J19" s="26">
        <f t="shared" si="4"/>
        <v>404.49285550781246</v>
      </c>
      <c r="K19" s="91">
        <f t="shared" si="4"/>
        <v>343.81892718164062</v>
      </c>
      <c r="L19" s="26">
        <f t="shared" si="4"/>
        <v>292.24608810439452</v>
      </c>
      <c r="M19" s="26">
        <f t="shared" si="4"/>
        <v>248.40917488873535</v>
      </c>
    </row>
    <row r="20" spans="2:13" ht="15" x14ac:dyDescent="0.25">
      <c r="B20" s="36"/>
      <c r="D20" s="18"/>
      <c r="E20" s="80"/>
      <c r="F20" s="18"/>
      <c r="H20" s="18"/>
      <c r="J20" s="18"/>
      <c r="K20" s="20"/>
      <c r="L20" s="18"/>
      <c r="M20" s="18"/>
    </row>
    <row r="21" spans="2:13" ht="15" x14ac:dyDescent="0.25">
      <c r="B21" s="36" t="s">
        <v>133</v>
      </c>
      <c r="D21" s="65">
        <f>'Location- PL'!D48*2/12</f>
        <v>12.129666666666667</v>
      </c>
      <c r="E21" s="80">
        <f>'Location- PL'!E16/12</f>
        <v>64.613500000000002</v>
      </c>
      <c r="F21" s="65">
        <f>'Location- PL'!F16/12</f>
        <v>67.504562500000006</v>
      </c>
      <c r="G21" s="8">
        <f>'Location- PL'!G16/12</f>
        <v>70.582717187499995</v>
      </c>
      <c r="H21" s="65">
        <f>'Location- PL'!H16/12</f>
        <v>73.860509101562499</v>
      </c>
      <c r="I21" s="8">
        <f>'Location- PL'!I16/12</f>
        <v>77.351349815429685</v>
      </c>
      <c r="J21" s="65">
        <f>'Location- PL'!J16/12</f>
        <v>81.069578709399408</v>
      </c>
      <c r="K21" s="88">
        <f>'Location- PL'!K16/12</f>
        <v>82.007861986640805</v>
      </c>
      <c r="L21" s="65">
        <f>'Location- PL'!L16/12</f>
        <v>71.114596420043839</v>
      </c>
      <c r="M21" s="65">
        <f>'Location- PL'!M16/12</f>
        <v>72.788342372793451</v>
      </c>
    </row>
    <row r="22" spans="2:13" ht="15" x14ac:dyDescent="0.25">
      <c r="B22" s="36" t="s">
        <v>129</v>
      </c>
      <c r="D22" s="65">
        <f>'Location-CFS'!D32</f>
        <v>18.11017333333325</v>
      </c>
      <c r="E22" s="80">
        <f>'Location-CFS'!E32</f>
        <v>31.535257777777616</v>
      </c>
      <c r="F22" s="65">
        <f>'Location-CFS'!F32</f>
        <v>100.4689694444443</v>
      </c>
      <c r="G22" s="80">
        <f>'Location-CFS'!G32</f>
        <v>186.67030948611088</v>
      </c>
      <c r="H22" s="26">
        <f>'Location-CFS'!H32</f>
        <v>290.52266643090252</v>
      </c>
      <c r="I22" s="80">
        <f>'Location-CFS'!I32</f>
        <v>412.46884876655349</v>
      </c>
      <c r="J22" s="26">
        <f>'Location-CFS'!J32</f>
        <v>552.95328722837826</v>
      </c>
      <c r="K22" s="91">
        <f>'Location-CFS'!K32</f>
        <v>797.96545093727877</v>
      </c>
      <c r="L22" s="26">
        <f>'Location-CFS'!L32</f>
        <v>897.89182308268551</v>
      </c>
      <c r="M22" s="26">
        <f>'Location-CFS'!M32</f>
        <v>985.42113329779409</v>
      </c>
    </row>
    <row r="23" spans="2:13" x14ac:dyDescent="0.35">
      <c r="B23" s="36"/>
      <c r="D23" s="18"/>
      <c r="E23" s="80"/>
      <c r="F23" s="18"/>
      <c r="H23" s="18"/>
      <c r="J23" s="18"/>
      <c r="K23" s="20"/>
      <c r="L23" s="18"/>
      <c r="M23" s="18"/>
    </row>
    <row r="24" spans="2:13" ht="15" thickBot="1" x14ac:dyDescent="0.4">
      <c r="B24" s="116" t="s">
        <v>5</v>
      </c>
      <c r="C24" s="117"/>
      <c r="D24" s="118">
        <f t="shared" ref="D24:M24" si="5">D19+D21+D22</f>
        <v>1102.73984</v>
      </c>
      <c r="E24" s="119">
        <f t="shared" si="5"/>
        <v>1007.7737577777776</v>
      </c>
      <c r="F24" s="120">
        <f t="shared" si="5"/>
        <v>942.85478194444431</v>
      </c>
      <c r="G24" s="119">
        <f t="shared" si="5"/>
        <v>915.90208917361088</v>
      </c>
      <c r="H24" s="120">
        <f t="shared" si="5"/>
        <v>924.23487865746495</v>
      </c>
      <c r="I24" s="119">
        <f t="shared" si="5"/>
        <v>965.6941462382332</v>
      </c>
      <c r="J24" s="120">
        <f t="shared" si="5"/>
        <v>1038.5157214455901</v>
      </c>
      <c r="K24" s="121">
        <f t="shared" si="5"/>
        <v>1223.7922401055603</v>
      </c>
      <c r="L24" s="120">
        <f t="shared" si="5"/>
        <v>1261.2525076071238</v>
      </c>
      <c r="M24" s="120">
        <f t="shared" si="5"/>
        <v>1306.6186505593228</v>
      </c>
    </row>
    <row r="25" spans="2:13" ht="15" thickTop="1" x14ac:dyDescent="0.35">
      <c r="B25" s="37"/>
      <c r="C25" s="21"/>
      <c r="D25" s="19"/>
      <c r="E25" s="21"/>
      <c r="F25" s="19"/>
      <c r="G25" s="21"/>
      <c r="H25" s="19"/>
      <c r="I25" s="21"/>
      <c r="J25" s="19"/>
      <c r="K25" s="22"/>
      <c r="L25" s="19"/>
      <c r="M25" s="19"/>
    </row>
    <row r="26" spans="2:13" ht="15" x14ac:dyDescent="0.25">
      <c r="D26" s="8">
        <f t="shared" ref="D26:M26" si="6">D14-D24</f>
        <v>0</v>
      </c>
      <c r="E26" s="8">
        <f t="shared" si="6"/>
        <v>0</v>
      </c>
      <c r="F26" s="8">
        <f t="shared" si="6"/>
        <v>0</v>
      </c>
      <c r="G26" s="8">
        <f t="shared" si="6"/>
        <v>0</v>
      </c>
      <c r="H26" s="8">
        <f t="shared" si="6"/>
        <v>0</v>
      </c>
      <c r="I26" s="8">
        <f t="shared" si="6"/>
        <v>0</v>
      </c>
      <c r="J26" s="8">
        <f t="shared" si="6"/>
        <v>0</v>
      </c>
      <c r="K26" s="8">
        <f t="shared" si="6"/>
        <v>0</v>
      </c>
      <c r="L26" s="8">
        <f t="shared" si="6"/>
        <v>0</v>
      </c>
      <c r="M26" s="8">
        <f t="shared" si="6"/>
        <v>0</v>
      </c>
    </row>
    <row r="28" spans="2:13" x14ac:dyDescent="0.35">
      <c r="B28" s="107" t="s">
        <v>254</v>
      </c>
      <c r="C28" s="70"/>
      <c r="D28" s="74" t="s">
        <v>143</v>
      </c>
      <c r="E28" s="93" t="s">
        <v>144</v>
      </c>
      <c r="F28" s="74" t="s">
        <v>145</v>
      </c>
      <c r="G28" s="93" t="s">
        <v>146</v>
      </c>
      <c r="H28" s="74" t="s">
        <v>84</v>
      </c>
      <c r="I28" s="93" t="s">
        <v>85</v>
      </c>
      <c r="J28" s="74" t="s">
        <v>147</v>
      </c>
      <c r="K28" s="93" t="s">
        <v>87</v>
      </c>
      <c r="L28" s="74" t="s">
        <v>88</v>
      </c>
      <c r="M28" s="74" t="s">
        <v>305</v>
      </c>
    </row>
    <row r="29" spans="2:13" x14ac:dyDescent="0.35">
      <c r="B29" s="36"/>
      <c r="C29" s="20"/>
      <c r="D29" s="18"/>
      <c r="F29" s="18"/>
      <c r="H29" s="18"/>
      <c r="J29" s="18"/>
      <c r="K29" s="138"/>
      <c r="L29" s="18"/>
      <c r="M29" s="18"/>
    </row>
    <row r="30" spans="2:13" x14ac:dyDescent="0.35">
      <c r="B30" s="39" t="s">
        <v>122</v>
      </c>
      <c r="C30" s="20"/>
      <c r="D30" s="18"/>
      <c r="F30" s="18"/>
      <c r="H30" s="18"/>
      <c r="J30" s="18"/>
      <c r="K30" s="138"/>
      <c r="L30" s="18"/>
      <c r="M30" s="18"/>
    </row>
    <row r="31" spans="2:13" x14ac:dyDescent="0.35">
      <c r="B31" s="36"/>
      <c r="C31" s="20"/>
      <c r="D31" s="18"/>
      <c r="F31" s="18"/>
      <c r="H31" s="18"/>
      <c r="J31" s="18"/>
      <c r="K31" s="138"/>
      <c r="L31" s="18"/>
      <c r="M31" s="18"/>
    </row>
    <row r="32" spans="2:13" x14ac:dyDescent="0.35">
      <c r="B32" s="36" t="s">
        <v>286</v>
      </c>
      <c r="C32" s="20"/>
      <c r="D32" s="26">
        <f>300</f>
        <v>300</v>
      </c>
      <c r="E32" s="80">
        <v>300</v>
      </c>
      <c r="F32" s="26">
        <v>300</v>
      </c>
      <c r="G32" s="80">
        <v>300</v>
      </c>
      <c r="H32" s="65">
        <f>G32</f>
        <v>300</v>
      </c>
      <c r="I32" s="8">
        <f>H32</f>
        <v>300</v>
      </c>
      <c r="J32" s="65">
        <v>300</v>
      </c>
      <c r="K32" s="141">
        <v>300</v>
      </c>
      <c r="L32" s="65">
        <v>300</v>
      </c>
      <c r="M32" s="65">
        <v>300</v>
      </c>
    </row>
    <row r="33" spans="2:13" x14ac:dyDescent="0.35">
      <c r="B33" s="36" t="s">
        <v>128</v>
      </c>
      <c r="C33" s="20"/>
      <c r="D33" s="26"/>
      <c r="E33" s="80"/>
      <c r="F33" s="26"/>
      <c r="G33" s="80"/>
      <c r="H33" s="65"/>
      <c r="I33" s="8"/>
      <c r="J33" s="65"/>
      <c r="K33" s="141"/>
      <c r="L33" s="18"/>
      <c r="M33" s="18"/>
    </row>
    <row r="34" spans="2:13" x14ac:dyDescent="0.35">
      <c r="B34" s="36" t="s">
        <v>126</v>
      </c>
      <c r="C34" s="20"/>
      <c r="D34" s="26">
        <v>0</v>
      </c>
      <c r="E34" s="80">
        <f t="shared" ref="E34:K34" si="7">D36</f>
        <v>4.2246600000000001</v>
      </c>
      <c r="F34" s="26">
        <f t="shared" si="7"/>
        <v>89.099679999999836</v>
      </c>
      <c r="G34" s="80">
        <f t="shared" si="7"/>
        <v>222.59600499999968</v>
      </c>
      <c r="H34" s="65">
        <f t="shared" si="7"/>
        <v>401.07647899999949</v>
      </c>
      <c r="I34" s="8">
        <f t="shared" si="7"/>
        <v>621.25185598124961</v>
      </c>
      <c r="J34" s="65">
        <f t="shared" si="7"/>
        <v>880.43540845765585</v>
      </c>
      <c r="K34" s="141">
        <f t="shared" si="7"/>
        <v>1176.4123153633705</v>
      </c>
      <c r="L34" s="65">
        <f>K36</f>
        <v>1476.1949875970677</v>
      </c>
      <c r="M34" s="151">
        <f>L36</f>
        <v>1502.8325194331262</v>
      </c>
    </row>
    <row r="35" spans="2:13" x14ac:dyDescent="0.35">
      <c r="B35" s="36" t="s">
        <v>150</v>
      </c>
      <c r="C35" s="20"/>
      <c r="D35" s="85">
        <f>'Location- PL'!D60</f>
        <v>4.2246600000000001</v>
      </c>
      <c r="E35" s="56">
        <f>'Location- PL'!E60</f>
        <v>84.875019999999836</v>
      </c>
      <c r="F35" s="85">
        <f>'Location- PL'!F60</f>
        <v>133.49632499999984</v>
      </c>
      <c r="G35" s="56">
        <f>'Location- PL'!G60</f>
        <v>178.48047399999984</v>
      </c>
      <c r="H35" s="85">
        <f>'Location- PL'!H60</f>
        <v>220.17537698125011</v>
      </c>
      <c r="I35" s="56">
        <f>'Location- PL'!I60</f>
        <v>259.18355247640625</v>
      </c>
      <c r="J35" s="85">
        <f>'Location- PL'!J60</f>
        <v>295.9769069057146</v>
      </c>
      <c r="K35" s="56">
        <f>'Location- PL'!K60</f>
        <v>299.78267223369721</v>
      </c>
      <c r="L35" s="26">
        <f>'Location- PL'!L60</f>
        <v>26.637531836058542</v>
      </c>
      <c r="M35" s="26">
        <f>'Location- PL'!M60</f>
        <v>44.239875180724312</v>
      </c>
    </row>
    <row r="36" spans="2:13" x14ac:dyDescent="0.35">
      <c r="B36" s="36" t="s">
        <v>21</v>
      </c>
      <c r="C36" s="20"/>
      <c r="D36" s="26">
        <f t="shared" ref="D36:M36" si="8">D34+D35</f>
        <v>4.2246600000000001</v>
      </c>
      <c r="E36" s="80">
        <f t="shared" si="8"/>
        <v>89.099679999999836</v>
      </c>
      <c r="F36" s="26">
        <f t="shared" si="8"/>
        <v>222.59600499999968</v>
      </c>
      <c r="G36" s="80">
        <f t="shared" si="8"/>
        <v>401.07647899999949</v>
      </c>
      <c r="H36" s="26">
        <f t="shared" si="8"/>
        <v>621.25185598124961</v>
      </c>
      <c r="I36" s="80">
        <f t="shared" si="8"/>
        <v>880.43540845765585</v>
      </c>
      <c r="J36" s="26">
        <f t="shared" si="8"/>
        <v>1176.4123153633705</v>
      </c>
      <c r="K36" s="80">
        <f t="shared" si="8"/>
        <v>1476.1949875970677</v>
      </c>
      <c r="L36" s="26">
        <f t="shared" si="8"/>
        <v>1502.8325194331262</v>
      </c>
      <c r="M36" s="26">
        <f t="shared" si="8"/>
        <v>1547.0723946138505</v>
      </c>
    </row>
    <row r="37" spans="2:13" x14ac:dyDescent="0.35">
      <c r="B37" s="36" t="s">
        <v>124</v>
      </c>
      <c r="C37" s="20"/>
      <c r="D37" s="26">
        <f>'Loan Schedule'!$S3</f>
        <v>1000</v>
      </c>
      <c r="E37" s="80">
        <f>'Loan Schedule'!$S4</f>
        <v>861.11111111111097</v>
      </c>
      <c r="F37" s="26">
        <f>'Loan Schedule'!$S5</f>
        <v>694.44444444444434</v>
      </c>
      <c r="G37" s="80">
        <f>'Loan Schedule'!$S6</f>
        <v>527.77777777777771</v>
      </c>
      <c r="H37" s="26">
        <f>'Loan Schedule'!$S7</f>
        <v>361.11111111111109</v>
      </c>
      <c r="I37" s="80">
        <f>'Loan Schedule'!$S8</f>
        <v>194.44444444444443</v>
      </c>
      <c r="J37" s="26">
        <f>'Loan Schedule'!$S9</f>
        <v>27.777777777777786</v>
      </c>
      <c r="K37" s="80">
        <f>'Loan Schedule'!$S10</f>
        <v>7.382983113757291E-15</v>
      </c>
      <c r="L37" s="26">
        <f>'Loan Schedule'!$S11</f>
        <v>0</v>
      </c>
      <c r="M37" s="26">
        <f>'Loan Schedule'!$S12</f>
        <v>0</v>
      </c>
    </row>
    <row r="38" spans="2:13" hidden="1" x14ac:dyDescent="0.35">
      <c r="B38" s="36" t="s">
        <v>142</v>
      </c>
      <c r="C38" s="20"/>
      <c r="D38" s="26">
        <f>'Location-CFS'!D55</f>
        <v>0</v>
      </c>
      <c r="E38" s="80">
        <f>D38+'Location-CFS'!E55</f>
        <v>0</v>
      </c>
      <c r="F38" s="26">
        <f>E38+'Location-CFS'!F55</f>
        <v>0</v>
      </c>
      <c r="G38" s="80">
        <f>F38+'Location-CFS'!G55</f>
        <v>0</v>
      </c>
      <c r="H38" s="65">
        <f>G38+'Location-CFS'!H55</f>
        <v>0</v>
      </c>
      <c r="I38" s="8">
        <f>H38+'Location-CFS'!I55</f>
        <v>0</v>
      </c>
      <c r="J38" s="65">
        <f>I38+'Location-CFS'!J55</f>
        <v>0</v>
      </c>
      <c r="K38" s="141">
        <f>J38+'Location-CFS'!K55</f>
        <v>0</v>
      </c>
      <c r="L38" s="18"/>
      <c r="M38" s="18"/>
    </row>
    <row r="39" spans="2:13" x14ac:dyDescent="0.35">
      <c r="B39" s="36"/>
      <c r="C39" s="20"/>
      <c r="D39" s="26"/>
      <c r="E39" s="80"/>
      <c r="F39" s="26"/>
      <c r="G39" s="80"/>
      <c r="H39" s="65"/>
      <c r="I39" s="8"/>
      <c r="J39" s="65"/>
      <c r="K39" s="141"/>
      <c r="L39" s="18"/>
      <c r="M39" s="18"/>
    </row>
    <row r="40" spans="2:13" ht="15" thickBot="1" x14ac:dyDescent="0.4">
      <c r="B40" s="116" t="s">
        <v>5</v>
      </c>
      <c r="C40" s="122"/>
      <c r="D40" s="120">
        <f t="shared" ref="D40:M40" si="9">D32+D36+D37+D38</f>
        <v>1304.2246599999999</v>
      </c>
      <c r="E40" s="119">
        <f t="shared" si="9"/>
        <v>1250.2107911111107</v>
      </c>
      <c r="F40" s="120">
        <f t="shared" si="9"/>
        <v>1217.040449444444</v>
      </c>
      <c r="G40" s="119">
        <f t="shared" si="9"/>
        <v>1228.8542567777772</v>
      </c>
      <c r="H40" s="120">
        <f t="shared" si="9"/>
        <v>1282.3629670923606</v>
      </c>
      <c r="I40" s="119">
        <f t="shared" si="9"/>
        <v>1374.8798529021001</v>
      </c>
      <c r="J40" s="120">
        <f t="shared" si="9"/>
        <v>1504.1900931411483</v>
      </c>
      <c r="K40" s="119">
        <f t="shared" si="9"/>
        <v>1776.1949875970677</v>
      </c>
      <c r="L40" s="120">
        <f t="shared" si="9"/>
        <v>1802.8325194331262</v>
      </c>
      <c r="M40" s="120">
        <f t="shared" si="9"/>
        <v>1847.0723946138505</v>
      </c>
    </row>
    <row r="41" spans="2:13" ht="15" thickTop="1" x14ac:dyDescent="0.35">
      <c r="B41" s="36"/>
      <c r="C41" s="20"/>
      <c r="D41" s="18"/>
      <c r="E41" s="80"/>
      <c r="F41" s="18"/>
      <c r="H41" s="18"/>
      <c r="J41" s="18"/>
      <c r="K41" s="138"/>
      <c r="L41" s="18"/>
      <c r="M41" s="18"/>
    </row>
    <row r="42" spans="2:13" x14ac:dyDescent="0.35">
      <c r="B42" s="39" t="s">
        <v>125</v>
      </c>
      <c r="C42" s="20"/>
      <c r="D42" s="18"/>
      <c r="E42" s="80"/>
      <c r="F42" s="18"/>
      <c r="H42" s="18"/>
      <c r="J42" s="18"/>
      <c r="K42" s="138"/>
      <c r="L42" s="18"/>
      <c r="M42" s="18"/>
    </row>
    <row r="43" spans="2:13" x14ac:dyDescent="0.35">
      <c r="B43" s="36" t="s">
        <v>126</v>
      </c>
      <c r="C43" s="20"/>
      <c r="D43" s="65">
        <f>'Depreciation Schedule'!C9</f>
        <v>1300</v>
      </c>
      <c r="E43" s="80">
        <f t="shared" ref="E43:K43" si="10">D45</f>
        <v>1283.75</v>
      </c>
      <c r="F43" s="65">
        <f t="shared" si="10"/>
        <v>1091.1875</v>
      </c>
      <c r="G43" s="8">
        <f t="shared" si="10"/>
        <v>927.50937499999998</v>
      </c>
      <c r="H43" s="65">
        <f t="shared" si="10"/>
        <v>788.38296874999992</v>
      </c>
      <c r="I43" s="8">
        <f t="shared" si="10"/>
        <v>670.12552343749996</v>
      </c>
      <c r="J43" s="65">
        <f t="shared" si="10"/>
        <v>569.60669492187503</v>
      </c>
      <c r="K43" s="141">
        <f t="shared" si="10"/>
        <v>484.16569068359377</v>
      </c>
      <c r="L43" s="65">
        <f>K45</f>
        <v>411.54083708105469</v>
      </c>
      <c r="M43" s="65">
        <f>L45</f>
        <v>349.80971151889651</v>
      </c>
    </row>
    <row r="44" spans="2:13" x14ac:dyDescent="0.35">
      <c r="B44" s="36" t="s">
        <v>127</v>
      </c>
      <c r="C44" s="20"/>
      <c r="D44" s="67">
        <f>'Depreciation Schedule'!C10</f>
        <v>16.25</v>
      </c>
      <c r="E44" s="55">
        <f>'Depreciation Schedule'!D10</f>
        <v>192.5625</v>
      </c>
      <c r="F44" s="67">
        <f>'Depreciation Schedule'!E10</f>
        <v>163.67812499999999</v>
      </c>
      <c r="G44" s="55">
        <f>'Depreciation Schedule'!F10</f>
        <v>139.12640625</v>
      </c>
      <c r="H44" s="67">
        <f>'Depreciation Schedule'!G10</f>
        <v>118.25744531249998</v>
      </c>
      <c r="I44" s="55">
        <f>'Depreciation Schedule'!H10</f>
        <v>100.51882851562499</v>
      </c>
      <c r="J44" s="67">
        <f>'Depreciation Schedule'!I10</f>
        <v>85.441004238281252</v>
      </c>
      <c r="K44" s="152">
        <f>'Depreciation Schedule'!J10</f>
        <v>72.624853602539062</v>
      </c>
      <c r="L44" s="67">
        <f>'Depreciation Schedule'!K10</f>
        <v>61.731125562158198</v>
      </c>
      <c r="M44" s="67">
        <f>'Depreciation Schedule'!L10</f>
        <v>52.471456727834472</v>
      </c>
    </row>
    <row r="45" spans="2:13" x14ac:dyDescent="0.35">
      <c r="B45" s="36" t="s">
        <v>21</v>
      </c>
      <c r="C45" s="20"/>
      <c r="D45" s="65">
        <f t="shared" ref="D45:M45" si="11">D43-D44</f>
        <v>1283.75</v>
      </c>
      <c r="E45" s="80">
        <f t="shared" si="11"/>
        <v>1091.1875</v>
      </c>
      <c r="F45" s="26">
        <f t="shared" si="11"/>
        <v>927.50937499999998</v>
      </c>
      <c r="G45" s="80">
        <f t="shared" si="11"/>
        <v>788.38296874999992</v>
      </c>
      <c r="H45" s="26">
        <f t="shared" si="11"/>
        <v>670.12552343749996</v>
      </c>
      <c r="I45" s="80">
        <f t="shared" si="11"/>
        <v>569.60669492187503</v>
      </c>
      <c r="J45" s="26">
        <f t="shared" si="11"/>
        <v>484.16569068359377</v>
      </c>
      <c r="K45" s="80">
        <f t="shared" si="11"/>
        <v>411.54083708105469</v>
      </c>
      <c r="L45" s="26">
        <f t="shared" si="11"/>
        <v>349.80971151889651</v>
      </c>
      <c r="M45" s="26">
        <f t="shared" si="11"/>
        <v>297.33825479106201</v>
      </c>
    </row>
    <row r="46" spans="2:13" x14ac:dyDescent="0.35">
      <c r="B46" s="36"/>
      <c r="C46" s="20"/>
      <c r="D46" s="18"/>
      <c r="E46" s="80"/>
      <c r="F46" s="18"/>
      <c r="H46" s="18"/>
      <c r="J46" s="18"/>
      <c r="K46" s="138"/>
      <c r="L46" s="18"/>
      <c r="M46" s="18"/>
    </row>
    <row r="47" spans="2:13" x14ac:dyDescent="0.35">
      <c r="B47" s="36" t="s">
        <v>133</v>
      </c>
      <c r="C47" s="20"/>
      <c r="D47" s="65">
        <f>'Location- PL'!D48*2/12</f>
        <v>12.129666666666667</v>
      </c>
      <c r="E47" s="80">
        <f>'Location- PL'!E48/12</f>
        <v>73.717999999999989</v>
      </c>
      <c r="F47" s="26">
        <f>'Location- PL'!F48/12</f>
        <v>76.598749999999995</v>
      </c>
      <c r="G47" s="80">
        <f>'Location- PL'!G48/12</f>
        <v>79.665818749999985</v>
      </c>
      <c r="H47" s="26">
        <f>'Location- PL'!H48/12</f>
        <v>82.931693281249991</v>
      </c>
      <c r="I47" s="80">
        <f>'Location- PL'!I48/12</f>
        <v>86.409722808593756</v>
      </c>
      <c r="J47" s="26">
        <f>'Location- PL'!J48/12</f>
        <v>90.114179677050757</v>
      </c>
      <c r="K47" s="80">
        <f>'Location- PL'!K48/12</f>
        <v>91.778824693532684</v>
      </c>
      <c r="L47" s="26">
        <f>'Location- PL'!L48/12</f>
        <v>70.88647716328596</v>
      </c>
      <c r="M47" s="26">
        <f>'Location- PL'!M48/12</f>
        <v>75.366089974157589</v>
      </c>
    </row>
    <row r="48" spans="2:13" x14ac:dyDescent="0.35">
      <c r="B48" s="36" t="s">
        <v>129</v>
      </c>
      <c r="C48" s="20"/>
      <c r="D48" s="65">
        <f>'Location-CFS'!D64</f>
        <v>8.3449933333333774</v>
      </c>
      <c r="E48" s="8">
        <f>'Location-CFS'!E64</f>
        <v>85.305291111111046</v>
      </c>
      <c r="F48" s="65">
        <f>'Location-CFS'!F64</f>
        <v>212.93232444444419</v>
      </c>
      <c r="G48" s="8">
        <f>'Location-CFS'!G64</f>
        <v>360.80546927777743</v>
      </c>
      <c r="H48" s="65">
        <f>'Location-CFS'!H64</f>
        <v>529.30575037361086</v>
      </c>
      <c r="I48" s="8">
        <f>'Location-CFS'!I64</f>
        <v>718.86343517163164</v>
      </c>
      <c r="J48" s="65">
        <f>'Location-CFS'!J64</f>
        <v>929.91022278050377</v>
      </c>
      <c r="K48" s="141">
        <f>'Location-CFS'!K64</f>
        <v>1272.8753258224804</v>
      </c>
      <c r="L48" s="65">
        <f>'Location-CFS'!L64</f>
        <v>1382.1363307509439</v>
      </c>
      <c r="M48" s="65">
        <f>'Location-CFS'!M64</f>
        <v>1474.368049848631</v>
      </c>
    </row>
    <row r="49" spans="2:13" x14ac:dyDescent="0.35">
      <c r="B49" s="36"/>
      <c r="C49" s="20"/>
      <c r="D49" s="18"/>
      <c r="E49" s="80"/>
      <c r="F49" s="18"/>
      <c r="H49" s="18"/>
      <c r="J49" s="18"/>
      <c r="K49" s="138"/>
      <c r="L49" s="18"/>
      <c r="M49" s="18"/>
    </row>
    <row r="50" spans="2:13" ht="15" thickBot="1" x14ac:dyDescent="0.4">
      <c r="B50" s="116" t="s">
        <v>5</v>
      </c>
      <c r="C50" s="122"/>
      <c r="D50" s="118">
        <f t="shared" ref="D50:M50" si="12">D45+D47+D48</f>
        <v>1304.2246600000001</v>
      </c>
      <c r="E50" s="119">
        <f t="shared" si="12"/>
        <v>1250.2107911111111</v>
      </c>
      <c r="F50" s="120">
        <f t="shared" si="12"/>
        <v>1217.0404494444442</v>
      </c>
      <c r="G50" s="119">
        <f t="shared" si="12"/>
        <v>1228.8542567777772</v>
      </c>
      <c r="H50" s="120">
        <f t="shared" si="12"/>
        <v>1282.3629670923608</v>
      </c>
      <c r="I50" s="119">
        <f t="shared" si="12"/>
        <v>1374.8798529021005</v>
      </c>
      <c r="J50" s="120">
        <f t="shared" si="12"/>
        <v>1504.1900931411483</v>
      </c>
      <c r="K50" s="153">
        <f t="shared" si="12"/>
        <v>1776.1949875970677</v>
      </c>
      <c r="L50" s="120">
        <f t="shared" si="12"/>
        <v>1802.8325194331264</v>
      </c>
      <c r="M50" s="120">
        <f t="shared" si="12"/>
        <v>1847.0723946138505</v>
      </c>
    </row>
    <row r="51" spans="2:13" ht="15" thickTop="1" x14ac:dyDescent="0.35">
      <c r="B51" s="37"/>
      <c r="C51" s="22"/>
      <c r="D51" s="19"/>
      <c r="E51" s="21"/>
      <c r="F51" s="19"/>
      <c r="G51" s="21"/>
      <c r="H51" s="19"/>
      <c r="I51" s="21"/>
      <c r="J51" s="19"/>
      <c r="K51" s="21"/>
      <c r="L51" s="19"/>
      <c r="M51" s="19"/>
    </row>
    <row r="52" spans="2:13" x14ac:dyDescent="0.35">
      <c r="D52" s="8">
        <f t="shared" ref="D52:K52" si="13">D40-D50</f>
        <v>0</v>
      </c>
      <c r="E52" s="8">
        <f t="shared" si="13"/>
        <v>0</v>
      </c>
      <c r="F52" s="8">
        <f t="shared" si="13"/>
        <v>0</v>
      </c>
      <c r="G52" s="8">
        <f t="shared" si="13"/>
        <v>0</v>
      </c>
      <c r="H52" s="8">
        <f t="shared" si="13"/>
        <v>0</v>
      </c>
      <c r="I52" s="8">
        <f t="shared" si="13"/>
        <v>0</v>
      </c>
      <c r="J52" s="8">
        <f t="shared" si="13"/>
        <v>0</v>
      </c>
      <c r="K52" s="8">
        <f t="shared" si="13"/>
        <v>0</v>
      </c>
    </row>
    <row r="54" spans="2:13" x14ac:dyDescent="0.35">
      <c r="B54" s="107" t="s">
        <v>278</v>
      </c>
      <c r="C54" s="70"/>
      <c r="D54" s="74" t="s">
        <v>143</v>
      </c>
      <c r="E54" s="93" t="s">
        <v>144</v>
      </c>
      <c r="F54" s="74" t="s">
        <v>145</v>
      </c>
      <c r="G54" s="93" t="s">
        <v>146</v>
      </c>
      <c r="H54" s="74" t="s">
        <v>84</v>
      </c>
      <c r="I54" s="93" t="s">
        <v>85</v>
      </c>
      <c r="J54" s="74" t="s">
        <v>147</v>
      </c>
      <c r="K54" s="93" t="s">
        <v>87</v>
      </c>
      <c r="L54" s="74" t="s">
        <v>88</v>
      </c>
      <c r="M54" s="74" t="s">
        <v>305</v>
      </c>
    </row>
    <row r="55" spans="2:13" x14ac:dyDescent="0.35">
      <c r="B55" s="36"/>
      <c r="C55" s="20"/>
      <c r="D55" s="18"/>
      <c r="F55" s="18"/>
      <c r="H55" s="18"/>
      <c r="J55" s="18"/>
      <c r="K55" s="138"/>
      <c r="L55" s="18"/>
      <c r="M55" s="18"/>
    </row>
    <row r="56" spans="2:13" x14ac:dyDescent="0.35">
      <c r="B56" s="39" t="s">
        <v>122</v>
      </c>
      <c r="C56" s="20"/>
      <c r="D56" s="18"/>
      <c r="F56" s="18"/>
      <c r="H56" s="18"/>
      <c r="J56" s="18"/>
      <c r="K56" s="138"/>
      <c r="L56" s="18"/>
      <c r="M56" s="18"/>
    </row>
    <row r="57" spans="2:13" x14ac:dyDescent="0.35">
      <c r="B57" s="36"/>
      <c r="C57" s="20"/>
      <c r="D57" s="18"/>
      <c r="F57" s="18"/>
      <c r="H57" s="18"/>
      <c r="J57" s="18"/>
      <c r="K57" s="138"/>
      <c r="L57" s="18"/>
      <c r="M57" s="18"/>
    </row>
    <row r="58" spans="2:13" x14ac:dyDescent="0.35">
      <c r="B58" s="36" t="s">
        <v>286</v>
      </c>
      <c r="C58" s="20"/>
      <c r="D58" s="26">
        <f>300</f>
        <v>300</v>
      </c>
      <c r="E58" s="80">
        <v>300</v>
      </c>
      <c r="F58" s="26">
        <v>300</v>
      </c>
      <c r="G58" s="80">
        <v>300</v>
      </c>
      <c r="H58" s="65">
        <f>G58</f>
        <v>300</v>
      </c>
      <c r="I58" s="8">
        <f>H58</f>
        <v>300</v>
      </c>
      <c r="J58" s="65">
        <v>300</v>
      </c>
      <c r="K58" s="141">
        <v>300</v>
      </c>
      <c r="L58" s="65">
        <v>300</v>
      </c>
      <c r="M58" s="65">
        <v>300</v>
      </c>
    </row>
    <row r="59" spans="2:13" x14ac:dyDescent="0.35">
      <c r="B59" s="36" t="s">
        <v>128</v>
      </c>
      <c r="C59" s="20"/>
      <c r="D59" s="26"/>
      <c r="E59" s="80"/>
      <c r="F59" s="26"/>
      <c r="G59" s="80"/>
      <c r="H59" s="65"/>
      <c r="I59" s="8"/>
      <c r="J59" s="65"/>
      <c r="K59" s="141"/>
      <c r="L59" s="18"/>
      <c r="M59" s="18"/>
    </row>
    <row r="60" spans="2:13" x14ac:dyDescent="0.35">
      <c r="B60" s="36" t="s">
        <v>126</v>
      </c>
      <c r="C60" s="20"/>
      <c r="D60" s="26">
        <v>0</v>
      </c>
      <c r="E60" s="80">
        <f t="shared" ref="E60" si="14">D62</f>
        <v>0</v>
      </c>
      <c r="F60" s="26">
        <f t="shared" ref="F60" si="15">E62</f>
        <v>117.72760000000005</v>
      </c>
      <c r="G60" s="80">
        <f t="shared" ref="G60" si="16">F62</f>
        <v>280.3208800000001</v>
      </c>
      <c r="H60" s="65">
        <f t="shared" ref="H60" si="17">G62</f>
        <v>484.66627400000016</v>
      </c>
      <c r="I60" s="8">
        <f t="shared" ref="I60" si="18">H62</f>
        <v>727.71504895000021</v>
      </c>
      <c r="J60" s="65">
        <f t="shared" ref="J60" si="19">I62</f>
        <v>1006.9342222412502</v>
      </c>
      <c r="K60" s="141">
        <f t="shared" ref="K60" si="20">J62</f>
        <v>1320.321300760344</v>
      </c>
      <c r="L60" s="65">
        <f>K62</f>
        <v>1662.88080263592</v>
      </c>
      <c r="M60" s="65">
        <f>L62</f>
        <v>1690.8568312118414</v>
      </c>
    </row>
    <row r="61" spans="2:13" x14ac:dyDescent="0.35">
      <c r="B61" s="36" t="s">
        <v>150</v>
      </c>
      <c r="C61" s="20"/>
      <c r="D61" s="85">
        <f>'Location- PL'!D88</f>
        <v>0</v>
      </c>
      <c r="E61" s="56">
        <f>'Location- PL'!E92</f>
        <v>117.72760000000005</v>
      </c>
      <c r="F61" s="56">
        <f>'Location- PL'!F92</f>
        <v>162.59328000000005</v>
      </c>
      <c r="G61" s="56">
        <f>'Location- PL'!G92</f>
        <v>204.34539400000006</v>
      </c>
      <c r="H61" s="56">
        <f>'Location- PL'!H92</f>
        <v>243.04877495000005</v>
      </c>
      <c r="I61" s="56">
        <f>'Location- PL'!I92</f>
        <v>279.21917329124994</v>
      </c>
      <c r="J61" s="56">
        <f>'Location- PL'!J92</f>
        <v>313.38707851909385</v>
      </c>
      <c r="K61" s="56">
        <f>'Location- PL'!K92</f>
        <v>342.55950187557596</v>
      </c>
      <c r="L61" s="85">
        <f>'Location- PL'!L92</f>
        <v>27.976028575921305</v>
      </c>
      <c r="M61" s="85">
        <f>'Location- PL'!M92</f>
        <v>44.773401905214428</v>
      </c>
    </row>
    <row r="62" spans="2:13" x14ac:dyDescent="0.35">
      <c r="B62" s="36" t="s">
        <v>21</v>
      </c>
      <c r="C62" s="20"/>
      <c r="D62" s="26">
        <f t="shared" ref="D62:M62" si="21">D60+D61</f>
        <v>0</v>
      </c>
      <c r="E62" s="80">
        <f t="shared" si="21"/>
        <v>117.72760000000005</v>
      </c>
      <c r="F62" s="26">
        <f t="shared" si="21"/>
        <v>280.3208800000001</v>
      </c>
      <c r="G62" s="80">
        <f t="shared" si="21"/>
        <v>484.66627400000016</v>
      </c>
      <c r="H62" s="26">
        <f t="shared" si="21"/>
        <v>727.71504895000021</v>
      </c>
      <c r="I62" s="80">
        <f t="shared" si="21"/>
        <v>1006.9342222412502</v>
      </c>
      <c r="J62" s="26">
        <f t="shared" si="21"/>
        <v>1320.321300760344</v>
      </c>
      <c r="K62" s="80">
        <f t="shared" si="21"/>
        <v>1662.88080263592</v>
      </c>
      <c r="L62" s="26">
        <f t="shared" si="21"/>
        <v>1690.8568312118414</v>
      </c>
      <c r="M62" s="26">
        <f t="shared" si="21"/>
        <v>1735.6302331170559</v>
      </c>
    </row>
    <row r="63" spans="2:13" x14ac:dyDescent="0.35">
      <c r="B63" s="36" t="s">
        <v>124</v>
      </c>
      <c r="C63" s="20"/>
      <c r="D63" s="26">
        <f>'Loan Schedule'!$AC3</f>
        <v>900</v>
      </c>
      <c r="E63" s="26">
        <f>'Loan Schedule'!$AC4</f>
        <v>787.5</v>
      </c>
      <c r="F63" s="26">
        <f>'Loan Schedule'!$AC5</f>
        <v>637.5</v>
      </c>
      <c r="G63" s="26">
        <f>'Loan Schedule'!$AC6</f>
        <v>487.50000000000006</v>
      </c>
      <c r="H63" s="26">
        <f>'Loan Schedule'!$AC7</f>
        <v>337.50000000000006</v>
      </c>
      <c r="I63" s="26">
        <f>'Loan Schedule'!$AC8</f>
        <v>187.50000000000003</v>
      </c>
      <c r="J63" s="26">
        <f>'Loan Schedule'!$AC9</f>
        <v>37.500000000000014</v>
      </c>
      <c r="K63" s="154">
        <f>'Loan Schedule'!$AC10</f>
        <v>1.6431300764452317E-14</v>
      </c>
      <c r="L63" s="26">
        <f>'Loan Schedule'!$AC11</f>
        <v>1.6431300764452317E-14</v>
      </c>
      <c r="M63" s="26">
        <f>'Loan Schedule'!$AC12</f>
        <v>0</v>
      </c>
    </row>
    <row r="64" spans="2:13" x14ac:dyDescent="0.35">
      <c r="B64" s="36" t="s">
        <v>142</v>
      </c>
      <c r="C64" s="20"/>
      <c r="D64" s="26">
        <f>'Location-CFS'!D87</f>
        <v>5</v>
      </c>
      <c r="E64" s="80">
        <f>D64+'Location-CFS'!E87</f>
        <v>0</v>
      </c>
      <c r="F64" s="26">
        <f>E64+'Location-CFS'!F81</f>
        <v>0</v>
      </c>
      <c r="G64" s="80">
        <f>F64+'Location-CFS'!G81</f>
        <v>0</v>
      </c>
      <c r="H64" s="65">
        <f>G64+'Location-CFS'!H81</f>
        <v>0</v>
      </c>
      <c r="I64" s="8">
        <f>H64+'Location-CFS'!I81</f>
        <v>0</v>
      </c>
      <c r="J64" s="65">
        <f>I64+'Location-CFS'!J81</f>
        <v>0</v>
      </c>
      <c r="K64" s="141">
        <f>J64+'Location-CFS'!K81</f>
        <v>0</v>
      </c>
      <c r="L64" s="65">
        <f>K64+'Location-CFS'!L81</f>
        <v>0</v>
      </c>
      <c r="M64" s="65">
        <f>L64+'Location-CFS'!M81</f>
        <v>0</v>
      </c>
    </row>
    <row r="65" spans="2:13" x14ac:dyDescent="0.35">
      <c r="B65" s="36"/>
      <c r="C65" s="20"/>
      <c r="D65" s="26"/>
      <c r="E65" s="80"/>
      <c r="F65" s="26"/>
      <c r="G65" s="80"/>
      <c r="H65" s="65"/>
      <c r="I65" s="8"/>
      <c r="J65" s="65"/>
      <c r="K65" s="141"/>
      <c r="L65" s="18"/>
      <c r="M65" s="18"/>
    </row>
    <row r="66" spans="2:13" ht="15" thickBot="1" x14ac:dyDescent="0.4">
      <c r="B66" s="116" t="s">
        <v>5</v>
      </c>
      <c r="C66" s="122"/>
      <c r="D66" s="120">
        <f t="shared" ref="D66:M66" si="22">D58+D62+D63+D64</f>
        <v>1205</v>
      </c>
      <c r="E66" s="119">
        <f t="shared" si="22"/>
        <v>1205.2276000000002</v>
      </c>
      <c r="F66" s="120">
        <f t="shared" si="22"/>
        <v>1217.8208800000002</v>
      </c>
      <c r="G66" s="119">
        <f t="shared" si="22"/>
        <v>1272.1662740000002</v>
      </c>
      <c r="H66" s="120">
        <f t="shared" si="22"/>
        <v>1365.2150489500002</v>
      </c>
      <c r="I66" s="119">
        <f t="shared" si="22"/>
        <v>1494.4342222412502</v>
      </c>
      <c r="J66" s="120">
        <f t="shared" si="22"/>
        <v>1657.821300760344</v>
      </c>
      <c r="K66" s="119">
        <f t="shared" si="22"/>
        <v>1962.88080263592</v>
      </c>
      <c r="L66" s="120">
        <f t="shared" si="22"/>
        <v>1990.8568312118414</v>
      </c>
      <c r="M66" s="120">
        <f t="shared" si="22"/>
        <v>2035.6302331170559</v>
      </c>
    </row>
    <row r="67" spans="2:13" ht="15" thickTop="1" x14ac:dyDescent="0.35">
      <c r="B67" s="36"/>
      <c r="C67" s="20"/>
      <c r="D67" s="18"/>
      <c r="E67" s="80"/>
      <c r="F67" s="18"/>
      <c r="H67" s="18"/>
      <c r="J67" s="18"/>
      <c r="K67" s="138"/>
      <c r="L67" s="18"/>
      <c r="M67" s="18"/>
    </row>
    <row r="68" spans="2:13" x14ac:dyDescent="0.35">
      <c r="B68" s="39" t="s">
        <v>125</v>
      </c>
      <c r="C68" s="20"/>
      <c r="D68" s="18"/>
      <c r="E68" s="80"/>
      <c r="F68" s="18"/>
      <c r="H68" s="18"/>
      <c r="J68" s="18"/>
      <c r="K68" s="138"/>
      <c r="L68" s="18"/>
      <c r="M68" s="18"/>
    </row>
    <row r="69" spans="2:13" x14ac:dyDescent="0.35">
      <c r="B69" s="36" t="s">
        <v>126</v>
      </c>
      <c r="C69" s="20"/>
      <c r="D69" s="65">
        <f>'Depreciation Schedule'!C36</f>
        <v>0</v>
      </c>
      <c r="E69" s="80">
        <f>'Depreciation Schedule'!D14</f>
        <v>1200</v>
      </c>
      <c r="F69" s="65">
        <f t="shared" ref="F69" si="23">E71</f>
        <v>1020</v>
      </c>
      <c r="G69" s="8">
        <f t="shared" ref="G69" si="24">F71</f>
        <v>867</v>
      </c>
      <c r="H69" s="65">
        <f t="shared" ref="H69" si="25">G71</f>
        <v>736.95</v>
      </c>
      <c r="I69" s="8">
        <f t="shared" ref="I69" si="26">H71</f>
        <v>626.40750000000003</v>
      </c>
      <c r="J69" s="65">
        <f t="shared" ref="J69" si="27">I71</f>
        <v>532.44637499999999</v>
      </c>
      <c r="K69" s="141">
        <f t="shared" ref="K69" si="28">J71</f>
        <v>452.57941875</v>
      </c>
      <c r="L69" s="65">
        <f>K71</f>
        <v>384.69250593750002</v>
      </c>
      <c r="M69" s="65">
        <f>L71</f>
        <v>326.98863004687502</v>
      </c>
    </row>
    <row r="70" spans="2:13" x14ac:dyDescent="0.35">
      <c r="B70" s="36" t="s">
        <v>127</v>
      </c>
      <c r="C70" s="20"/>
      <c r="D70" s="67">
        <f>'Depreciation Schedule'!C37</f>
        <v>0</v>
      </c>
      <c r="E70" s="55">
        <f>'Depreciation Schedule'!D15</f>
        <v>180</v>
      </c>
      <c r="F70" s="55">
        <f>'Depreciation Schedule'!E15</f>
        <v>153</v>
      </c>
      <c r="G70" s="55">
        <f>'Depreciation Schedule'!F15</f>
        <v>130.04999999999998</v>
      </c>
      <c r="H70" s="55">
        <f>'Depreciation Schedule'!G15</f>
        <v>110.5425</v>
      </c>
      <c r="I70" s="55">
        <f>'Depreciation Schedule'!H15</f>
        <v>93.961124999999996</v>
      </c>
      <c r="J70" s="55">
        <f>'Depreciation Schedule'!I15</f>
        <v>79.866956250000001</v>
      </c>
      <c r="K70" s="55">
        <f>'Depreciation Schedule'!J15</f>
        <v>67.8869128125</v>
      </c>
      <c r="L70" s="67">
        <f>'Depreciation Schedule'!K15</f>
        <v>57.703875890625</v>
      </c>
      <c r="M70" s="67">
        <f>'Depreciation Schedule'!L15</f>
        <v>49.048294507031251</v>
      </c>
    </row>
    <row r="71" spans="2:13" x14ac:dyDescent="0.35">
      <c r="B71" s="36" t="s">
        <v>21</v>
      </c>
      <c r="C71" s="20"/>
      <c r="D71" s="65">
        <f t="shared" ref="D71:M71" si="29">D69-D70</f>
        <v>0</v>
      </c>
      <c r="E71" s="80">
        <f t="shared" si="29"/>
        <v>1020</v>
      </c>
      <c r="F71" s="26">
        <f t="shared" si="29"/>
        <v>867</v>
      </c>
      <c r="G71" s="80">
        <f t="shared" si="29"/>
        <v>736.95</v>
      </c>
      <c r="H71" s="26">
        <f t="shared" si="29"/>
        <v>626.40750000000003</v>
      </c>
      <c r="I71" s="80">
        <f t="shared" si="29"/>
        <v>532.44637499999999</v>
      </c>
      <c r="J71" s="26">
        <f t="shared" si="29"/>
        <v>452.57941875</v>
      </c>
      <c r="K71" s="80">
        <f t="shared" si="29"/>
        <v>384.69250593750002</v>
      </c>
      <c r="L71" s="26">
        <f t="shared" si="29"/>
        <v>326.98863004687502</v>
      </c>
      <c r="M71" s="26">
        <f t="shared" si="29"/>
        <v>277.94033553984377</v>
      </c>
    </row>
    <row r="72" spans="2:13" x14ac:dyDescent="0.35">
      <c r="B72" s="36" t="s">
        <v>279</v>
      </c>
      <c r="C72" s="20"/>
      <c r="D72" s="18">
        <v>1200</v>
      </c>
      <c r="E72" s="80"/>
      <c r="F72" s="18"/>
      <c r="H72" s="18"/>
      <c r="J72" s="18"/>
      <c r="K72" s="138"/>
      <c r="L72" s="18"/>
      <c r="M72" s="18"/>
    </row>
    <row r="73" spans="2:13" x14ac:dyDescent="0.35">
      <c r="B73" s="36" t="s">
        <v>133</v>
      </c>
      <c r="C73" s="20"/>
      <c r="D73" s="65">
        <f>'Location- PL'!D75*2/12</f>
        <v>0</v>
      </c>
      <c r="E73" s="80">
        <f>'Location- PL'!E80/12</f>
        <v>74.173333333333332</v>
      </c>
      <c r="F73" s="80">
        <f>'Location- PL'!F80/12</f>
        <v>77.00200000000001</v>
      </c>
      <c r="G73" s="80">
        <f>'Location- PL'!G80/12</f>
        <v>80.013350000000003</v>
      </c>
      <c r="H73" s="80">
        <f>'Location- PL'!H80/12</f>
        <v>83.219611250000014</v>
      </c>
      <c r="I73" s="80">
        <f>'Location- PL'!I80/12</f>
        <v>86.63385509375</v>
      </c>
      <c r="J73" s="80">
        <f>'Location- PL'!J80/12</f>
        <v>90.270055875781267</v>
      </c>
      <c r="K73" s="80">
        <f>'Location- PL'!K80/12</f>
        <v>94.143154798964858</v>
      </c>
      <c r="L73" s="26">
        <f>'Location- PL'!L80/12</f>
        <v>69.669128378012203</v>
      </c>
      <c r="M73" s="26">
        <f>'Location- PL'!M80/12</f>
        <v>74.065061823944362</v>
      </c>
    </row>
    <row r="74" spans="2:13" x14ac:dyDescent="0.35">
      <c r="B74" s="36" t="s">
        <v>129</v>
      </c>
      <c r="C74" s="20"/>
      <c r="D74" s="65">
        <f>'Location-CFS'!D96</f>
        <v>5</v>
      </c>
      <c r="E74" s="65">
        <f>'Location-CFS'!E96</f>
        <v>111.05426666666668</v>
      </c>
      <c r="F74" s="65">
        <f>'Location-CFS'!F96</f>
        <v>273.81888000000009</v>
      </c>
      <c r="G74" s="65">
        <f>'Location-CFS'!G96</f>
        <v>455.20292400000011</v>
      </c>
      <c r="H74" s="65">
        <f>'Location-CFS'!H96</f>
        <v>655.58793770000011</v>
      </c>
      <c r="I74" s="65">
        <f>'Location-CFS'!I96</f>
        <v>875.35399214749998</v>
      </c>
      <c r="J74" s="65">
        <f>'Location-CFS'!J96</f>
        <v>1114.9718261345624</v>
      </c>
      <c r="K74" s="143">
        <f>'Location-CFS'!K96</f>
        <v>1484.0451418994548</v>
      </c>
      <c r="L74" s="65">
        <f>'Location-CFS'!L96</f>
        <v>1594.1990727869538</v>
      </c>
      <c r="M74" s="65">
        <f>'Location-CFS'!M96</f>
        <v>1683.6248357532672</v>
      </c>
    </row>
    <row r="75" spans="2:13" x14ac:dyDescent="0.35">
      <c r="B75" s="36"/>
      <c r="C75" s="20"/>
      <c r="D75" s="18"/>
      <c r="E75" s="80"/>
      <c r="F75" s="18"/>
      <c r="H75" s="18"/>
      <c r="J75" s="18"/>
      <c r="K75" s="138"/>
      <c r="L75" s="18"/>
      <c r="M75" s="18"/>
    </row>
    <row r="76" spans="2:13" ht="15" thickBot="1" x14ac:dyDescent="0.4">
      <c r="B76" s="116" t="s">
        <v>5</v>
      </c>
      <c r="C76" s="122"/>
      <c r="D76" s="118">
        <f>SUM(D71:D75)</f>
        <v>1205</v>
      </c>
      <c r="E76" s="118">
        <f t="shared" ref="E76:M76" si="30">SUM(E71:E75)</f>
        <v>1205.2276000000002</v>
      </c>
      <c r="F76" s="118">
        <f t="shared" si="30"/>
        <v>1217.82088</v>
      </c>
      <c r="G76" s="118">
        <f t="shared" si="30"/>
        <v>1272.1662740000002</v>
      </c>
      <c r="H76" s="118">
        <f t="shared" si="30"/>
        <v>1365.2150489500002</v>
      </c>
      <c r="I76" s="118">
        <f t="shared" si="30"/>
        <v>1494.4342222412499</v>
      </c>
      <c r="J76" s="118">
        <f t="shared" si="30"/>
        <v>1657.8213007603435</v>
      </c>
      <c r="K76" s="155">
        <f t="shared" si="30"/>
        <v>1962.8808026359197</v>
      </c>
      <c r="L76" s="118">
        <f t="shared" si="30"/>
        <v>1990.8568312118409</v>
      </c>
      <c r="M76" s="118">
        <f t="shared" si="30"/>
        <v>2035.6302331170555</v>
      </c>
    </row>
    <row r="77" spans="2:13" ht="15" thickTop="1" x14ac:dyDescent="0.35">
      <c r="B77" s="37"/>
      <c r="C77" s="22"/>
      <c r="D77" s="19"/>
      <c r="E77" s="21"/>
      <c r="F77" s="19"/>
      <c r="G77" s="21"/>
      <c r="H77" s="19"/>
      <c r="I77" s="21"/>
      <c r="J77" s="19"/>
      <c r="K77" s="21"/>
      <c r="L77" s="19"/>
      <c r="M77" s="19"/>
    </row>
    <row r="79" spans="2:13" x14ac:dyDescent="0.35">
      <c r="B79" s="107" t="s">
        <v>282</v>
      </c>
      <c r="C79" s="70"/>
      <c r="D79" s="74" t="s">
        <v>143</v>
      </c>
      <c r="E79" s="93" t="s">
        <v>144</v>
      </c>
      <c r="F79" s="74" t="s">
        <v>145</v>
      </c>
      <c r="G79" s="93" t="s">
        <v>146</v>
      </c>
      <c r="H79" s="74" t="s">
        <v>84</v>
      </c>
      <c r="I79" s="93" t="s">
        <v>85</v>
      </c>
      <c r="J79" s="74" t="s">
        <v>147</v>
      </c>
      <c r="K79" s="93" t="s">
        <v>87</v>
      </c>
      <c r="L79" s="74" t="s">
        <v>88</v>
      </c>
      <c r="M79" s="74" t="s">
        <v>305</v>
      </c>
    </row>
    <row r="80" spans="2:13" x14ac:dyDescent="0.35">
      <c r="B80" s="36"/>
      <c r="C80" s="20"/>
      <c r="D80" s="18"/>
      <c r="F80" s="18"/>
      <c r="H80" s="18"/>
      <c r="J80" s="18"/>
      <c r="K80" s="138"/>
      <c r="L80" s="18"/>
      <c r="M80" s="18"/>
    </row>
    <row r="81" spans="2:13" x14ac:dyDescent="0.35">
      <c r="B81" s="39" t="s">
        <v>122</v>
      </c>
      <c r="C81" s="20"/>
      <c r="D81" s="18"/>
      <c r="F81" s="18"/>
      <c r="H81" s="18"/>
      <c r="J81" s="18"/>
      <c r="K81" s="138"/>
      <c r="L81" s="18"/>
      <c r="M81" s="18"/>
    </row>
    <row r="82" spans="2:13" x14ac:dyDescent="0.35">
      <c r="B82" s="36"/>
      <c r="C82" s="20"/>
      <c r="D82" s="18"/>
      <c r="F82" s="18"/>
      <c r="H82" s="18"/>
      <c r="J82" s="18"/>
      <c r="K82" s="138"/>
      <c r="L82" s="18"/>
      <c r="M82" s="18"/>
    </row>
    <row r="83" spans="2:13" x14ac:dyDescent="0.35">
      <c r="B83" s="36" t="s">
        <v>123</v>
      </c>
      <c r="C83" s="20"/>
      <c r="D83" s="26">
        <f>300</f>
        <v>300</v>
      </c>
      <c r="E83" s="80">
        <v>300</v>
      </c>
      <c r="F83" s="26">
        <v>300</v>
      </c>
      <c r="G83" s="80">
        <v>300</v>
      </c>
      <c r="H83" s="65">
        <f>G83</f>
        <v>300</v>
      </c>
      <c r="I83" s="8">
        <f>H83</f>
        <v>300</v>
      </c>
      <c r="J83" s="65">
        <v>300</v>
      </c>
      <c r="K83" s="141">
        <v>300</v>
      </c>
      <c r="L83" s="65">
        <v>300</v>
      </c>
      <c r="M83" s="65">
        <v>300</v>
      </c>
    </row>
    <row r="84" spans="2:13" x14ac:dyDescent="0.35">
      <c r="B84" s="36" t="s">
        <v>128</v>
      </c>
      <c r="C84" s="20"/>
      <c r="D84" s="26"/>
      <c r="E84" s="80"/>
      <c r="F84" s="26"/>
      <c r="G84" s="80"/>
      <c r="H84" s="65"/>
      <c r="I84" s="8"/>
      <c r="J84" s="65"/>
      <c r="K84" s="141"/>
      <c r="L84" s="18"/>
      <c r="M84" s="18"/>
    </row>
    <row r="85" spans="2:13" x14ac:dyDescent="0.35">
      <c r="B85" s="36" t="s">
        <v>126</v>
      </c>
      <c r="C85" s="20"/>
      <c r="D85" s="26">
        <v>0</v>
      </c>
      <c r="E85" s="80">
        <f t="shared" ref="E85" si="31">D87</f>
        <v>0</v>
      </c>
      <c r="F85" s="26">
        <f t="shared" ref="F85" si="32">E87</f>
        <v>117.72760000000005</v>
      </c>
      <c r="G85" s="80">
        <f t="shared" ref="G85" si="33">F87</f>
        <v>280.3208800000001</v>
      </c>
      <c r="H85" s="65">
        <f t="shared" ref="H85" si="34">G87</f>
        <v>484.66627400000016</v>
      </c>
      <c r="I85" s="8">
        <f t="shared" ref="I85" si="35">H87</f>
        <v>727.71504895000021</v>
      </c>
      <c r="J85" s="65">
        <f t="shared" ref="J85" si="36">I87</f>
        <v>1006.9342222412502</v>
      </c>
      <c r="K85" s="141">
        <f t="shared" ref="K85" si="37">J87</f>
        <v>1320.321300760344</v>
      </c>
      <c r="L85" s="65">
        <f>K87</f>
        <v>1662.88080263592</v>
      </c>
      <c r="M85" s="65">
        <f>L87</f>
        <v>1690.8568312118414</v>
      </c>
    </row>
    <row r="86" spans="2:13" x14ac:dyDescent="0.35">
      <c r="B86" s="36" t="s">
        <v>150</v>
      </c>
      <c r="C86" s="20"/>
      <c r="D86" s="85">
        <f>'Location- PL'!D116</f>
        <v>0</v>
      </c>
      <c r="E86" s="56">
        <f>'Location- PL'!E124</f>
        <v>117.72760000000005</v>
      </c>
      <c r="F86" s="56">
        <f>'Location- PL'!F124</f>
        <v>162.59328000000005</v>
      </c>
      <c r="G86" s="56">
        <f>'Location- PL'!G124</f>
        <v>204.34539400000006</v>
      </c>
      <c r="H86" s="56">
        <f>'Location- PL'!H124</f>
        <v>243.04877495000005</v>
      </c>
      <c r="I86" s="56">
        <f>'Location- PL'!I124</f>
        <v>279.21917329124994</v>
      </c>
      <c r="J86" s="56">
        <f>'Location- PL'!J124</f>
        <v>313.38707851909385</v>
      </c>
      <c r="K86" s="56">
        <f>'Location- PL'!K124</f>
        <v>342.55950187557596</v>
      </c>
      <c r="L86" s="85">
        <f>'Location- PL'!L124</f>
        <v>27.976028575921305</v>
      </c>
      <c r="M86" s="85">
        <f>'Location- PL'!M124</f>
        <v>44.773401905214428</v>
      </c>
    </row>
    <row r="87" spans="2:13" x14ac:dyDescent="0.35">
      <c r="B87" s="36" t="s">
        <v>21</v>
      </c>
      <c r="C87" s="20"/>
      <c r="D87" s="26">
        <f t="shared" ref="D87:M87" si="38">D85+D86</f>
        <v>0</v>
      </c>
      <c r="E87" s="80">
        <f t="shared" si="38"/>
        <v>117.72760000000005</v>
      </c>
      <c r="F87" s="26">
        <f t="shared" si="38"/>
        <v>280.3208800000001</v>
      </c>
      <c r="G87" s="80">
        <f t="shared" si="38"/>
        <v>484.66627400000016</v>
      </c>
      <c r="H87" s="26">
        <f t="shared" si="38"/>
        <v>727.71504895000021</v>
      </c>
      <c r="I87" s="80">
        <f t="shared" si="38"/>
        <v>1006.9342222412502</v>
      </c>
      <c r="J87" s="26">
        <f t="shared" si="38"/>
        <v>1320.321300760344</v>
      </c>
      <c r="K87" s="80">
        <f t="shared" si="38"/>
        <v>1662.88080263592</v>
      </c>
      <c r="L87" s="26">
        <f t="shared" si="38"/>
        <v>1690.8568312118414</v>
      </c>
      <c r="M87" s="26">
        <f t="shared" si="38"/>
        <v>1735.6302331170559</v>
      </c>
    </row>
    <row r="88" spans="2:13" x14ac:dyDescent="0.35">
      <c r="B88" s="36" t="s">
        <v>124</v>
      </c>
      <c r="C88" s="20"/>
      <c r="D88" s="26">
        <f>'Loan Schedule'!$AM3</f>
        <v>900</v>
      </c>
      <c r="E88" s="26">
        <f>'Loan Schedule'!$AM4</f>
        <v>787.5</v>
      </c>
      <c r="F88" s="26">
        <f>'Loan Schedule'!$AM5</f>
        <v>637.5</v>
      </c>
      <c r="G88" s="26">
        <f>'Loan Schedule'!$AM6</f>
        <v>487.50000000000006</v>
      </c>
      <c r="H88" s="26">
        <f>'Loan Schedule'!$AM7</f>
        <v>337.50000000000006</v>
      </c>
      <c r="I88" s="26">
        <f>'Loan Schedule'!$AM8</f>
        <v>187.50000000000003</v>
      </c>
      <c r="J88" s="26">
        <f>'Loan Schedule'!$AM9</f>
        <v>37.500000000000014</v>
      </c>
      <c r="K88" s="154">
        <f>'Loan Schedule'!$AM10</f>
        <v>1.6431300764452317E-14</v>
      </c>
      <c r="L88" s="26">
        <f>'Loan Schedule'!$AM11</f>
        <v>1.6431300764452317E-14</v>
      </c>
      <c r="M88" s="26">
        <f>'Loan Schedule'!$AM12</f>
        <v>0</v>
      </c>
    </row>
    <row r="89" spans="2:13" x14ac:dyDescent="0.35">
      <c r="B89" s="36" t="s">
        <v>142</v>
      </c>
      <c r="C89" s="20"/>
      <c r="D89" s="26">
        <f>'Location-CFS'!D118</f>
        <v>5</v>
      </c>
      <c r="E89" s="80">
        <f>D89+'Location-CFS'!E118</f>
        <v>0</v>
      </c>
      <c r="F89" s="26">
        <v>0</v>
      </c>
      <c r="G89" s="80">
        <v>0</v>
      </c>
      <c r="H89" s="65">
        <v>0</v>
      </c>
      <c r="I89" s="8">
        <v>0</v>
      </c>
      <c r="J89" s="65">
        <v>0</v>
      </c>
      <c r="K89" s="141">
        <v>0</v>
      </c>
      <c r="L89" s="65">
        <v>0</v>
      </c>
      <c r="M89" s="65">
        <v>0</v>
      </c>
    </row>
    <row r="90" spans="2:13" x14ac:dyDescent="0.35">
      <c r="B90" s="36"/>
      <c r="C90" s="20"/>
      <c r="D90" s="26"/>
      <c r="E90" s="80"/>
      <c r="F90" s="26"/>
      <c r="G90" s="80"/>
      <c r="H90" s="65"/>
      <c r="I90" s="8"/>
      <c r="J90" s="65"/>
      <c r="K90" s="141"/>
      <c r="L90" s="18"/>
      <c r="M90" s="18"/>
    </row>
    <row r="91" spans="2:13" ht="15" thickBot="1" x14ac:dyDescent="0.4">
      <c r="B91" s="116" t="s">
        <v>5</v>
      </c>
      <c r="C91" s="122"/>
      <c r="D91" s="120">
        <f t="shared" ref="D91:M91" si="39">D83+D87+D88+D89</f>
        <v>1205</v>
      </c>
      <c r="E91" s="119">
        <f t="shared" si="39"/>
        <v>1205.2276000000002</v>
      </c>
      <c r="F91" s="120">
        <f t="shared" si="39"/>
        <v>1217.8208800000002</v>
      </c>
      <c r="G91" s="119">
        <f t="shared" si="39"/>
        <v>1272.1662740000002</v>
      </c>
      <c r="H91" s="120">
        <f t="shared" si="39"/>
        <v>1365.2150489500002</v>
      </c>
      <c r="I91" s="119">
        <f t="shared" si="39"/>
        <v>1494.4342222412502</v>
      </c>
      <c r="J91" s="120">
        <f t="shared" si="39"/>
        <v>1657.821300760344</v>
      </c>
      <c r="K91" s="119">
        <f t="shared" si="39"/>
        <v>1962.88080263592</v>
      </c>
      <c r="L91" s="120">
        <f t="shared" si="39"/>
        <v>1990.8568312118414</v>
      </c>
      <c r="M91" s="120">
        <f t="shared" si="39"/>
        <v>2035.6302331170559</v>
      </c>
    </row>
    <row r="92" spans="2:13" ht="15" thickTop="1" x14ac:dyDescent="0.35">
      <c r="B92" s="36"/>
      <c r="C92" s="20"/>
      <c r="D92" s="18"/>
      <c r="E92" s="80"/>
      <c r="F92" s="18"/>
      <c r="H92" s="18"/>
      <c r="J92" s="18"/>
      <c r="K92" s="138"/>
      <c r="L92" s="18"/>
      <c r="M92" s="18"/>
    </row>
    <row r="93" spans="2:13" x14ac:dyDescent="0.35">
      <c r="B93" s="39" t="s">
        <v>125</v>
      </c>
      <c r="C93" s="20"/>
      <c r="D93" s="18"/>
      <c r="E93" s="80"/>
      <c r="F93" s="18"/>
      <c r="H93" s="18"/>
      <c r="J93" s="18"/>
      <c r="K93" s="138"/>
      <c r="L93" s="18"/>
      <c r="M93" s="18"/>
    </row>
    <row r="94" spans="2:13" x14ac:dyDescent="0.35">
      <c r="B94" s="36" t="s">
        <v>126</v>
      </c>
      <c r="C94" s="20"/>
      <c r="D94" s="65">
        <f>'Depreciation Schedule'!C61</f>
        <v>0</v>
      </c>
      <c r="E94" s="80">
        <f>'Depreciation Schedule'!D19</f>
        <v>1200</v>
      </c>
      <c r="F94" s="65">
        <f t="shared" ref="F94" si="40">E96</f>
        <v>1020</v>
      </c>
      <c r="G94" s="8">
        <f t="shared" ref="G94" si="41">F96</f>
        <v>867</v>
      </c>
      <c r="H94" s="65">
        <f t="shared" ref="H94" si="42">G96</f>
        <v>736.95</v>
      </c>
      <c r="I94" s="8">
        <f t="shared" ref="I94" si="43">H96</f>
        <v>626.40750000000003</v>
      </c>
      <c r="J94" s="65">
        <f t="shared" ref="J94" si="44">I96</f>
        <v>532.44637499999999</v>
      </c>
      <c r="K94" s="141">
        <f t="shared" ref="K94" si="45">J96</f>
        <v>452.57941875</v>
      </c>
      <c r="L94" s="65">
        <f>K96</f>
        <v>384.69250593750002</v>
      </c>
      <c r="M94" s="65">
        <f>L96</f>
        <v>326.98863004687502</v>
      </c>
    </row>
    <row r="95" spans="2:13" x14ac:dyDescent="0.35">
      <c r="B95" s="36" t="s">
        <v>127</v>
      </c>
      <c r="C95" s="20"/>
      <c r="D95" s="67">
        <f>'Depreciation Schedule'!C62</f>
        <v>0</v>
      </c>
      <c r="E95" s="55">
        <f>'Depreciation Schedule'!D20</f>
        <v>180</v>
      </c>
      <c r="F95" s="55">
        <f>'Depreciation Schedule'!E20</f>
        <v>153</v>
      </c>
      <c r="G95" s="55">
        <f>'Depreciation Schedule'!F20</f>
        <v>130.04999999999998</v>
      </c>
      <c r="H95" s="55">
        <f>'Depreciation Schedule'!G20</f>
        <v>110.5425</v>
      </c>
      <c r="I95" s="55">
        <f>'Depreciation Schedule'!H20</f>
        <v>93.961124999999996</v>
      </c>
      <c r="J95" s="55">
        <f>'Depreciation Schedule'!I20</f>
        <v>79.866956250000001</v>
      </c>
      <c r="K95" s="55">
        <f>'Depreciation Schedule'!J20</f>
        <v>67.8869128125</v>
      </c>
      <c r="L95" s="67">
        <f>'Depreciation Schedule'!K20</f>
        <v>57.703875890625</v>
      </c>
      <c r="M95" s="67">
        <f>'Depreciation Schedule'!L20</f>
        <v>49.048294507031251</v>
      </c>
    </row>
    <row r="96" spans="2:13" x14ac:dyDescent="0.35">
      <c r="B96" s="36" t="s">
        <v>21</v>
      </c>
      <c r="C96" s="20"/>
      <c r="D96" s="65">
        <f t="shared" ref="D96:M96" si="46">D94-D95</f>
        <v>0</v>
      </c>
      <c r="E96" s="80">
        <f t="shared" si="46"/>
        <v>1020</v>
      </c>
      <c r="F96" s="26">
        <f t="shared" si="46"/>
        <v>867</v>
      </c>
      <c r="G96" s="80">
        <f t="shared" si="46"/>
        <v>736.95</v>
      </c>
      <c r="H96" s="26">
        <f t="shared" si="46"/>
        <v>626.40750000000003</v>
      </c>
      <c r="I96" s="80">
        <f t="shared" si="46"/>
        <v>532.44637499999999</v>
      </c>
      <c r="J96" s="26">
        <f t="shared" si="46"/>
        <v>452.57941875</v>
      </c>
      <c r="K96" s="80">
        <f t="shared" si="46"/>
        <v>384.69250593750002</v>
      </c>
      <c r="L96" s="26">
        <f t="shared" si="46"/>
        <v>326.98863004687502</v>
      </c>
      <c r="M96" s="26">
        <f t="shared" si="46"/>
        <v>277.94033553984377</v>
      </c>
    </row>
    <row r="97" spans="2:13" x14ac:dyDescent="0.35">
      <c r="B97" s="36" t="s">
        <v>279</v>
      </c>
      <c r="C97" s="20"/>
      <c r="D97" s="18">
        <v>1200</v>
      </c>
      <c r="E97" s="80"/>
      <c r="F97" s="18"/>
      <c r="H97" s="18"/>
      <c r="J97" s="18"/>
      <c r="K97" s="138"/>
      <c r="L97" s="18"/>
      <c r="M97" s="18"/>
    </row>
    <row r="98" spans="2:13" x14ac:dyDescent="0.35">
      <c r="B98" s="36" t="s">
        <v>133</v>
      </c>
      <c r="C98" s="20"/>
      <c r="D98" s="65">
        <f>'Location- PL'!D103*2/12</f>
        <v>0</v>
      </c>
      <c r="E98" s="80">
        <f>'Location- PL'!E112/12</f>
        <v>74.173333333333332</v>
      </c>
      <c r="F98" s="80">
        <f>'Location- PL'!F112/12</f>
        <v>77.00200000000001</v>
      </c>
      <c r="G98" s="80">
        <f>'Location- PL'!G112/12</f>
        <v>80.013350000000003</v>
      </c>
      <c r="H98" s="80">
        <f>'Location- PL'!H112/12</f>
        <v>83.219611250000014</v>
      </c>
      <c r="I98" s="80">
        <f>'Location- PL'!I112/12</f>
        <v>86.63385509375</v>
      </c>
      <c r="J98" s="80">
        <f>'Location- PL'!J112/12</f>
        <v>90.270055875781267</v>
      </c>
      <c r="K98" s="80">
        <f>'Location- PL'!K112/12</f>
        <v>94.143154798964858</v>
      </c>
      <c r="L98" s="26">
        <f>'Location- PL'!L112/12</f>
        <v>69.669128378012203</v>
      </c>
      <c r="M98" s="26">
        <f>'Location- PL'!M112/12</f>
        <v>74.065061823944362</v>
      </c>
    </row>
    <row r="99" spans="2:13" x14ac:dyDescent="0.35">
      <c r="B99" s="36" t="s">
        <v>129</v>
      </c>
      <c r="C99" s="20"/>
      <c r="D99" s="65">
        <f>'Location-CFS'!D127</f>
        <v>5</v>
      </c>
      <c r="E99" s="65">
        <f>'Location-CFS'!E127</f>
        <v>111.05426666666668</v>
      </c>
      <c r="F99" s="65">
        <f>'Location-CFS'!F127</f>
        <v>273.81888000000009</v>
      </c>
      <c r="G99" s="65">
        <f>'Location-CFS'!G127</f>
        <v>455.20292400000011</v>
      </c>
      <c r="H99" s="65">
        <f>'Location-CFS'!H127</f>
        <v>655.58793770000011</v>
      </c>
      <c r="I99" s="65">
        <f>'Location-CFS'!I127</f>
        <v>875.35399214749998</v>
      </c>
      <c r="J99" s="65">
        <f>'Location-CFS'!J127</f>
        <v>1114.9718261345624</v>
      </c>
      <c r="K99" s="143">
        <f>'Location-CFS'!K127</f>
        <v>1484.0451418994548</v>
      </c>
      <c r="L99" s="65">
        <f>'Location-CFS'!L127</f>
        <v>1594.1990727869538</v>
      </c>
      <c r="M99" s="65">
        <f>'Location-CFS'!M127</f>
        <v>1683.6248357532672</v>
      </c>
    </row>
    <row r="100" spans="2:13" x14ac:dyDescent="0.35">
      <c r="B100" s="36"/>
      <c r="C100" s="20"/>
      <c r="D100" s="18"/>
      <c r="E100" s="80"/>
      <c r="F100" s="18"/>
      <c r="H100" s="18"/>
      <c r="J100" s="18"/>
      <c r="K100" s="138"/>
      <c r="L100" s="18"/>
      <c r="M100" s="18"/>
    </row>
    <row r="101" spans="2:13" ht="15" thickBot="1" x14ac:dyDescent="0.4">
      <c r="B101" s="116" t="s">
        <v>5</v>
      </c>
      <c r="C101" s="122"/>
      <c r="D101" s="118">
        <f>SUM(D96:D100)</f>
        <v>1205</v>
      </c>
      <c r="E101" s="118">
        <f t="shared" ref="E101" si="47">SUM(E96:E100)</f>
        <v>1205.2276000000002</v>
      </c>
      <c r="F101" s="118">
        <f t="shared" ref="F101" si="48">SUM(F96:F100)</f>
        <v>1217.82088</v>
      </c>
      <c r="G101" s="118">
        <f t="shared" ref="G101" si="49">SUM(G96:G100)</f>
        <v>1272.1662740000002</v>
      </c>
      <c r="H101" s="118">
        <f t="shared" ref="H101" si="50">SUM(H96:H100)</f>
        <v>1365.2150489500002</v>
      </c>
      <c r="I101" s="118">
        <f t="shared" ref="I101" si="51">SUM(I96:I100)</f>
        <v>1494.4342222412499</v>
      </c>
      <c r="J101" s="118">
        <f t="shared" ref="J101" si="52">SUM(J96:J100)</f>
        <v>1657.8213007603435</v>
      </c>
      <c r="K101" s="155">
        <f t="shared" ref="K101:M101" si="53">SUM(K96:K100)</f>
        <v>1962.8808026359197</v>
      </c>
      <c r="L101" s="118">
        <f t="shared" si="53"/>
        <v>1990.8568312118409</v>
      </c>
      <c r="M101" s="118">
        <f t="shared" si="53"/>
        <v>2035.6302331170555</v>
      </c>
    </row>
    <row r="102" spans="2:13" ht="15" thickTop="1" x14ac:dyDescent="0.35">
      <c r="B102" s="37"/>
      <c r="C102" s="22"/>
      <c r="D102" s="19"/>
      <c r="E102" s="21"/>
      <c r="F102" s="19"/>
      <c r="G102" s="21"/>
      <c r="H102" s="19"/>
      <c r="I102" s="21"/>
      <c r="J102" s="19"/>
      <c r="K102" s="21"/>
      <c r="L102" s="19"/>
      <c r="M102" s="19"/>
    </row>
    <row r="104" spans="2:13" x14ac:dyDescent="0.35">
      <c r="D104" s="8">
        <f>D14+D40+D66+D91</f>
        <v>4816.9645</v>
      </c>
      <c r="E104" s="8">
        <f t="shared" ref="E104:M104" si="54">E14+E40+E66+E91</f>
        <v>4668.4397488888881</v>
      </c>
      <c r="F104" s="8">
        <f t="shared" si="54"/>
        <v>4595.536991388889</v>
      </c>
      <c r="G104" s="8">
        <f t="shared" si="54"/>
        <v>4689.0888939513879</v>
      </c>
      <c r="H104" s="8">
        <f t="shared" si="54"/>
        <v>4937.0279436498258</v>
      </c>
      <c r="I104" s="8">
        <f t="shared" si="54"/>
        <v>5329.4424436228337</v>
      </c>
      <c r="J104" s="8">
        <f t="shared" si="54"/>
        <v>5858.3484161074266</v>
      </c>
      <c r="K104" s="8">
        <f t="shared" si="54"/>
        <v>6925.7488329744683</v>
      </c>
      <c r="L104" s="8">
        <f t="shared" si="54"/>
        <v>7045.7986894639334</v>
      </c>
      <c r="M104" s="8">
        <f t="shared" si="54"/>
        <v>7224.9515114072856</v>
      </c>
    </row>
    <row r="124" spans="4:11" x14ac:dyDescent="0.35">
      <c r="D124" s="8">
        <f t="shared" ref="D124:K124" si="55">D14+D40</f>
        <v>2406.9645</v>
      </c>
      <c r="E124" s="8">
        <f t="shared" si="55"/>
        <v>2257.9845488888882</v>
      </c>
      <c r="F124" s="8">
        <f t="shared" si="55"/>
        <v>2159.8952313888885</v>
      </c>
      <c r="G124" s="8">
        <f t="shared" si="55"/>
        <v>2144.7563459513881</v>
      </c>
      <c r="H124" s="8">
        <f t="shared" si="55"/>
        <v>2206.5978457498254</v>
      </c>
      <c r="I124" s="8">
        <f t="shared" si="55"/>
        <v>2340.5739991403334</v>
      </c>
      <c r="J124" s="8">
        <f t="shared" si="55"/>
        <v>2542.7058145867386</v>
      </c>
      <c r="K124" s="8">
        <f t="shared" si="55"/>
        <v>2999.9872277026279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0"/>
  <sheetViews>
    <sheetView topLeftCell="A9" workbookViewId="0">
      <selection activeCell="D24" sqref="D24"/>
    </sheetView>
  </sheetViews>
  <sheetFormatPr defaultRowHeight="14.5" x14ac:dyDescent="0.35"/>
  <cols>
    <col min="2" max="2" width="29.1796875" customWidth="1"/>
    <col min="7" max="7" width="9.54296875" customWidth="1"/>
    <col min="8" max="8" width="9.453125" bestFit="1" customWidth="1"/>
    <col min="10" max="10" width="11" customWidth="1"/>
    <col min="11" max="11" width="9.54296875" customWidth="1"/>
  </cols>
  <sheetData>
    <row r="1" spans="2:13" x14ac:dyDescent="0.25">
      <c r="K1" t="s">
        <v>156</v>
      </c>
    </row>
    <row r="2" spans="2:13" x14ac:dyDescent="0.25">
      <c r="B2" s="57" t="s">
        <v>151</v>
      </c>
      <c r="C2" s="57"/>
      <c r="D2" s="57" t="s">
        <v>143</v>
      </c>
      <c r="E2" s="57" t="s">
        <v>144</v>
      </c>
      <c r="F2" s="57" t="s">
        <v>145</v>
      </c>
      <c r="G2" s="57" t="s">
        <v>146</v>
      </c>
      <c r="H2" s="57" t="s">
        <v>84</v>
      </c>
      <c r="I2" s="57" t="s">
        <v>85</v>
      </c>
      <c r="J2" s="57" t="s">
        <v>147</v>
      </c>
      <c r="K2" s="57" t="s">
        <v>87</v>
      </c>
      <c r="L2" s="57" t="s">
        <v>88</v>
      </c>
      <c r="M2" s="57" t="s">
        <v>305</v>
      </c>
    </row>
    <row r="3" spans="2:13" x14ac:dyDescent="0.2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3" x14ac:dyDescent="0.25">
      <c r="B4" s="9" t="s">
        <v>122</v>
      </c>
      <c r="C4" s="9"/>
      <c r="D4" s="9"/>
      <c r="E4" s="9"/>
      <c r="F4" s="9"/>
      <c r="G4" s="9"/>
      <c r="H4" s="9"/>
      <c r="I4" s="9"/>
      <c r="J4" s="9"/>
      <c r="K4" s="9"/>
    </row>
    <row r="5" spans="2:13" x14ac:dyDescent="0.25">
      <c r="B5" s="9"/>
      <c r="C5" s="9"/>
      <c r="D5" s="9"/>
      <c r="E5" s="9"/>
      <c r="F5" s="9"/>
      <c r="G5" s="9"/>
      <c r="H5" s="9"/>
      <c r="I5" s="9"/>
      <c r="J5" s="9"/>
      <c r="K5" s="9"/>
    </row>
    <row r="6" spans="2:13" x14ac:dyDescent="0.25">
      <c r="B6" s="9" t="s">
        <v>285</v>
      </c>
      <c r="C6" s="9"/>
      <c r="D6" s="11">
        <f>SUM('Location -BS'!D6,'Location -BS'!D32,'Location -BS'!D58,'Location -BS'!D83)</f>
        <v>1200</v>
      </c>
      <c r="E6" s="11">
        <f>SUM('Location -BS'!E6,'Location -BS'!E32,'Location -BS'!E58,'Location -BS'!E83)</f>
        <v>1200</v>
      </c>
      <c r="F6" s="11">
        <f>SUM('Location -BS'!F6,'Location -BS'!F32,'Location -BS'!F58,'Location -BS'!F83)</f>
        <v>1200</v>
      </c>
      <c r="G6" s="11">
        <f>SUM('Location -BS'!G6,'Location -BS'!G32,'Location -BS'!G58,'Location -BS'!G83)</f>
        <v>1200</v>
      </c>
      <c r="H6" s="11">
        <f>SUM('Location -BS'!H6,'Location -BS'!H32,'Location -BS'!H58,'Location -BS'!H83)</f>
        <v>1200</v>
      </c>
      <c r="I6" s="11">
        <f>SUM('Location -BS'!I6,'Location -BS'!I32,'Location -BS'!I58,'Location -BS'!I83)</f>
        <v>1200</v>
      </c>
      <c r="J6" s="11">
        <f>SUM('Location -BS'!J6,'Location -BS'!J32,'Location -BS'!J58,'Location -BS'!J83)</f>
        <v>1200</v>
      </c>
      <c r="K6" s="11">
        <f>SUM('Location -BS'!K6,'Location -BS'!K32,'Location -BS'!K58,'Location -BS'!K83)</f>
        <v>1200</v>
      </c>
      <c r="L6" s="11">
        <f>SUM('Location -BS'!L6,'Location -BS'!L32,'Location -BS'!L58,'Location -BS'!L83)</f>
        <v>1200</v>
      </c>
      <c r="M6" s="11">
        <f>SUM('Location -BS'!M6,'Location -BS'!M32,'Location -BS'!M58,'Location -BS'!M83)</f>
        <v>1200</v>
      </c>
    </row>
    <row r="7" spans="2:13" x14ac:dyDescent="0.25">
      <c r="B7" s="9" t="s">
        <v>128</v>
      </c>
      <c r="C7" s="9"/>
      <c r="D7" s="9"/>
      <c r="E7" s="9"/>
      <c r="F7" s="9"/>
      <c r="G7" s="9"/>
      <c r="H7" s="9"/>
      <c r="I7" s="9"/>
      <c r="J7" s="9"/>
      <c r="K7" s="9"/>
    </row>
    <row r="8" spans="2:13" x14ac:dyDescent="0.25">
      <c r="B8" s="9" t="s">
        <v>126</v>
      </c>
      <c r="C8" s="9"/>
      <c r="D8" s="11">
        <f>SUM('Location -BS'!D8,'Location -BS'!D34)</f>
        <v>0</v>
      </c>
      <c r="E8" s="11">
        <f t="shared" ref="E8:K8" si="0">D10</f>
        <v>6.9644999999999726</v>
      </c>
      <c r="F8" s="11">
        <f t="shared" si="0"/>
        <v>354.55085999999989</v>
      </c>
      <c r="G8" s="11">
        <f t="shared" si="0"/>
        <v>881.64810249999982</v>
      </c>
      <c r="H8" s="11">
        <f t="shared" si="0"/>
        <v>1575.2000050624997</v>
      </c>
      <c r="I8" s="11">
        <f t="shared" si="0"/>
        <v>2423.1390547609371</v>
      </c>
      <c r="J8" s="11">
        <f t="shared" si="0"/>
        <v>3415.553554733945</v>
      </c>
      <c r="K8" s="11">
        <f t="shared" si="0"/>
        <v>4544.4595272185379</v>
      </c>
      <c r="L8" s="8">
        <f>K10</f>
        <v>5725.7488329744683</v>
      </c>
      <c r="M8" s="8">
        <f>L10</f>
        <v>5845.7986894639334</v>
      </c>
    </row>
    <row r="9" spans="2:13" x14ac:dyDescent="0.25">
      <c r="B9" s="9" t="s">
        <v>152</v>
      </c>
      <c r="C9" s="9"/>
      <c r="D9" s="11">
        <f>SUM('Location -BS'!D9,'Location -BS'!D35,'Location -BS'!D61,'Location -BS'!D86)</f>
        <v>6.9644999999999726</v>
      </c>
      <c r="E9" s="11">
        <f>SUM('Location -BS'!E9,'Location -BS'!E35,'Location -BS'!E61,'Location -BS'!E86)</f>
        <v>347.5863599999999</v>
      </c>
      <c r="F9" s="11">
        <f>SUM('Location -BS'!F9,'Location -BS'!F35,'Location -BS'!F61,'Location -BS'!F86)</f>
        <v>527.09724249999999</v>
      </c>
      <c r="G9" s="11">
        <f>SUM('Location -BS'!G9,'Location -BS'!G35,'Location -BS'!G61,'Location -BS'!G86)</f>
        <v>693.55190256249989</v>
      </c>
      <c r="H9" s="11">
        <f>SUM('Location -BS'!H9,'Location -BS'!H35,'Location -BS'!H61,'Location -BS'!H86)</f>
        <v>847.93904969843766</v>
      </c>
      <c r="I9" s="11">
        <f>SUM('Location -BS'!I9,'Location -BS'!I35,'Location -BS'!I61,'Location -BS'!I86)</f>
        <v>992.41449997300765</v>
      </c>
      <c r="J9" s="11">
        <f>SUM('Location -BS'!J9,'Location -BS'!J35,'Location -BS'!J61,'Location -BS'!J86)</f>
        <v>1128.9059724845927</v>
      </c>
      <c r="K9" s="11">
        <f>SUM('Location -BS'!K9,'Location -BS'!K35,'Location -BS'!K61,'Location -BS'!K86)</f>
        <v>1181.2893057559304</v>
      </c>
      <c r="L9" s="11">
        <f>SUM('Location -BS'!L9,'Location -BS'!L35,'Location -BS'!L61,'Location -BS'!L86)</f>
        <v>120.04985648946479</v>
      </c>
      <c r="M9" s="11">
        <f>SUM('Location -BS'!M9,'Location -BS'!M35,'Location -BS'!M61,'Location -BS'!M86)</f>
        <v>179.15282194335214</v>
      </c>
    </row>
    <row r="10" spans="2:13" x14ac:dyDescent="0.25">
      <c r="B10" s="9" t="s">
        <v>21</v>
      </c>
      <c r="C10" s="9"/>
      <c r="D10" s="11">
        <f t="shared" ref="D10:M10" si="1">D8+D9</f>
        <v>6.9644999999999726</v>
      </c>
      <c r="E10" s="11">
        <f t="shared" si="1"/>
        <v>354.55085999999989</v>
      </c>
      <c r="F10" s="11">
        <f t="shared" si="1"/>
        <v>881.64810249999982</v>
      </c>
      <c r="G10" s="11">
        <f t="shared" si="1"/>
        <v>1575.2000050624997</v>
      </c>
      <c r="H10" s="11">
        <f t="shared" si="1"/>
        <v>2423.1390547609371</v>
      </c>
      <c r="I10" s="11">
        <f t="shared" si="1"/>
        <v>3415.553554733945</v>
      </c>
      <c r="J10" s="11">
        <f t="shared" si="1"/>
        <v>4544.4595272185379</v>
      </c>
      <c r="K10" s="11">
        <f t="shared" si="1"/>
        <v>5725.7488329744683</v>
      </c>
      <c r="L10" s="11">
        <f t="shared" si="1"/>
        <v>5845.7986894639334</v>
      </c>
      <c r="M10" s="11">
        <f t="shared" si="1"/>
        <v>6024.9515114072856</v>
      </c>
    </row>
    <row r="11" spans="2:13" x14ac:dyDescent="0.25">
      <c r="B11" s="9" t="s">
        <v>124</v>
      </c>
      <c r="C11" s="9"/>
      <c r="D11" s="11">
        <f>SUM('Location -BS'!D11,'Location -BS'!D37,'Location -BS'!D63,'Location -BS'!D88)</f>
        <v>3600</v>
      </c>
      <c r="E11" s="11">
        <f>SUM('Location -BS'!E11,'Location -BS'!E37,'Location -BS'!E63,'Location -BS'!E88)</f>
        <v>3113.8888888888887</v>
      </c>
      <c r="F11" s="11">
        <f>SUM('Location -BS'!F11,'Location -BS'!F37,'Location -BS'!F63,'Location -BS'!F88)</f>
        <v>2513.8888888888887</v>
      </c>
      <c r="G11" s="11">
        <f>SUM('Location -BS'!G11,'Location -BS'!G37,'Location -BS'!G63,'Location -BS'!G88)</f>
        <v>1913.8888888888887</v>
      </c>
      <c r="H11" s="11">
        <f>SUM('Location -BS'!H11,'Location -BS'!H37,'Location -BS'!H63,'Location -BS'!H88)</f>
        <v>1313.8888888888887</v>
      </c>
      <c r="I11" s="11">
        <f>SUM('Location -BS'!I11,'Location -BS'!I37,'Location -BS'!I63,'Location -BS'!I88)</f>
        <v>713.88888888888869</v>
      </c>
      <c r="J11" s="11">
        <f>SUM('Location -BS'!J11,'Location -BS'!J37,'Location -BS'!J63,'Location -BS'!J88)</f>
        <v>113.88888888888872</v>
      </c>
      <c r="K11" s="10">
        <f>SUM('Location -BS'!K11,'Location -BS'!K37,'Location -BS'!K63,'Location -BS'!K88)</f>
        <v>-1.7284784714632906E-13</v>
      </c>
      <c r="L11" s="10">
        <f>SUM('Location -BS'!L11,'Location -BS'!L37,'Location -BS'!L63,'Location -BS'!L88)</f>
        <v>3.2862601528904634E-14</v>
      </c>
      <c r="M11" s="10">
        <f>SUM('Location -BS'!M11,'Location -BS'!M37,'Location -BS'!M63,'Location -BS'!M88)</f>
        <v>0</v>
      </c>
    </row>
    <row r="12" spans="2:13" x14ac:dyDescent="0.25">
      <c r="B12" s="9" t="s">
        <v>142</v>
      </c>
      <c r="C12" s="9"/>
      <c r="D12" s="11">
        <f>SUM('Location -BS'!D12,'Location -BS'!D38,'Location -BS'!D64,'Location -BS'!D89)</f>
        <v>10</v>
      </c>
      <c r="E12" s="11">
        <f>SUM('Location -BS'!E12,'Location -BS'!E38,'Location -BS'!E64,'Location -BS'!E89)</f>
        <v>0</v>
      </c>
      <c r="F12" s="11">
        <f>SUM('Location -BS'!F12,'Location -BS'!F38,'Location -BS'!F64,'Location -BS'!F89)</f>
        <v>0</v>
      </c>
      <c r="G12" s="11">
        <f>SUM('Location -BS'!G12,'Location -BS'!G38,'Location -BS'!G64,'Location -BS'!G89)</f>
        <v>0</v>
      </c>
      <c r="H12" s="11">
        <f>SUM('Location -BS'!H12,'Location -BS'!H38,'Location -BS'!H64,'Location -BS'!H89)</f>
        <v>0</v>
      </c>
      <c r="I12" s="11">
        <f>SUM('Location -BS'!I12,'Location -BS'!I38,'Location -BS'!I64,'Location -BS'!I89)</f>
        <v>0</v>
      </c>
      <c r="J12" s="11">
        <f>SUM('Location -BS'!J12,'Location -BS'!J38,'Location -BS'!J64,'Location -BS'!J89)</f>
        <v>0</v>
      </c>
      <c r="K12" s="11">
        <f>SUM('Location -BS'!K12,'Location -BS'!K38,'Location -BS'!K64,'Location -BS'!K89)</f>
        <v>0</v>
      </c>
      <c r="L12" s="11">
        <f>SUM('Location -BS'!L12,'Location -BS'!L38,'Location -BS'!L64,'Location -BS'!L89)</f>
        <v>0</v>
      </c>
      <c r="M12" s="11">
        <f>SUM('Location -BS'!M12,'Location -BS'!M38,'Location -BS'!M64,'Location -BS'!M89)</f>
        <v>0</v>
      </c>
    </row>
    <row r="13" spans="2:13" x14ac:dyDescent="0.25">
      <c r="B13" s="9"/>
      <c r="C13" s="9"/>
      <c r="D13" s="11"/>
      <c r="E13" s="11"/>
      <c r="F13" s="11"/>
      <c r="G13" s="11"/>
      <c r="H13" s="11"/>
      <c r="I13" s="11"/>
      <c r="J13" s="11"/>
      <c r="K13" s="11"/>
      <c r="L13" s="9"/>
      <c r="M13" s="9"/>
    </row>
    <row r="14" spans="2:13" x14ac:dyDescent="0.25">
      <c r="B14" s="57" t="s">
        <v>5</v>
      </c>
      <c r="C14" s="57"/>
      <c r="D14" s="115">
        <f t="shared" ref="D14:M14" si="2">D6+D10+D11+D12</f>
        <v>4816.9645</v>
      </c>
      <c r="E14" s="115">
        <f t="shared" si="2"/>
        <v>4668.4397488888881</v>
      </c>
      <c r="F14" s="115">
        <f t="shared" si="2"/>
        <v>4595.5369913888881</v>
      </c>
      <c r="G14" s="115">
        <f t="shared" si="2"/>
        <v>4689.0888939513879</v>
      </c>
      <c r="H14" s="115">
        <f t="shared" si="2"/>
        <v>4937.0279436498258</v>
      </c>
      <c r="I14" s="115">
        <f t="shared" si="2"/>
        <v>5329.4424436228337</v>
      </c>
      <c r="J14" s="115">
        <f t="shared" si="2"/>
        <v>5858.3484161074266</v>
      </c>
      <c r="K14" s="115">
        <f t="shared" si="2"/>
        <v>6925.7488329744683</v>
      </c>
      <c r="L14" s="115">
        <f t="shared" si="2"/>
        <v>7045.7986894639334</v>
      </c>
      <c r="M14" s="115">
        <f t="shared" si="2"/>
        <v>7224.9515114072856</v>
      </c>
    </row>
    <row r="15" spans="2:13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 x14ac:dyDescent="0.25">
      <c r="B16" s="9" t="s">
        <v>125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x14ac:dyDescent="0.25">
      <c r="B17" s="9" t="s">
        <v>126</v>
      </c>
      <c r="C17" s="9"/>
      <c r="D17" s="11">
        <f>SUM('Location -BS'!D17,'Location -BS'!D43,'Location -BS'!D69,'Location -BS'!D94)</f>
        <v>2400</v>
      </c>
      <c r="E17" s="11">
        <f>SUM('Location -BS'!E17,'Location -BS'!E43,'Location -BS'!E69,'Location -BS'!E94)</f>
        <v>4756.25</v>
      </c>
      <c r="F17" s="11">
        <f>SUM('Location -BS'!F17,'Location -BS'!F43,'Location -BS'!F69,'Location -BS'!F94)</f>
        <v>4042.8125</v>
      </c>
      <c r="G17" s="11">
        <f>SUM('Location -BS'!G17,'Location -BS'!G43,'Location -BS'!G69,'Location -BS'!G94)</f>
        <v>3436.390625</v>
      </c>
      <c r="H17" s="11">
        <f>SUM('Location -BS'!H17,'Location -BS'!H43,'Location -BS'!H69,'Location -BS'!H94)</f>
        <v>2920.9320312499995</v>
      </c>
      <c r="I17" s="11">
        <f>SUM('Location -BS'!I17,'Location -BS'!I43,'Location -BS'!I69,'Location -BS'!I94)</f>
        <v>2482.7922265625002</v>
      </c>
      <c r="J17" s="11">
        <f>SUM('Location -BS'!J17,'Location -BS'!J43,'Location -BS'!J69,'Location -BS'!J94)</f>
        <v>2110.3733925781253</v>
      </c>
      <c r="K17" s="11">
        <f>SUM('Location -BS'!K17,'Location -BS'!K43,'Location -BS'!K69,'Location -BS'!K94)</f>
        <v>1793.8173836914063</v>
      </c>
      <c r="L17" s="11">
        <f>SUM('Location -BS'!L17,'Location -BS'!L43,'Location -BS'!L69,'Location -BS'!L94)</f>
        <v>1524.7447761376955</v>
      </c>
      <c r="M17" s="11">
        <f>SUM('Location -BS'!M17,'Location -BS'!M43,'Location -BS'!M69,'Location -BS'!M94)</f>
        <v>1296.0330597170409</v>
      </c>
    </row>
    <row r="18" spans="2:13" x14ac:dyDescent="0.25">
      <c r="B18" s="9" t="s">
        <v>127</v>
      </c>
      <c r="C18" s="9"/>
      <c r="D18" s="11">
        <f>SUM('Location -BS'!D18,'Location -BS'!D44,'Location -BS'!D70,'Location -BS'!D95)</f>
        <v>43.75</v>
      </c>
      <c r="E18" s="11">
        <f>SUM('Location -BS'!E18,'Location -BS'!E44,'Location -BS'!E70,'Location -BS'!E95)</f>
        <v>713.4375</v>
      </c>
      <c r="F18" s="11">
        <f>SUM('Location -BS'!F18,'Location -BS'!F44,'Location -BS'!F70,'Location -BS'!F95)</f>
        <v>606.421875</v>
      </c>
      <c r="G18" s="11">
        <f>SUM('Location -BS'!G18,'Location -BS'!G44,'Location -BS'!G70,'Location -BS'!G95)</f>
        <v>515.45859374999998</v>
      </c>
      <c r="H18" s="11">
        <f>SUM('Location -BS'!H18,'Location -BS'!H44,'Location -BS'!H70,'Location -BS'!H95)</f>
        <v>438.13980468750003</v>
      </c>
      <c r="I18" s="11">
        <f>SUM('Location -BS'!I18,'Location -BS'!I44,'Location -BS'!I70,'Location -BS'!I95)</f>
        <v>372.41883398437494</v>
      </c>
      <c r="J18" s="11">
        <f>SUM('Location -BS'!J18,'Location -BS'!J44,'Location -BS'!J70,'Location -BS'!J95)</f>
        <v>316.5560088867187</v>
      </c>
      <c r="K18" s="11">
        <f>SUM('Location -BS'!K18,'Location -BS'!K44,'Location -BS'!K70,'Location -BS'!K95)</f>
        <v>269.0726075537109</v>
      </c>
      <c r="L18" s="11">
        <f>SUM('Location -BS'!L18,'Location -BS'!L44,'Location -BS'!L70,'Location -BS'!L95)</f>
        <v>228.71171642065428</v>
      </c>
      <c r="M18" s="11">
        <f>SUM('Location -BS'!M18,'Location -BS'!M44,'Location -BS'!M70,'Location -BS'!M95)</f>
        <v>194.40495895755615</v>
      </c>
    </row>
    <row r="19" spans="2:13" x14ac:dyDescent="0.25">
      <c r="B19" s="9" t="s">
        <v>21</v>
      </c>
      <c r="C19" s="9"/>
      <c r="D19" s="11">
        <f t="shared" ref="D19:M19" si="3">D17-D18</f>
        <v>2356.25</v>
      </c>
      <c r="E19" s="11">
        <f t="shared" si="3"/>
        <v>4042.8125</v>
      </c>
      <c r="F19" s="11">
        <f t="shared" si="3"/>
        <v>3436.390625</v>
      </c>
      <c r="G19" s="11">
        <f t="shared" si="3"/>
        <v>2920.9320312499999</v>
      </c>
      <c r="H19" s="11">
        <f t="shared" si="3"/>
        <v>2482.7922265624993</v>
      </c>
      <c r="I19" s="11">
        <f t="shared" si="3"/>
        <v>2110.3733925781253</v>
      </c>
      <c r="J19" s="11">
        <f t="shared" si="3"/>
        <v>1793.8173836914066</v>
      </c>
      <c r="K19" s="11">
        <f t="shared" si="3"/>
        <v>1524.7447761376955</v>
      </c>
      <c r="L19" s="11">
        <f t="shared" si="3"/>
        <v>1296.0330597170412</v>
      </c>
      <c r="M19" s="11">
        <f t="shared" si="3"/>
        <v>1101.6281007594848</v>
      </c>
    </row>
    <row r="20" spans="2:13" x14ac:dyDescent="0.25">
      <c r="B20" s="9" t="s">
        <v>279</v>
      </c>
      <c r="C20" s="9"/>
      <c r="D20" s="10">
        <f>SUM('Location -BS'!D72,'Location -BS'!D97)</f>
        <v>2400</v>
      </c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5">
      <c r="B21" s="9" t="s">
        <v>133</v>
      </c>
      <c r="C21" s="9"/>
      <c r="D21" s="11">
        <f>SUM('Location -BS'!D21,'Location -BS'!D47,'Location -BS'!D73,'Location -BS'!D98)</f>
        <v>24.259333333333334</v>
      </c>
      <c r="E21" s="11">
        <f>SUM('Location -BS'!E21,'Location -BS'!E47,'Location -BS'!E73,'Location -BS'!E98)</f>
        <v>286.6781666666667</v>
      </c>
      <c r="F21" s="11">
        <f>SUM('Location -BS'!F21,'Location -BS'!F47,'Location -BS'!F73,'Location -BS'!F98)</f>
        <v>298.10731250000003</v>
      </c>
      <c r="G21" s="11">
        <f>SUM('Location -BS'!G21,'Location -BS'!G47,'Location -BS'!G73,'Location -BS'!G98)</f>
        <v>310.27523593749999</v>
      </c>
      <c r="H21" s="11">
        <f>SUM('Location -BS'!H21,'Location -BS'!H47,'Location -BS'!H73,'Location -BS'!H98)</f>
        <v>323.23142488281252</v>
      </c>
      <c r="I21" s="11">
        <f>SUM('Location -BS'!I21,'Location -BS'!I47,'Location -BS'!I73,'Location -BS'!I98)</f>
        <v>337.02878281152346</v>
      </c>
      <c r="J21" s="11">
        <f>SUM('Location -BS'!J21,'Location -BS'!J47,'Location -BS'!J73,'Location -BS'!J98)</f>
        <v>351.72387013801273</v>
      </c>
      <c r="K21" s="11">
        <f>SUM('Location -BS'!K21,'Location -BS'!K47,'Location -BS'!K73,'Location -BS'!K98)</f>
        <v>362.07299627810323</v>
      </c>
      <c r="L21" s="11">
        <f>SUM('Location -BS'!L21,'Location -BS'!L47,'Location -BS'!L73,'Location -BS'!L98)</f>
        <v>281.33933033935421</v>
      </c>
      <c r="M21" s="11">
        <f>SUM('Location -BS'!M21,'Location -BS'!M47,'Location -BS'!M73,'Location -BS'!M98)</f>
        <v>296.28455599483976</v>
      </c>
    </row>
    <row r="22" spans="2:13" x14ac:dyDescent="0.25">
      <c r="B22" s="9" t="s">
        <v>129</v>
      </c>
      <c r="C22" s="9"/>
      <c r="D22" s="11">
        <f>SUM('Location -BS'!D22,'Location -BS'!D48,'Location -BS'!D74,'Location -BS'!D99)</f>
        <v>36.455166666666628</v>
      </c>
      <c r="E22" s="11">
        <f>SUM('Location -BS'!E22,'Location -BS'!E48,'Location -BS'!E74,'Location -BS'!E99)</f>
        <v>338.94908222222205</v>
      </c>
      <c r="F22" s="11">
        <f>SUM('Location -BS'!F22,'Location -BS'!F48,'Location -BS'!F74,'Location -BS'!F99)</f>
        <v>861.0390538888887</v>
      </c>
      <c r="G22" s="11">
        <f>SUM('Location -BS'!G22,'Location -BS'!G48,'Location -BS'!G74,'Location -BS'!G99)</f>
        <v>1457.8816267638886</v>
      </c>
      <c r="H22" s="11">
        <f>SUM('Location -BS'!H22,'Location -BS'!H48,'Location -BS'!H74,'Location -BS'!H99)</f>
        <v>2131.0042922045136</v>
      </c>
      <c r="I22" s="11">
        <f>SUM('Location -BS'!I22,'Location -BS'!I48,'Location -BS'!I74,'Location -BS'!I99)</f>
        <v>2882.0402682331851</v>
      </c>
      <c r="J22" s="11">
        <f>SUM('Location -BS'!J22,'Location -BS'!J48,'Location -BS'!J74,'Location -BS'!J99)</f>
        <v>3712.8071622780071</v>
      </c>
      <c r="K22" s="11">
        <f>SUM('Location -BS'!K22,'Location -BS'!K48,'Location -BS'!K74,'Location -BS'!K99)</f>
        <v>5038.9310605586688</v>
      </c>
      <c r="L22" s="11">
        <f>SUM('Location -BS'!L22,'Location -BS'!L48,'Location -BS'!L74,'Location -BS'!L99)</f>
        <v>5468.426299407537</v>
      </c>
      <c r="M22" s="11">
        <f>SUM('Location -BS'!M22,'Location -BS'!M48,'Location -BS'!M74,'Location -BS'!M99)</f>
        <v>5827.0388546529593</v>
      </c>
    </row>
    <row r="23" spans="2:13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2:13" x14ac:dyDescent="0.25">
      <c r="B24" s="57" t="s">
        <v>5</v>
      </c>
      <c r="C24" s="57"/>
      <c r="D24" s="115">
        <f>SUM(D19:D22)</f>
        <v>4816.9645</v>
      </c>
      <c r="E24" s="115">
        <f t="shared" ref="E24:M24" si="4">E19+E21+E22</f>
        <v>4668.439748888889</v>
      </c>
      <c r="F24" s="115">
        <f t="shared" si="4"/>
        <v>4595.536991388889</v>
      </c>
      <c r="G24" s="115">
        <f t="shared" si="4"/>
        <v>4689.0888939513879</v>
      </c>
      <c r="H24" s="115">
        <f t="shared" si="4"/>
        <v>4937.0279436498258</v>
      </c>
      <c r="I24" s="115">
        <f t="shared" si="4"/>
        <v>5329.4424436228337</v>
      </c>
      <c r="J24" s="115">
        <f t="shared" si="4"/>
        <v>5858.3484161074266</v>
      </c>
      <c r="K24" s="115">
        <f t="shared" si="4"/>
        <v>6925.7488329744674</v>
      </c>
      <c r="L24" s="115">
        <f t="shared" si="4"/>
        <v>7045.7986894639325</v>
      </c>
      <c r="M24" s="115">
        <f t="shared" si="4"/>
        <v>7224.9515114072838</v>
      </c>
    </row>
    <row r="26" spans="2:13" x14ac:dyDescent="0.25">
      <c r="D26" s="8">
        <f t="shared" ref="D26:M26" si="5">D14-D24</f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</row>
    <row r="28" spans="2:13" x14ac:dyDescent="0.25">
      <c r="B28" t="s">
        <v>124</v>
      </c>
      <c r="D28" s="7">
        <f>D11</f>
        <v>3600</v>
      </c>
      <c r="E28" s="7">
        <f t="shared" ref="E28:M28" si="6">E11</f>
        <v>3113.8888888888887</v>
      </c>
      <c r="F28" s="7">
        <f t="shared" si="6"/>
        <v>2513.8888888888887</v>
      </c>
      <c r="G28" s="7">
        <f t="shared" si="6"/>
        <v>1913.8888888888887</v>
      </c>
      <c r="H28" s="7">
        <f t="shared" si="6"/>
        <v>1313.8888888888887</v>
      </c>
      <c r="I28" s="7">
        <f t="shared" si="6"/>
        <v>713.88888888888869</v>
      </c>
      <c r="J28" s="7">
        <f t="shared" si="6"/>
        <v>113.88888888888872</v>
      </c>
      <c r="K28" s="7">
        <f t="shared" si="6"/>
        <v>-1.7284784714632906E-13</v>
      </c>
      <c r="L28" s="7">
        <f t="shared" si="6"/>
        <v>3.2862601528904634E-14</v>
      </c>
      <c r="M28" s="7">
        <f t="shared" si="6"/>
        <v>0</v>
      </c>
    </row>
    <row r="29" spans="2:13" x14ac:dyDescent="0.25">
      <c r="B29" t="s">
        <v>283</v>
      </c>
      <c r="D29" s="7">
        <f>D28-D30</f>
        <v>3113.8888888888887</v>
      </c>
      <c r="E29" s="7">
        <v>2525</v>
      </c>
      <c r="F29" s="7">
        <v>1925</v>
      </c>
      <c r="G29" s="7">
        <v>1325</v>
      </c>
      <c r="H29" s="7">
        <v>725</v>
      </c>
      <c r="I29" s="7">
        <v>600</v>
      </c>
      <c r="J29" s="7">
        <v>0</v>
      </c>
      <c r="K29" s="7">
        <v>0</v>
      </c>
      <c r="L29" s="7">
        <v>0</v>
      </c>
      <c r="M29" s="7">
        <v>0</v>
      </c>
    </row>
    <row r="30" spans="2:13" x14ac:dyDescent="0.25">
      <c r="B30" t="s">
        <v>284</v>
      </c>
      <c r="D30" s="7">
        <f>'Loan Schedule'!G4+'Loan Schedule'!Q4+'Loan Schedule'!AA4+'Loan Schedule'!AK4</f>
        <v>486.11111111111114</v>
      </c>
      <c r="E30" s="7">
        <f>'Loan Schedule'!AO5</f>
        <v>600</v>
      </c>
      <c r="F30" s="7">
        <f>'Loan Schedule'!AO6</f>
        <v>600</v>
      </c>
      <c r="G30" s="7">
        <f>'Loan Schedule'!AO7</f>
        <v>600</v>
      </c>
      <c r="H30" s="7">
        <f>'Loan Schedule'!AO8</f>
        <v>600</v>
      </c>
      <c r="I30" s="7">
        <f>'Loan Schedule'!AO9</f>
        <v>600</v>
      </c>
      <c r="J30" s="7">
        <f>'Loan Schedule'!$AO10</f>
        <v>113.88888888888889</v>
      </c>
      <c r="K30" s="7">
        <f>'Loan Schedule'!$AO11</f>
        <v>0</v>
      </c>
      <c r="L30" s="7">
        <f>'Loan Schedule'!$AO12</f>
        <v>0</v>
      </c>
      <c r="M30" s="7">
        <f>'Loan Schedule'!$AO13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M133"/>
  <sheetViews>
    <sheetView topLeftCell="A112" workbookViewId="0">
      <selection activeCell="M133" sqref="M133"/>
    </sheetView>
  </sheetViews>
  <sheetFormatPr defaultRowHeight="14.5" x14ac:dyDescent="0.35"/>
  <cols>
    <col min="2" max="2" width="38.453125" customWidth="1"/>
    <col min="3" max="3" width="10.1796875" customWidth="1"/>
    <col min="4" max="4" width="9.453125" bestFit="1" customWidth="1"/>
  </cols>
  <sheetData>
    <row r="4" spans="2:13" x14ac:dyDescent="0.35">
      <c r="B4" t="s">
        <v>149</v>
      </c>
      <c r="M4" t="s">
        <v>156</v>
      </c>
    </row>
    <row r="5" spans="2:13" x14ac:dyDescent="0.35">
      <c r="B5" s="71" t="s">
        <v>105</v>
      </c>
      <c r="C5" s="70"/>
      <c r="D5" s="74" t="s">
        <v>143</v>
      </c>
      <c r="E5" s="74" t="s">
        <v>144</v>
      </c>
      <c r="F5" s="93" t="s">
        <v>145</v>
      </c>
      <c r="G5" s="74" t="s">
        <v>146</v>
      </c>
      <c r="H5" s="93" t="s">
        <v>84</v>
      </c>
      <c r="I5" s="74" t="s">
        <v>85</v>
      </c>
      <c r="J5" s="93" t="s">
        <v>147</v>
      </c>
      <c r="K5" s="74" t="s">
        <v>87</v>
      </c>
      <c r="L5" s="74" t="s">
        <v>88</v>
      </c>
      <c r="M5" s="74" t="s">
        <v>305</v>
      </c>
    </row>
    <row r="6" spans="2:13" x14ac:dyDescent="0.35">
      <c r="B6" s="39" t="s">
        <v>130</v>
      </c>
      <c r="C6" s="20"/>
      <c r="D6" s="18"/>
      <c r="E6" s="18"/>
      <c r="G6" s="18"/>
      <c r="I6" s="18"/>
      <c r="K6" s="18"/>
      <c r="L6" s="9"/>
      <c r="M6" s="9"/>
    </row>
    <row r="7" spans="2:13" x14ac:dyDescent="0.35">
      <c r="B7" s="36" t="s">
        <v>118</v>
      </c>
      <c r="C7" s="88"/>
      <c r="D7" s="65">
        <f>'Location- PL'!D28</f>
        <v>2.7398399999999725</v>
      </c>
      <c r="E7" s="65">
        <f>'Location- PL'!E28</f>
        <v>27.256139999999959</v>
      </c>
      <c r="F7" s="8">
        <f>'Location- PL'!F28</f>
        <v>68.414357500000051</v>
      </c>
      <c r="G7" s="65">
        <f>'Location- PL'!G28</f>
        <v>106.38064056249993</v>
      </c>
      <c r="H7" s="8">
        <f>'Location- PL'!H28</f>
        <v>141.66612281718744</v>
      </c>
      <c r="I7" s="65">
        <f>'Location- PL'!I28</f>
        <v>174.79260091410151</v>
      </c>
      <c r="J7" s="8">
        <f>'Location- PL'!J28</f>
        <v>206.15490854069037</v>
      </c>
      <c r="K7" s="65">
        <f>'Location- PL'!K28</f>
        <v>196.38762977108115</v>
      </c>
      <c r="L7" s="11">
        <f>'Location- PL'!L28</f>
        <v>37.460267501563635</v>
      </c>
      <c r="M7" s="11">
        <f>'Location- PL'!M28</f>
        <v>45.36614295219897</v>
      </c>
    </row>
    <row r="8" spans="2:13" ht="29" x14ac:dyDescent="0.35">
      <c r="B8" s="63" t="s">
        <v>154</v>
      </c>
      <c r="C8" s="20"/>
      <c r="D8" s="18"/>
      <c r="E8" s="18"/>
      <c r="G8" s="18"/>
      <c r="I8" s="18"/>
      <c r="K8" s="18"/>
      <c r="L8" s="9"/>
      <c r="M8" s="9"/>
    </row>
    <row r="9" spans="2:13" x14ac:dyDescent="0.35">
      <c r="B9" s="36" t="s">
        <v>16</v>
      </c>
      <c r="C9" s="88"/>
      <c r="D9" s="65">
        <f>'Location- PL'!D22</f>
        <v>27.5</v>
      </c>
      <c r="E9" s="65">
        <f>'Location -BS'!E18</f>
        <v>160.875</v>
      </c>
      <c r="F9" s="8">
        <f>'Location -BS'!F18</f>
        <v>136.74375000000001</v>
      </c>
      <c r="G9" s="65">
        <f>'Location -BS'!G18</f>
        <v>116.23218749999999</v>
      </c>
      <c r="H9" s="8">
        <f>'Location -BS'!H18</f>
        <v>98.797359374999999</v>
      </c>
      <c r="I9" s="65">
        <f>'Location -BS'!I18</f>
        <v>83.97775546874999</v>
      </c>
      <c r="J9" s="8">
        <f>'Depreciation Schedule'!I5</f>
        <v>71.381092148437489</v>
      </c>
      <c r="K9" s="65">
        <f>'Location -BS'!K18</f>
        <v>60.673928326171868</v>
      </c>
      <c r="L9" s="11">
        <f>'Location -BS'!L18</f>
        <v>51.572839077246094</v>
      </c>
      <c r="M9" s="11">
        <f>'Location -BS'!M18</f>
        <v>43.836913215659173</v>
      </c>
    </row>
    <row r="10" spans="2:13" x14ac:dyDescent="0.35">
      <c r="B10" s="36" t="s">
        <v>131</v>
      </c>
      <c r="C10" s="88"/>
      <c r="D10" s="67">
        <f>'Location- PL'!D21</f>
        <v>12.020000000000003</v>
      </c>
      <c r="E10" s="67">
        <f>'Loan Schedule'!F4</f>
        <v>67.47</v>
      </c>
      <c r="F10" s="55">
        <f>'Loan Schedule'!F5</f>
        <v>55.519999999999996</v>
      </c>
      <c r="G10" s="67">
        <f>'Loan Schedule'!H6</f>
        <v>43.519999999999996</v>
      </c>
      <c r="H10" s="55">
        <f>'Loan Schedule'!H7</f>
        <v>31.53</v>
      </c>
      <c r="I10" s="67">
        <f>'Loan Schedule'!H8</f>
        <v>19.519999999999996</v>
      </c>
      <c r="J10" s="55">
        <f>'Loan Schedule'!H9</f>
        <v>7.52</v>
      </c>
      <c r="K10" s="67">
        <f>'Loan Schedule'!H10</f>
        <v>0.08</v>
      </c>
      <c r="L10" s="11">
        <f>'Loan Schedule'!I10</f>
        <v>-2.1309343178899098E-13</v>
      </c>
      <c r="M10" s="11">
        <f>'Loan Schedule'!J10</f>
        <v>0</v>
      </c>
    </row>
    <row r="11" spans="2:13" x14ac:dyDescent="0.35">
      <c r="B11" s="36" t="s">
        <v>132</v>
      </c>
      <c r="C11" s="88"/>
      <c r="D11" s="65">
        <f t="shared" ref="D11:M11" si="0">SUM(D7:D10)</f>
        <v>42.259839999999976</v>
      </c>
      <c r="E11" s="65">
        <f t="shared" si="0"/>
        <v>255.60113999999996</v>
      </c>
      <c r="F11" s="8">
        <f t="shared" si="0"/>
        <v>260.67810750000007</v>
      </c>
      <c r="G11" s="65">
        <f t="shared" si="0"/>
        <v>266.13282806249993</v>
      </c>
      <c r="H11" s="8">
        <f t="shared" si="0"/>
        <v>271.99348219218746</v>
      </c>
      <c r="I11" s="65">
        <f t="shared" si="0"/>
        <v>278.29035638285148</v>
      </c>
      <c r="J11" s="8">
        <f t="shared" si="0"/>
        <v>285.05600068912781</v>
      </c>
      <c r="K11" s="65">
        <f t="shared" si="0"/>
        <v>257.14155809725298</v>
      </c>
      <c r="L11" s="11">
        <f t="shared" si="0"/>
        <v>89.033106578809523</v>
      </c>
      <c r="M11" s="11">
        <f t="shared" si="0"/>
        <v>89.203056167858136</v>
      </c>
    </row>
    <row r="12" spans="2:13" x14ac:dyDescent="0.35">
      <c r="B12" s="36" t="s">
        <v>155</v>
      </c>
      <c r="C12" s="20"/>
      <c r="D12" s="18"/>
      <c r="E12" s="18"/>
      <c r="G12" s="18"/>
      <c r="I12" s="18"/>
      <c r="K12" s="18"/>
      <c r="L12" s="9"/>
      <c r="M12" s="9"/>
    </row>
    <row r="13" spans="2:13" x14ac:dyDescent="0.35">
      <c r="B13" s="36" t="s">
        <v>133</v>
      </c>
      <c r="C13" s="88"/>
      <c r="D13" s="65">
        <f>0-'Location -BS'!D21</f>
        <v>-12.129666666666667</v>
      </c>
      <c r="E13" s="65">
        <f>'Location -BS'!D21-'Location -BS'!E21</f>
        <v>-52.483833333333337</v>
      </c>
      <c r="F13" s="8">
        <f>'Location -BS'!E21-'Location -BS'!F21</f>
        <v>-2.8910625000000039</v>
      </c>
      <c r="G13" s="65">
        <f>'Location -BS'!F21-'Location -BS'!G21</f>
        <v>-3.078154687499989</v>
      </c>
      <c r="H13" s="8">
        <f>'Location -BS'!G21-'Location -BS'!H21</f>
        <v>-3.2777919140625045</v>
      </c>
      <c r="I13" s="65">
        <f>'Location -BS'!H21-'Location -BS'!I21</f>
        <v>-3.4908407138671862</v>
      </c>
      <c r="J13" s="8">
        <f>'Location -BS'!I21-'Location -BS'!J21</f>
        <v>-3.718228893969723</v>
      </c>
      <c r="K13" s="65">
        <f>'Location -BS'!J21-'Location -BS'!K21</f>
        <v>-0.93828327724139626</v>
      </c>
      <c r="L13" s="11">
        <f>'Location -BS'!K21-'Location -BS'!L21</f>
        <v>10.893265566596966</v>
      </c>
      <c r="M13" s="11">
        <f>'Location -BS'!L21-'Location -BS'!M21</f>
        <v>-1.6737459527496128</v>
      </c>
    </row>
    <row r="14" spans="2:13" ht="15" thickBot="1" x14ac:dyDescent="0.4">
      <c r="B14" s="36" t="s">
        <v>130</v>
      </c>
      <c r="C14" s="88"/>
      <c r="D14" s="66">
        <f t="shared" ref="D14:M14" si="1">D11+D13</f>
        <v>30.13017333333331</v>
      </c>
      <c r="E14" s="66">
        <f t="shared" si="1"/>
        <v>203.11730666666662</v>
      </c>
      <c r="F14" s="16">
        <f t="shared" si="1"/>
        <v>257.78704500000003</v>
      </c>
      <c r="G14" s="66">
        <f t="shared" si="1"/>
        <v>263.05467337499994</v>
      </c>
      <c r="H14" s="16">
        <f t="shared" si="1"/>
        <v>268.71569027812495</v>
      </c>
      <c r="I14" s="66">
        <f t="shared" si="1"/>
        <v>274.79951566898433</v>
      </c>
      <c r="J14" s="16">
        <f t="shared" si="1"/>
        <v>281.33777179515812</v>
      </c>
      <c r="K14" s="66">
        <f t="shared" si="1"/>
        <v>256.20327482001159</v>
      </c>
      <c r="L14" s="11">
        <f t="shared" si="1"/>
        <v>99.926372145406489</v>
      </c>
      <c r="M14" s="11">
        <f t="shared" si="1"/>
        <v>87.529310215108524</v>
      </c>
    </row>
    <row r="15" spans="2:13" ht="15" thickTop="1" x14ac:dyDescent="0.35">
      <c r="B15" s="36"/>
      <c r="C15" s="20"/>
      <c r="D15" s="18"/>
      <c r="E15" s="18"/>
      <c r="G15" s="18"/>
      <c r="I15" s="18"/>
      <c r="K15" s="18"/>
      <c r="L15" s="9"/>
      <c r="M15" s="9"/>
    </row>
    <row r="16" spans="2:13" x14ac:dyDescent="0.35">
      <c r="B16" s="36" t="s">
        <v>134</v>
      </c>
      <c r="C16" s="20"/>
      <c r="D16" s="18"/>
      <c r="E16" s="18"/>
      <c r="G16" s="18"/>
      <c r="I16" s="18"/>
      <c r="K16" s="18"/>
      <c r="L16" s="9"/>
      <c r="M16" s="9"/>
    </row>
    <row r="17" spans="2:13" x14ac:dyDescent="0.35">
      <c r="B17" s="36"/>
      <c r="C17" s="20"/>
      <c r="D17" s="18"/>
      <c r="E17" s="18"/>
      <c r="G17" s="18"/>
      <c r="I17" s="18"/>
      <c r="K17" s="18"/>
      <c r="L17" s="9"/>
      <c r="M17" s="9"/>
    </row>
    <row r="18" spans="2:13" x14ac:dyDescent="0.35">
      <c r="B18" s="36" t="s">
        <v>135</v>
      </c>
      <c r="C18" s="88"/>
      <c r="D18" s="65">
        <f>0-'Depreciation Schedule'!C6-'Depreciation Schedule'!C5</f>
        <v>-1100</v>
      </c>
      <c r="E18" s="26">
        <v>0</v>
      </c>
      <c r="F18" s="80">
        <v>0</v>
      </c>
      <c r="G18" s="26">
        <v>0</v>
      </c>
      <c r="H18" s="80">
        <v>0</v>
      </c>
      <c r="I18" s="26">
        <v>0</v>
      </c>
      <c r="J18" s="80">
        <v>0</v>
      </c>
      <c r="K18" s="26">
        <v>0</v>
      </c>
      <c r="L18" s="142">
        <v>0</v>
      </c>
      <c r="M18" s="142">
        <v>0</v>
      </c>
    </row>
    <row r="19" spans="2:13" ht="15" thickBot="1" x14ac:dyDescent="0.4">
      <c r="B19" s="36"/>
      <c r="C19" s="88"/>
      <c r="D19" s="66">
        <f t="shared" ref="D19:M19" si="2">SUM(D18:D18)</f>
        <v>-1100</v>
      </c>
      <c r="E19" s="66">
        <f t="shared" si="2"/>
        <v>0</v>
      </c>
      <c r="F19" s="16">
        <f t="shared" si="2"/>
        <v>0</v>
      </c>
      <c r="G19" s="66">
        <f t="shared" si="2"/>
        <v>0</v>
      </c>
      <c r="H19" s="16">
        <f t="shared" si="2"/>
        <v>0</v>
      </c>
      <c r="I19" s="66">
        <f t="shared" si="2"/>
        <v>0</v>
      </c>
      <c r="J19" s="16">
        <f t="shared" si="2"/>
        <v>0</v>
      </c>
      <c r="K19" s="66">
        <f t="shared" si="2"/>
        <v>0</v>
      </c>
      <c r="L19" s="11">
        <f t="shared" si="2"/>
        <v>0</v>
      </c>
      <c r="M19" s="11">
        <f t="shared" si="2"/>
        <v>0</v>
      </c>
    </row>
    <row r="20" spans="2:13" ht="15" thickTop="1" x14ac:dyDescent="0.35">
      <c r="B20" s="36"/>
      <c r="C20" s="20"/>
      <c r="D20" s="18"/>
      <c r="E20" s="18"/>
      <c r="G20" s="18"/>
      <c r="I20" s="18"/>
      <c r="K20" s="18"/>
      <c r="L20" s="9"/>
      <c r="M20" s="9"/>
    </row>
    <row r="21" spans="2:13" x14ac:dyDescent="0.35">
      <c r="B21" s="36" t="s">
        <v>136</v>
      </c>
      <c r="C21" s="20"/>
      <c r="D21" s="18"/>
      <c r="E21" s="18"/>
      <c r="G21" s="18"/>
      <c r="I21" s="18"/>
      <c r="K21" s="18"/>
      <c r="L21" s="9"/>
      <c r="M21" s="9"/>
    </row>
    <row r="22" spans="2:13" x14ac:dyDescent="0.35">
      <c r="B22" s="36"/>
      <c r="C22" s="20"/>
      <c r="D22" s="18"/>
      <c r="E22" s="18"/>
      <c r="G22" s="18"/>
      <c r="I22" s="18"/>
      <c r="K22" s="18"/>
      <c r="L22" s="9"/>
      <c r="M22" s="9"/>
    </row>
    <row r="23" spans="2:13" hidden="1" x14ac:dyDescent="0.35">
      <c r="B23" s="36" t="s">
        <v>141</v>
      </c>
      <c r="C23" s="20"/>
      <c r="D23" s="26"/>
      <c r="E23" s="26"/>
      <c r="G23" s="18"/>
      <c r="H23" s="80"/>
      <c r="I23" s="26"/>
      <c r="J23" s="80"/>
      <c r="K23" s="26"/>
      <c r="L23" s="9"/>
      <c r="M23" s="9"/>
    </row>
    <row r="24" spans="2:13" x14ac:dyDescent="0.35">
      <c r="B24" s="36" t="s">
        <v>123</v>
      </c>
      <c r="C24" s="88"/>
      <c r="D24" s="26">
        <v>300</v>
      </c>
      <c r="E24" s="65">
        <v>0</v>
      </c>
      <c r="F24" s="80">
        <v>0</v>
      </c>
      <c r="G24" s="26">
        <v>0</v>
      </c>
      <c r="I24" s="18"/>
      <c r="K24" s="18"/>
      <c r="L24" s="9"/>
      <c r="M24" s="9"/>
    </row>
    <row r="25" spans="2:13" x14ac:dyDescent="0.35">
      <c r="B25" s="36" t="s">
        <v>148</v>
      </c>
      <c r="C25" s="88"/>
      <c r="D25" s="26">
        <f>'Loan Schedule'!E3</f>
        <v>800</v>
      </c>
      <c r="E25" s="65">
        <f>-'Loan Schedule'!G4</f>
        <v>-122.22222222222224</v>
      </c>
      <c r="F25" s="8">
        <f>-'Loan Schedule'!G5</f>
        <v>-133.33333333333334</v>
      </c>
      <c r="G25" s="65">
        <f>-'Loan Schedule'!G6</f>
        <v>-133.33333333333334</v>
      </c>
      <c r="H25" s="8">
        <f>-'Loan Schedule'!G7</f>
        <v>-133.33333333333334</v>
      </c>
      <c r="I25" s="65">
        <f>-'Loan Schedule'!G8</f>
        <v>-133.33333333333334</v>
      </c>
      <c r="J25" s="8">
        <f>-'Loan Schedule'!G9</f>
        <v>-133.33333333333334</v>
      </c>
      <c r="K25" s="65">
        <f>-'Loan Schedule'!G10</f>
        <v>-11.111111111111111</v>
      </c>
      <c r="L25" s="11">
        <f>-'Loan Schedule'!$G11</f>
        <v>0</v>
      </c>
      <c r="M25" s="11">
        <f>-'Loan Schedule'!$G12</f>
        <v>0</v>
      </c>
    </row>
    <row r="26" spans="2:13" x14ac:dyDescent="0.35">
      <c r="B26" s="36" t="s">
        <v>137</v>
      </c>
      <c r="C26" s="88"/>
      <c r="D26" s="65">
        <f>D10*-1</f>
        <v>-12.020000000000003</v>
      </c>
      <c r="E26" s="65">
        <f>E10*-1</f>
        <v>-67.47</v>
      </c>
      <c r="F26" s="8">
        <f>-'Loan Schedule'!H5</f>
        <v>-55.519999999999996</v>
      </c>
      <c r="G26" s="65">
        <f>-'Loan Schedule'!F6</f>
        <v>-43.519999999999996</v>
      </c>
      <c r="H26" s="8">
        <f>H10*-1</f>
        <v>-31.53</v>
      </c>
      <c r="I26" s="65">
        <f>-'Loan Schedule'!H8</f>
        <v>-19.519999999999996</v>
      </c>
      <c r="J26" s="8">
        <f>J10*-1</f>
        <v>-7.52</v>
      </c>
      <c r="K26" s="65">
        <f>K10*-1</f>
        <v>-0.08</v>
      </c>
      <c r="L26" s="11">
        <f>L10*-1</f>
        <v>2.1309343178899098E-13</v>
      </c>
      <c r="M26" s="11">
        <f>M10*-1</f>
        <v>0</v>
      </c>
    </row>
    <row r="27" spans="2:13" ht="15" thickBot="1" x14ac:dyDescent="0.4">
      <c r="B27" s="36"/>
      <c r="C27" s="20"/>
      <c r="D27" s="66">
        <f t="shared" ref="D27:M27" si="3">SUM(D23:D26)</f>
        <v>1087.98</v>
      </c>
      <c r="E27" s="66">
        <f t="shared" si="3"/>
        <v>-189.69222222222226</v>
      </c>
      <c r="F27" s="2">
        <f t="shared" si="3"/>
        <v>-188.85333333333335</v>
      </c>
      <c r="G27" s="92">
        <f t="shared" si="3"/>
        <v>-176.85333333333335</v>
      </c>
      <c r="H27" s="16">
        <f t="shared" si="3"/>
        <v>-164.86333333333334</v>
      </c>
      <c r="I27" s="66">
        <f t="shared" si="3"/>
        <v>-152.85333333333335</v>
      </c>
      <c r="J27" s="16">
        <f t="shared" si="3"/>
        <v>-140.85333333333335</v>
      </c>
      <c r="K27" s="66">
        <f t="shared" si="3"/>
        <v>-11.191111111111111</v>
      </c>
      <c r="L27" s="11">
        <f t="shared" si="3"/>
        <v>2.1309343178899098E-13</v>
      </c>
      <c r="M27" s="11">
        <f t="shared" si="3"/>
        <v>0</v>
      </c>
    </row>
    <row r="28" spans="2:13" ht="15" thickTop="1" x14ac:dyDescent="0.35">
      <c r="B28" s="36"/>
      <c r="C28" s="20"/>
      <c r="D28" s="18"/>
      <c r="E28" s="18"/>
      <c r="G28" s="18"/>
      <c r="I28" s="18"/>
      <c r="K28" s="18"/>
      <c r="L28" s="9"/>
      <c r="M28" s="9"/>
    </row>
    <row r="29" spans="2:13" x14ac:dyDescent="0.35">
      <c r="B29" s="36" t="s">
        <v>138</v>
      </c>
      <c r="C29" s="88"/>
      <c r="D29" s="65">
        <f t="shared" ref="D29:M29" si="4">D14+D19+D27</f>
        <v>18.11017333333325</v>
      </c>
      <c r="E29" s="65">
        <f t="shared" si="4"/>
        <v>13.425084444444366</v>
      </c>
      <c r="F29" s="8">
        <f t="shared" si="4"/>
        <v>68.933711666666682</v>
      </c>
      <c r="G29" s="65">
        <f t="shared" si="4"/>
        <v>86.201340041666583</v>
      </c>
      <c r="H29" s="8">
        <f t="shared" si="4"/>
        <v>103.85235694479161</v>
      </c>
      <c r="I29" s="65">
        <f t="shared" si="4"/>
        <v>121.94618233565097</v>
      </c>
      <c r="J29" s="8">
        <f t="shared" si="4"/>
        <v>140.48443846182477</v>
      </c>
      <c r="K29" s="65">
        <f t="shared" si="4"/>
        <v>245.01216370890049</v>
      </c>
      <c r="L29" s="11">
        <f t="shared" si="4"/>
        <v>99.926372145406702</v>
      </c>
      <c r="M29" s="11">
        <f t="shared" si="4"/>
        <v>87.529310215108524</v>
      </c>
    </row>
    <row r="30" spans="2:13" x14ac:dyDescent="0.35">
      <c r="B30" s="36"/>
      <c r="C30" s="20"/>
      <c r="D30" s="18"/>
      <c r="E30" s="18"/>
      <c r="G30" s="18"/>
      <c r="I30" s="18"/>
      <c r="K30" s="18"/>
      <c r="L30" s="9"/>
      <c r="M30" s="9"/>
    </row>
    <row r="31" spans="2:13" x14ac:dyDescent="0.35">
      <c r="B31" s="36" t="s">
        <v>139</v>
      </c>
      <c r="C31" s="20"/>
      <c r="D31" s="26">
        <v>0</v>
      </c>
      <c r="E31" s="65">
        <f t="shared" ref="E31:K31" si="5">D32</f>
        <v>18.11017333333325</v>
      </c>
      <c r="F31" s="8">
        <f t="shared" si="5"/>
        <v>31.535257777777616</v>
      </c>
      <c r="G31" s="65">
        <f t="shared" si="5"/>
        <v>100.4689694444443</v>
      </c>
      <c r="H31" s="8">
        <f t="shared" si="5"/>
        <v>186.67030948611088</v>
      </c>
      <c r="I31" s="65">
        <f t="shared" si="5"/>
        <v>290.52266643090252</v>
      </c>
      <c r="J31" s="8">
        <f t="shared" si="5"/>
        <v>412.46884876655349</v>
      </c>
      <c r="K31" s="65">
        <f t="shared" si="5"/>
        <v>552.95328722837826</v>
      </c>
      <c r="L31" s="11">
        <f>K32</f>
        <v>797.96545093727877</v>
      </c>
      <c r="M31" s="11">
        <f>L32</f>
        <v>897.89182308268551</v>
      </c>
    </row>
    <row r="32" spans="2:13" x14ac:dyDescent="0.35">
      <c r="B32" s="37" t="s">
        <v>140</v>
      </c>
      <c r="C32" s="22"/>
      <c r="D32" s="67">
        <f t="shared" ref="D32:M32" si="6">D29+D31</f>
        <v>18.11017333333325</v>
      </c>
      <c r="E32" s="67">
        <f t="shared" si="6"/>
        <v>31.535257777777616</v>
      </c>
      <c r="F32" s="55">
        <f t="shared" si="6"/>
        <v>100.4689694444443</v>
      </c>
      <c r="G32" s="67">
        <f t="shared" si="6"/>
        <v>186.67030948611088</v>
      </c>
      <c r="H32" s="55">
        <f t="shared" si="6"/>
        <v>290.52266643090252</v>
      </c>
      <c r="I32" s="67">
        <f t="shared" si="6"/>
        <v>412.46884876655349</v>
      </c>
      <c r="J32" s="55">
        <f t="shared" si="6"/>
        <v>552.95328722837826</v>
      </c>
      <c r="K32" s="67">
        <f t="shared" si="6"/>
        <v>797.96545093727877</v>
      </c>
      <c r="L32" s="11">
        <f t="shared" si="6"/>
        <v>897.89182308268551</v>
      </c>
      <c r="M32" s="11">
        <f t="shared" si="6"/>
        <v>985.42113329779409</v>
      </c>
    </row>
    <row r="35" spans="2:13" x14ac:dyDescent="0.35">
      <c r="B35" t="s">
        <v>149</v>
      </c>
      <c r="M35" t="s">
        <v>156</v>
      </c>
    </row>
    <row r="36" spans="2:13" x14ac:dyDescent="0.35">
      <c r="B36" s="94" t="s">
        <v>253</v>
      </c>
      <c r="C36" s="62"/>
      <c r="D36" s="64" t="s">
        <v>143</v>
      </c>
      <c r="E36" s="95" t="s">
        <v>144</v>
      </c>
      <c r="F36" s="64" t="s">
        <v>145</v>
      </c>
      <c r="G36" s="95" t="s">
        <v>146</v>
      </c>
      <c r="H36" s="64" t="s">
        <v>84</v>
      </c>
      <c r="I36" s="95" t="s">
        <v>85</v>
      </c>
      <c r="J36" s="64" t="s">
        <v>147</v>
      </c>
      <c r="K36" s="96" t="s">
        <v>87</v>
      </c>
      <c r="L36" s="74" t="s">
        <v>88</v>
      </c>
      <c r="M36" s="74" t="s">
        <v>305</v>
      </c>
    </row>
    <row r="37" spans="2:13" x14ac:dyDescent="0.35">
      <c r="B37" s="36" t="s">
        <v>130</v>
      </c>
      <c r="C37" s="20"/>
      <c r="D37" s="18"/>
      <c r="F37" s="18"/>
      <c r="H37" s="18"/>
      <c r="J37" s="18"/>
      <c r="K37" s="20"/>
      <c r="L37" s="9"/>
      <c r="M37" s="9"/>
    </row>
    <row r="38" spans="2:13" x14ac:dyDescent="0.35">
      <c r="B38" s="36"/>
      <c r="C38" s="20"/>
      <c r="D38" s="18"/>
      <c r="F38" s="18"/>
      <c r="H38" s="18"/>
      <c r="J38" s="18"/>
      <c r="K38" s="20"/>
      <c r="L38" s="9"/>
      <c r="M38" s="9"/>
    </row>
    <row r="39" spans="2:13" x14ac:dyDescent="0.35">
      <c r="B39" s="36" t="s">
        <v>118</v>
      </c>
      <c r="C39" s="20"/>
      <c r="D39" s="65">
        <f>'Location- PL'!D60</f>
        <v>4.2246600000000001</v>
      </c>
      <c r="E39" s="8">
        <f>'Location- PL'!E60</f>
        <v>84.875019999999836</v>
      </c>
      <c r="F39" s="65">
        <f>'Location- PL'!F60</f>
        <v>133.49632499999984</v>
      </c>
      <c r="G39" s="8">
        <f>'Location- PL'!G60</f>
        <v>178.48047399999984</v>
      </c>
      <c r="H39" s="65">
        <f>'Location- PL'!H60</f>
        <v>220.17537698125011</v>
      </c>
      <c r="I39" s="8">
        <f>'Location- PL'!I60</f>
        <v>259.18355247640625</v>
      </c>
      <c r="J39" s="65">
        <f>'Location- PL'!J60</f>
        <v>295.9769069057146</v>
      </c>
      <c r="K39" s="88">
        <f>'Location- PL'!K60</f>
        <v>299.78267223369721</v>
      </c>
      <c r="L39" s="11">
        <f>'Location- PL'!L60</f>
        <v>26.637531836058542</v>
      </c>
      <c r="M39" s="11">
        <f>'Location- PL'!M60</f>
        <v>44.239875180724312</v>
      </c>
    </row>
    <row r="40" spans="2:13" ht="29" x14ac:dyDescent="0.35">
      <c r="B40" s="63" t="s">
        <v>154</v>
      </c>
      <c r="C40" s="20"/>
      <c r="D40" s="65"/>
      <c r="F40" s="18"/>
      <c r="H40" s="18"/>
      <c r="J40" s="18"/>
      <c r="K40" s="20"/>
      <c r="L40" s="9"/>
      <c r="M40" s="9"/>
    </row>
    <row r="41" spans="2:13" x14ac:dyDescent="0.35">
      <c r="B41" s="36" t="s">
        <v>16</v>
      </c>
      <c r="C41" s="20"/>
      <c r="D41" s="65">
        <f>'Location- PL'!D54</f>
        <v>16.25</v>
      </c>
      <c r="E41" s="8">
        <f>'Location- PL'!E54</f>
        <v>192.5625</v>
      </c>
      <c r="F41" s="65">
        <f>'Location- PL'!F54</f>
        <v>163.67812499999999</v>
      </c>
      <c r="G41" s="8">
        <f>'Location- PL'!G54</f>
        <v>139.12640625</v>
      </c>
      <c r="H41" s="65">
        <f>'Location- PL'!H54</f>
        <v>118.25744531249998</v>
      </c>
      <c r="I41" s="8">
        <f>'Location- PL'!I54</f>
        <v>100.51882851562499</v>
      </c>
      <c r="J41" s="65">
        <f>'Location- PL'!J54</f>
        <v>85.441004238281252</v>
      </c>
      <c r="K41" s="88">
        <f>'Location- PL'!K54</f>
        <v>72.624853602539062</v>
      </c>
      <c r="L41" s="11">
        <f>'Location- PL'!L54</f>
        <v>61.731125562158198</v>
      </c>
      <c r="M41" s="11">
        <f>'Location- PL'!M54</f>
        <v>52.471456727834472</v>
      </c>
    </row>
    <row r="42" spans="2:13" x14ac:dyDescent="0.35">
      <c r="B42" s="36" t="s">
        <v>131</v>
      </c>
      <c r="C42" s="20"/>
      <c r="D42" s="67">
        <f>'Location- PL'!D53</f>
        <v>7.620000000000001</v>
      </c>
      <c r="E42" s="55">
        <f>'Location- PL'!E53</f>
        <v>85.34</v>
      </c>
      <c r="F42" s="67">
        <f>'Location- PL'!F53</f>
        <v>70.650000000000006</v>
      </c>
      <c r="G42" s="55">
        <f>'Location- PL'!G53</f>
        <v>55.640000000000015</v>
      </c>
      <c r="H42" s="67">
        <f>'Location- PL'!H53</f>
        <v>40.64</v>
      </c>
      <c r="I42" s="55">
        <f>'Location- PL'!I53</f>
        <v>25.630000000000003</v>
      </c>
      <c r="J42" s="67">
        <f>'Location- PL'!J53</f>
        <v>10.64</v>
      </c>
      <c r="K42" s="89">
        <f>'Location- PL'!K53</f>
        <v>0.32</v>
      </c>
      <c r="L42" s="11">
        <f>'Location- PL'!L53</f>
        <v>0</v>
      </c>
      <c r="M42" s="11">
        <f>'Location- PL'!M53</f>
        <v>0</v>
      </c>
    </row>
    <row r="43" spans="2:13" x14ac:dyDescent="0.35">
      <c r="B43" s="36" t="s">
        <v>132</v>
      </c>
      <c r="C43" s="20"/>
      <c r="D43" s="65">
        <f t="shared" ref="D43:M43" si="7">SUM(D39:D42)</f>
        <v>28.094660000000001</v>
      </c>
      <c r="E43" s="8">
        <f t="shared" si="7"/>
        <v>362.77751999999987</v>
      </c>
      <c r="F43" s="65">
        <f t="shared" si="7"/>
        <v>367.82444999999984</v>
      </c>
      <c r="G43" s="8">
        <f t="shared" si="7"/>
        <v>373.24688024999989</v>
      </c>
      <c r="H43" s="65">
        <f t="shared" si="7"/>
        <v>379.07282229375005</v>
      </c>
      <c r="I43" s="8">
        <f t="shared" si="7"/>
        <v>385.33238099203123</v>
      </c>
      <c r="J43" s="65">
        <f t="shared" si="7"/>
        <v>392.05791114399585</v>
      </c>
      <c r="K43" s="88">
        <f t="shared" si="7"/>
        <v>372.72752583623628</v>
      </c>
      <c r="L43" s="11">
        <f t="shared" si="7"/>
        <v>88.36865739821674</v>
      </c>
      <c r="M43" s="11">
        <f t="shared" si="7"/>
        <v>96.711331908558776</v>
      </c>
    </row>
    <row r="44" spans="2:13" x14ac:dyDescent="0.35">
      <c r="B44" s="36" t="s">
        <v>155</v>
      </c>
      <c r="C44" s="20"/>
      <c r="D44" s="18"/>
      <c r="F44" s="18"/>
      <c r="H44" s="18"/>
      <c r="J44" s="18"/>
      <c r="K44" s="20"/>
      <c r="L44" s="9"/>
      <c r="M44" s="9"/>
    </row>
    <row r="45" spans="2:13" x14ac:dyDescent="0.35">
      <c r="B45" s="36" t="s">
        <v>133</v>
      </c>
      <c r="C45" s="20"/>
      <c r="D45" s="65">
        <f>0-'Location -BS'!D47</f>
        <v>-12.129666666666667</v>
      </c>
      <c r="E45" s="8">
        <f>'Location -BS'!D47-'Location -BS'!E47</f>
        <v>-61.588333333333324</v>
      </c>
      <c r="F45" s="65">
        <f>'Location -BS'!E47-'Location -BS'!F47</f>
        <v>-2.8807500000000061</v>
      </c>
      <c r="G45" s="8">
        <f>'Location -BS'!F47-'Location -BS'!G47</f>
        <v>-3.06706874999999</v>
      </c>
      <c r="H45" s="65">
        <f>'Location -BS'!G47-'Location -BS'!H47</f>
        <v>-3.2658745312500059</v>
      </c>
      <c r="I45" s="8">
        <f>'Location -BS'!H47-'Location -BS'!I47</f>
        <v>-3.4780295273437645</v>
      </c>
      <c r="J45" s="65">
        <f>'Location -BS'!I47-'Location -BS'!J47</f>
        <v>-3.704456868457001</v>
      </c>
      <c r="K45" s="88">
        <f>'Location -BS'!J47-'Location -BS'!K47</f>
        <v>-1.6646450164819271</v>
      </c>
      <c r="L45" s="11">
        <f>'Location -BS'!K47-'Location -BS'!L47</f>
        <v>20.892347530246724</v>
      </c>
      <c r="M45" s="11">
        <f>'Location -BS'!L47-'Location -BS'!M47</f>
        <v>-4.4796128108716289</v>
      </c>
    </row>
    <row r="46" spans="2:13" ht="15" thickBot="1" x14ac:dyDescent="0.4">
      <c r="B46" s="36" t="s">
        <v>130</v>
      </c>
      <c r="C46" s="20"/>
      <c r="D46" s="66">
        <f t="shared" ref="D46:M46" si="8">D43+D45</f>
        <v>15.964993333333334</v>
      </c>
      <c r="E46" s="16">
        <f t="shared" si="8"/>
        <v>301.18918666666656</v>
      </c>
      <c r="F46" s="66">
        <f t="shared" si="8"/>
        <v>364.94369999999981</v>
      </c>
      <c r="G46" s="16">
        <f t="shared" si="8"/>
        <v>370.17981149999991</v>
      </c>
      <c r="H46" s="66">
        <f t="shared" si="8"/>
        <v>375.80694776250004</v>
      </c>
      <c r="I46" s="16">
        <f t="shared" si="8"/>
        <v>381.85435146468745</v>
      </c>
      <c r="J46" s="66">
        <f t="shared" si="8"/>
        <v>388.35345427553887</v>
      </c>
      <c r="K46" s="90">
        <f t="shared" si="8"/>
        <v>371.06288081975435</v>
      </c>
      <c r="L46" s="11">
        <f t="shared" si="8"/>
        <v>109.26100492846346</v>
      </c>
      <c r="M46" s="11">
        <f t="shared" si="8"/>
        <v>92.231719097687147</v>
      </c>
    </row>
    <row r="47" spans="2:13" ht="15" thickTop="1" x14ac:dyDescent="0.35">
      <c r="B47" s="36"/>
      <c r="C47" s="20"/>
      <c r="D47" s="18"/>
      <c r="F47" s="18"/>
      <c r="H47" s="18"/>
      <c r="J47" s="18"/>
      <c r="K47" s="20"/>
      <c r="L47" s="9"/>
      <c r="M47" s="9"/>
    </row>
    <row r="48" spans="2:13" x14ac:dyDescent="0.35">
      <c r="B48" s="36" t="s">
        <v>134</v>
      </c>
      <c r="C48" s="20"/>
      <c r="D48" s="18"/>
      <c r="F48" s="18"/>
      <c r="H48" s="18"/>
      <c r="J48" s="18"/>
      <c r="K48" s="20"/>
      <c r="L48" s="9"/>
      <c r="M48" s="9"/>
    </row>
    <row r="49" spans="2:13" x14ac:dyDescent="0.35">
      <c r="B49" s="36"/>
      <c r="C49" s="20"/>
      <c r="D49" s="18"/>
      <c r="F49" s="18"/>
      <c r="H49" s="18"/>
      <c r="J49" s="18"/>
      <c r="K49" s="20"/>
      <c r="L49" s="9"/>
      <c r="M49" s="9"/>
    </row>
    <row r="50" spans="2:13" x14ac:dyDescent="0.35">
      <c r="B50" s="36" t="s">
        <v>135</v>
      </c>
      <c r="C50" s="20"/>
      <c r="D50" s="65">
        <v>-1300</v>
      </c>
      <c r="E50" s="80">
        <v>0</v>
      </c>
      <c r="F50" s="26">
        <v>0</v>
      </c>
      <c r="G50" s="80">
        <v>0</v>
      </c>
      <c r="H50" s="26">
        <v>0</v>
      </c>
      <c r="I50" s="80">
        <v>0</v>
      </c>
      <c r="J50" s="26">
        <v>0</v>
      </c>
      <c r="K50" s="91">
        <v>0</v>
      </c>
      <c r="L50" s="142">
        <v>0</v>
      </c>
      <c r="M50" s="142">
        <v>0</v>
      </c>
    </row>
    <row r="51" spans="2:13" ht="15" thickBot="1" x14ac:dyDescent="0.4">
      <c r="B51" s="36"/>
      <c r="C51" s="20"/>
      <c r="D51" s="66">
        <f t="shared" ref="D51:M51" si="9">SUM(D50:D50)</f>
        <v>-1300</v>
      </c>
      <c r="E51" s="16">
        <f t="shared" si="9"/>
        <v>0</v>
      </c>
      <c r="F51" s="66">
        <f t="shared" si="9"/>
        <v>0</v>
      </c>
      <c r="G51" s="16">
        <f t="shared" si="9"/>
        <v>0</v>
      </c>
      <c r="H51" s="66">
        <f t="shared" si="9"/>
        <v>0</v>
      </c>
      <c r="I51" s="16">
        <f t="shared" si="9"/>
        <v>0</v>
      </c>
      <c r="J51" s="66">
        <f t="shared" si="9"/>
        <v>0</v>
      </c>
      <c r="K51" s="90">
        <f t="shared" si="9"/>
        <v>0</v>
      </c>
      <c r="L51" s="11">
        <f t="shared" si="9"/>
        <v>0</v>
      </c>
      <c r="M51" s="11">
        <f t="shared" si="9"/>
        <v>0</v>
      </c>
    </row>
    <row r="52" spans="2:13" ht="15" thickTop="1" x14ac:dyDescent="0.35">
      <c r="B52" s="36"/>
      <c r="C52" s="20"/>
      <c r="D52" s="18"/>
      <c r="F52" s="18"/>
      <c r="H52" s="18"/>
      <c r="J52" s="18"/>
      <c r="K52" s="20"/>
      <c r="L52" s="9"/>
      <c r="M52" s="9"/>
    </row>
    <row r="53" spans="2:13" x14ac:dyDescent="0.35">
      <c r="B53" s="36" t="s">
        <v>136</v>
      </c>
      <c r="C53" s="20"/>
      <c r="D53" s="18"/>
      <c r="F53" s="18"/>
      <c r="H53" s="18"/>
      <c r="J53" s="18"/>
      <c r="K53" s="20"/>
      <c r="L53" s="9"/>
      <c r="M53" s="9"/>
    </row>
    <row r="54" spans="2:13" x14ac:dyDescent="0.35">
      <c r="B54" s="36"/>
      <c r="C54" s="20"/>
      <c r="D54" s="18"/>
      <c r="F54" s="18"/>
      <c r="H54" s="18"/>
      <c r="J54" s="18"/>
      <c r="K54" s="20"/>
      <c r="L54" s="9"/>
      <c r="M54" s="9"/>
    </row>
    <row r="55" spans="2:13" hidden="1" x14ac:dyDescent="0.35">
      <c r="B55" s="36" t="s">
        <v>141</v>
      </c>
      <c r="C55" s="20"/>
      <c r="D55" s="26"/>
      <c r="E55" s="80"/>
      <c r="F55" s="18"/>
      <c r="H55" s="26"/>
      <c r="I55" s="80"/>
      <c r="J55" s="26"/>
      <c r="K55" s="91"/>
      <c r="L55" s="9"/>
      <c r="M55" s="9"/>
    </row>
    <row r="56" spans="2:13" x14ac:dyDescent="0.35">
      <c r="B56" s="36" t="s">
        <v>123</v>
      </c>
      <c r="C56" s="20"/>
      <c r="D56" s="26">
        <v>300</v>
      </c>
      <c r="E56" s="8">
        <v>0</v>
      </c>
      <c r="F56" s="26">
        <v>0</v>
      </c>
      <c r="G56" s="80">
        <v>0</v>
      </c>
      <c r="H56" s="26">
        <v>0</v>
      </c>
      <c r="I56" s="80">
        <v>0</v>
      </c>
      <c r="J56" s="26">
        <v>0</v>
      </c>
      <c r="K56" s="91">
        <v>0</v>
      </c>
      <c r="L56" s="142">
        <v>0</v>
      </c>
      <c r="M56" s="142">
        <v>0</v>
      </c>
    </row>
    <row r="57" spans="2:13" x14ac:dyDescent="0.35">
      <c r="B57" s="36" t="s">
        <v>148</v>
      </c>
      <c r="C57" s="20"/>
      <c r="D57" s="26">
        <f>'Loan Schedule'!O3</f>
        <v>1000</v>
      </c>
      <c r="E57" s="8">
        <f>-'Loan Schedule'!$Q4</f>
        <v>-138.88888888888889</v>
      </c>
      <c r="F57" s="65">
        <f>-'Loan Schedule'!$Q5</f>
        <v>-166.66666666666666</v>
      </c>
      <c r="G57" s="8">
        <f>-'Loan Schedule'!$Q6</f>
        <v>-166.66666666666666</v>
      </c>
      <c r="H57" s="65">
        <f>-'Loan Schedule'!$Q7</f>
        <v>-166.66666666666666</v>
      </c>
      <c r="I57" s="8">
        <f>-'Loan Schedule'!$Q8</f>
        <v>-166.66666666666666</v>
      </c>
      <c r="J57" s="65">
        <f>-'Loan Schedule'!$Q9</f>
        <v>-166.66666666666666</v>
      </c>
      <c r="K57" s="88">
        <f>-'Loan Schedule'!$Q10</f>
        <v>-27.777777777777779</v>
      </c>
      <c r="L57" s="11">
        <f>-'Loan Schedule'!$Q11</f>
        <v>0</v>
      </c>
      <c r="M57" s="11">
        <f>-'Loan Schedule'!$Q12</f>
        <v>0</v>
      </c>
    </row>
    <row r="58" spans="2:13" x14ac:dyDescent="0.35">
      <c r="B58" s="36" t="s">
        <v>137</v>
      </c>
      <c r="C58" s="20"/>
      <c r="D58" s="65">
        <f t="shared" ref="D58:M58" si="10">D42*-1</f>
        <v>-7.620000000000001</v>
      </c>
      <c r="E58" s="8">
        <f t="shared" si="10"/>
        <v>-85.34</v>
      </c>
      <c r="F58" s="65">
        <f t="shared" si="10"/>
        <v>-70.650000000000006</v>
      </c>
      <c r="G58" s="8">
        <f t="shared" si="10"/>
        <v>-55.640000000000015</v>
      </c>
      <c r="H58" s="65">
        <f t="shared" si="10"/>
        <v>-40.64</v>
      </c>
      <c r="I58" s="8">
        <f t="shared" si="10"/>
        <v>-25.630000000000003</v>
      </c>
      <c r="J58" s="65">
        <f t="shared" si="10"/>
        <v>-10.64</v>
      </c>
      <c r="K58" s="88">
        <f t="shared" si="10"/>
        <v>-0.32</v>
      </c>
      <c r="L58" s="11">
        <f t="shared" si="10"/>
        <v>0</v>
      </c>
      <c r="M58" s="11">
        <f t="shared" si="10"/>
        <v>0</v>
      </c>
    </row>
    <row r="59" spans="2:13" ht="15" thickBot="1" x14ac:dyDescent="0.4">
      <c r="B59" s="36"/>
      <c r="C59" s="20"/>
      <c r="D59" s="66">
        <f t="shared" ref="D59:M59" si="11">SUM(D55:D58)</f>
        <v>1292.3800000000001</v>
      </c>
      <c r="E59" s="16">
        <f t="shared" si="11"/>
        <v>-224.22888888888889</v>
      </c>
      <c r="F59" s="92">
        <f t="shared" si="11"/>
        <v>-237.31666666666666</v>
      </c>
      <c r="G59" s="2">
        <f t="shared" si="11"/>
        <v>-222.30666666666667</v>
      </c>
      <c r="H59" s="66">
        <f t="shared" si="11"/>
        <v>-207.30666666666667</v>
      </c>
      <c r="I59" s="16">
        <f t="shared" si="11"/>
        <v>-192.29666666666665</v>
      </c>
      <c r="J59" s="66">
        <f t="shared" si="11"/>
        <v>-177.30666666666667</v>
      </c>
      <c r="K59" s="90">
        <f t="shared" si="11"/>
        <v>-28.097777777777779</v>
      </c>
      <c r="L59" s="11">
        <f t="shared" si="11"/>
        <v>0</v>
      </c>
      <c r="M59" s="11">
        <f t="shared" si="11"/>
        <v>0</v>
      </c>
    </row>
    <row r="60" spans="2:13" ht="15" thickTop="1" x14ac:dyDescent="0.35">
      <c r="B60" s="36"/>
      <c r="C60" s="20"/>
      <c r="D60" s="18"/>
      <c r="F60" s="18"/>
      <c r="H60" s="18"/>
      <c r="J60" s="18"/>
      <c r="K60" s="20"/>
      <c r="L60" s="9"/>
      <c r="M60" s="9"/>
    </row>
    <row r="61" spans="2:13" x14ac:dyDescent="0.35">
      <c r="B61" s="36" t="s">
        <v>138</v>
      </c>
      <c r="C61" s="20"/>
      <c r="D61" s="65">
        <f t="shared" ref="D61:M61" si="12">D46+D51+D59</f>
        <v>8.3449933333333774</v>
      </c>
      <c r="E61" s="8">
        <f t="shared" si="12"/>
        <v>76.960297777777669</v>
      </c>
      <c r="F61" s="65">
        <f t="shared" si="12"/>
        <v>127.62703333333315</v>
      </c>
      <c r="G61" s="8">
        <f t="shared" si="12"/>
        <v>147.87314483333324</v>
      </c>
      <c r="H61" s="65">
        <f t="shared" si="12"/>
        <v>168.50028109583337</v>
      </c>
      <c r="I61" s="8">
        <f t="shared" si="12"/>
        <v>189.5576847980208</v>
      </c>
      <c r="J61" s="65">
        <f t="shared" si="12"/>
        <v>211.04678760887219</v>
      </c>
      <c r="K61" s="88">
        <f t="shared" si="12"/>
        <v>342.96510304197659</v>
      </c>
      <c r="L61" s="11">
        <f t="shared" si="12"/>
        <v>109.26100492846346</v>
      </c>
      <c r="M61" s="11">
        <f t="shared" si="12"/>
        <v>92.231719097687147</v>
      </c>
    </row>
    <row r="62" spans="2:13" x14ac:dyDescent="0.35">
      <c r="B62" s="36"/>
      <c r="C62" s="20"/>
      <c r="D62" s="18"/>
      <c r="F62" s="18"/>
      <c r="H62" s="18"/>
      <c r="J62" s="18"/>
      <c r="K62" s="20"/>
      <c r="L62" s="9"/>
      <c r="M62" s="9"/>
    </row>
    <row r="63" spans="2:13" x14ac:dyDescent="0.35">
      <c r="B63" s="36" t="s">
        <v>139</v>
      </c>
      <c r="C63" s="20"/>
      <c r="D63" s="26">
        <v>0</v>
      </c>
      <c r="E63" s="8">
        <f t="shared" ref="E63:K63" si="13">D64</f>
        <v>8.3449933333333774</v>
      </c>
      <c r="F63" s="65">
        <f t="shared" si="13"/>
        <v>85.305291111111046</v>
      </c>
      <c r="G63" s="8">
        <f t="shared" si="13"/>
        <v>212.93232444444419</v>
      </c>
      <c r="H63" s="65">
        <f t="shared" si="13"/>
        <v>360.80546927777743</v>
      </c>
      <c r="I63" s="8">
        <f t="shared" si="13"/>
        <v>529.30575037361086</v>
      </c>
      <c r="J63" s="65">
        <f t="shared" si="13"/>
        <v>718.86343517163164</v>
      </c>
      <c r="K63" s="88">
        <f t="shared" si="13"/>
        <v>929.91022278050377</v>
      </c>
      <c r="L63" s="11">
        <f>K64</f>
        <v>1272.8753258224804</v>
      </c>
      <c r="M63" s="11">
        <f>L64</f>
        <v>1382.1363307509439</v>
      </c>
    </row>
    <row r="64" spans="2:13" x14ac:dyDescent="0.35">
      <c r="B64" s="37" t="s">
        <v>140</v>
      </c>
      <c r="C64" s="22"/>
      <c r="D64" s="67">
        <f t="shared" ref="D64:M64" si="14">D61+D63</f>
        <v>8.3449933333333774</v>
      </c>
      <c r="E64" s="55">
        <f t="shared" si="14"/>
        <v>85.305291111111046</v>
      </c>
      <c r="F64" s="67">
        <f t="shared" si="14"/>
        <v>212.93232444444419</v>
      </c>
      <c r="G64" s="55">
        <f t="shared" si="14"/>
        <v>360.80546927777743</v>
      </c>
      <c r="H64" s="67">
        <f t="shared" si="14"/>
        <v>529.30575037361086</v>
      </c>
      <c r="I64" s="55">
        <f t="shared" si="14"/>
        <v>718.86343517163164</v>
      </c>
      <c r="J64" s="67">
        <f t="shared" si="14"/>
        <v>929.91022278050377</v>
      </c>
      <c r="K64" s="89">
        <f t="shared" si="14"/>
        <v>1272.8753258224804</v>
      </c>
      <c r="L64" s="11">
        <f t="shared" si="14"/>
        <v>1382.1363307509439</v>
      </c>
      <c r="M64" s="11">
        <f t="shared" si="14"/>
        <v>1474.368049848631</v>
      </c>
    </row>
    <row r="65" spans="2:13" x14ac:dyDescent="0.35">
      <c r="D65" s="8"/>
      <c r="E65" s="8"/>
      <c r="F65" s="8"/>
      <c r="G65" s="8"/>
      <c r="H65" s="8"/>
      <c r="I65" s="8"/>
      <c r="J65" s="8"/>
      <c r="K65" s="8"/>
    </row>
    <row r="66" spans="2:13" ht="15" x14ac:dyDescent="0.25">
      <c r="D66" s="8">
        <f>D32+D64</f>
        <v>26.455166666666628</v>
      </c>
      <c r="E66" s="8">
        <f t="shared" ref="E66:M66" si="15">E32+E64</f>
        <v>116.84054888888866</v>
      </c>
      <c r="F66" s="8">
        <f t="shared" si="15"/>
        <v>313.40129388888852</v>
      </c>
      <c r="G66" s="8">
        <f t="shared" si="15"/>
        <v>547.47577876388834</v>
      </c>
      <c r="H66" s="8">
        <f t="shared" si="15"/>
        <v>819.82841680451338</v>
      </c>
      <c r="I66" s="8">
        <f t="shared" si="15"/>
        <v>1131.3322839381851</v>
      </c>
      <c r="J66" s="8">
        <f t="shared" si="15"/>
        <v>1482.863510008882</v>
      </c>
      <c r="K66" s="8">
        <f t="shared" si="15"/>
        <v>2070.8407767597591</v>
      </c>
      <c r="L66" s="8">
        <f t="shared" si="15"/>
        <v>2280.0281538336294</v>
      </c>
      <c r="M66" s="8">
        <f t="shared" si="15"/>
        <v>2459.7891831464249</v>
      </c>
    </row>
    <row r="67" spans="2:13" x14ac:dyDescent="0.35">
      <c r="B67" t="s">
        <v>149</v>
      </c>
      <c r="M67" t="s">
        <v>156</v>
      </c>
    </row>
    <row r="68" spans="2:13" x14ac:dyDescent="0.35">
      <c r="B68" s="94" t="s">
        <v>275</v>
      </c>
      <c r="C68" s="62"/>
      <c r="D68" s="64" t="s">
        <v>143</v>
      </c>
      <c r="E68" s="95" t="s">
        <v>144</v>
      </c>
      <c r="F68" s="64" t="s">
        <v>145</v>
      </c>
      <c r="G68" s="95" t="s">
        <v>146</v>
      </c>
      <c r="H68" s="64" t="s">
        <v>84</v>
      </c>
      <c r="I68" s="95" t="s">
        <v>85</v>
      </c>
      <c r="J68" s="64" t="s">
        <v>147</v>
      </c>
      <c r="K68" s="95" t="s">
        <v>87</v>
      </c>
      <c r="L68" s="74" t="s">
        <v>88</v>
      </c>
      <c r="M68" s="74" t="s">
        <v>305</v>
      </c>
    </row>
    <row r="69" spans="2:13" x14ac:dyDescent="0.35">
      <c r="B69" s="36" t="s">
        <v>130</v>
      </c>
      <c r="C69" s="20"/>
      <c r="D69" s="18"/>
      <c r="F69" s="18"/>
      <c r="H69" s="18"/>
      <c r="J69" s="18"/>
      <c r="K69" s="138"/>
      <c r="L69" s="9"/>
      <c r="M69" s="9"/>
    </row>
    <row r="70" spans="2:13" x14ac:dyDescent="0.35">
      <c r="B70" s="36"/>
      <c r="C70" s="20"/>
      <c r="D70" s="18"/>
      <c r="F70" s="18"/>
      <c r="H70" s="18"/>
      <c r="J70" s="18"/>
      <c r="K70" s="138"/>
      <c r="L70" s="9"/>
      <c r="M70" s="9"/>
    </row>
    <row r="71" spans="2:13" x14ac:dyDescent="0.35">
      <c r="B71" s="36" t="s">
        <v>118</v>
      </c>
      <c r="C71" s="20"/>
      <c r="D71" s="65">
        <f>'Location- PL'!D95</f>
        <v>0</v>
      </c>
      <c r="E71" s="8">
        <f>'Location- PL'!E92</f>
        <v>117.72760000000005</v>
      </c>
      <c r="F71" s="8">
        <f>'Location- PL'!F92</f>
        <v>162.59328000000005</v>
      </c>
      <c r="G71" s="8">
        <f>'Location- PL'!G92</f>
        <v>204.34539400000006</v>
      </c>
      <c r="H71" s="8">
        <f>'Location- PL'!H92</f>
        <v>243.04877495000005</v>
      </c>
      <c r="I71" s="8">
        <f>'Location- PL'!I92</f>
        <v>279.21917329124994</v>
      </c>
      <c r="J71" s="8">
        <f>'Location- PL'!J92</f>
        <v>313.38707851909385</v>
      </c>
      <c r="K71" s="8">
        <f>'Location- PL'!K92</f>
        <v>342.55950187557596</v>
      </c>
      <c r="L71" s="11">
        <f>'Location- PL'!L92</f>
        <v>27.976028575921305</v>
      </c>
      <c r="M71" s="11">
        <f>'Location- PL'!M92</f>
        <v>44.773401905214428</v>
      </c>
    </row>
    <row r="72" spans="2:13" ht="29" x14ac:dyDescent="0.35">
      <c r="B72" s="63" t="s">
        <v>154</v>
      </c>
      <c r="C72" s="20"/>
      <c r="D72" s="65"/>
      <c r="F72" s="18"/>
      <c r="H72" s="18"/>
      <c r="J72" s="18"/>
      <c r="K72" s="138"/>
      <c r="L72" s="9"/>
      <c r="M72" s="9"/>
    </row>
    <row r="73" spans="2:13" x14ac:dyDescent="0.35">
      <c r="B73" s="36" t="s">
        <v>16</v>
      </c>
      <c r="C73" s="20"/>
      <c r="D73" s="65">
        <f>'Location- PL'!D90</f>
        <v>0</v>
      </c>
      <c r="E73" s="8">
        <f>'Location- PL'!E86</f>
        <v>180</v>
      </c>
      <c r="F73" s="8">
        <f>'Location- PL'!F86</f>
        <v>153</v>
      </c>
      <c r="G73" s="8">
        <f>'Location- PL'!G86</f>
        <v>130.04999999999998</v>
      </c>
      <c r="H73" s="8">
        <f>'Location- PL'!H86</f>
        <v>110.5425</v>
      </c>
      <c r="I73" s="8">
        <f>'Location- PL'!I86</f>
        <v>93.961124999999996</v>
      </c>
      <c r="J73" s="8">
        <f>'Location- PL'!J86</f>
        <v>79.866956250000001</v>
      </c>
      <c r="K73" s="8">
        <f>'Location- PL'!K86</f>
        <v>67.8869128125</v>
      </c>
      <c r="L73" s="11">
        <f>'Location- PL'!L86</f>
        <v>57.703875890625</v>
      </c>
      <c r="M73" s="11">
        <f>'Location- PL'!M86</f>
        <v>49.048294507031251</v>
      </c>
    </row>
    <row r="74" spans="2:13" x14ac:dyDescent="0.35">
      <c r="B74" s="36" t="s">
        <v>131</v>
      </c>
      <c r="C74" s="20"/>
      <c r="D74" s="67">
        <f>'Location- PL'!D88</f>
        <v>0</v>
      </c>
      <c r="E74" s="55">
        <f>'Location- PL'!E85</f>
        <v>77.650000000000006</v>
      </c>
      <c r="F74" s="55">
        <f>'Location- PL'!F85</f>
        <v>64.710000000000008</v>
      </c>
      <c r="G74" s="55">
        <f>'Location- PL'!G85</f>
        <v>51.2</v>
      </c>
      <c r="H74" s="55">
        <f>'Location- PL'!H85</f>
        <v>37.69</v>
      </c>
      <c r="I74" s="55">
        <f>'Location- PL'!I85</f>
        <v>24.21</v>
      </c>
      <c r="J74" s="55">
        <f>'Location- PL'!J85</f>
        <v>10.700000000000001</v>
      </c>
      <c r="K74" s="55">
        <f>'Location- PL'!K85</f>
        <v>0.56000000000000005</v>
      </c>
      <c r="L74" s="11">
        <f>'Location- PL'!L85</f>
        <v>0</v>
      </c>
      <c r="M74" s="11">
        <f>'Location- PL'!M85</f>
        <v>0</v>
      </c>
    </row>
    <row r="75" spans="2:13" x14ac:dyDescent="0.35">
      <c r="B75" s="36" t="s">
        <v>132</v>
      </c>
      <c r="C75" s="20"/>
      <c r="D75" s="65">
        <f t="shared" ref="D75:M75" si="16">SUM(D71:D74)</f>
        <v>0</v>
      </c>
      <c r="E75" s="8">
        <f t="shared" si="16"/>
        <v>375.37760000000003</v>
      </c>
      <c r="F75" s="65">
        <f t="shared" si="16"/>
        <v>380.30328000000009</v>
      </c>
      <c r="G75" s="8">
        <f t="shared" si="16"/>
        <v>385.595394</v>
      </c>
      <c r="H75" s="65">
        <f t="shared" si="16"/>
        <v>391.28127495000007</v>
      </c>
      <c r="I75" s="8">
        <f t="shared" si="16"/>
        <v>397.39029829124991</v>
      </c>
      <c r="J75" s="65">
        <f t="shared" si="16"/>
        <v>403.95403476909382</v>
      </c>
      <c r="K75" s="141">
        <f t="shared" si="16"/>
        <v>411.00641468807595</v>
      </c>
      <c r="L75" s="11">
        <f t="shared" si="16"/>
        <v>85.679904466546304</v>
      </c>
      <c r="M75" s="11">
        <f t="shared" si="16"/>
        <v>93.821696412245672</v>
      </c>
    </row>
    <row r="76" spans="2:13" x14ac:dyDescent="0.35">
      <c r="B76" s="36" t="s">
        <v>155</v>
      </c>
      <c r="C76" s="20"/>
      <c r="D76" s="18"/>
      <c r="F76" s="18"/>
      <c r="H76" s="18"/>
      <c r="J76" s="18"/>
      <c r="K76" s="138"/>
      <c r="L76" s="9"/>
      <c r="M76" s="9"/>
    </row>
    <row r="77" spans="2:13" x14ac:dyDescent="0.35">
      <c r="B77" s="36" t="s">
        <v>133</v>
      </c>
      <c r="C77" s="20"/>
      <c r="D77" s="65">
        <v>0</v>
      </c>
      <c r="E77" s="8">
        <f>'Location -BS'!D73-'Location -BS'!E73</f>
        <v>-74.173333333333332</v>
      </c>
      <c r="F77" s="8">
        <f>'Location -BS'!E73-'Location -BS'!F73</f>
        <v>-2.8286666666666775</v>
      </c>
      <c r="G77" s="8">
        <f>'Location -BS'!F73-'Location -BS'!G73</f>
        <v>-3.0113499999999931</v>
      </c>
      <c r="H77" s="8">
        <f>'Location -BS'!G73-'Location -BS'!H73</f>
        <v>-3.2062612500000114</v>
      </c>
      <c r="I77" s="8">
        <f>'Location -BS'!H73-'Location -BS'!I73</f>
        <v>-3.4142438437499862</v>
      </c>
      <c r="J77" s="8">
        <f>'Location -BS'!I73-'Location -BS'!J73</f>
        <v>-3.636200782031267</v>
      </c>
      <c r="K77" s="8">
        <f>'Location -BS'!J73-'Location -BS'!K73</f>
        <v>-3.8730989231835906</v>
      </c>
      <c r="L77" s="11">
        <f>'Location -BS'!K73-'Location -BS'!L73</f>
        <v>24.474026420952654</v>
      </c>
      <c r="M77" s="11">
        <f>'Location -BS'!L73-'Location -BS'!M73</f>
        <v>-4.3959334459321582</v>
      </c>
    </row>
    <row r="78" spans="2:13" ht="15" thickBot="1" x14ac:dyDescent="0.4">
      <c r="B78" s="36" t="s">
        <v>130</v>
      </c>
      <c r="C78" s="20"/>
      <c r="D78" s="66">
        <f t="shared" ref="D78:M78" si="17">D75+D77</f>
        <v>0</v>
      </c>
      <c r="E78" s="16">
        <f t="shared" si="17"/>
        <v>301.20426666666668</v>
      </c>
      <c r="F78" s="66">
        <f t="shared" si="17"/>
        <v>377.47461333333342</v>
      </c>
      <c r="G78" s="16">
        <f t="shared" si="17"/>
        <v>382.58404400000001</v>
      </c>
      <c r="H78" s="66">
        <f t="shared" si="17"/>
        <v>388.07501370000006</v>
      </c>
      <c r="I78" s="16">
        <f t="shared" si="17"/>
        <v>393.97605444749991</v>
      </c>
      <c r="J78" s="66">
        <f t="shared" si="17"/>
        <v>400.31783398706256</v>
      </c>
      <c r="K78" s="16">
        <f t="shared" si="17"/>
        <v>407.13331576489236</v>
      </c>
      <c r="L78" s="11">
        <f t="shared" si="17"/>
        <v>110.15393088749896</v>
      </c>
      <c r="M78" s="11">
        <f t="shared" si="17"/>
        <v>89.425762966313513</v>
      </c>
    </row>
    <row r="79" spans="2:13" ht="15" thickTop="1" x14ac:dyDescent="0.35">
      <c r="B79" s="36"/>
      <c r="C79" s="20"/>
      <c r="D79" s="18"/>
      <c r="F79" s="18"/>
      <c r="H79" s="18"/>
      <c r="J79" s="18"/>
      <c r="K79" s="138"/>
      <c r="L79" s="9"/>
      <c r="M79" s="9"/>
    </row>
    <row r="80" spans="2:13" x14ac:dyDescent="0.35">
      <c r="B80" s="36" t="s">
        <v>134</v>
      </c>
      <c r="C80" s="20"/>
      <c r="D80" s="18"/>
      <c r="F80" s="18"/>
      <c r="H80" s="18"/>
      <c r="J80" s="18"/>
      <c r="K80" s="138"/>
      <c r="L80" s="9"/>
      <c r="M80" s="9"/>
    </row>
    <row r="81" spans="2:13" x14ac:dyDescent="0.35">
      <c r="B81" s="36"/>
      <c r="C81" s="20"/>
      <c r="D81" s="18"/>
      <c r="F81" s="18"/>
      <c r="H81" s="18"/>
      <c r="J81" s="18"/>
      <c r="K81" s="138"/>
      <c r="L81" s="9"/>
      <c r="M81" s="9"/>
    </row>
    <row r="82" spans="2:13" x14ac:dyDescent="0.35">
      <c r="B82" s="36" t="s">
        <v>280</v>
      </c>
      <c r="C82" s="20"/>
      <c r="D82" s="65">
        <f>-1200+19.97</f>
        <v>-1180.03</v>
      </c>
      <c r="E82" s="80">
        <v>0</v>
      </c>
      <c r="F82" s="26">
        <v>0</v>
      </c>
      <c r="G82" s="80">
        <v>0</v>
      </c>
      <c r="H82" s="26">
        <v>0</v>
      </c>
      <c r="I82" s="80">
        <v>0</v>
      </c>
      <c r="J82" s="26">
        <v>0</v>
      </c>
      <c r="K82" s="80">
        <v>0</v>
      </c>
      <c r="L82" s="10">
        <v>0</v>
      </c>
      <c r="M82" s="10">
        <v>0</v>
      </c>
    </row>
    <row r="83" spans="2:13" ht="15" thickBot="1" x14ac:dyDescent="0.4">
      <c r="B83" s="36"/>
      <c r="C83" s="20"/>
      <c r="D83" s="66">
        <f t="shared" ref="D83:M83" si="18">SUM(D82:D82)</f>
        <v>-1180.03</v>
      </c>
      <c r="E83" s="16">
        <f t="shared" si="18"/>
        <v>0</v>
      </c>
      <c r="F83" s="66">
        <f t="shared" si="18"/>
        <v>0</v>
      </c>
      <c r="G83" s="16">
        <f t="shared" si="18"/>
        <v>0</v>
      </c>
      <c r="H83" s="66">
        <f t="shared" si="18"/>
        <v>0</v>
      </c>
      <c r="I83" s="16">
        <f t="shared" si="18"/>
        <v>0</v>
      </c>
      <c r="J83" s="66">
        <f t="shared" si="18"/>
        <v>0</v>
      </c>
      <c r="K83" s="16">
        <f t="shared" si="18"/>
        <v>0</v>
      </c>
      <c r="L83" s="11">
        <f t="shared" si="18"/>
        <v>0</v>
      </c>
      <c r="M83" s="11">
        <f t="shared" si="18"/>
        <v>0</v>
      </c>
    </row>
    <row r="84" spans="2:13" ht="15" thickTop="1" x14ac:dyDescent="0.35">
      <c r="B84" s="36"/>
      <c r="C84" s="20"/>
      <c r="D84" s="18"/>
      <c r="F84" s="18"/>
      <c r="H84" s="18"/>
      <c r="J84" s="18"/>
      <c r="K84" s="138"/>
      <c r="L84" s="9"/>
      <c r="M84" s="9"/>
    </row>
    <row r="85" spans="2:13" x14ac:dyDescent="0.35">
      <c r="B85" s="36" t="s">
        <v>136</v>
      </c>
      <c r="C85" s="20"/>
      <c r="D85" s="18"/>
      <c r="F85" s="18"/>
      <c r="H85" s="18"/>
      <c r="J85" s="18"/>
      <c r="K85" s="138"/>
      <c r="L85" s="9"/>
      <c r="M85" s="9"/>
    </row>
    <row r="86" spans="2:13" x14ac:dyDescent="0.35">
      <c r="B86" s="36"/>
      <c r="C86" s="20"/>
      <c r="D86" s="18"/>
      <c r="F86" s="18"/>
      <c r="H86" s="18"/>
      <c r="J86" s="18"/>
      <c r="K86" s="138"/>
      <c r="L86" s="9"/>
      <c r="M86" s="9"/>
    </row>
    <row r="87" spans="2:13" x14ac:dyDescent="0.35">
      <c r="B87" s="36" t="s">
        <v>141</v>
      </c>
      <c r="C87" s="20"/>
      <c r="D87" s="26">
        <v>5</v>
      </c>
      <c r="E87" s="80">
        <f>D87*-1</f>
        <v>-5</v>
      </c>
      <c r="F87" s="18"/>
      <c r="H87" s="26"/>
      <c r="I87" s="80"/>
      <c r="J87" s="26"/>
      <c r="K87" s="80"/>
      <c r="L87" s="9"/>
      <c r="M87" s="9"/>
    </row>
    <row r="88" spans="2:13" x14ac:dyDescent="0.35">
      <c r="B88" s="36" t="s">
        <v>123</v>
      </c>
      <c r="C88" s="20"/>
      <c r="D88" s="26">
        <v>300</v>
      </c>
      <c r="E88" s="8">
        <v>0</v>
      </c>
      <c r="F88" s="26">
        <v>0</v>
      </c>
      <c r="G88" s="80">
        <v>0</v>
      </c>
      <c r="H88" s="26">
        <v>0</v>
      </c>
      <c r="I88" s="80">
        <v>0</v>
      </c>
      <c r="J88" s="26">
        <v>0</v>
      </c>
      <c r="K88" s="80">
        <v>0</v>
      </c>
      <c r="L88" s="10">
        <v>0</v>
      </c>
      <c r="M88" s="10">
        <v>0</v>
      </c>
    </row>
    <row r="89" spans="2:13" x14ac:dyDescent="0.35">
      <c r="B89" s="36" t="s">
        <v>148</v>
      </c>
      <c r="C89" s="20"/>
      <c r="D89" s="26">
        <v>900</v>
      </c>
      <c r="E89" s="8">
        <f>-'Loan Schedule'!$AA4</f>
        <v>-112.5</v>
      </c>
      <c r="F89" s="8">
        <f>-'Loan Schedule'!$AA5</f>
        <v>-150</v>
      </c>
      <c r="G89" s="8">
        <f>-'Loan Schedule'!$AA6</f>
        <v>-150</v>
      </c>
      <c r="H89" s="8">
        <f>-'Loan Schedule'!$AA7</f>
        <v>-150</v>
      </c>
      <c r="I89" s="8">
        <f>-'Loan Schedule'!$AA8</f>
        <v>-150</v>
      </c>
      <c r="J89" s="8">
        <f>-'Loan Schedule'!$AA9</f>
        <v>-150</v>
      </c>
      <c r="K89" s="8">
        <f>-'Loan Schedule'!$AA10</f>
        <v>-37.5</v>
      </c>
      <c r="L89" s="11">
        <f>-'Loan Schedule'!$AA11</f>
        <v>0</v>
      </c>
      <c r="M89" s="11">
        <f>-'Loan Schedule'!$AA12</f>
        <v>0</v>
      </c>
    </row>
    <row r="90" spans="2:13" x14ac:dyDescent="0.35">
      <c r="B90" s="36" t="s">
        <v>137</v>
      </c>
      <c r="C90" s="20"/>
      <c r="D90" s="65">
        <f>-'Loan Schedule'!Z3</f>
        <v>-19.97</v>
      </c>
      <c r="E90" s="8">
        <f>-'Loan Schedule'!$Z4</f>
        <v>-77.650000000000006</v>
      </c>
      <c r="F90" s="8">
        <f>-'Loan Schedule'!$Z5</f>
        <v>-64.710000000000008</v>
      </c>
      <c r="G90" s="8">
        <f>-'Loan Schedule'!$Z6</f>
        <v>-51.2</v>
      </c>
      <c r="H90" s="8">
        <f>-'Loan Schedule'!$Z7</f>
        <v>-37.69</v>
      </c>
      <c r="I90" s="8">
        <f>-'Loan Schedule'!$Z8</f>
        <v>-24.21</v>
      </c>
      <c r="J90" s="8">
        <f>-'Loan Schedule'!$Z9</f>
        <v>-10.700000000000001</v>
      </c>
      <c r="K90" s="8">
        <f>-'Loan Schedule'!$Z10</f>
        <v>-0.56000000000000005</v>
      </c>
      <c r="L90" s="9"/>
      <c r="M90" s="9"/>
    </row>
    <row r="91" spans="2:13" ht="15" thickBot="1" x14ac:dyDescent="0.4">
      <c r="B91" s="36"/>
      <c r="C91" s="20"/>
      <c r="D91" s="66">
        <f t="shared" ref="D91:M91" si="19">SUM(D87:D90)</f>
        <v>1185.03</v>
      </c>
      <c r="E91" s="16">
        <f t="shared" si="19"/>
        <v>-195.15</v>
      </c>
      <c r="F91" s="92">
        <f t="shared" si="19"/>
        <v>-214.71</v>
      </c>
      <c r="G91" s="2">
        <f t="shared" si="19"/>
        <v>-201.2</v>
      </c>
      <c r="H91" s="66">
        <f t="shared" si="19"/>
        <v>-187.69</v>
      </c>
      <c r="I91" s="16">
        <f t="shared" si="19"/>
        <v>-174.21</v>
      </c>
      <c r="J91" s="66">
        <f t="shared" si="19"/>
        <v>-160.69999999999999</v>
      </c>
      <c r="K91" s="16">
        <f t="shared" si="19"/>
        <v>-38.06</v>
      </c>
      <c r="L91" s="11">
        <f t="shared" si="19"/>
        <v>0</v>
      </c>
      <c r="M91" s="11">
        <f t="shared" si="19"/>
        <v>0</v>
      </c>
    </row>
    <row r="92" spans="2:13" ht="15" thickTop="1" x14ac:dyDescent="0.35">
      <c r="B92" s="36"/>
      <c r="C92" s="20"/>
      <c r="D92" s="18"/>
      <c r="F92" s="18"/>
      <c r="H92" s="18"/>
      <c r="J92" s="18"/>
      <c r="K92" s="138"/>
      <c r="L92" s="9"/>
      <c r="M92" s="9"/>
    </row>
    <row r="93" spans="2:13" x14ac:dyDescent="0.35">
      <c r="B93" s="36" t="s">
        <v>138</v>
      </c>
      <c r="C93" s="20"/>
      <c r="D93" s="65">
        <f t="shared" ref="D93:M93" si="20">D78+D83+D91</f>
        <v>5</v>
      </c>
      <c r="E93" s="8">
        <f t="shared" si="20"/>
        <v>106.05426666666668</v>
      </c>
      <c r="F93" s="65">
        <f t="shared" si="20"/>
        <v>162.76461333333341</v>
      </c>
      <c r="G93" s="8">
        <f t="shared" si="20"/>
        <v>181.38404400000002</v>
      </c>
      <c r="H93" s="65">
        <f t="shared" si="20"/>
        <v>200.38501370000006</v>
      </c>
      <c r="I93" s="8">
        <f t="shared" si="20"/>
        <v>219.7660544474999</v>
      </c>
      <c r="J93" s="65">
        <f t="shared" si="20"/>
        <v>239.61783398706257</v>
      </c>
      <c r="K93" s="141">
        <f t="shared" si="20"/>
        <v>369.07331576489236</v>
      </c>
      <c r="L93" s="11">
        <f t="shared" si="20"/>
        <v>110.15393088749896</v>
      </c>
      <c r="M93" s="11">
        <f t="shared" si="20"/>
        <v>89.425762966313513</v>
      </c>
    </row>
    <row r="94" spans="2:13" x14ac:dyDescent="0.35">
      <c r="B94" s="36"/>
      <c r="C94" s="20"/>
      <c r="D94" s="18"/>
      <c r="F94" s="18"/>
      <c r="H94" s="18"/>
      <c r="J94" s="18"/>
      <c r="K94" s="138"/>
      <c r="L94" s="9"/>
      <c r="M94" s="9"/>
    </row>
    <row r="95" spans="2:13" x14ac:dyDescent="0.35">
      <c r="B95" s="36" t="s">
        <v>139</v>
      </c>
      <c r="C95" s="20"/>
      <c r="D95" s="26">
        <v>0</v>
      </c>
      <c r="E95" s="8">
        <f t="shared" ref="E95" si="21">D96</f>
        <v>5</v>
      </c>
      <c r="F95" s="65">
        <f t="shared" ref="F95" si="22">E96</f>
        <v>111.05426666666668</v>
      </c>
      <c r="G95" s="8">
        <f t="shared" ref="G95" si="23">F96</f>
        <v>273.81888000000009</v>
      </c>
      <c r="H95" s="65">
        <f t="shared" ref="H95" si="24">G96</f>
        <v>455.20292400000011</v>
      </c>
      <c r="I95" s="8">
        <f t="shared" ref="I95" si="25">H96</f>
        <v>655.58793770000011</v>
      </c>
      <c r="J95" s="65">
        <f t="shared" ref="J95" si="26">I96</f>
        <v>875.35399214749998</v>
      </c>
      <c r="K95" s="141">
        <f t="shared" ref="K95" si="27">J96</f>
        <v>1114.9718261345624</v>
      </c>
      <c r="L95" s="11">
        <f>K96</f>
        <v>1484.0451418994548</v>
      </c>
      <c r="M95" s="11">
        <f>L96</f>
        <v>1594.1990727869538</v>
      </c>
    </row>
    <row r="96" spans="2:13" x14ac:dyDescent="0.35">
      <c r="B96" s="37" t="s">
        <v>140</v>
      </c>
      <c r="C96" s="22"/>
      <c r="D96" s="67">
        <f t="shared" ref="D96:M96" si="28">D93+D95</f>
        <v>5</v>
      </c>
      <c r="E96" s="55">
        <f t="shared" si="28"/>
        <v>111.05426666666668</v>
      </c>
      <c r="F96" s="67">
        <f t="shared" si="28"/>
        <v>273.81888000000009</v>
      </c>
      <c r="G96" s="55">
        <f t="shared" si="28"/>
        <v>455.20292400000011</v>
      </c>
      <c r="H96" s="67">
        <f t="shared" si="28"/>
        <v>655.58793770000011</v>
      </c>
      <c r="I96" s="55">
        <f t="shared" si="28"/>
        <v>875.35399214749998</v>
      </c>
      <c r="J96" s="67">
        <f t="shared" si="28"/>
        <v>1114.9718261345624</v>
      </c>
      <c r="K96" s="55">
        <f t="shared" si="28"/>
        <v>1484.0451418994548</v>
      </c>
      <c r="L96" s="11">
        <f t="shared" si="28"/>
        <v>1594.1990727869538</v>
      </c>
      <c r="M96" s="11">
        <f t="shared" si="28"/>
        <v>1683.6248357532672</v>
      </c>
    </row>
    <row r="98" spans="2:13" x14ac:dyDescent="0.35">
      <c r="B98" t="s">
        <v>149</v>
      </c>
      <c r="M98" t="s">
        <v>156</v>
      </c>
    </row>
    <row r="99" spans="2:13" x14ac:dyDescent="0.35">
      <c r="B99" s="94" t="s">
        <v>281</v>
      </c>
      <c r="C99" s="62"/>
      <c r="D99" s="64" t="s">
        <v>143</v>
      </c>
      <c r="E99" s="95" t="s">
        <v>144</v>
      </c>
      <c r="F99" s="64" t="s">
        <v>145</v>
      </c>
      <c r="G99" s="95" t="s">
        <v>146</v>
      </c>
      <c r="H99" s="64" t="s">
        <v>84</v>
      </c>
      <c r="I99" s="95" t="s">
        <v>85</v>
      </c>
      <c r="J99" s="64" t="s">
        <v>147</v>
      </c>
      <c r="K99" s="95" t="s">
        <v>87</v>
      </c>
      <c r="L99" s="74" t="s">
        <v>88</v>
      </c>
      <c r="M99" s="74" t="s">
        <v>305</v>
      </c>
    </row>
    <row r="100" spans="2:13" x14ac:dyDescent="0.35">
      <c r="B100" s="36" t="s">
        <v>130</v>
      </c>
      <c r="C100" s="20"/>
      <c r="D100" s="18"/>
      <c r="F100" s="18"/>
      <c r="H100" s="18"/>
      <c r="J100" s="18"/>
      <c r="K100" s="138"/>
      <c r="L100" s="9"/>
      <c r="M100" s="9"/>
    </row>
    <row r="101" spans="2:13" x14ac:dyDescent="0.35">
      <c r="B101" s="36"/>
      <c r="C101" s="20"/>
      <c r="D101" s="18"/>
      <c r="F101" s="18"/>
      <c r="H101" s="18"/>
      <c r="J101" s="18"/>
      <c r="K101" s="138"/>
      <c r="L101" s="9"/>
      <c r="M101" s="9"/>
    </row>
    <row r="102" spans="2:13" x14ac:dyDescent="0.35">
      <c r="B102" s="36" t="s">
        <v>118</v>
      </c>
      <c r="C102" s="20"/>
      <c r="D102" s="65">
        <f>'Location- PL'!D129</f>
        <v>0</v>
      </c>
      <c r="E102" s="8">
        <f>'Location- PL'!E124</f>
        <v>117.72760000000005</v>
      </c>
      <c r="F102" s="8">
        <f>'Location- PL'!F124</f>
        <v>162.59328000000005</v>
      </c>
      <c r="G102" s="8">
        <f>'Location- PL'!G124</f>
        <v>204.34539400000006</v>
      </c>
      <c r="H102" s="8">
        <f>'Location- PL'!H124</f>
        <v>243.04877495000005</v>
      </c>
      <c r="I102" s="8">
        <f>'Location- PL'!I124</f>
        <v>279.21917329124994</v>
      </c>
      <c r="J102" s="8">
        <f>'Location- PL'!J124</f>
        <v>313.38707851909385</v>
      </c>
      <c r="K102" s="8">
        <f>'Location- PL'!K124</f>
        <v>342.55950187557596</v>
      </c>
      <c r="L102" s="11">
        <f>'Location- PL'!L124</f>
        <v>27.976028575921305</v>
      </c>
      <c r="M102" s="11">
        <f>'Location- PL'!M124</f>
        <v>44.773401905214428</v>
      </c>
    </row>
    <row r="103" spans="2:13" ht="29" x14ac:dyDescent="0.35">
      <c r="B103" s="63" t="s">
        <v>154</v>
      </c>
      <c r="C103" s="20"/>
      <c r="D103" s="65"/>
      <c r="F103" s="18"/>
      <c r="H103" s="18"/>
      <c r="J103" s="18"/>
      <c r="K103" s="138"/>
      <c r="L103" s="9"/>
      <c r="M103" s="9"/>
    </row>
    <row r="104" spans="2:13" x14ac:dyDescent="0.35">
      <c r="B104" s="36" t="s">
        <v>16</v>
      </c>
      <c r="C104" s="20"/>
      <c r="D104" s="65">
        <f>'Location- PL'!D124</f>
        <v>0</v>
      </c>
      <c r="E104" s="8">
        <f>'Location- PL'!E118</f>
        <v>180</v>
      </c>
      <c r="F104" s="8">
        <f>'Location- PL'!F118</f>
        <v>153</v>
      </c>
      <c r="G104" s="8">
        <f>'Location- PL'!G118</f>
        <v>130.04999999999998</v>
      </c>
      <c r="H104" s="8">
        <f>'Location- PL'!H118</f>
        <v>110.5425</v>
      </c>
      <c r="I104" s="8">
        <f>'Location- PL'!I118</f>
        <v>93.961124999999996</v>
      </c>
      <c r="J104" s="8">
        <f>'Location- PL'!J118</f>
        <v>79.866956250000001</v>
      </c>
      <c r="K104" s="8">
        <f>'Location- PL'!K118</f>
        <v>67.8869128125</v>
      </c>
      <c r="L104" s="11">
        <f>'Location- PL'!L118</f>
        <v>57.703875890625</v>
      </c>
      <c r="M104" s="11">
        <f>'Location- PL'!M118</f>
        <v>49.048294507031251</v>
      </c>
    </row>
    <row r="105" spans="2:13" x14ac:dyDescent="0.35">
      <c r="B105" s="36" t="s">
        <v>131</v>
      </c>
      <c r="C105" s="20"/>
      <c r="D105" s="67">
        <f>'Location- PL'!D123</f>
        <v>0</v>
      </c>
      <c r="E105" s="55">
        <f>'Location- PL'!E117</f>
        <v>77.650000000000006</v>
      </c>
      <c r="F105" s="55">
        <f>'Location- PL'!F117</f>
        <v>64.710000000000008</v>
      </c>
      <c r="G105" s="55">
        <f>'Location- PL'!G117</f>
        <v>51.2</v>
      </c>
      <c r="H105" s="55">
        <f>'Location- PL'!H117</f>
        <v>37.69</v>
      </c>
      <c r="I105" s="55">
        <f>'Location- PL'!I117</f>
        <v>24.21</v>
      </c>
      <c r="J105" s="55">
        <f>'Location- PL'!J117</f>
        <v>10.700000000000001</v>
      </c>
      <c r="K105" s="55">
        <f>'Location- PL'!K117</f>
        <v>0.56000000000000005</v>
      </c>
      <c r="L105" s="11">
        <f>'Location- PL'!L117</f>
        <v>0</v>
      </c>
      <c r="M105" s="11">
        <f>'Location- PL'!M117</f>
        <v>0</v>
      </c>
    </row>
    <row r="106" spans="2:13" x14ac:dyDescent="0.35">
      <c r="B106" s="36" t="s">
        <v>132</v>
      </c>
      <c r="C106" s="20"/>
      <c r="D106" s="65">
        <f t="shared" ref="D106:M106" si="29">SUM(D102:D105)</f>
        <v>0</v>
      </c>
      <c r="E106" s="8">
        <f t="shared" si="29"/>
        <v>375.37760000000003</v>
      </c>
      <c r="F106" s="65">
        <f t="shared" si="29"/>
        <v>380.30328000000009</v>
      </c>
      <c r="G106" s="8">
        <f t="shared" si="29"/>
        <v>385.595394</v>
      </c>
      <c r="H106" s="65">
        <f t="shared" si="29"/>
        <v>391.28127495000007</v>
      </c>
      <c r="I106" s="8">
        <f t="shared" si="29"/>
        <v>397.39029829124991</v>
      </c>
      <c r="J106" s="65">
        <f t="shared" si="29"/>
        <v>403.95403476909382</v>
      </c>
      <c r="K106" s="141">
        <f t="shared" si="29"/>
        <v>411.00641468807595</v>
      </c>
      <c r="L106" s="11">
        <f t="shared" si="29"/>
        <v>85.679904466546304</v>
      </c>
      <c r="M106" s="11">
        <f t="shared" si="29"/>
        <v>93.821696412245672</v>
      </c>
    </row>
    <row r="107" spans="2:13" x14ac:dyDescent="0.35">
      <c r="B107" s="36" t="s">
        <v>155</v>
      </c>
      <c r="C107" s="20"/>
      <c r="D107" s="18"/>
      <c r="F107" s="18"/>
      <c r="H107" s="18"/>
      <c r="J107" s="18"/>
      <c r="K107" s="138"/>
      <c r="L107" s="9"/>
      <c r="M107" s="9"/>
    </row>
    <row r="108" spans="2:13" x14ac:dyDescent="0.35">
      <c r="B108" s="36" t="s">
        <v>133</v>
      </c>
      <c r="C108" s="20"/>
      <c r="D108" s="65">
        <v>0</v>
      </c>
      <c r="E108" s="8">
        <f>'Location -BS'!D98-'Location -BS'!E98</f>
        <v>-74.173333333333332</v>
      </c>
      <c r="F108" s="8">
        <f>'Location -BS'!E98-'Location -BS'!F98</f>
        <v>-2.8286666666666775</v>
      </c>
      <c r="G108" s="8">
        <f>'Location -BS'!F98-'Location -BS'!G98</f>
        <v>-3.0113499999999931</v>
      </c>
      <c r="H108" s="8">
        <f>'Location -BS'!G98-'Location -BS'!H98</f>
        <v>-3.2062612500000114</v>
      </c>
      <c r="I108" s="8">
        <f>'Location -BS'!H98-'Location -BS'!I98</f>
        <v>-3.4142438437499862</v>
      </c>
      <c r="J108" s="8">
        <f>'Location -BS'!I98-'Location -BS'!J98</f>
        <v>-3.636200782031267</v>
      </c>
      <c r="K108" s="8">
        <f>'Location -BS'!J98-'Location -BS'!K98</f>
        <v>-3.8730989231835906</v>
      </c>
      <c r="L108" s="11">
        <f>'Location -BS'!K98-'Location -BS'!L98</f>
        <v>24.474026420952654</v>
      </c>
      <c r="M108" s="11">
        <f>'Location -BS'!L98-'Location -BS'!M98</f>
        <v>-4.3959334459321582</v>
      </c>
    </row>
    <row r="109" spans="2:13" ht="15" thickBot="1" x14ac:dyDescent="0.4">
      <c r="B109" s="36" t="s">
        <v>130</v>
      </c>
      <c r="C109" s="20"/>
      <c r="D109" s="66">
        <f t="shared" ref="D109:M109" si="30">D106+D108</f>
        <v>0</v>
      </c>
      <c r="E109" s="16">
        <f t="shared" si="30"/>
        <v>301.20426666666668</v>
      </c>
      <c r="F109" s="66">
        <f t="shared" si="30"/>
        <v>377.47461333333342</v>
      </c>
      <c r="G109" s="16">
        <f t="shared" si="30"/>
        <v>382.58404400000001</v>
      </c>
      <c r="H109" s="66">
        <f t="shared" si="30"/>
        <v>388.07501370000006</v>
      </c>
      <c r="I109" s="16">
        <f t="shared" si="30"/>
        <v>393.97605444749991</v>
      </c>
      <c r="J109" s="66">
        <f t="shared" si="30"/>
        <v>400.31783398706256</v>
      </c>
      <c r="K109" s="16">
        <f t="shared" si="30"/>
        <v>407.13331576489236</v>
      </c>
      <c r="L109" s="11">
        <f t="shared" si="30"/>
        <v>110.15393088749896</v>
      </c>
      <c r="M109" s="11">
        <f t="shared" si="30"/>
        <v>89.425762966313513</v>
      </c>
    </row>
    <row r="110" spans="2:13" ht="15" thickTop="1" x14ac:dyDescent="0.35">
      <c r="B110" s="36"/>
      <c r="C110" s="20"/>
      <c r="D110" s="18"/>
      <c r="F110" s="18"/>
      <c r="H110" s="18"/>
      <c r="J110" s="18"/>
      <c r="K110" s="138"/>
      <c r="L110" s="9"/>
      <c r="M110" s="9"/>
    </row>
    <row r="111" spans="2:13" x14ac:dyDescent="0.35">
      <c r="B111" s="36" t="s">
        <v>134</v>
      </c>
      <c r="C111" s="20"/>
      <c r="D111" s="18"/>
      <c r="F111" s="18"/>
      <c r="H111" s="18"/>
      <c r="J111" s="18"/>
      <c r="K111" s="138"/>
      <c r="L111" s="9"/>
      <c r="M111" s="9"/>
    </row>
    <row r="112" spans="2:13" x14ac:dyDescent="0.35">
      <c r="B112" s="36"/>
      <c r="C112" s="20"/>
      <c r="D112" s="18"/>
      <c r="F112" s="18"/>
      <c r="H112" s="18"/>
      <c r="J112" s="18"/>
      <c r="K112" s="138"/>
      <c r="L112" s="9"/>
      <c r="M112" s="9"/>
    </row>
    <row r="113" spans="2:13" x14ac:dyDescent="0.35">
      <c r="B113" s="36" t="s">
        <v>280</v>
      </c>
      <c r="C113" s="20"/>
      <c r="D113" s="65">
        <f>-1200+19.97</f>
        <v>-1180.03</v>
      </c>
      <c r="E113" s="80">
        <v>0</v>
      </c>
      <c r="F113" s="26">
        <v>0</v>
      </c>
      <c r="G113" s="80">
        <v>0</v>
      </c>
      <c r="H113" s="26">
        <v>0</v>
      </c>
      <c r="I113" s="80">
        <v>0</v>
      </c>
      <c r="J113" s="26">
        <v>0</v>
      </c>
      <c r="K113" s="80">
        <v>0</v>
      </c>
      <c r="L113" s="10">
        <v>0</v>
      </c>
      <c r="M113" s="10">
        <v>0</v>
      </c>
    </row>
    <row r="114" spans="2:13" ht="15" thickBot="1" x14ac:dyDescent="0.4">
      <c r="B114" s="36"/>
      <c r="C114" s="20"/>
      <c r="D114" s="66">
        <f t="shared" ref="D114:M114" si="31">SUM(D113:D113)</f>
        <v>-1180.03</v>
      </c>
      <c r="E114" s="16">
        <f t="shared" si="31"/>
        <v>0</v>
      </c>
      <c r="F114" s="66">
        <f t="shared" si="31"/>
        <v>0</v>
      </c>
      <c r="G114" s="16">
        <f t="shared" si="31"/>
        <v>0</v>
      </c>
      <c r="H114" s="66">
        <f t="shared" si="31"/>
        <v>0</v>
      </c>
      <c r="I114" s="16">
        <f t="shared" si="31"/>
        <v>0</v>
      </c>
      <c r="J114" s="66">
        <f t="shared" si="31"/>
        <v>0</v>
      </c>
      <c r="K114" s="16">
        <f t="shared" si="31"/>
        <v>0</v>
      </c>
      <c r="L114" s="11">
        <f t="shared" si="31"/>
        <v>0</v>
      </c>
      <c r="M114" s="11">
        <f t="shared" si="31"/>
        <v>0</v>
      </c>
    </row>
    <row r="115" spans="2:13" ht="15" thickTop="1" x14ac:dyDescent="0.35">
      <c r="B115" s="36"/>
      <c r="C115" s="20"/>
      <c r="D115" s="18"/>
      <c r="F115" s="18"/>
      <c r="H115" s="18"/>
      <c r="J115" s="18"/>
      <c r="K115" s="138"/>
      <c r="L115" s="9"/>
      <c r="M115" s="9"/>
    </row>
    <row r="116" spans="2:13" x14ac:dyDescent="0.35">
      <c r="B116" s="36" t="s">
        <v>136</v>
      </c>
      <c r="C116" s="20"/>
      <c r="D116" s="18"/>
      <c r="F116" s="18"/>
      <c r="H116" s="18"/>
      <c r="J116" s="18"/>
      <c r="K116" s="138"/>
      <c r="L116" s="9"/>
      <c r="M116" s="9"/>
    </row>
    <row r="117" spans="2:13" x14ac:dyDescent="0.35">
      <c r="B117" s="36"/>
      <c r="C117" s="20"/>
      <c r="D117" s="18"/>
      <c r="F117" s="18"/>
      <c r="H117" s="18"/>
      <c r="J117" s="18"/>
      <c r="K117" s="138"/>
      <c r="L117" s="9"/>
      <c r="M117" s="9"/>
    </row>
    <row r="118" spans="2:13" x14ac:dyDescent="0.35">
      <c r="B118" s="36" t="s">
        <v>141</v>
      </c>
      <c r="C118" s="20"/>
      <c r="D118" s="26">
        <v>5</v>
      </c>
      <c r="E118" s="80">
        <f>D118*-1</f>
        <v>-5</v>
      </c>
      <c r="F118" s="18"/>
      <c r="H118" s="26"/>
      <c r="I118" s="80"/>
      <c r="J118" s="26"/>
      <c r="K118" s="80"/>
      <c r="L118" s="9"/>
      <c r="M118" s="9"/>
    </row>
    <row r="119" spans="2:13" x14ac:dyDescent="0.35">
      <c r="B119" s="36" t="s">
        <v>123</v>
      </c>
      <c r="C119" s="20"/>
      <c r="D119" s="26">
        <v>300</v>
      </c>
      <c r="E119" s="8">
        <v>0</v>
      </c>
      <c r="F119" s="26">
        <v>0</v>
      </c>
      <c r="G119" s="80">
        <v>0</v>
      </c>
      <c r="H119" s="26">
        <v>0</v>
      </c>
      <c r="I119" s="80">
        <v>0</v>
      </c>
      <c r="J119" s="26">
        <v>0</v>
      </c>
      <c r="K119" s="80">
        <v>0</v>
      </c>
      <c r="L119" s="10">
        <v>0</v>
      </c>
      <c r="M119" s="10">
        <v>0</v>
      </c>
    </row>
    <row r="120" spans="2:13" x14ac:dyDescent="0.35">
      <c r="B120" s="36" t="s">
        <v>148</v>
      </c>
      <c r="C120" s="20"/>
      <c r="D120" s="26">
        <v>900</v>
      </c>
      <c r="E120" s="8">
        <f>-'Loan Schedule'!$AK4</f>
        <v>-112.5</v>
      </c>
      <c r="F120" s="8">
        <f>-'Loan Schedule'!$AK5</f>
        <v>-150</v>
      </c>
      <c r="G120" s="8">
        <f>-'Loan Schedule'!$AK6</f>
        <v>-150</v>
      </c>
      <c r="H120" s="8">
        <f>-'Loan Schedule'!$AK7</f>
        <v>-150</v>
      </c>
      <c r="I120" s="8">
        <f>-'Loan Schedule'!$AK8</f>
        <v>-150</v>
      </c>
      <c r="J120" s="8">
        <f>-'Loan Schedule'!$AK9</f>
        <v>-150</v>
      </c>
      <c r="K120" s="8">
        <f>-'Loan Schedule'!$AK10</f>
        <v>-37.5</v>
      </c>
      <c r="L120" s="11">
        <f>-'Loan Schedule'!$AK11</f>
        <v>0</v>
      </c>
      <c r="M120" s="11">
        <f>-'Loan Schedule'!$AK12</f>
        <v>0</v>
      </c>
    </row>
    <row r="121" spans="2:13" x14ac:dyDescent="0.35">
      <c r="B121" s="36" t="s">
        <v>137</v>
      </c>
      <c r="C121" s="20"/>
      <c r="D121" s="65">
        <f>-'Loan Schedule'!$AJ3</f>
        <v>-19.97</v>
      </c>
      <c r="E121" s="65">
        <f>-'Loan Schedule'!$AJ4</f>
        <v>-77.650000000000006</v>
      </c>
      <c r="F121" s="65">
        <f>-'Loan Schedule'!$AJ5</f>
        <v>-64.710000000000008</v>
      </c>
      <c r="G121" s="65">
        <f>-'Loan Schedule'!$AJ6</f>
        <v>-51.2</v>
      </c>
      <c r="H121" s="65">
        <f>-'Loan Schedule'!$AJ7</f>
        <v>-37.69</v>
      </c>
      <c r="I121" s="65">
        <f>-'Loan Schedule'!$AJ8</f>
        <v>-24.21</v>
      </c>
      <c r="J121" s="65">
        <f>-'Loan Schedule'!$AJ9</f>
        <v>-10.700000000000001</v>
      </c>
      <c r="K121" s="143">
        <f>-'Loan Schedule'!$AJ10</f>
        <v>-0.56000000000000005</v>
      </c>
      <c r="L121" s="11">
        <f>-'Loan Schedule'!$AJ11</f>
        <v>0</v>
      </c>
      <c r="M121" s="11">
        <f>-'Loan Schedule'!$AJ12</f>
        <v>0</v>
      </c>
    </row>
    <row r="122" spans="2:13" ht="15" thickBot="1" x14ac:dyDescent="0.4">
      <c r="B122" s="36"/>
      <c r="C122" s="20"/>
      <c r="D122" s="66">
        <f t="shared" ref="D122:M122" si="32">SUM(D118:D121)</f>
        <v>1185.03</v>
      </c>
      <c r="E122" s="16">
        <f t="shared" si="32"/>
        <v>-195.15</v>
      </c>
      <c r="F122" s="92">
        <f t="shared" si="32"/>
        <v>-214.71</v>
      </c>
      <c r="G122" s="2">
        <f t="shared" si="32"/>
        <v>-201.2</v>
      </c>
      <c r="H122" s="66">
        <f t="shared" si="32"/>
        <v>-187.69</v>
      </c>
      <c r="I122" s="16">
        <f t="shared" si="32"/>
        <v>-174.21</v>
      </c>
      <c r="J122" s="66">
        <f t="shared" si="32"/>
        <v>-160.69999999999999</v>
      </c>
      <c r="K122" s="16">
        <f t="shared" si="32"/>
        <v>-38.06</v>
      </c>
      <c r="L122" s="11">
        <f t="shared" si="32"/>
        <v>0</v>
      </c>
      <c r="M122" s="11">
        <f t="shared" si="32"/>
        <v>0</v>
      </c>
    </row>
    <row r="123" spans="2:13" ht="15" thickTop="1" x14ac:dyDescent="0.35">
      <c r="B123" s="36"/>
      <c r="C123" s="20"/>
      <c r="D123" s="18"/>
      <c r="F123" s="18"/>
      <c r="H123" s="18"/>
      <c r="J123" s="18"/>
      <c r="K123" s="138"/>
      <c r="L123" s="9"/>
      <c r="M123" s="9"/>
    </row>
    <row r="124" spans="2:13" x14ac:dyDescent="0.35">
      <c r="B124" s="36" t="s">
        <v>138</v>
      </c>
      <c r="C124" s="20"/>
      <c r="D124" s="65">
        <f t="shared" ref="D124:M124" si="33">D109+D114+D122</f>
        <v>5</v>
      </c>
      <c r="E124" s="8">
        <f t="shared" si="33"/>
        <v>106.05426666666668</v>
      </c>
      <c r="F124" s="65">
        <f t="shared" si="33"/>
        <v>162.76461333333341</v>
      </c>
      <c r="G124" s="8">
        <f t="shared" si="33"/>
        <v>181.38404400000002</v>
      </c>
      <c r="H124" s="65">
        <f t="shared" si="33"/>
        <v>200.38501370000006</v>
      </c>
      <c r="I124" s="8">
        <f t="shared" si="33"/>
        <v>219.7660544474999</v>
      </c>
      <c r="J124" s="65">
        <f t="shared" si="33"/>
        <v>239.61783398706257</v>
      </c>
      <c r="K124" s="141">
        <f t="shared" si="33"/>
        <v>369.07331576489236</v>
      </c>
      <c r="L124" s="11">
        <f t="shared" si="33"/>
        <v>110.15393088749896</v>
      </c>
      <c r="M124" s="11">
        <f t="shared" si="33"/>
        <v>89.425762966313513</v>
      </c>
    </row>
    <row r="125" spans="2:13" x14ac:dyDescent="0.35">
      <c r="B125" s="36"/>
      <c r="C125" s="20"/>
      <c r="D125" s="18"/>
      <c r="F125" s="18"/>
      <c r="H125" s="18"/>
      <c r="J125" s="18"/>
      <c r="K125" s="138"/>
      <c r="L125" s="9"/>
      <c r="M125" s="9"/>
    </row>
    <row r="126" spans="2:13" x14ac:dyDescent="0.35">
      <c r="B126" s="36" t="s">
        <v>139</v>
      </c>
      <c r="C126" s="20"/>
      <c r="D126" s="26">
        <v>0</v>
      </c>
      <c r="E126" s="8">
        <f t="shared" ref="E126" si="34">D127</f>
        <v>5</v>
      </c>
      <c r="F126" s="65">
        <f t="shared" ref="F126" si="35">E127</f>
        <v>111.05426666666668</v>
      </c>
      <c r="G126" s="8">
        <f t="shared" ref="G126" si="36">F127</f>
        <v>273.81888000000009</v>
      </c>
      <c r="H126" s="65">
        <f t="shared" ref="H126" si="37">G127</f>
        <v>455.20292400000011</v>
      </c>
      <c r="I126" s="8">
        <f t="shared" ref="I126" si="38">H127</f>
        <v>655.58793770000011</v>
      </c>
      <c r="J126" s="65">
        <f t="shared" ref="J126" si="39">I127</f>
        <v>875.35399214749998</v>
      </c>
      <c r="K126" s="141">
        <f t="shared" ref="K126" si="40">J127</f>
        <v>1114.9718261345624</v>
      </c>
      <c r="L126" s="11">
        <f>K127</f>
        <v>1484.0451418994548</v>
      </c>
      <c r="M126" s="11">
        <f>L127</f>
        <v>1594.1990727869538</v>
      </c>
    </row>
    <row r="127" spans="2:13" x14ac:dyDescent="0.35">
      <c r="B127" s="37" t="s">
        <v>140</v>
      </c>
      <c r="C127" s="22"/>
      <c r="D127" s="67">
        <f t="shared" ref="D127:M127" si="41">D124+D126</f>
        <v>5</v>
      </c>
      <c r="E127" s="55">
        <f t="shared" si="41"/>
        <v>111.05426666666668</v>
      </c>
      <c r="F127" s="67">
        <f t="shared" si="41"/>
        <v>273.81888000000009</v>
      </c>
      <c r="G127" s="55">
        <f t="shared" si="41"/>
        <v>455.20292400000011</v>
      </c>
      <c r="H127" s="67">
        <f t="shared" si="41"/>
        <v>655.58793770000011</v>
      </c>
      <c r="I127" s="55">
        <f t="shared" si="41"/>
        <v>875.35399214749998</v>
      </c>
      <c r="J127" s="67">
        <f t="shared" si="41"/>
        <v>1114.9718261345624</v>
      </c>
      <c r="K127" s="55">
        <f t="shared" si="41"/>
        <v>1484.0451418994548</v>
      </c>
      <c r="L127" s="11">
        <f t="shared" si="41"/>
        <v>1594.1990727869538</v>
      </c>
      <c r="M127" s="11">
        <f t="shared" si="41"/>
        <v>1683.6248357532672</v>
      </c>
    </row>
    <row r="129" spans="2:13" x14ac:dyDescent="0.35">
      <c r="B129" t="s">
        <v>294</v>
      </c>
      <c r="D129" s="8">
        <f>D32+D64+D96+D127</f>
        <v>36.455166666666628</v>
      </c>
      <c r="E129" s="8">
        <f t="shared" ref="E129:M129" si="42">E32+E64+E96+E127</f>
        <v>338.94908222222205</v>
      </c>
      <c r="F129" s="8">
        <f t="shared" si="42"/>
        <v>861.0390538888887</v>
      </c>
      <c r="G129" s="8">
        <f t="shared" si="42"/>
        <v>1457.8816267638886</v>
      </c>
      <c r="H129" s="8">
        <f t="shared" si="42"/>
        <v>2131.0042922045136</v>
      </c>
      <c r="I129" s="8">
        <f t="shared" si="42"/>
        <v>2882.0402682331851</v>
      </c>
      <c r="J129" s="8">
        <f t="shared" si="42"/>
        <v>3712.8071622780071</v>
      </c>
      <c r="K129" s="8">
        <f t="shared" si="42"/>
        <v>5038.9310605586688</v>
      </c>
      <c r="L129" s="8">
        <f t="shared" si="42"/>
        <v>5468.426299407537</v>
      </c>
      <c r="M129" s="8">
        <f t="shared" si="42"/>
        <v>5827.0388546529593</v>
      </c>
    </row>
    <row r="131" spans="2:13" x14ac:dyDescent="0.35">
      <c r="B131" t="s">
        <v>295</v>
      </c>
      <c r="D131" s="7">
        <f>'Conso-CFS'!D30</f>
        <v>36.455166666667537</v>
      </c>
      <c r="E131" s="7">
        <f>'Conso-CFS'!E30</f>
        <v>338.94908222222284</v>
      </c>
      <c r="F131" s="7">
        <f>'Conso-CFS'!F30</f>
        <v>861.0390538888895</v>
      </c>
      <c r="G131" s="7">
        <f>'Conso-CFS'!G30</f>
        <v>1457.8816267638895</v>
      </c>
      <c r="H131" s="7">
        <f>'Conso-CFS'!H30</f>
        <v>2131.004292204515</v>
      </c>
      <c r="I131" s="7">
        <f>'Conso-CFS'!I30</f>
        <v>2882.0402682331869</v>
      </c>
      <c r="J131" s="7">
        <f>'Conso-CFS'!J30</f>
        <v>3712.8071622780089</v>
      </c>
      <c r="K131" s="7">
        <f>'Conso-CFS'!K30</f>
        <v>5038.9310605586707</v>
      </c>
      <c r="L131" s="7">
        <f>'Conso-CFS'!L30</f>
        <v>5468.4262994075389</v>
      </c>
      <c r="M131" s="7">
        <f>'Conso-CFS'!M30</f>
        <v>5827.0388546529612</v>
      </c>
    </row>
    <row r="133" spans="2:13" x14ac:dyDescent="0.35">
      <c r="D133" s="8">
        <f>D129-D131</f>
        <v>-9.0949470177292824E-13</v>
      </c>
      <c r="E133" s="8">
        <f t="shared" ref="E133:M133" si="43">E129-E131</f>
        <v>-7.9580786405131221E-13</v>
      </c>
      <c r="F133" s="8">
        <f t="shared" si="43"/>
        <v>0</v>
      </c>
      <c r="G133" s="8">
        <f t="shared" si="43"/>
        <v>0</v>
      </c>
      <c r="H133" s="8">
        <f t="shared" si="43"/>
        <v>0</v>
      </c>
      <c r="I133" s="8">
        <f t="shared" si="43"/>
        <v>0</v>
      </c>
      <c r="J133" s="8">
        <f t="shared" si="43"/>
        <v>0</v>
      </c>
      <c r="K133" s="8">
        <f t="shared" si="43"/>
        <v>0</v>
      </c>
      <c r="L133" s="8">
        <f t="shared" si="43"/>
        <v>0</v>
      </c>
      <c r="M133" s="8">
        <f t="shared" si="43"/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M37"/>
  <sheetViews>
    <sheetView topLeftCell="A20" workbookViewId="0">
      <selection activeCell="L42" sqref="L42"/>
    </sheetView>
  </sheetViews>
  <sheetFormatPr defaultRowHeight="14.5" x14ac:dyDescent="0.35"/>
  <cols>
    <col min="2" max="2" width="43.453125" customWidth="1"/>
    <col min="4" max="4" width="10.1796875" customWidth="1"/>
  </cols>
  <sheetData>
    <row r="2" spans="2:13" x14ac:dyDescent="0.35">
      <c r="B2" t="s">
        <v>149</v>
      </c>
      <c r="M2" t="s">
        <v>156</v>
      </c>
    </row>
    <row r="3" spans="2:13" x14ac:dyDescent="0.35">
      <c r="B3" s="71" t="s">
        <v>119</v>
      </c>
      <c r="C3" s="70"/>
      <c r="D3" s="74" t="s">
        <v>143</v>
      </c>
      <c r="E3" s="74" t="s">
        <v>144</v>
      </c>
      <c r="F3" s="74" t="s">
        <v>145</v>
      </c>
      <c r="G3" s="74" t="s">
        <v>146</v>
      </c>
      <c r="H3" s="74" t="s">
        <v>84</v>
      </c>
      <c r="I3" s="74" t="s">
        <v>85</v>
      </c>
      <c r="J3" s="74" t="s">
        <v>147</v>
      </c>
      <c r="K3" s="74" t="s">
        <v>87</v>
      </c>
      <c r="L3" s="74" t="s">
        <v>88</v>
      </c>
      <c r="M3" s="74" t="s">
        <v>305</v>
      </c>
    </row>
    <row r="4" spans="2:13" x14ac:dyDescent="0.35">
      <c r="B4" s="39" t="s">
        <v>130</v>
      </c>
      <c r="C4" s="20"/>
      <c r="D4" s="18"/>
      <c r="E4" s="18"/>
      <c r="F4" s="18"/>
      <c r="G4" s="18"/>
      <c r="H4" s="18"/>
      <c r="I4" s="18"/>
      <c r="J4" s="18"/>
      <c r="K4" s="18"/>
      <c r="L4" s="9"/>
      <c r="M4" s="9"/>
    </row>
    <row r="5" spans="2:13" x14ac:dyDescent="0.35">
      <c r="B5" s="36" t="s">
        <v>118</v>
      </c>
      <c r="C5" s="20"/>
      <c r="D5" s="65">
        <f>SUM('Location-CFS'!D7,'Location-CFS'!D39,'Location-CFS'!D71,'Location-CFS'!D102)</f>
        <v>6.9644999999999726</v>
      </c>
      <c r="E5" s="65">
        <f>SUM('Location-CFS'!E7,'Location-CFS'!E39,'Location-CFS'!E71,'Location-CFS'!E102)</f>
        <v>347.5863599999999</v>
      </c>
      <c r="F5" s="65">
        <f>SUM('Location-CFS'!F7,'Location-CFS'!F39,'Location-CFS'!F71,'Location-CFS'!F102)</f>
        <v>527.09724249999999</v>
      </c>
      <c r="G5" s="65">
        <f>SUM('Location-CFS'!G7,'Location-CFS'!G39,'Location-CFS'!G71,'Location-CFS'!G102)</f>
        <v>693.55190256249989</v>
      </c>
      <c r="H5" s="65">
        <f>SUM('Location-CFS'!H7,'Location-CFS'!H39,'Location-CFS'!H71,'Location-CFS'!H102)</f>
        <v>847.93904969843766</v>
      </c>
      <c r="I5" s="65">
        <f>SUM('Location-CFS'!I7,'Location-CFS'!I39,'Location-CFS'!I71,'Location-CFS'!I102)</f>
        <v>992.41449997300765</v>
      </c>
      <c r="J5" s="65">
        <f>SUM('Location-CFS'!J7,'Location-CFS'!J39,'Location-CFS'!J71,'Location-CFS'!J102)</f>
        <v>1128.9059724845927</v>
      </c>
      <c r="K5" s="65">
        <f>SUM('Location-CFS'!K7,'Location-CFS'!K39,'Location-CFS'!K71,'Location-CFS'!K102)</f>
        <v>1181.2893057559304</v>
      </c>
      <c r="L5" s="11">
        <f>SUM('Location-CFS'!L7,'Location-CFS'!L39,'Location-CFS'!L71,'Location-CFS'!L102)</f>
        <v>120.04985648946479</v>
      </c>
      <c r="M5" s="11">
        <f>SUM('Location-CFS'!M7,'Location-CFS'!M39,'Location-CFS'!M71,'Location-CFS'!M102)</f>
        <v>179.15282194335214</v>
      </c>
    </row>
    <row r="6" spans="2:13" ht="28.5" customHeight="1" x14ac:dyDescent="0.35">
      <c r="B6" s="63" t="s">
        <v>154</v>
      </c>
      <c r="C6" s="20"/>
      <c r="D6" s="18"/>
      <c r="E6" s="18"/>
      <c r="F6" s="18"/>
      <c r="G6" s="18"/>
      <c r="H6" s="18"/>
      <c r="I6" s="18"/>
      <c r="J6" s="18"/>
      <c r="K6" s="18"/>
      <c r="L6" s="9"/>
      <c r="M6" s="9"/>
    </row>
    <row r="7" spans="2:13" x14ac:dyDescent="0.35">
      <c r="B7" s="36" t="s">
        <v>16</v>
      </c>
      <c r="C7" s="20"/>
      <c r="D7" s="65">
        <f>SUM('Location-CFS'!D9,'Location-CFS'!D41,'Location-CFS'!D73,'Location-CFS'!D104)</f>
        <v>43.75</v>
      </c>
      <c r="E7" s="65">
        <f>SUM('Location-CFS'!E9,'Location-CFS'!E41,'Location-CFS'!E73,'Location-CFS'!E104)</f>
        <v>713.4375</v>
      </c>
      <c r="F7" s="65">
        <f>SUM('Location-CFS'!F9,'Location-CFS'!F41,'Location-CFS'!F73,'Location-CFS'!F104)</f>
        <v>606.421875</v>
      </c>
      <c r="G7" s="65">
        <f>SUM('Location-CFS'!G9,'Location-CFS'!G41,'Location-CFS'!G73,'Location-CFS'!G104)</f>
        <v>515.45859374999998</v>
      </c>
      <c r="H7" s="65">
        <f>SUM('Location-CFS'!H9,'Location-CFS'!H41,'Location-CFS'!H73,'Location-CFS'!H104)</f>
        <v>438.13980468750003</v>
      </c>
      <c r="I7" s="65">
        <f>SUM('Location-CFS'!I9,'Location-CFS'!I41,'Location-CFS'!I73,'Location-CFS'!I104)</f>
        <v>372.41883398437494</v>
      </c>
      <c r="J7" s="65">
        <f>SUM('Location-CFS'!J9,'Location-CFS'!J41,'Location-CFS'!J73,'Location-CFS'!J104)</f>
        <v>316.5560088867187</v>
      </c>
      <c r="K7" s="65">
        <f>SUM('Location-CFS'!K9,'Location-CFS'!K41,'Location-CFS'!K73,'Location-CFS'!K104)</f>
        <v>269.0726075537109</v>
      </c>
      <c r="L7" s="11">
        <f>SUM('Location-CFS'!L9,'Location-CFS'!L41,'Location-CFS'!L73,'Location-CFS'!L104)</f>
        <v>228.71171642065428</v>
      </c>
      <c r="M7" s="11">
        <f>SUM('Location-CFS'!M9,'Location-CFS'!M41,'Location-CFS'!M73,'Location-CFS'!M104)</f>
        <v>194.40495895755615</v>
      </c>
    </row>
    <row r="8" spans="2:13" x14ac:dyDescent="0.35">
      <c r="B8" s="36" t="s">
        <v>131</v>
      </c>
      <c r="C8" s="20"/>
      <c r="D8" s="65">
        <f>SUM('Location-CFS'!D10,'Location-CFS'!D42,'Location-CFS'!D74,'Location-CFS'!D105)</f>
        <v>19.640000000000004</v>
      </c>
      <c r="E8" s="65">
        <f>SUM('Location-CFS'!E10,'Location-CFS'!E42,'Location-CFS'!E74,'Location-CFS'!E105)</f>
        <v>308.11</v>
      </c>
      <c r="F8" s="65">
        <f>SUM('Location-CFS'!F10,'Location-CFS'!F42,'Location-CFS'!F74,'Location-CFS'!F105)</f>
        <v>255.59</v>
      </c>
      <c r="G8" s="65">
        <f>SUM('Location-CFS'!G10,'Location-CFS'!G42,'Location-CFS'!G74,'Location-CFS'!G105)</f>
        <v>201.56</v>
      </c>
      <c r="H8" s="65">
        <f>SUM('Location-CFS'!H10,'Location-CFS'!H42,'Location-CFS'!H74,'Location-CFS'!H105)</f>
        <v>147.55000000000001</v>
      </c>
      <c r="I8" s="65">
        <f>SUM('Location-CFS'!I10,'Location-CFS'!I42,'Location-CFS'!I74,'Location-CFS'!I105)</f>
        <v>93.57</v>
      </c>
      <c r="J8" s="65">
        <f>SUM('Location-CFS'!J10,'Location-CFS'!J42,'Location-CFS'!J74,'Location-CFS'!J105)</f>
        <v>39.56</v>
      </c>
      <c r="K8" s="65">
        <f>SUM('Location-CFS'!K10,'Location-CFS'!K42,'Location-CFS'!K74,'Location-CFS'!K105)</f>
        <v>1.52</v>
      </c>
      <c r="L8" s="11">
        <f>SUM('Location-CFS'!L10,'Location-CFS'!L42,'Location-CFS'!L74,'Location-CFS'!L105)</f>
        <v>-2.1309343178899098E-13</v>
      </c>
      <c r="M8" s="11">
        <f>SUM('Location-CFS'!M10,'Location-CFS'!M42,'Location-CFS'!M74,'Location-CFS'!M105)</f>
        <v>0</v>
      </c>
    </row>
    <row r="9" spans="2:13" x14ac:dyDescent="0.35">
      <c r="B9" s="36" t="s">
        <v>132</v>
      </c>
      <c r="C9" s="20"/>
      <c r="D9" s="65">
        <f>SUM('Location-CFS'!D11,'Location-CFS'!D43,'Location-CFS'!D75,'Location-CFS'!D106)</f>
        <v>70.354499999999973</v>
      </c>
      <c r="E9" s="65">
        <f>SUM('Location-CFS'!E11,'Location-CFS'!E43,'Location-CFS'!E75,'Location-CFS'!E106)</f>
        <v>1369.1338599999999</v>
      </c>
      <c r="F9" s="65">
        <f>SUM('Location-CFS'!F11,'Location-CFS'!F43,'Location-CFS'!F75,'Location-CFS'!F106)</f>
        <v>1389.1091175000001</v>
      </c>
      <c r="G9" s="65">
        <f>SUM('Location-CFS'!G11,'Location-CFS'!G43,'Location-CFS'!G75,'Location-CFS'!G106)</f>
        <v>1410.5704963124997</v>
      </c>
      <c r="H9" s="65">
        <f>SUM('Location-CFS'!H11,'Location-CFS'!H43,'Location-CFS'!H75,'Location-CFS'!H106)</f>
        <v>1433.6288543859378</v>
      </c>
      <c r="I9" s="65">
        <f>SUM('Location-CFS'!I11,'Location-CFS'!I43,'Location-CFS'!I75,'Location-CFS'!I106)</f>
        <v>1458.4033339573825</v>
      </c>
      <c r="J9" s="65">
        <f>SUM('Location-CFS'!J11,'Location-CFS'!J43,'Location-CFS'!J75,'Location-CFS'!J106)</f>
        <v>1485.0219813713113</v>
      </c>
      <c r="K9" s="65">
        <f>SUM('Location-CFS'!K11,'Location-CFS'!K43,'Location-CFS'!K75,'Location-CFS'!K106)</f>
        <v>1451.881913309641</v>
      </c>
      <c r="L9" s="11">
        <f>SUM('Location-CFS'!L11,'Location-CFS'!L43,'Location-CFS'!L75,'Location-CFS'!L106)</f>
        <v>348.76157291011884</v>
      </c>
      <c r="M9" s="11">
        <f>SUM('Location-CFS'!M11,'Location-CFS'!M43,'Location-CFS'!M75,'Location-CFS'!M106)</f>
        <v>373.55778090090826</v>
      </c>
    </row>
    <row r="10" spans="2:13" x14ac:dyDescent="0.35">
      <c r="B10" s="36" t="s">
        <v>155</v>
      </c>
      <c r="C10" s="20"/>
      <c r="D10" s="18"/>
      <c r="E10" s="18"/>
      <c r="F10" s="18"/>
      <c r="G10" s="18"/>
      <c r="H10" s="18"/>
      <c r="I10" s="18"/>
      <c r="J10" s="18"/>
      <c r="K10" s="18"/>
      <c r="L10" s="9"/>
      <c r="M10" s="9"/>
    </row>
    <row r="11" spans="2:13" x14ac:dyDescent="0.35">
      <c r="B11" s="36" t="s">
        <v>133</v>
      </c>
      <c r="C11" s="20"/>
      <c r="D11" s="65">
        <f>SUM('Location-CFS'!D13,'Location-CFS'!D45,'Location-CFS'!D77,'Location-CFS'!D108)</f>
        <v>-24.259333333333334</v>
      </c>
      <c r="E11" s="65">
        <f>SUM('Location-CFS'!E13,'Location-CFS'!E45,'Location-CFS'!E77,'Location-CFS'!E108)</f>
        <v>-262.41883333333334</v>
      </c>
      <c r="F11" s="65">
        <f>SUM('Location-CFS'!F13,'Location-CFS'!F45,'Location-CFS'!F77,'Location-CFS'!F108)</f>
        <v>-11.429145833333365</v>
      </c>
      <c r="G11" s="65">
        <f>SUM('Location-CFS'!G13,'Location-CFS'!G45,'Location-CFS'!G77,'Location-CFS'!G108)</f>
        <v>-12.167923437499965</v>
      </c>
      <c r="H11" s="65">
        <f>SUM('Location-CFS'!H13,'Location-CFS'!H45,'Location-CFS'!H77,'Location-CFS'!H108)</f>
        <v>-12.956188945312533</v>
      </c>
      <c r="I11" s="65">
        <f>SUM('Location-CFS'!I13,'Location-CFS'!I45,'Location-CFS'!I77,'Location-CFS'!I108)</f>
        <v>-13.797357928710923</v>
      </c>
      <c r="J11" s="65">
        <f>SUM('Location-CFS'!J13,'Location-CFS'!J45,'Location-CFS'!J77,'Location-CFS'!J108)</f>
        <v>-14.695087326489258</v>
      </c>
      <c r="K11" s="65">
        <f>SUM('Location-CFS'!K13,'Location-CFS'!K45,'Location-CFS'!K77,'Location-CFS'!K108)</f>
        <v>-10.349126140090505</v>
      </c>
      <c r="L11" s="11">
        <f>SUM('Location-CFS'!L13,'Location-CFS'!L45,'Location-CFS'!L77,'Location-CFS'!L108)</f>
        <v>80.733665938748999</v>
      </c>
      <c r="M11" s="11">
        <f>SUM('Location-CFS'!M13,'Location-CFS'!M45,'Location-CFS'!M77,'Location-CFS'!M108)</f>
        <v>-14.945225655485558</v>
      </c>
    </row>
    <row r="12" spans="2:13" ht="15" thickBot="1" x14ac:dyDescent="0.4">
      <c r="B12" s="36" t="s">
        <v>130</v>
      </c>
      <c r="C12" s="20"/>
      <c r="D12" s="66">
        <f t="shared" ref="D12:M12" si="0">D9+D11</f>
        <v>46.095166666666643</v>
      </c>
      <c r="E12" s="66">
        <f t="shared" si="0"/>
        <v>1106.7150266666665</v>
      </c>
      <c r="F12" s="66">
        <f t="shared" si="0"/>
        <v>1377.6799716666667</v>
      </c>
      <c r="G12" s="66">
        <f t="shared" si="0"/>
        <v>1398.4025728749998</v>
      </c>
      <c r="H12" s="66">
        <f t="shared" si="0"/>
        <v>1420.6726654406252</v>
      </c>
      <c r="I12" s="66">
        <f t="shared" si="0"/>
        <v>1444.6059760286716</v>
      </c>
      <c r="J12" s="66">
        <f t="shared" si="0"/>
        <v>1470.326894044822</v>
      </c>
      <c r="K12" s="66">
        <f t="shared" si="0"/>
        <v>1441.5327871695506</v>
      </c>
      <c r="L12" s="11">
        <f t="shared" si="0"/>
        <v>429.49523884886787</v>
      </c>
      <c r="M12" s="11">
        <f t="shared" si="0"/>
        <v>358.6125552454227</v>
      </c>
    </row>
    <row r="13" spans="2:13" ht="15" thickTop="1" x14ac:dyDescent="0.35">
      <c r="B13" s="36"/>
      <c r="C13" s="20"/>
      <c r="D13" s="18"/>
      <c r="E13" s="18"/>
      <c r="F13" s="18"/>
      <c r="G13" s="18"/>
      <c r="H13" s="18"/>
      <c r="I13" s="18"/>
      <c r="J13" s="18"/>
      <c r="K13" s="18"/>
      <c r="L13" s="9"/>
      <c r="M13" s="9"/>
    </row>
    <row r="14" spans="2:13" x14ac:dyDescent="0.35">
      <c r="B14" s="36" t="s">
        <v>134</v>
      </c>
      <c r="C14" s="20"/>
      <c r="D14" s="18"/>
      <c r="E14" s="18"/>
      <c r="F14" s="18"/>
      <c r="G14" s="18"/>
      <c r="H14" s="18"/>
      <c r="I14" s="18"/>
      <c r="J14" s="18"/>
      <c r="K14" s="18"/>
      <c r="L14" s="9"/>
      <c r="M14" s="9"/>
    </row>
    <row r="15" spans="2:13" x14ac:dyDescent="0.35">
      <c r="B15" s="36"/>
      <c r="C15" s="20"/>
      <c r="D15" s="18"/>
      <c r="E15" s="18"/>
      <c r="F15" s="18"/>
      <c r="G15" s="18"/>
      <c r="H15" s="18"/>
      <c r="I15" s="18"/>
      <c r="J15" s="18"/>
      <c r="K15" s="18"/>
      <c r="L15" s="9"/>
      <c r="M15" s="9"/>
    </row>
    <row r="16" spans="2:13" x14ac:dyDescent="0.35">
      <c r="B16" s="36" t="s">
        <v>135</v>
      </c>
      <c r="C16" s="20"/>
      <c r="D16" s="65">
        <f>SUM('Location-CFS'!D18,'Location-CFS'!D50,'Location-CFS'!D82,'Location-CFS'!D113)</f>
        <v>-4760.0599999999995</v>
      </c>
      <c r="E16" s="65">
        <f>SUM('Location-CFS'!E18,'Location-CFS'!E50,'Location-CFS'!E82,'Location-CFS'!E113)</f>
        <v>0</v>
      </c>
      <c r="F16" s="65">
        <f>SUM('Location-CFS'!F18,'Location-CFS'!F50,'Location-CFS'!F82,'Location-CFS'!F113)</f>
        <v>0</v>
      </c>
      <c r="G16" s="65">
        <f>SUM('Location-CFS'!G18,'Location-CFS'!G50,'Location-CFS'!G82,'Location-CFS'!G113)</f>
        <v>0</v>
      </c>
      <c r="H16" s="65">
        <f>SUM('Location-CFS'!H18,'Location-CFS'!H50,'Location-CFS'!H82,'Location-CFS'!H113)</f>
        <v>0</v>
      </c>
      <c r="I16" s="65">
        <f>SUM('Location-CFS'!I18,'Location-CFS'!I50,'Location-CFS'!I82,'Location-CFS'!I113)</f>
        <v>0</v>
      </c>
      <c r="J16" s="65">
        <f>SUM('Location-CFS'!J18,'Location-CFS'!J50,'Location-CFS'!J82,'Location-CFS'!J113)</f>
        <v>0</v>
      </c>
      <c r="K16" s="65">
        <f>SUM('Location-CFS'!K18,'Location-CFS'!K50,'Location-CFS'!K82,'Location-CFS'!K113)</f>
        <v>0</v>
      </c>
      <c r="L16" s="11">
        <f>SUM('Location-CFS'!L18,'Location-CFS'!L50,'Location-CFS'!L82,'Location-CFS'!L113)</f>
        <v>0</v>
      </c>
      <c r="M16" s="11">
        <f>SUM('Location-CFS'!M18,'Location-CFS'!M50,'Location-CFS'!M82,'Location-CFS'!M113)</f>
        <v>0</v>
      </c>
    </row>
    <row r="17" spans="2:13" ht="15" thickBot="1" x14ac:dyDescent="0.4">
      <c r="B17" s="36"/>
      <c r="C17" s="20"/>
      <c r="D17" s="66">
        <f t="shared" ref="D17:M17" si="1">SUM(D16:D16)</f>
        <v>-4760.0599999999995</v>
      </c>
      <c r="E17" s="66">
        <f t="shared" si="1"/>
        <v>0</v>
      </c>
      <c r="F17" s="66">
        <f t="shared" si="1"/>
        <v>0</v>
      </c>
      <c r="G17" s="66">
        <f t="shared" si="1"/>
        <v>0</v>
      </c>
      <c r="H17" s="66">
        <f t="shared" si="1"/>
        <v>0</v>
      </c>
      <c r="I17" s="66">
        <f t="shared" si="1"/>
        <v>0</v>
      </c>
      <c r="J17" s="66">
        <f t="shared" si="1"/>
        <v>0</v>
      </c>
      <c r="K17" s="66">
        <f t="shared" si="1"/>
        <v>0</v>
      </c>
      <c r="L17" s="11">
        <f t="shared" si="1"/>
        <v>0</v>
      </c>
      <c r="M17" s="11">
        <f t="shared" si="1"/>
        <v>0</v>
      </c>
    </row>
    <row r="18" spans="2:13" ht="15" thickTop="1" x14ac:dyDescent="0.35">
      <c r="B18" s="36"/>
      <c r="C18" s="20"/>
      <c r="D18" s="18"/>
      <c r="E18" s="18"/>
      <c r="F18" s="18"/>
      <c r="G18" s="18"/>
      <c r="H18" s="18"/>
      <c r="I18" s="18"/>
      <c r="J18" s="18"/>
      <c r="K18" s="18"/>
      <c r="L18" s="9"/>
      <c r="M18" s="9"/>
    </row>
    <row r="19" spans="2:13" x14ac:dyDescent="0.35">
      <c r="B19" s="36" t="s">
        <v>136</v>
      </c>
      <c r="C19" s="20"/>
      <c r="D19" s="18"/>
      <c r="E19" s="18"/>
      <c r="F19" s="18"/>
      <c r="G19" s="18"/>
      <c r="H19" s="18"/>
      <c r="I19" s="18"/>
      <c r="J19" s="18"/>
      <c r="K19" s="18"/>
      <c r="L19" s="9"/>
      <c r="M19" s="9"/>
    </row>
    <row r="20" spans="2:13" x14ac:dyDescent="0.35">
      <c r="B20" s="36"/>
      <c r="C20" s="20"/>
      <c r="D20" s="18"/>
      <c r="E20" s="18"/>
      <c r="F20" s="18"/>
      <c r="G20" s="18"/>
      <c r="H20" s="18"/>
      <c r="I20" s="18"/>
      <c r="J20" s="18"/>
      <c r="K20" s="18"/>
      <c r="L20" s="9"/>
      <c r="M20" s="9"/>
    </row>
    <row r="21" spans="2:13" x14ac:dyDescent="0.35">
      <c r="B21" s="36" t="s">
        <v>141</v>
      </c>
      <c r="C21" s="20"/>
      <c r="D21" s="65">
        <f>SUM('Location-CFS'!D23,'Location-CFS'!D55,'Location-CFS'!D87,'Location-CFS'!D118)</f>
        <v>10</v>
      </c>
      <c r="E21" s="65">
        <f>SUM('Location-CFS'!E23,'Location-CFS'!E55,'Location-CFS'!E87,'Location-CFS'!E118)</f>
        <v>-10</v>
      </c>
      <c r="F21" s="65">
        <f>SUM('Location-CFS'!F23,'Location-CFS'!F55,'Location-CFS'!F87,'Location-CFS'!F118)</f>
        <v>0</v>
      </c>
      <c r="G21" s="65">
        <f>SUM('Location-CFS'!G23,'Location-CFS'!G55,'Location-CFS'!G87,'Location-CFS'!G118)</f>
        <v>0</v>
      </c>
      <c r="H21" s="65">
        <f>SUM('Location-CFS'!H23,'Location-CFS'!H55,'Location-CFS'!H87,'Location-CFS'!H118)</f>
        <v>0</v>
      </c>
      <c r="I21" s="65">
        <f>SUM('Location-CFS'!I23,'Location-CFS'!I55,'Location-CFS'!I87,'Location-CFS'!I118)</f>
        <v>0</v>
      </c>
      <c r="J21" s="65">
        <f>SUM('Location-CFS'!J23,'Location-CFS'!J55,'Location-CFS'!J87,'Location-CFS'!J118)</f>
        <v>0</v>
      </c>
      <c r="K21" s="65">
        <f>SUM('Location-CFS'!K23,'Location-CFS'!K55,'Location-CFS'!K87,'Location-CFS'!K118)</f>
        <v>0</v>
      </c>
      <c r="L21" s="11">
        <f>SUM('Location-CFS'!L23,'Location-CFS'!L55,'Location-CFS'!L87,'Location-CFS'!L118)</f>
        <v>0</v>
      </c>
      <c r="M21" s="11">
        <f>SUM('Location-CFS'!M23,'Location-CFS'!M55,'Location-CFS'!M87,'Location-CFS'!M118)</f>
        <v>0</v>
      </c>
    </row>
    <row r="22" spans="2:13" x14ac:dyDescent="0.35">
      <c r="B22" s="36" t="s">
        <v>123</v>
      </c>
      <c r="C22" s="20"/>
      <c r="D22" s="65">
        <f>SUM('Location-CFS'!D24,'Location-CFS'!D56,'Location-CFS'!D88,'Location-CFS'!D119)</f>
        <v>1200</v>
      </c>
      <c r="E22" s="65">
        <f>SUM('Location-CFS'!E24,'Location-CFS'!E56,'Location-CFS'!E88,'Location-CFS'!E119)</f>
        <v>0</v>
      </c>
      <c r="F22" s="65">
        <f>SUM('Location-CFS'!F24,'Location-CFS'!F56,'Location-CFS'!F88,'Location-CFS'!F119)</f>
        <v>0</v>
      </c>
      <c r="G22" s="65">
        <f>SUM('Location-CFS'!G24,'Location-CFS'!G56,'Location-CFS'!G88,'Location-CFS'!G119)</f>
        <v>0</v>
      </c>
      <c r="H22" s="65">
        <f>SUM('Location-CFS'!H24,'Location-CFS'!H56,'Location-CFS'!H88,'Location-CFS'!H119)</f>
        <v>0</v>
      </c>
      <c r="I22" s="65">
        <f>SUM('Location-CFS'!I24,'Location-CFS'!I56,'Location-CFS'!I88,'Location-CFS'!I119)</f>
        <v>0</v>
      </c>
      <c r="J22" s="65">
        <f>SUM('Location-CFS'!J24,'Location-CFS'!J56,'Location-CFS'!J88,'Location-CFS'!J119)</f>
        <v>0</v>
      </c>
      <c r="K22" s="65">
        <f>SUM('Location-CFS'!K24,'Location-CFS'!K56,'Location-CFS'!K88,'Location-CFS'!K119)</f>
        <v>0</v>
      </c>
      <c r="L22" s="11">
        <f>SUM('Location-CFS'!L24,'Location-CFS'!L56,'Location-CFS'!L88,'Location-CFS'!L119)</f>
        <v>0</v>
      </c>
      <c r="M22" s="11">
        <f>SUM('Location-CFS'!M24,'Location-CFS'!M56,'Location-CFS'!M88,'Location-CFS'!M119)</f>
        <v>0</v>
      </c>
    </row>
    <row r="23" spans="2:13" x14ac:dyDescent="0.35">
      <c r="B23" s="36" t="s">
        <v>148</v>
      </c>
      <c r="C23" s="20"/>
      <c r="D23" s="65">
        <f>SUM('Location-CFS'!D25,'Location-CFS'!D57,'Location-CFS'!D89,'Location-CFS'!D120)</f>
        <v>3600</v>
      </c>
      <c r="E23" s="65">
        <f>SUM('Location-CFS'!E25,'Location-CFS'!E57,'Location-CFS'!E89,'Location-CFS'!E120)</f>
        <v>-486.11111111111114</v>
      </c>
      <c r="F23" s="65">
        <f>SUM('Location-CFS'!F25,'Location-CFS'!F57,'Location-CFS'!F89,'Location-CFS'!F120)</f>
        <v>-600</v>
      </c>
      <c r="G23" s="65">
        <f>SUM('Location-CFS'!G25,'Location-CFS'!G57,'Location-CFS'!G89,'Location-CFS'!G120)</f>
        <v>-600</v>
      </c>
      <c r="H23" s="65">
        <f>SUM('Location-CFS'!H25,'Location-CFS'!H57,'Location-CFS'!H89,'Location-CFS'!H120)</f>
        <v>-600</v>
      </c>
      <c r="I23" s="65">
        <f>SUM('Location-CFS'!I25,'Location-CFS'!I57,'Location-CFS'!I89,'Location-CFS'!I120)</f>
        <v>-600</v>
      </c>
      <c r="J23" s="65">
        <f>SUM('Location-CFS'!J25,'Location-CFS'!J57,'Location-CFS'!J89,'Location-CFS'!J120)</f>
        <v>-600</v>
      </c>
      <c r="K23" s="65">
        <f>SUM('Location-CFS'!K25,'Location-CFS'!K57,'Location-CFS'!K89,'Location-CFS'!K120)</f>
        <v>-113.88888888888889</v>
      </c>
      <c r="L23" s="11">
        <f>SUM('Location-CFS'!L25,'Location-CFS'!L57,'Location-CFS'!L89,'Location-CFS'!L120)</f>
        <v>0</v>
      </c>
      <c r="M23" s="11">
        <f>SUM('Location-CFS'!M25,'Location-CFS'!M57,'Location-CFS'!M89,'Location-CFS'!M120)</f>
        <v>0</v>
      </c>
    </row>
    <row r="24" spans="2:13" x14ac:dyDescent="0.35">
      <c r="B24" s="36" t="s">
        <v>137</v>
      </c>
      <c r="C24" s="20"/>
      <c r="D24" s="65">
        <f>SUM('Location-CFS'!D26,'Location-CFS'!D58,'Location-CFS'!D90,'Location-CFS'!D121)</f>
        <v>-59.58</v>
      </c>
      <c r="E24" s="65">
        <f>SUM('Location-CFS'!E26,'Location-CFS'!E58,'Location-CFS'!E90,'Location-CFS'!E121)</f>
        <v>-308.11</v>
      </c>
      <c r="F24" s="65">
        <f>SUM('Location-CFS'!F26,'Location-CFS'!F58,'Location-CFS'!F90,'Location-CFS'!F121)</f>
        <v>-255.59</v>
      </c>
      <c r="G24" s="65">
        <f>SUM('Location-CFS'!G26,'Location-CFS'!G58,'Location-CFS'!G90,'Location-CFS'!G121)</f>
        <v>-201.56</v>
      </c>
      <c r="H24" s="65">
        <f>SUM('Location-CFS'!H26,'Location-CFS'!H58,'Location-CFS'!H90,'Location-CFS'!H121)</f>
        <v>-147.55000000000001</v>
      </c>
      <c r="I24" s="65">
        <f>SUM('Location-CFS'!I26,'Location-CFS'!I58,'Location-CFS'!I90,'Location-CFS'!I121)</f>
        <v>-93.57</v>
      </c>
      <c r="J24" s="65">
        <f>SUM('Location-CFS'!J26,'Location-CFS'!J58,'Location-CFS'!J90,'Location-CFS'!J121)</f>
        <v>-39.56</v>
      </c>
      <c r="K24" s="65">
        <f>SUM('Location-CFS'!K26,'Location-CFS'!K58,'Location-CFS'!K90,'Location-CFS'!K121)</f>
        <v>-1.52</v>
      </c>
      <c r="L24" s="11">
        <f>SUM('Location-CFS'!L26,'Location-CFS'!L58,'Location-CFS'!L90,'Location-CFS'!L121)</f>
        <v>2.1309343178899098E-13</v>
      </c>
      <c r="M24" s="11">
        <f>SUM('Location-CFS'!M26,'Location-CFS'!M58,'Location-CFS'!M90,'Location-CFS'!M121)</f>
        <v>0</v>
      </c>
    </row>
    <row r="25" spans="2:13" ht="15" thickBot="1" x14ac:dyDescent="0.4">
      <c r="B25" s="36"/>
      <c r="C25" s="20"/>
      <c r="D25" s="66">
        <f t="shared" ref="D25:M25" si="2">SUM(D21:D24)</f>
        <v>4750.42</v>
      </c>
      <c r="E25" s="66">
        <f t="shared" si="2"/>
        <v>-804.22111111111121</v>
      </c>
      <c r="F25" s="66">
        <f t="shared" si="2"/>
        <v>-855.59</v>
      </c>
      <c r="G25" s="66">
        <f t="shared" si="2"/>
        <v>-801.56</v>
      </c>
      <c r="H25" s="66">
        <f t="shared" si="2"/>
        <v>-747.55</v>
      </c>
      <c r="I25" s="66">
        <f t="shared" si="2"/>
        <v>-693.56999999999994</v>
      </c>
      <c r="J25" s="66">
        <f t="shared" si="2"/>
        <v>-639.55999999999995</v>
      </c>
      <c r="K25" s="66">
        <f t="shared" si="2"/>
        <v>-115.40888888888888</v>
      </c>
      <c r="L25" s="11">
        <f t="shared" si="2"/>
        <v>2.1309343178899098E-13</v>
      </c>
      <c r="M25" s="11">
        <f t="shared" si="2"/>
        <v>0</v>
      </c>
    </row>
    <row r="26" spans="2:13" ht="15" thickTop="1" x14ac:dyDescent="0.35">
      <c r="B26" s="36"/>
      <c r="C26" s="20"/>
      <c r="D26" s="18"/>
      <c r="E26" s="18"/>
      <c r="F26" s="18"/>
      <c r="G26" s="18"/>
      <c r="H26" s="18"/>
      <c r="I26" s="18"/>
      <c r="J26" s="18"/>
      <c r="K26" s="18"/>
      <c r="L26" s="9"/>
      <c r="M26" s="9"/>
    </row>
    <row r="27" spans="2:13" x14ac:dyDescent="0.35">
      <c r="B27" s="36" t="s">
        <v>138</v>
      </c>
      <c r="C27" s="20"/>
      <c r="D27" s="65">
        <f t="shared" ref="D27:M27" si="3">D12+D17+D25</f>
        <v>36.455166666667537</v>
      </c>
      <c r="E27" s="65">
        <f t="shared" si="3"/>
        <v>302.4939155555553</v>
      </c>
      <c r="F27" s="65">
        <f t="shared" si="3"/>
        <v>522.08997166666666</v>
      </c>
      <c r="G27" s="65">
        <f t="shared" si="3"/>
        <v>596.84257287499986</v>
      </c>
      <c r="H27" s="65">
        <f t="shared" si="3"/>
        <v>673.12266544062527</v>
      </c>
      <c r="I27" s="65">
        <f t="shared" si="3"/>
        <v>751.03597602867171</v>
      </c>
      <c r="J27" s="65">
        <f t="shared" si="3"/>
        <v>830.76689404482204</v>
      </c>
      <c r="K27" s="65">
        <f t="shared" si="3"/>
        <v>1326.1238982806617</v>
      </c>
      <c r="L27" s="11">
        <f t="shared" si="3"/>
        <v>429.4952388488681</v>
      </c>
      <c r="M27" s="11">
        <f t="shared" si="3"/>
        <v>358.6125552454227</v>
      </c>
    </row>
    <row r="28" spans="2:13" x14ac:dyDescent="0.35">
      <c r="B28" s="36"/>
      <c r="C28" s="20"/>
      <c r="D28" s="18"/>
      <c r="E28" s="18"/>
      <c r="F28" s="18"/>
      <c r="G28" s="18"/>
      <c r="H28" s="18"/>
      <c r="I28" s="18"/>
      <c r="J28" s="18"/>
      <c r="K28" s="18"/>
      <c r="L28" s="9"/>
      <c r="M28" s="9"/>
    </row>
    <row r="29" spans="2:13" x14ac:dyDescent="0.35">
      <c r="B29" s="36" t="s">
        <v>139</v>
      </c>
      <c r="C29" s="20"/>
      <c r="D29" s="26">
        <v>0</v>
      </c>
      <c r="E29" s="65">
        <f t="shared" ref="E29:K29" si="4">D30</f>
        <v>36.455166666667537</v>
      </c>
      <c r="F29" s="65">
        <f t="shared" si="4"/>
        <v>338.94908222222284</v>
      </c>
      <c r="G29" s="65">
        <f t="shared" si="4"/>
        <v>861.0390538888895</v>
      </c>
      <c r="H29" s="65">
        <f t="shared" si="4"/>
        <v>1457.8816267638895</v>
      </c>
      <c r="I29" s="65">
        <f t="shared" si="4"/>
        <v>2131.004292204515</v>
      </c>
      <c r="J29" s="65">
        <f t="shared" si="4"/>
        <v>2882.0402682331869</v>
      </c>
      <c r="K29" s="65">
        <f t="shared" si="4"/>
        <v>3712.8071622780089</v>
      </c>
      <c r="L29" s="11">
        <f>K30</f>
        <v>5038.9310605586707</v>
      </c>
      <c r="M29" s="11">
        <f>L30</f>
        <v>5468.4262994075389</v>
      </c>
    </row>
    <row r="30" spans="2:13" x14ac:dyDescent="0.35">
      <c r="B30" s="36" t="s">
        <v>140</v>
      </c>
      <c r="C30" s="20"/>
      <c r="D30" s="65">
        <f t="shared" ref="D30:M30" si="5">D27+D29</f>
        <v>36.455166666667537</v>
      </c>
      <c r="E30" s="65">
        <f t="shared" si="5"/>
        <v>338.94908222222284</v>
      </c>
      <c r="F30" s="65">
        <f t="shared" si="5"/>
        <v>861.0390538888895</v>
      </c>
      <c r="G30" s="65">
        <f t="shared" si="5"/>
        <v>1457.8816267638895</v>
      </c>
      <c r="H30" s="65">
        <f t="shared" si="5"/>
        <v>2131.004292204515</v>
      </c>
      <c r="I30" s="65">
        <f t="shared" si="5"/>
        <v>2882.0402682331869</v>
      </c>
      <c r="J30" s="65">
        <f t="shared" si="5"/>
        <v>3712.8071622780089</v>
      </c>
      <c r="K30" s="65">
        <f t="shared" si="5"/>
        <v>5038.9310605586707</v>
      </c>
      <c r="L30" s="11">
        <f t="shared" si="5"/>
        <v>5468.4262994075389</v>
      </c>
      <c r="M30" s="11">
        <f t="shared" si="5"/>
        <v>5827.0388546529612</v>
      </c>
    </row>
    <row r="31" spans="2:13" x14ac:dyDescent="0.35">
      <c r="B31" s="36"/>
      <c r="C31" s="20"/>
      <c r="D31" s="18"/>
      <c r="E31" s="18"/>
      <c r="F31" s="18"/>
      <c r="G31" s="18"/>
      <c r="H31" s="18"/>
      <c r="I31" s="18"/>
      <c r="J31" s="18"/>
      <c r="K31" s="18"/>
      <c r="L31" s="9"/>
      <c r="M31" s="9"/>
    </row>
    <row r="32" spans="2:13" x14ac:dyDescent="0.35">
      <c r="B32" s="36"/>
      <c r="C32" s="20"/>
      <c r="D32" s="18"/>
      <c r="E32" s="18"/>
      <c r="F32" s="18"/>
      <c r="G32" s="18"/>
      <c r="H32" s="18"/>
      <c r="I32" s="18"/>
      <c r="J32" s="18"/>
      <c r="K32" s="18"/>
      <c r="L32" s="9"/>
      <c r="M32" s="9"/>
    </row>
    <row r="33" spans="2:13" x14ac:dyDescent="0.35">
      <c r="B33" s="36" t="s">
        <v>255</v>
      </c>
      <c r="C33" s="20"/>
      <c r="D33" s="11">
        <f>'Conso-BS'!D22</f>
        <v>36.455166666666628</v>
      </c>
      <c r="E33" s="11">
        <f>'Conso-BS'!E22</f>
        <v>338.94908222222205</v>
      </c>
      <c r="F33" s="11">
        <f>'Conso-BS'!F22</f>
        <v>861.0390538888887</v>
      </c>
      <c r="G33" s="11">
        <f>'Conso-BS'!G22</f>
        <v>1457.8816267638886</v>
      </c>
      <c r="H33" s="11">
        <f>'Conso-BS'!H22</f>
        <v>2131.0042922045136</v>
      </c>
      <c r="I33" s="11">
        <f>'Conso-BS'!I22</f>
        <v>2882.0402682331851</v>
      </c>
      <c r="J33" s="11">
        <f>'Conso-BS'!J22</f>
        <v>3712.8071622780071</v>
      </c>
      <c r="K33" s="11">
        <f>'Conso-BS'!K22</f>
        <v>5038.9310605586688</v>
      </c>
      <c r="L33" s="11">
        <f>'Conso-BS'!L22</f>
        <v>5468.426299407537</v>
      </c>
      <c r="M33" s="11">
        <f>'Conso-BS'!M22</f>
        <v>5827.0388546529593</v>
      </c>
    </row>
    <row r="34" spans="2:13" x14ac:dyDescent="0.35">
      <c r="B34" s="37"/>
      <c r="C34" s="22"/>
      <c r="D34" s="67"/>
      <c r="E34" s="67"/>
      <c r="F34" s="67"/>
      <c r="G34" s="67"/>
      <c r="H34" s="67"/>
      <c r="I34" s="67"/>
      <c r="J34" s="67"/>
      <c r="K34" s="67"/>
      <c r="L34" s="9"/>
      <c r="M34" s="9"/>
    </row>
    <row r="36" spans="2:13" x14ac:dyDescent="0.35">
      <c r="D36" s="7">
        <f>D30-D33</f>
        <v>9.0949470177292824E-13</v>
      </c>
      <c r="E36" s="7">
        <f t="shared" ref="E36:M36" si="6">E30-E33</f>
        <v>7.9580786405131221E-13</v>
      </c>
      <c r="F36" s="8">
        <f t="shared" si="6"/>
        <v>0</v>
      </c>
      <c r="G36" s="8">
        <f t="shared" si="6"/>
        <v>0</v>
      </c>
      <c r="H36" s="8">
        <f t="shared" si="6"/>
        <v>0</v>
      </c>
      <c r="I36" s="8">
        <f t="shared" si="6"/>
        <v>0</v>
      </c>
      <c r="J36" s="8">
        <f t="shared" si="6"/>
        <v>0</v>
      </c>
      <c r="K36" s="8">
        <f t="shared" si="6"/>
        <v>0</v>
      </c>
      <c r="L36" s="8">
        <f t="shared" si="6"/>
        <v>0</v>
      </c>
      <c r="M36" s="8">
        <f t="shared" si="6"/>
        <v>0</v>
      </c>
    </row>
    <row r="37" spans="2:13" x14ac:dyDescent="0.35">
      <c r="D37" s="8"/>
      <c r="E37" s="8"/>
      <c r="F37" s="8"/>
      <c r="G37" s="8"/>
      <c r="H37" s="8"/>
      <c r="I37" s="8"/>
      <c r="J37" s="8"/>
      <c r="K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ASSUMPTION</vt:lpstr>
      <vt:lpstr>PROJECT COST</vt:lpstr>
      <vt:lpstr>Location- PL</vt:lpstr>
      <vt:lpstr>Conso-PL</vt:lpstr>
      <vt:lpstr>Location -BS</vt:lpstr>
      <vt:lpstr>Conso-BS</vt:lpstr>
      <vt:lpstr>Location-CFS</vt:lpstr>
      <vt:lpstr>Conso-CFS</vt:lpstr>
      <vt:lpstr>Location-DSCR</vt:lpstr>
      <vt:lpstr>Conso-DSCR</vt:lpstr>
      <vt:lpstr>WCR</vt:lpstr>
      <vt:lpstr>List of Plant &amp; Machinery</vt:lpstr>
      <vt:lpstr>Detailed Revenue&amp;Expenses</vt:lpstr>
      <vt:lpstr>Loan Schedule</vt:lpstr>
      <vt:lpstr>Depreciation Schedule</vt:lpstr>
      <vt:lpstr>CapitalReimb. sch</vt:lpstr>
      <vt:lpstr>P&amp;L</vt:lpstr>
      <vt:lpstr>EMI Schedule(basic)</vt:lpstr>
      <vt:lpstr>CR (basic)</vt:lpstr>
      <vt:lpstr>Depreciation</vt:lpstr>
      <vt:lpstr>PL-Yearly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2024-12-03T10:20:52Z</dcterms:modified>
</cp:coreProperties>
</file>