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In Progress Files\Gaurav Kumar\TEV\SAI INFINIUM TEV FOR MERCHANT BANKER\RKA WORKING FEB 2025\V4\"/>
    </mc:Choice>
  </mc:AlternateContent>
  <bookViews>
    <workbookView xWindow="0" yWindow="0" windowWidth="20490" windowHeight="7755" tabRatio="938" firstSheet="2" activeTab="2"/>
  </bookViews>
  <sheets>
    <sheet name="Sheet4" sheetId="19" state="hidden" r:id="rId1"/>
    <sheet name="Pending Points" sheetId="20" state="hidden" r:id="rId2"/>
    <sheet name="COP &amp; MOF" sheetId="17" r:id="rId3"/>
    <sheet name="Assumptions on Steel Plant" sheetId="14" r:id="rId4"/>
    <sheet name="Assumptions Hybrid Plant" sheetId="2" r:id="rId5"/>
    <sheet name="Sheet2" sheetId="13" state="hidden" r:id="rId6"/>
    <sheet name="Expenses Modeling_Hybrid Plant" sheetId="4" r:id="rId7"/>
    <sheet name="IS" sheetId="5" r:id="rId8"/>
    <sheet name="BS" sheetId="6" r:id="rId9"/>
    <sheet name="CFS" sheetId="7" r:id="rId10"/>
    <sheet name="WC" sheetId="16" r:id="rId11"/>
    <sheet name="Dep Schedule" sheetId="9" r:id="rId12"/>
    <sheet name="Tax Schedule" sheetId="10" r:id="rId13"/>
    <sheet name="Ratio" sheetId="18" r:id="rId14"/>
    <sheet name="Sheet1" sheetId="12" state="hidden" r:id="rId15"/>
  </sheets>
  <externalReferences>
    <externalReference r:id="rId16"/>
  </externalReferences>
  <definedNames>
    <definedName name="Company" localSheetId="13">'[1]TPC &amp; MoF'!$B$1</definedName>
    <definedName name="Company">#REF!</definedName>
    <definedName name="_xlnm.Print_Area" localSheetId="2">'COP &amp; MOF'!$B$2:$H$30</definedName>
    <definedName name="Project" localSheetId="13">'[1]TPC &amp; MoF'!$B$3</definedName>
    <definedName name="Project">#REF!</definedName>
  </definedNames>
  <calcPr calcId="152511" iterate="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16" i="9" l="1"/>
  <c r="I115" i="9"/>
  <c r="F20" i="7" l="1"/>
  <c r="G20" i="7"/>
  <c r="H20" i="7"/>
  <c r="I20" i="7"/>
  <c r="J20" i="7"/>
  <c r="K20" i="7"/>
  <c r="L20" i="7"/>
  <c r="M20" i="7"/>
  <c r="N20" i="7"/>
  <c r="O20" i="7"/>
  <c r="P20" i="7"/>
  <c r="E20" i="7"/>
  <c r="B20" i="7"/>
  <c r="F24" i="6"/>
  <c r="D47" i="9"/>
  <c r="E47" i="9"/>
  <c r="F47" i="9"/>
  <c r="G47" i="9"/>
  <c r="H47" i="9"/>
  <c r="I47" i="9"/>
  <c r="J47" i="9"/>
  <c r="K47" i="9"/>
  <c r="L47" i="9"/>
  <c r="M47" i="9"/>
  <c r="N47" i="9"/>
  <c r="O47" i="9"/>
  <c r="P47" i="9"/>
  <c r="G67" i="9"/>
  <c r="E46" i="9"/>
  <c r="F46" i="9"/>
  <c r="G46" i="9"/>
  <c r="H46" i="9"/>
  <c r="I46" i="9"/>
  <c r="J46" i="9"/>
  <c r="F29" i="9"/>
  <c r="G29" i="9"/>
  <c r="G26" i="9"/>
  <c r="G24" i="9" l="1"/>
  <c r="H24" i="9"/>
  <c r="I24" i="9"/>
  <c r="J24" i="9"/>
  <c r="K24" i="9"/>
  <c r="L24" i="9"/>
  <c r="M24" i="9"/>
  <c r="N24" i="9"/>
  <c r="O24" i="9"/>
  <c r="P24" i="9"/>
  <c r="F20" i="9"/>
  <c r="E11" i="9"/>
  <c r="F17" i="16"/>
  <c r="G17" i="16"/>
  <c r="H17" i="16"/>
  <c r="I17" i="16"/>
  <c r="J17" i="16"/>
  <c r="K17" i="16"/>
  <c r="L17" i="16"/>
  <c r="M17" i="16"/>
  <c r="N17" i="16"/>
  <c r="O17" i="16"/>
  <c r="P17" i="16"/>
  <c r="F13" i="16"/>
  <c r="G13" i="16"/>
  <c r="H13" i="16"/>
  <c r="I13" i="16"/>
  <c r="J13" i="16"/>
  <c r="K13" i="16"/>
  <c r="L13" i="16"/>
  <c r="M13" i="16"/>
  <c r="N13" i="16"/>
  <c r="O13" i="16"/>
  <c r="P13" i="16"/>
  <c r="F12" i="16"/>
  <c r="G12" i="16"/>
  <c r="H12" i="16"/>
  <c r="I12" i="16"/>
  <c r="J12" i="16"/>
  <c r="K12" i="16"/>
  <c r="L12" i="16"/>
  <c r="M12" i="16"/>
  <c r="N12" i="16"/>
  <c r="O12" i="16"/>
  <c r="P12" i="16"/>
  <c r="F34" i="6"/>
  <c r="G34" i="6" s="1"/>
  <c r="F32" i="6"/>
  <c r="G32" i="6"/>
  <c r="G24" i="7" s="1"/>
  <c r="F27" i="6"/>
  <c r="G27" i="6" s="1"/>
  <c r="H27" i="6" s="1"/>
  <c r="I27" i="6" s="1"/>
  <c r="G26" i="6"/>
  <c r="F26" i="6"/>
  <c r="D25" i="6"/>
  <c r="E21" i="6"/>
  <c r="G70" i="9"/>
  <c r="G35" i="9"/>
  <c r="G30" i="9"/>
  <c r="G15" i="9"/>
  <c r="D8" i="9"/>
  <c r="F18" i="6"/>
  <c r="G18" i="6" s="1"/>
  <c r="F14" i="6"/>
  <c r="G14" i="6"/>
  <c r="F12" i="7"/>
  <c r="E8" i="7"/>
  <c r="J20" i="5"/>
  <c r="K20" i="5"/>
  <c r="L20" i="5"/>
  <c r="M20" i="5"/>
  <c r="N20" i="5"/>
  <c r="O20" i="5"/>
  <c r="P20" i="5"/>
  <c r="G20" i="5"/>
  <c r="H20" i="5"/>
  <c r="I20" i="5"/>
  <c r="H19" i="5"/>
  <c r="I19" i="5"/>
  <c r="J19" i="5"/>
  <c r="K19" i="5"/>
  <c r="L19" i="5"/>
  <c r="M19" i="5"/>
  <c r="N19" i="5"/>
  <c r="O19" i="5"/>
  <c r="P19" i="5"/>
  <c r="G15" i="5"/>
  <c r="H15" i="5"/>
  <c r="I15" i="5"/>
  <c r="J15" i="5"/>
  <c r="K15" i="5"/>
  <c r="L15" i="5"/>
  <c r="M15" i="5"/>
  <c r="N15" i="5"/>
  <c r="O15" i="5"/>
  <c r="P15" i="5"/>
  <c r="G13" i="5"/>
  <c r="H13" i="5"/>
  <c r="I13" i="5"/>
  <c r="J13" i="5"/>
  <c r="K13" i="5"/>
  <c r="L13" i="5"/>
  <c r="M13" i="5"/>
  <c r="N13" i="5"/>
  <c r="O13" i="5"/>
  <c r="P13" i="5"/>
  <c r="F11" i="5"/>
  <c r="F14" i="16" s="1"/>
  <c r="F11" i="16" s="1"/>
  <c r="G11" i="5"/>
  <c r="G14" i="16" s="1"/>
  <c r="H11" i="5"/>
  <c r="H14" i="16" s="1"/>
  <c r="I11" i="5"/>
  <c r="I14" i="16" s="1"/>
  <c r="J11" i="5"/>
  <c r="J14" i="16" s="1"/>
  <c r="K11" i="5"/>
  <c r="K14" i="16" s="1"/>
  <c r="L11" i="5"/>
  <c r="L14" i="16" s="1"/>
  <c r="M11" i="5"/>
  <c r="M14" i="16" s="1"/>
  <c r="N11" i="5"/>
  <c r="N14" i="16" s="1"/>
  <c r="O11" i="5"/>
  <c r="O14" i="16" s="1"/>
  <c r="P11" i="5"/>
  <c r="P14" i="16" s="1"/>
  <c r="G11" i="16" l="1"/>
  <c r="G31" i="6"/>
  <c r="F31" i="6"/>
  <c r="G23" i="7" l="1"/>
  <c r="G126" i="14"/>
  <c r="H126" i="14"/>
  <c r="I126" i="14"/>
  <c r="J126" i="14"/>
  <c r="K126" i="14"/>
  <c r="L126" i="14"/>
  <c r="M126" i="14"/>
  <c r="N126" i="14"/>
  <c r="O126" i="14"/>
  <c r="P126" i="14"/>
  <c r="G125" i="14"/>
  <c r="H125" i="14"/>
  <c r="I125" i="14"/>
  <c r="J125" i="14"/>
  <c r="K125" i="14"/>
  <c r="L125" i="14"/>
  <c r="M125" i="14"/>
  <c r="N125" i="14"/>
  <c r="O125" i="14"/>
  <c r="P125" i="14"/>
  <c r="G124" i="14"/>
  <c r="H124" i="14"/>
  <c r="I124" i="14"/>
  <c r="J124" i="14"/>
  <c r="K124" i="14"/>
  <c r="L124" i="14"/>
  <c r="M124" i="14"/>
  <c r="N124" i="14"/>
  <c r="O124" i="14"/>
  <c r="P124" i="14"/>
  <c r="I123" i="14"/>
  <c r="J123" i="14"/>
  <c r="K123" i="14"/>
  <c r="L123" i="14"/>
  <c r="M123" i="14"/>
  <c r="N123" i="14"/>
  <c r="O123" i="14"/>
  <c r="P123" i="14"/>
  <c r="H123" i="14"/>
  <c r="G123" i="14"/>
  <c r="G121" i="14"/>
  <c r="H121" i="14"/>
  <c r="I121" i="14"/>
  <c r="J121" i="14"/>
  <c r="K121" i="14"/>
  <c r="L121" i="14"/>
  <c r="M121" i="14"/>
  <c r="N121" i="14"/>
  <c r="O121" i="14"/>
  <c r="P121" i="14"/>
  <c r="G120" i="14"/>
  <c r="H120" i="14"/>
  <c r="I120" i="14"/>
  <c r="J120" i="14"/>
  <c r="K120" i="14"/>
  <c r="L120" i="14"/>
  <c r="M120" i="14"/>
  <c r="N120" i="14"/>
  <c r="O120" i="14"/>
  <c r="P120" i="14"/>
  <c r="C120" i="14"/>
  <c r="G119" i="14"/>
  <c r="H119" i="14"/>
  <c r="I119" i="14"/>
  <c r="J119" i="14"/>
  <c r="K119" i="14"/>
  <c r="L119" i="14"/>
  <c r="M119" i="14"/>
  <c r="N119" i="14"/>
  <c r="O119" i="14"/>
  <c r="P119" i="14"/>
  <c r="F119" i="14"/>
  <c r="H116" i="14"/>
  <c r="I116" i="14"/>
  <c r="J116" i="14"/>
  <c r="K116" i="14"/>
  <c r="L116" i="14"/>
  <c r="M116" i="14"/>
  <c r="N116" i="14"/>
  <c r="O116" i="14"/>
  <c r="P116" i="14"/>
  <c r="G116" i="14"/>
  <c r="F116" i="14"/>
  <c r="G115" i="14"/>
  <c r="H115" i="14"/>
  <c r="I115" i="14"/>
  <c r="J115" i="14"/>
  <c r="K115" i="14"/>
  <c r="L115" i="14"/>
  <c r="M115" i="14"/>
  <c r="N115" i="14"/>
  <c r="O115" i="14"/>
  <c r="P115" i="14"/>
  <c r="F115" i="14"/>
  <c r="G114" i="14"/>
  <c r="H114" i="14"/>
  <c r="I114" i="14"/>
  <c r="J114" i="14"/>
  <c r="K114" i="14"/>
  <c r="L114" i="14"/>
  <c r="M114" i="14"/>
  <c r="N114" i="14"/>
  <c r="O114" i="14"/>
  <c r="P114" i="14"/>
  <c r="F114" i="14"/>
  <c r="G113" i="14"/>
  <c r="H113" i="14"/>
  <c r="I113" i="14"/>
  <c r="J113" i="14"/>
  <c r="K113" i="14"/>
  <c r="L113" i="14"/>
  <c r="M113" i="14"/>
  <c r="N113" i="14"/>
  <c r="O113" i="14"/>
  <c r="P113" i="14"/>
  <c r="G112" i="14"/>
  <c r="H112" i="14"/>
  <c r="I112" i="14"/>
  <c r="J112" i="14"/>
  <c r="K112" i="14"/>
  <c r="L112" i="14"/>
  <c r="M112" i="14"/>
  <c r="N112" i="14"/>
  <c r="O112" i="14"/>
  <c r="P112" i="14"/>
  <c r="F112" i="14"/>
  <c r="G111" i="14"/>
  <c r="H111" i="14"/>
  <c r="I111" i="14"/>
  <c r="J111" i="14"/>
  <c r="K111" i="14"/>
  <c r="L111" i="14"/>
  <c r="M111" i="14"/>
  <c r="N111" i="14"/>
  <c r="O111" i="14"/>
  <c r="P111" i="14"/>
  <c r="F111" i="14"/>
  <c r="G90" i="14"/>
  <c r="H90" i="14"/>
  <c r="I90" i="14"/>
  <c r="J90" i="14"/>
  <c r="K90" i="14"/>
  <c r="L90" i="14"/>
  <c r="M90" i="14"/>
  <c r="N90" i="14"/>
  <c r="O90" i="14"/>
  <c r="P90" i="14"/>
  <c r="H86" i="14"/>
  <c r="I86" i="14"/>
  <c r="J86" i="14"/>
  <c r="K86" i="14"/>
  <c r="L86" i="14"/>
  <c r="M86" i="14"/>
  <c r="N86" i="14"/>
  <c r="O86" i="14"/>
  <c r="P86" i="14"/>
  <c r="H87" i="14"/>
  <c r="I87" i="14"/>
  <c r="J87" i="14"/>
  <c r="K87" i="14"/>
  <c r="L87" i="14"/>
  <c r="M87" i="14"/>
  <c r="N87" i="14"/>
  <c r="O87" i="14"/>
  <c r="P87" i="14"/>
  <c r="H88" i="14"/>
  <c r="I88" i="14"/>
  <c r="J88" i="14"/>
  <c r="K88" i="14"/>
  <c r="L88" i="14"/>
  <c r="M88" i="14"/>
  <c r="N88" i="14"/>
  <c r="O88" i="14"/>
  <c r="P88" i="14"/>
  <c r="H89" i="14"/>
  <c r="I89" i="14"/>
  <c r="J89" i="14"/>
  <c r="K89" i="14"/>
  <c r="L89" i="14"/>
  <c r="M89" i="14"/>
  <c r="N89" i="14"/>
  <c r="O89" i="14"/>
  <c r="P89" i="14"/>
  <c r="G86" i="14"/>
  <c r="G87" i="14"/>
  <c r="G88" i="14"/>
  <c r="G89" i="14"/>
  <c r="F89" i="14"/>
  <c r="F88" i="14"/>
  <c r="F87" i="14"/>
  <c r="F86" i="14"/>
  <c r="G84" i="14"/>
  <c r="H84" i="14"/>
  <c r="I84" i="14"/>
  <c r="J84" i="14"/>
  <c r="K84" i="14"/>
  <c r="L84" i="14"/>
  <c r="M84" i="14"/>
  <c r="N84" i="14"/>
  <c r="O84" i="14"/>
  <c r="P84" i="14"/>
  <c r="I80" i="14"/>
  <c r="J80" i="14"/>
  <c r="K80" i="14"/>
  <c r="L80" i="14"/>
  <c r="M80" i="14" s="1"/>
  <c r="N80" i="14" s="1"/>
  <c r="O80" i="14" s="1"/>
  <c r="P80" i="14" s="1"/>
  <c r="I81" i="14"/>
  <c r="J81" i="14"/>
  <c r="K81" i="14"/>
  <c r="L81" i="14"/>
  <c r="M81" i="14" s="1"/>
  <c r="N81" i="14" s="1"/>
  <c r="O81" i="14" s="1"/>
  <c r="P81" i="14" s="1"/>
  <c r="I82" i="14"/>
  <c r="J82" i="14"/>
  <c r="K82" i="14"/>
  <c r="L82" i="14"/>
  <c r="M82" i="14" s="1"/>
  <c r="N82" i="14" s="1"/>
  <c r="O82" i="14" s="1"/>
  <c r="P82" i="14" s="1"/>
  <c r="I83" i="14"/>
  <c r="J83" i="14"/>
  <c r="K83" i="14"/>
  <c r="L83" i="14"/>
  <c r="M83" i="14" s="1"/>
  <c r="N83" i="14" s="1"/>
  <c r="O83" i="14" s="1"/>
  <c r="P83" i="14" s="1"/>
  <c r="H80" i="14"/>
  <c r="H81" i="14"/>
  <c r="H82" i="14"/>
  <c r="H83" i="14"/>
  <c r="G83" i="14"/>
  <c r="G82" i="14"/>
  <c r="G81" i="14"/>
  <c r="G80" i="14"/>
  <c r="H73" i="14"/>
  <c r="I73" i="14"/>
  <c r="J73" i="14"/>
  <c r="K73" i="14"/>
  <c r="L73" i="14" s="1"/>
  <c r="M73" i="14" s="1"/>
  <c r="N73" i="14" s="1"/>
  <c r="O73" i="14" s="1"/>
  <c r="P73" i="14" s="1"/>
  <c r="H74" i="14"/>
  <c r="I74" i="14"/>
  <c r="J74" i="14"/>
  <c r="K74" i="14" s="1"/>
  <c r="L74" i="14" s="1"/>
  <c r="M74" i="14" s="1"/>
  <c r="N74" i="14" s="1"/>
  <c r="O74" i="14" s="1"/>
  <c r="P74" i="14" s="1"/>
  <c r="H75" i="14"/>
  <c r="I75" i="14"/>
  <c r="J75" i="14"/>
  <c r="K75" i="14"/>
  <c r="L75" i="14"/>
  <c r="M75" i="14"/>
  <c r="N75" i="14" s="1"/>
  <c r="O75" i="14" s="1"/>
  <c r="P75" i="14" s="1"/>
  <c r="H76" i="14"/>
  <c r="I76" i="14"/>
  <c r="J76" i="14"/>
  <c r="K76" i="14"/>
  <c r="L76" i="14"/>
  <c r="M76" i="14" s="1"/>
  <c r="N76" i="14" s="1"/>
  <c r="O76" i="14" s="1"/>
  <c r="P76" i="14" s="1"/>
  <c r="G74" i="14"/>
  <c r="G75" i="14"/>
  <c r="G76" i="14"/>
  <c r="G70" i="14"/>
  <c r="H70" i="14"/>
  <c r="I70" i="14"/>
  <c r="J70" i="14"/>
  <c r="K70" i="14"/>
  <c r="L70" i="14"/>
  <c r="M70" i="14"/>
  <c r="N70" i="14"/>
  <c r="O70" i="14"/>
  <c r="P70" i="14"/>
  <c r="G69" i="14"/>
  <c r="H69" i="14"/>
  <c r="I69" i="14"/>
  <c r="J69" i="14"/>
  <c r="K69" i="14"/>
  <c r="L69" i="14"/>
  <c r="M69" i="14"/>
  <c r="N69" i="14"/>
  <c r="O69" i="14"/>
  <c r="P69" i="14"/>
  <c r="G68" i="14"/>
  <c r="H68" i="14"/>
  <c r="I68" i="14"/>
  <c r="J68" i="14"/>
  <c r="K68" i="14"/>
  <c r="L68" i="14"/>
  <c r="M68" i="14"/>
  <c r="N68" i="14"/>
  <c r="O68" i="14"/>
  <c r="P68" i="14"/>
  <c r="G67" i="14"/>
  <c r="H67" i="14"/>
  <c r="I67" i="14"/>
  <c r="J67" i="14"/>
  <c r="K67" i="14"/>
  <c r="L67" i="14"/>
  <c r="M67" i="14"/>
  <c r="N67" i="14"/>
  <c r="O67" i="14"/>
  <c r="P67" i="14"/>
  <c r="H63" i="14"/>
  <c r="I63" i="14" s="1"/>
  <c r="J63" i="14" s="1"/>
  <c r="K63" i="14" s="1"/>
  <c r="L63" i="14" s="1"/>
  <c r="M63" i="14" s="1"/>
  <c r="N63" i="14" s="1"/>
  <c r="O63" i="14" s="1"/>
  <c r="P63" i="14" s="1"/>
  <c r="G63" i="14"/>
  <c r="I62" i="14"/>
  <c r="J62" i="14" s="1"/>
  <c r="K62" i="14" s="1"/>
  <c r="L62" i="14" s="1"/>
  <c r="M62" i="14" s="1"/>
  <c r="N62" i="14" s="1"/>
  <c r="O62" i="14" s="1"/>
  <c r="P62" i="14" s="1"/>
  <c r="H62" i="14"/>
  <c r="G62" i="14"/>
  <c r="G61" i="14"/>
  <c r="H61" i="14" l="1"/>
  <c r="I61" i="14" s="1"/>
  <c r="J61" i="14" s="1"/>
  <c r="K61" i="14" s="1"/>
  <c r="L61" i="14" s="1"/>
  <c r="M61" i="14" s="1"/>
  <c r="N61" i="14" s="1"/>
  <c r="O61" i="14" s="1"/>
  <c r="P61" i="14" s="1"/>
  <c r="G43" i="14"/>
  <c r="H43" i="14"/>
  <c r="I43" i="14"/>
  <c r="J43" i="14"/>
  <c r="K43" i="14"/>
  <c r="L43" i="14"/>
  <c r="M43" i="14"/>
  <c r="N43" i="14"/>
  <c r="O43" i="14"/>
  <c r="P43" i="14"/>
  <c r="G42" i="14"/>
  <c r="H42" i="14"/>
  <c r="I42" i="14"/>
  <c r="J42" i="14"/>
  <c r="K42" i="14"/>
  <c r="L42" i="14"/>
  <c r="M42" i="14"/>
  <c r="N42" i="14"/>
  <c r="O42" i="14"/>
  <c r="P42" i="14"/>
  <c r="F36" i="14"/>
  <c r="G36" i="14"/>
  <c r="H36" i="14"/>
  <c r="I36" i="14"/>
  <c r="J36" i="14"/>
  <c r="K36" i="14"/>
  <c r="L36" i="14"/>
  <c r="M36" i="14"/>
  <c r="N36" i="14"/>
  <c r="O36" i="14"/>
  <c r="P36" i="14"/>
  <c r="G30" i="14"/>
  <c r="H30" i="14" s="1"/>
  <c r="I30" i="14" s="1"/>
  <c r="J30" i="14" s="1"/>
  <c r="K30" i="14" s="1"/>
  <c r="L30" i="14" s="1"/>
  <c r="M30" i="14" s="1"/>
  <c r="N30" i="14" s="1"/>
  <c r="O30" i="14" s="1"/>
  <c r="P30" i="14" s="1"/>
  <c r="F30" i="14"/>
  <c r="F29" i="14"/>
  <c r="G29" i="14"/>
  <c r="H29" i="14"/>
  <c r="I29" i="14"/>
  <c r="J29" i="14"/>
  <c r="K29" i="14"/>
  <c r="L29" i="14"/>
  <c r="M29" i="14"/>
  <c r="N29" i="14"/>
  <c r="O29" i="14"/>
  <c r="P29" i="14"/>
  <c r="F11" i="14"/>
  <c r="G11" i="14"/>
  <c r="H11" i="14"/>
  <c r="I11" i="14"/>
  <c r="J11" i="14"/>
  <c r="K11" i="14"/>
  <c r="L11" i="14"/>
  <c r="M11" i="14"/>
  <c r="N11" i="14"/>
  <c r="O11" i="14"/>
  <c r="P11" i="14"/>
  <c r="P19" i="10"/>
  <c r="P20" i="10"/>
  <c r="D8" i="10"/>
  <c r="D8" i="16"/>
  <c r="F9" i="7"/>
  <c r="D8" i="7"/>
  <c r="D8" i="6"/>
  <c r="F15" i="9" l="1"/>
  <c r="F18" i="9" s="1"/>
  <c r="F23" i="9"/>
  <c r="G20" i="9" s="1"/>
  <c r="F25" i="9"/>
  <c r="F28" i="9"/>
  <c r="G25" i="9" s="1"/>
  <c r="F30" i="9"/>
  <c r="F33" i="9"/>
  <c r="F35" i="9"/>
  <c r="F38" i="9" s="1"/>
  <c r="F40" i="9"/>
  <c r="F43" i="9" s="1"/>
  <c r="G40" i="9" s="1"/>
  <c r="F52" i="9"/>
  <c r="F53" i="9"/>
  <c r="F57" i="9"/>
  <c r="F60" i="9" s="1"/>
  <c r="F58" i="9"/>
  <c r="F59" i="9"/>
  <c r="F63" i="9"/>
  <c r="F64" i="9"/>
  <c r="F65" i="9"/>
  <c r="F66" i="9" s="1"/>
  <c r="F69" i="9"/>
  <c r="F70" i="9"/>
  <c r="F71" i="9"/>
  <c r="F75" i="9"/>
  <c r="F76" i="9"/>
  <c r="F77" i="9"/>
  <c r="F78" i="9" s="1"/>
  <c r="F81" i="9"/>
  <c r="F82" i="9"/>
  <c r="F83" i="9"/>
  <c r="P8" i="5"/>
  <c r="F22" i="5"/>
  <c r="F21" i="5"/>
  <c r="F20" i="5"/>
  <c r="F127" i="14"/>
  <c r="F123" i="14"/>
  <c r="F8" i="4"/>
  <c r="G8" i="4" s="1"/>
  <c r="P8" i="9" l="1"/>
  <c r="P8" i="7"/>
  <c r="P8" i="6"/>
  <c r="P8" i="10"/>
  <c r="P8" i="16"/>
  <c r="F45" i="9"/>
  <c r="F84" i="9"/>
  <c r="F72" i="9"/>
  <c r="F51" i="9"/>
  <c r="F54" i="9" s="1"/>
  <c r="K129" i="19"/>
  <c r="K130" i="19" s="1"/>
  <c r="F22" i="17"/>
  <c r="G21" i="17"/>
  <c r="G20" i="17"/>
  <c r="G19" i="17"/>
  <c r="F19" i="17"/>
  <c r="F48" i="9" l="1"/>
  <c r="F21" i="6"/>
  <c r="G37" i="18"/>
  <c r="H37" i="18" s="1"/>
  <c r="I37" i="18" s="1"/>
  <c r="J37" i="18" s="1"/>
  <c r="K37" i="18" s="1"/>
  <c r="L37" i="18" s="1"/>
  <c r="M37" i="18" s="1"/>
  <c r="N37" i="18" s="1"/>
  <c r="O37" i="18" s="1"/>
  <c r="F40" i="18"/>
  <c r="O8" i="18"/>
  <c r="O36" i="18" s="1"/>
  <c r="N8" i="18"/>
  <c r="N36" i="18" s="1"/>
  <c r="M8" i="18"/>
  <c r="M36" i="18" s="1"/>
  <c r="L8" i="18"/>
  <c r="L36" i="18" s="1"/>
  <c r="K8" i="18"/>
  <c r="K36" i="18" s="1"/>
  <c r="J8" i="18"/>
  <c r="J36" i="18" s="1"/>
  <c r="I8" i="18"/>
  <c r="I36" i="18" s="1"/>
  <c r="H8" i="18"/>
  <c r="H36" i="18" s="1"/>
  <c r="G8" i="18"/>
  <c r="G36" i="18" s="1"/>
  <c r="F8" i="18"/>
  <c r="F36" i="18" s="1"/>
  <c r="E8" i="18"/>
  <c r="E36" i="18" s="1"/>
  <c r="B7" i="18"/>
  <c r="C29" i="18"/>
  <c r="C31" i="18"/>
  <c r="B2" i="18"/>
  <c r="C30" i="18" l="1"/>
  <c r="C33" i="18" s="1"/>
  <c r="D20" i="18" s="1"/>
  <c r="J17" i="17" l="1"/>
  <c r="J16" i="17"/>
  <c r="J10" i="17"/>
  <c r="J9" i="17"/>
  <c r="I9" i="17"/>
  <c r="B7" i="10" l="1"/>
  <c r="B7" i="9"/>
  <c r="B7" i="7"/>
  <c r="B7" i="16"/>
  <c r="B7" i="6"/>
  <c r="B7" i="5"/>
  <c r="E41" i="9"/>
  <c r="E26" i="9"/>
  <c r="E22" i="9"/>
  <c r="E31" i="9"/>
  <c r="D44" i="9"/>
  <c r="D41" i="9"/>
  <c r="D40" i="9"/>
  <c r="D39" i="9"/>
  <c r="D36" i="9"/>
  <c r="D35" i="9"/>
  <c r="D34" i="9"/>
  <c r="D31" i="9"/>
  <c r="D30" i="9"/>
  <c r="D29" i="9"/>
  <c r="D26" i="9"/>
  <c r="D25" i="9"/>
  <c r="D24" i="9"/>
  <c r="D22" i="9"/>
  <c r="D21" i="9"/>
  <c r="D20" i="9"/>
  <c r="D15" i="9"/>
  <c r="E12" i="7"/>
  <c r="E11" i="6" s="1"/>
  <c r="F11" i="6" s="1"/>
  <c r="G11" i="6" s="1"/>
  <c r="D34" i="6"/>
  <c r="D33" i="6"/>
  <c r="D32" i="6"/>
  <c r="D31" i="6"/>
  <c r="D27" i="6"/>
  <c r="D26" i="6"/>
  <c r="D24" i="6"/>
  <c r="D18" i="6"/>
  <c r="D17" i="6"/>
  <c r="D16" i="6"/>
  <c r="D14" i="6"/>
  <c r="D13" i="6"/>
  <c r="D12" i="6"/>
  <c r="D11" i="6"/>
  <c r="D29" i="5"/>
  <c r="E27" i="5"/>
  <c r="D27" i="5"/>
  <c r="D23" i="5"/>
  <c r="D34" i="5" s="1"/>
  <c r="D21" i="5"/>
  <c r="D18" i="5"/>
  <c r="D16" i="5"/>
  <c r="D14" i="5"/>
  <c r="D15" i="5" s="1"/>
  <c r="D13" i="5"/>
  <c r="D11" i="5"/>
  <c r="D40" i="5" s="1"/>
  <c r="D17" i="5" l="1"/>
  <c r="F102" i="14"/>
  <c r="G102" i="14" s="1"/>
  <c r="F35" i="14"/>
  <c r="E35" i="14"/>
  <c r="E34" i="14"/>
  <c r="F34" i="14" s="1"/>
  <c r="F19" i="14"/>
  <c r="E11" i="14"/>
  <c r="D26" i="17"/>
  <c r="D9" i="17"/>
  <c r="F67" i="14" l="1"/>
  <c r="F68" i="14"/>
  <c r="G107" i="9"/>
  <c r="B110" i="9"/>
  <c r="G106" i="9" l="1"/>
  <c r="G109" i="9" l="1"/>
  <c r="G111" i="9" l="1"/>
  <c r="E28" i="14" l="1"/>
  <c r="B44" i="9" l="1"/>
  <c r="B39" i="9"/>
  <c r="B34" i="9"/>
  <c r="B29" i="9"/>
  <c r="B24" i="9"/>
  <c r="B9" i="17"/>
  <c r="B10" i="17" s="1"/>
  <c r="E9" i="6"/>
  <c r="B11" i="17" l="1"/>
  <c r="B12" i="17" s="1"/>
  <c r="B15" i="17" s="1"/>
  <c r="B16" i="17" s="1"/>
  <c r="B17" i="17" s="1"/>
  <c r="B18" i="17" s="1"/>
  <c r="D13" i="17"/>
  <c r="D14" i="17" s="1"/>
  <c r="O8" i="5"/>
  <c r="N8" i="5"/>
  <c r="M8" i="5"/>
  <c r="L8" i="5"/>
  <c r="K8" i="5"/>
  <c r="J8" i="5"/>
  <c r="I8" i="5"/>
  <c r="H8" i="5"/>
  <c r="G8" i="5"/>
  <c r="F8" i="5"/>
  <c r="D22" i="5"/>
  <c r="B4" i="10"/>
  <c r="B2" i="10"/>
  <c r="B4" i="9"/>
  <c r="B2" i="9"/>
  <c r="B4" i="7"/>
  <c r="B2" i="7"/>
  <c r="B4" i="16"/>
  <c r="B2" i="16"/>
  <c r="B4" i="6"/>
  <c r="B2" i="6"/>
  <c r="B4" i="5"/>
  <c r="B2" i="5"/>
  <c r="B4" i="4"/>
  <c r="B2" i="4"/>
  <c r="B4" i="2"/>
  <c r="B2" i="2"/>
  <c r="N8" i="10" l="1"/>
  <c r="N8" i="16"/>
  <c r="N8" i="9"/>
  <c r="N8" i="7"/>
  <c r="N8" i="6"/>
  <c r="G8" i="10"/>
  <c r="G8" i="6"/>
  <c r="G8" i="16"/>
  <c r="G8" i="9"/>
  <c r="G8" i="7"/>
  <c r="K8" i="10"/>
  <c r="K8" i="6"/>
  <c r="K8" i="16"/>
  <c r="K8" i="9"/>
  <c r="K8" i="7"/>
  <c r="O8" i="10"/>
  <c r="P11" i="10" s="1"/>
  <c r="O8" i="16"/>
  <c r="O8" i="9"/>
  <c r="O8" i="7"/>
  <c r="O8" i="6"/>
  <c r="F8" i="10"/>
  <c r="F8" i="16"/>
  <c r="F8" i="9"/>
  <c r="F50" i="9" s="1"/>
  <c r="F8" i="7"/>
  <c r="F8" i="6"/>
  <c r="H8" i="9"/>
  <c r="H8" i="7"/>
  <c r="H8" i="6"/>
  <c r="H8" i="10"/>
  <c r="H8" i="16"/>
  <c r="L8" i="9"/>
  <c r="L8" i="7"/>
  <c r="L8" i="6"/>
  <c r="L8" i="10"/>
  <c r="L8" i="16"/>
  <c r="J8" i="10"/>
  <c r="J8" i="16"/>
  <c r="J8" i="9"/>
  <c r="J8" i="7"/>
  <c r="J8" i="6"/>
  <c r="I8" i="16"/>
  <c r="I8" i="9"/>
  <c r="I8" i="7"/>
  <c r="I8" i="6"/>
  <c r="I8" i="10"/>
  <c r="M8" i="16"/>
  <c r="M8" i="9"/>
  <c r="M8" i="7"/>
  <c r="M8" i="6"/>
  <c r="M8" i="10"/>
  <c r="D19" i="17"/>
  <c r="D24" i="5"/>
  <c r="D25" i="5" s="1"/>
  <c r="G11" i="9" l="1"/>
  <c r="D41" i="5"/>
  <c r="D45" i="5" s="1"/>
  <c r="D42" i="5"/>
  <c r="D46" i="5" s="1"/>
  <c r="D27" i="17"/>
  <c r="D28" i="17" s="1"/>
  <c r="G64" i="9"/>
  <c r="D28" i="5"/>
  <c r="D30" i="5" s="1"/>
  <c r="D26" i="5"/>
  <c r="E37" i="2"/>
  <c r="E8" i="5"/>
  <c r="G78" i="4"/>
  <c r="H78" i="4" s="1"/>
  <c r="G76" i="4"/>
  <c r="H76" i="4" s="1"/>
  <c r="I49" i="4"/>
  <c r="J49" i="4" s="1"/>
  <c r="I44" i="4"/>
  <c r="J44" i="4" s="1"/>
  <c r="G31" i="4"/>
  <c r="H31" i="4"/>
  <c r="G30" i="4"/>
  <c r="H30" i="4"/>
  <c r="H22" i="4"/>
  <c r="I22" i="4" s="1"/>
  <c r="G22" i="4"/>
  <c r="G21" i="4"/>
  <c r="G50" i="4"/>
  <c r="G51" i="4" s="1"/>
  <c r="G46" i="4"/>
  <c r="P83" i="9"/>
  <c r="O83" i="9"/>
  <c r="N83" i="9"/>
  <c r="M83" i="9"/>
  <c r="L83" i="9"/>
  <c r="K83" i="9"/>
  <c r="J83" i="9"/>
  <c r="I83" i="9"/>
  <c r="P82" i="9"/>
  <c r="O82" i="9"/>
  <c r="N82" i="9"/>
  <c r="M82" i="9"/>
  <c r="L82" i="9"/>
  <c r="K82" i="9"/>
  <c r="J82" i="9"/>
  <c r="I82" i="9"/>
  <c r="H83" i="9"/>
  <c r="G83" i="9"/>
  <c r="E83" i="9"/>
  <c r="H82" i="9"/>
  <c r="G82" i="9"/>
  <c r="P77" i="9"/>
  <c r="O77" i="9"/>
  <c r="N77" i="9"/>
  <c r="M77" i="9"/>
  <c r="L77" i="9"/>
  <c r="K77" i="9"/>
  <c r="J77" i="9"/>
  <c r="I77" i="9"/>
  <c r="H77" i="9"/>
  <c r="G77" i="9"/>
  <c r="E77" i="9"/>
  <c r="P76" i="9"/>
  <c r="O76" i="9"/>
  <c r="N76" i="9"/>
  <c r="M76" i="9"/>
  <c r="L76" i="9"/>
  <c r="K76" i="9"/>
  <c r="J76" i="9"/>
  <c r="I76" i="9"/>
  <c r="H76" i="9"/>
  <c r="G76" i="9"/>
  <c r="E76" i="9"/>
  <c r="H70" i="9"/>
  <c r="I70" i="9"/>
  <c r="J70" i="9"/>
  <c r="K70" i="9"/>
  <c r="L70" i="9"/>
  <c r="M70" i="9"/>
  <c r="N70" i="9"/>
  <c r="O70" i="9"/>
  <c r="P70" i="9"/>
  <c r="E71" i="9"/>
  <c r="G71" i="9"/>
  <c r="H71" i="9"/>
  <c r="I71" i="9"/>
  <c r="J71" i="9"/>
  <c r="K71" i="9"/>
  <c r="L71" i="9"/>
  <c r="M71" i="9"/>
  <c r="N71" i="9"/>
  <c r="O71" i="9"/>
  <c r="P71" i="9"/>
  <c r="H64" i="9"/>
  <c r="I64" i="9"/>
  <c r="J64" i="9"/>
  <c r="K64" i="9"/>
  <c r="L64" i="9"/>
  <c r="M64" i="9"/>
  <c r="N64" i="9"/>
  <c r="O64" i="9"/>
  <c r="P64" i="9"/>
  <c r="E65" i="9"/>
  <c r="G65" i="9"/>
  <c r="H65" i="9"/>
  <c r="I65" i="9"/>
  <c r="J65" i="9"/>
  <c r="K65" i="9"/>
  <c r="L65" i="9"/>
  <c r="M65" i="9"/>
  <c r="N65" i="9"/>
  <c r="O65" i="9"/>
  <c r="P65" i="9"/>
  <c r="E58" i="9"/>
  <c r="H58" i="9"/>
  <c r="I58" i="9"/>
  <c r="J58" i="9"/>
  <c r="K58" i="9"/>
  <c r="L58" i="9"/>
  <c r="M58" i="9"/>
  <c r="N58" i="9"/>
  <c r="O58" i="9"/>
  <c r="P58" i="9"/>
  <c r="G59" i="9"/>
  <c r="H59" i="9"/>
  <c r="I59" i="9"/>
  <c r="J59" i="9"/>
  <c r="K59" i="9"/>
  <c r="L59" i="9"/>
  <c r="M59" i="9"/>
  <c r="N59" i="9"/>
  <c r="O59" i="9"/>
  <c r="P59" i="9"/>
  <c r="P53" i="9"/>
  <c r="O53" i="9"/>
  <c r="N53" i="9"/>
  <c r="M53" i="9"/>
  <c r="L53" i="9"/>
  <c r="K53" i="9"/>
  <c r="J53" i="9"/>
  <c r="I53" i="9"/>
  <c r="H53" i="9"/>
  <c r="G53" i="9"/>
  <c r="P52" i="9"/>
  <c r="O52" i="9"/>
  <c r="N52" i="9"/>
  <c r="M52" i="9"/>
  <c r="L52" i="9"/>
  <c r="K52" i="9"/>
  <c r="J52" i="9"/>
  <c r="I52" i="9"/>
  <c r="H52" i="9"/>
  <c r="G52" i="9"/>
  <c r="E53" i="9"/>
  <c r="E52" i="9"/>
  <c r="E39" i="10"/>
  <c r="E23" i="10"/>
  <c r="E22" i="10"/>
  <c r="E8" i="16" l="1"/>
  <c r="E8" i="10"/>
  <c r="D43" i="5"/>
  <c r="D47" i="5" s="1"/>
  <c r="D33" i="5"/>
  <c r="D35" i="5" s="1"/>
  <c r="D37" i="5" s="1"/>
  <c r="D38" i="5" s="1"/>
  <c r="D50" i="9"/>
  <c r="D105" i="9"/>
  <c r="E8" i="6"/>
  <c r="H21" i="4"/>
  <c r="G53" i="4"/>
  <c r="E8" i="9" l="1"/>
  <c r="D18" i="9"/>
  <c r="E15" i="9" s="1"/>
  <c r="D19" i="6"/>
  <c r="E82" i="9"/>
  <c r="E70" i="9"/>
  <c r="E64" i="9"/>
  <c r="E59" i="9"/>
  <c r="D14" i="9"/>
  <c r="E105" i="9" l="1"/>
  <c r="D38" i="9"/>
  <c r="E35" i="9" s="1"/>
  <c r="E75" i="9" s="1"/>
  <c r="E78" i="9" s="1"/>
  <c r="E18" i="9"/>
  <c r="E51" i="9"/>
  <c r="E54" i="9" s="1"/>
  <c r="E22" i="7"/>
  <c r="E13" i="6" s="1"/>
  <c r="D33" i="9"/>
  <c r="E30" i="9" s="1"/>
  <c r="E69" i="9" s="1"/>
  <c r="E72" i="9" s="1"/>
  <c r="D43" i="9"/>
  <c r="E40" i="9" s="1"/>
  <c r="D46" i="9"/>
  <c r="D22" i="6" s="1"/>
  <c r="D23" i="9"/>
  <c r="D28" i="9"/>
  <c r="F13" i="6" l="1"/>
  <c r="F22" i="7"/>
  <c r="A39" i="9"/>
  <c r="E38" i="9"/>
  <c r="G38" i="9" s="1"/>
  <c r="H35" i="9" s="1"/>
  <c r="A34" i="9"/>
  <c r="E33" i="9"/>
  <c r="G33" i="9" s="1"/>
  <c r="G18" i="9"/>
  <c r="H15" i="9" s="1"/>
  <c r="G51" i="9"/>
  <c r="A44" i="9"/>
  <c r="E81" i="9"/>
  <c r="E84" i="9" s="1"/>
  <c r="E43" i="9"/>
  <c r="E25" i="9"/>
  <c r="A29" i="9"/>
  <c r="E20" i="9"/>
  <c r="A24" i="9"/>
  <c r="D45" i="9"/>
  <c r="D21" i="6" s="1"/>
  <c r="G13" i="6" l="1"/>
  <c r="H22" i="7" s="1"/>
  <c r="G22" i="7"/>
  <c r="E23" i="9"/>
  <c r="E57" i="9"/>
  <c r="E60" i="9" s="1"/>
  <c r="E28" i="9"/>
  <c r="E63" i="9"/>
  <c r="E66" i="9" s="1"/>
  <c r="H18" i="9"/>
  <c r="I15" i="9" s="1"/>
  <c r="H51" i="9"/>
  <c r="G43" i="9"/>
  <c r="H40" i="9" s="1"/>
  <c r="H43" i="9" s="1"/>
  <c r="H38" i="9"/>
  <c r="I35" i="9" s="1"/>
  <c r="I38" i="9" s="1"/>
  <c r="D23" i="6"/>
  <c r="D48" i="9"/>
  <c r="H30" i="9"/>
  <c r="H33" i="9" s="1"/>
  <c r="G28" i="9" l="1"/>
  <c r="E45" i="9"/>
  <c r="I18" i="9"/>
  <c r="J15" i="9" s="1"/>
  <c r="I51" i="9"/>
  <c r="D29" i="6"/>
  <c r="I40" i="9"/>
  <c r="I30" i="9"/>
  <c r="G23" i="9"/>
  <c r="H20" i="9" s="1"/>
  <c r="H25" i="9" l="1"/>
  <c r="H28" i="9" s="1"/>
  <c r="I25" i="9" s="1"/>
  <c r="F19" i="7"/>
  <c r="E48" i="9"/>
  <c r="J18" i="9"/>
  <c r="K15" i="9" s="1"/>
  <c r="J51" i="9"/>
  <c r="G45" i="9"/>
  <c r="G21" i="6" s="1"/>
  <c r="H23" i="9"/>
  <c r="I20" i="9" s="1"/>
  <c r="K18" i="9" l="1"/>
  <c r="L15" i="9" s="1"/>
  <c r="K51" i="9"/>
  <c r="G48" i="9"/>
  <c r="G19" i="7"/>
  <c r="H45" i="9"/>
  <c r="H21" i="6" s="1"/>
  <c r="L18" i="9" l="1"/>
  <c r="M15" i="9" s="1"/>
  <c r="L51" i="9"/>
  <c r="H48" i="9"/>
  <c r="H19" i="7"/>
  <c r="E22" i="5"/>
  <c r="E21" i="5"/>
  <c r="G19" i="14"/>
  <c r="H19" i="14" s="1"/>
  <c r="I19" i="14" s="1"/>
  <c r="J19" i="14" s="1"/>
  <c r="K19" i="14" s="1"/>
  <c r="L19" i="14" s="1"/>
  <c r="M19" i="14" s="1"/>
  <c r="N19" i="14" s="1"/>
  <c r="O19" i="14" s="1"/>
  <c r="F28" i="14"/>
  <c r="E17" i="14"/>
  <c r="E16" i="14"/>
  <c r="E14" i="6"/>
  <c r="E34" i="6"/>
  <c r="E27" i="6"/>
  <c r="E26" i="6"/>
  <c r="E24" i="6"/>
  <c r="E18" i="6"/>
  <c r="E28" i="7"/>
  <c r="E20" i="14" l="1"/>
  <c r="F17" i="14"/>
  <c r="O28" i="14"/>
  <c r="P19" i="14"/>
  <c r="P28" i="14" s="1"/>
  <c r="M18" i="9"/>
  <c r="N15" i="9" s="1"/>
  <c r="M51" i="9"/>
  <c r="L28" i="14"/>
  <c r="E18" i="14"/>
  <c r="H28" i="14"/>
  <c r="I28" i="14"/>
  <c r="M28" i="14"/>
  <c r="J28" i="14"/>
  <c r="N28" i="14"/>
  <c r="G28" i="14"/>
  <c r="K28" i="14"/>
  <c r="H18" i="6"/>
  <c r="I18" i="6" s="1"/>
  <c r="J18" i="6" s="1"/>
  <c r="K18" i="6" s="1"/>
  <c r="L18" i="6" s="1"/>
  <c r="M18" i="6" s="1"/>
  <c r="N18" i="6" s="1"/>
  <c r="O18" i="6" s="1"/>
  <c r="P18" i="6" s="1"/>
  <c r="E19" i="7"/>
  <c r="G24" i="6"/>
  <c r="H24" i="6" s="1"/>
  <c r="I24" i="6" s="1"/>
  <c r="J24" i="6" s="1"/>
  <c r="K24" i="6" s="1"/>
  <c r="L24" i="6" s="1"/>
  <c r="M24" i="6" s="1"/>
  <c r="N24" i="6" s="1"/>
  <c r="O24" i="6" s="1"/>
  <c r="P24" i="6" s="1"/>
  <c r="J27" i="6"/>
  <c r="K27" i="6" s="1"/>
  <c r="L27" i="6" s="1"/>
  <c r="M27" i="6" s="1"/>
  <c r="N27" i="6" s="1"/>
  <c r="O27" i="6" s="1"/>
  <c r="P27" i="6" s="1"/>
  <c r="H26" i="6"/>
  <c r="I26" i="6" s="1"/>
  <c r="J26" i="6" s="1"/>
  <c r="K26" i="6" s="1"/>
  <c r="L26" i="6" s="1"/>
  <c r="M26" i="6" s="1"/>
  <c r="N26" i="6" s="1"/>
  <c r="O26" i="6" s="1"/>
  <c r="P26" i="6" s="1"/>
  <c r="H34" i="6"/>
  <c r="I34" i="6" s="1"/>
  <c r="J34" i="6" s="1"/>
  <c r="K34" i="6" s="1"/>
  <c r="L34" i="6" s="1"/>
  <c r="M34" i="6" s="1"/>
  <c r="N34" i="6" s="1"/>
  <c r="O34" i="6" s="1"/>
  <c r="P34" i="6" s="1"/>
  <c r="D58" i="2"/>
  <c r="H14" i="6"/>
  <c r="I14" i="6" s="1"/>
  <c r="J14" i="6" s="1"/>
  <c r="K14" i="6" s="1"/>
  <c r="L14" i="6" s="1"/>
  <c r="M14" i="6" s="1"/>
  <c r="N14" i="6" s="1"/>
  <c r="O14" i="6" s="1"/>
  <c r="P14" i="6" s="1"/>
  <c r="D35" i="6"/>
  <c r="M38" i="14"/>
  <c r="D116" i="14"/>
  <c r="D115" i="14"/>
  <c r="D114" i="14"/>
  <c r="C113" i="14"/>
  <c r="D113" i="14" s="1"/>
  <c r="H102" i="14"/>
  <c r="I102" i="14" s="1"/>
  <c r="J102" i="14" s="1"/>
  <c r="K102" i="14" s="1"/>
  <c r="L102" i="14" s="1"/>
  <c r="M102" i="14" s="1"/>
  <c r="N102" i="14" s="1"/>
  <c r="O102" i="14" s="1"/>
  <c r="P102" i="14" s="1"/>
  <c r="F100" i="14"/>
  <c r="F84" i="14"/>
  <c r="B83" i="14"/>
  <c r="B89" i="14" s="1"/>
  <c r="B82" i="14"/>
  <c r="B88" i="14" s="1"/>
  <c r="B81" i="14"/>
  <c r="B87" i="14" s="1"/>
  <c r="B80" i="14"/>
  <c r="B86" i="14" s="1"/>
  <c r="F77" i="14"/>
  <c r="G73" i="14"/>
  <c r="F64" i="14"/>
  <c r="B63" i="14"/>
  <c r="B62" i="14"/>
  <c r="B68" i="14" s="1"/>
  <c r="B61" i="14"/>
  <c r="F57" i="14"/>
  <c r="G56" i="14"/>
  <c r="G55" i="14"/>
  <c r="F50" i="14"/>
  <c r="G44" i="14"/>
  <c r="H44" i="14" s="1"/>
  <c r="I44" i="14" s="1"/>
  <c r="J44" i="14" s="1"/>
  <c r="K44" i="14" s="1"/>
  <c r="L44" i="14" s="1"/>
  <c r="M44" i="14" s="1"/>
  <c r="N44" i="14" s="1"/>
  <c r="O44" i="14" s="1"/>
  <c r="P44" i="14" s="1"/>
  <c r="G35" i="14"/>
  <c r="H35" i="14" s="1"/>
  <c r="I35" i="14" s="1"/>
  <c r="J35" i="14" s="1"/>
  <c r="K35" i="14" s="1"/>
  <c r="L35" i="14" s="1"/>
  <c r="M35" i="14" s="1"/>
  <c r="N35" i="14" s="1"/>
  <c r="O35" i="14" s="1"/>
  <c r="P35" i="14" s="1"/>
  <c r="G34" i="14"/>
  <c r="H34" i="14" s="1"/>
  <c r="I34" i="14" s="1"/>
  <c r="J34" i="14" s="1"/>
  <c r="K34" i="14" s="1"/>
  <c r="L34" i="14" s="1"/>
  <c r="M34" i="14" s="1"/>
  <c r="N34" i="14" s="1"/>
  <c r="O34" i="14" s="1"/>
  <c r="P34" i="14" s="1"/>
  <c r="P100" i="14" s="1"/>
  <c r="D29" i="14"/>
  <c r="B29" i="14"/>
  <c r="B40" i="14" s="1"/>
  <c r="C116" i="14"/>
  <c r="C18" i="14"/>
  <c r="F16" i="14"/>
  <c r="G57" i="14" l="1"/>
  <c r="F69" i="14"/>
  <c r="G17" i="14"/>
  <c r="F20" i="14"/>
  <c r="F18" i="14"/>
  <c r="F22" i="14" s="1"/>
  <c r="E22" i="14"/>
  <c r="C25" i="14"/>
  <c r="G16" i="14"/>
  <c r="F39" i="14"/>
  <c r="N18" i="9"/>
  <c r="O15" i="9" s="1"/>
  <c r="N51" i="9"/>
  <c r="D36" i="6"/>
  <c r="D38" i="6" s="1"/>
  <c r="F47" i="14"/>
  <c r="F92" i="14" s="1"/>
  <c r="F109" i="14" s="1"/>
  <c r="F113" i="14"/>
  <c r="G64" i="14"/>
  <c r="F90" i="14"/>
  <c r="H77" i="14"/>
  <c r="H56" i="14"/>
  <c r="D118" i="14"/>
  <c r="D120" i="14" s="1"/>
  <c r="D121" i="14" s="1"/>
  <c r="F70" i="14"/>
  <c r="H100" i="14"/>
  <c r="G100" i="14"/>
  <c r="H57" i="14"/>
  <c r="G118" i="14"/>
  <c r="F58" i="14"/>
  <c r="G58" i="14"/>
  <c r="H55" i="14"/>
  <c r="G77" i="14"/>
  <c r="C118" i="14"/>
  <c r="C121" i="14" s="1"/>
  <c r="F25" i="14" l="1"/>
  <c r="F31" i="14" s="1"/>
  <c r="J25" i="14"/>
  <c r="N25" i="14"/>
  <c r="G25" i="14"/>
  <c r="G31" i="14" s="1"/>
  <c r="K25" i="14"/>
  <c r="O25" i="14"/>
  <c r="M25" i="14"/>
  <c r="H25" i="14"/>
  <c r="H26" i="14" s="1"/>
  <c r="L25" i="14"/>
  <c r="P25" i="14"/>
  <c r="I25" i="14"/>
  <c r="E25" i="14"/>
  <c r="E29" i="14" s="1"/>
  <c r="E31" i="14" s="1"/>
  <c r="E36" i="14" s="1"/>
  <c r="E11" i="5" s="1"/>
  <c r="E45" i="18" s="1"/>
  <c r="C29" i="14"/>
  <c r="H17" i="14"/>
  <c r="G20" i="14"/>
  <c r="G18" i="14"/>
  <c r="G22" i="14" s="1"/>
  <c r="I56" i="14"/>
  <c r="G26" i="14"/>
  <c r="G39" i="14"/>
  <c r="H16" i="14"/>
  <c r="O18" i="9"/>
  <c r="P15" i="9" s="1"/>
  <c r="O51" i="9"/>
  <c r="F103" i="14"/>
  <c r="F16" i="5" s="1"/>
  <c r="F99" i="14"/>
  <c r="F17" i="18"/>
  <c r="F53" i="14"/>
  <c r="F118" i="14"/>
  <c r="J56" i="14"/>
  <c r="H64" i="14"/>
  <c r="I77" i="14"/>
  <c r="I57" i="14"/>
  <c r="H58" i="14"/>
  <c r="I55" i="14"/>
  <c r="I100" i="14"/>
  <c r="H103" i="14" l="1"/>
  <c r="H16" i="5" s="1"/>
  <c r="H31" i="14"/>
  <c r="I17" i="14"/>
  <c r="H18" i="14"/>
  <c r="H22" i="14" s="1"/>
  <c r="H20" i="14"/>
  <c r="P26" i="14"/>
  <c r="E40" i="5"/>
  <c r="E48" i="5" s="1"/>
  <c r="E63" i="18" s="1"/>
  <c r="K56" i="14"/>
  <c r="H39" i="14"/>
  <c r="I16" i="14"/>
  <c r="F120" i="14"/>
  <c r="F121" i="14" s="1"/>
  <c r="E14" i="5"/>
  <c r="Q14" i="5" s="1"/>
  <c r="Q20" i="5"/>
  <c r="Q22" i="5"/>
  <c r="Q21" i="5"/>
  <c r="Q19" i="5"/>
  <c r="P18" i="9"/>
  <c r="P51" i="9"/>
  <c r="E17" i="5"/>
  <c r="Q17" i="5" s="1"/>
  <c r="E16" i="5"/>
  <c r="E15" i="5"/>
  <c r="Q15" i="5" s="1"/>
  <c r="E13" i="5"/>
  <c r="E14" i="16"/>
  <c r="E31" i="6" s="1"/>
  <c r="E18" i="5"/>
  <c r="Q18" i="5" s="1"/>
  <c r="G99" i="14"/>
  <c r="G103" i="14"/>
  <c r="G16" i="5" s="1"/>
  <c r="G17" i="18"/>
  <c r="I118" i="14"/>
  <c r="H118" i="14"/>
  <c r="I64" i="14"/>
  <c r="J118" i="14"/>
  <c r="J77" i="14"/>
  <c r="L56" i="14"/>
  <c r="J100" i="14"/>
  <c r="I58" i="14"/>
  <c r="J55" i="14"/>
  <c r="J57" i="14"/>
  <c r="E23" i="7" l="1"/>
  <c r="F23" i="7"/>
  <c r="P31" i="14"/>
  <c r="P45" i="14"/>
  <c r="P96" i="14" s="1"/>
  <c r="J17" i="14"/>
  <c r="I18" i="14"/>
  <c r="I22" i="14" s="1"/>
  <c r="I20" i="14"/>
  <c r="I31" i="14"/>
  <c r="I26" i="14"/>
  <c r="J16" i="14"/>
  <c r="I39" i="14"/>
  <c r="Q16" i="5"/>
  <c r="Q13" i="5"/>
  <c r="E46" i="18"/>
  <c r="E47" i="18" s="1"/>
  <c r="E18" i="16"/>
  <c r="E12" i="16"/>
  <c r="E17" i="16"/>
  <c r="E13" i="16"/>
  <c r="H99" i="14"/>
  <c r="I103" i="14"/>
  <c r="I16" i="5" s="1"/>
  <c r="K77" i="14"/>
  <c r="K57" i="14"/>
  <c r="K55" i="14"/>
  <c r="J58" i="14"/>
  <c r="K100" i="14"/>
  <c r="J64" i="14"/>
  <c r="K118" i="14"/>
  <c r="M56" i="14"/>
  <c r="K17" i="14" l="1"/>
  <c r="J18" i="14"/>
  <c r="J22" i="14" s="1"/>
  <c r="J20" i="14"/>
  <c r="P95" i="14"/>
  <c r="J31" i="14"/>
  <c r="J26" i="14"/>
  <c r="K16" i="14"/>
  <c r="J39" i="14"/>
  <c r="E50" i="18"/>
  <c r="E11" i="16"/>
  <c r="E16" i="16"/>
  <c r="E16" i="6" s="1"/>
  <c r="E15" i="7" s="1"/>
  <c r="E32" i="6"/>
  <c r="I99" i="14"/>
  <c r="J103" i="14"/>
  <c r="J16" i="5" s="1"/>
  <c r="L77" i="14"/>
  <c r="L57" i="14"/>
  <c r="N56" i="14"/>
  <c r="K64" i="14"/>
  <c r="K58" i="14"/>
  <c r="L55" i="14"/>
  <c r="L118" i="14"/>
  <c r="L100" i="14"/>
  <c r="E24" i="7" l="1"/>
  <c r="F24" i="7"/>
  <c r="P97" i="14"/>
  <c r="P105" i="14"/>
  <c r="P101" i="14"/>
  <c r="P104" i="14"/>
  <c r="P17" i="5" s="1"/>
  <c r="P40" i="5"/>
  <c r="P18" i="5"/>
  <c r="P18" i="16" s="1"/>
  <c r="P16" i="16" s="1"/>
  <c r="L17" i="14"/>
  <c r="K20" i="14"/>
  <c r="K18" i="14"/>
  <c r="K22" i="14" s="1"/>
  <c r="K31" i="14"/>
  <c r="K26" i="14"/>
  <c r="L16" i="14"/>
  <c r="K39" i="14"/>
  <c r="E20" i="16"/>
  <c r="E22" i="16" s="1"/>
  <c r="J99" i="14"/>
  <c r="K103" i="14"/>
  <c r="K16" i="5" s="1"/>
  <c r="M55" i="14"/>
  <c r="L58" i="14"/>
  <c r="O56" i="14"/>
  <c r="M100" i="14"/>
  <c r="M77" i="14"/>
  <c r="M118" i="14"/>
  <c r="L64" i="14"/>
  <c r="M57" i="14"/>
  <c r="M17" i="14" l="1"/>
  <c r="L18" i="14"/>
  <c r="L22" i="14" s="1"/>
  <c r="L20" i="14"/>
  <c r="M16" i="14"/>
  <c r="L39" i="14"/>
  <c r="P56" i="14"/>
  <c r="L26" i="14"/>
  <c r="L31" i="14"/>
  <c r="K99" i="14"/>
  <c r="L103" i="14"/>
  <c r="L16" i="5" s="1"/>
  <c r="N57" i="14"/>
  <c r="N118" i="14"/>
  <c r="N100" i="14"/>
  <c r="M64" i="14"/>
  <c r="N77" i="14"/>
  <c r="M58" i="14"/>
  <c r="N55" i="14"/>
  <c r="N17" i="14" l="1"/>
  <c r="M18" i="14"/>
  <c r="M22" i="14" s="1"/>
  <c r="M20" i="14"/>
  <c r="M31" i="14"/>
  <c r="M26" i="14"/>
  <c r="O118" i="14"/>
  <c r="P118" i="14"/>
  <c r="N16" i="14"/>
  <c r="M39" i="14"/>
  <c r="M103" i="14"/>
  <c r="M16" i="5" s="1"/>
  <c r="O100" i="14"/>
  <c r="L99" i="14"/>
  <c r="O77" i="14"/>
  <c r="O57" i="14"/>
  <c r="N64" i="14"/>
  <c r="N58" i="14"/>
  <c r="O55" i="14"/>
  <c r="P77" i="14" l="1"/>
  <c r="O17" i="14"/>
  <c r="N20" i="14"/>
  <c r="N18" i="14"/>
  <c r="N22" i="14" s="1"/>
  <c r="N31" i="14"/>
  <c r="N26" i="14"/>
  <c r="O64" i="14"/>
  <c r="P64" i="14"/>
  <c r="P55" i="14"/>
  <c r="P57" i="14"/>
  <c r="O16" i="14"/>
  <c r="N39" i="14"/>
  <c r="N103" i="14"/>
  <c r="N16" i="5" s="1"/>
  <c r="M99" i="14"/>
  <c r="O58" i="14"/>
  <c r="O99" i="14" l="1"/>
  <c r="P17" i="14"/>
  <c r="O20" i="14"/>
  <c r="O18" i="14"/>
  <c r="O22" i="14" s="1"/>
  <c r="P99" i="14"/>
  <c r="P58" i="14"/>
  <c r="P16" i="14"/>
  <c r="P39" i="14" s="1"/>
  <c r="P47" i="14" s="1"/>
  <c r="O39" i="14"/>
  <c r="O31" i="14"/>
  <c r="O26" i="14"/>
  <c r="P103" i="14"/>
  <c r="P16" i="5" s="1"/>
  <c r="N99" i="14"/>
  <c r="O103" i="14"/>
  <c r="O16" i="5" s="1"/>
  <c r="P18" i="14" l="1"/>
  <c r="P22" i="14" s="1"/>
  <c r="P20" i="14"/>
  <c r="P92" i="14"/>
  <c r="P109" i="14" s="1"/>
  <c r="P53" i="14"/>
  <c r="N27" i="13"/>
  <c r="L29" i="13"/>
  <c r="H26" i="13" l="1"/>
  <c r="G25" i="13"/>
  <c r="J25" i="13" s="1"/>
  <c r="G18" i="13"/>
  <c r="I18" i="13" s="1"/>
  <c r="J16" i="13"/>
  <c r="I25" i="13"/>
  <c r="I20" i="13"/>
  <c r="J20" i="13" s="1"/>
  <c r="I16" i="13"/>
  <c r="I14" i="13"/>
  <c r="J14" i="13" s="1"/>
  <c r="J18" i="13" l="1"/>
  <c r="G19" i="13"/>
  <c r="F81" i="4"/>
  <c r="C81" i="4"/>
  <c r="G26" i="13" l="1"/>
  <c r="I19" i="13"/>
  <c r="I26" i="13" s="1"/>
  <c r="C83" i="4"/>
  <c r="C82" i="4"/>
  <c r="C68" i="4"/>
  <c r="J19" i="13" l="1"/>
  <c r="J26" i="13" s="1"/>
  <c r="D47" i="2"/>
  <c r="D28" i="2" l="1"/>
  <c r="E28" i="2"/>
  <c r="E13" i="2" l="1"/>
  <c r="K61" i="4"/>
  <c r="M61" i="4" s="1"/>
  <c r="O61" i="4" s="1"/>
  <c r="K57" i="4"/>
  <c r="M57" i="4" s="1"/>
  <c r="I60" i="4"/>
  <c r="I53" i="12"/>
  <c r="I52" i="12"/>
  <c r="F37" i="12"/>
  <c r="J60" i="4" l="1"/>
  <c r="O57" i="4"/>
  <c r="D53" i="2"/>
  <c r="K60" i="4" l="1"/>
  <c r="L21" i="12"/>
  <c r="L60" i="4" l="1"/>
  <c r="H50" i="4"/>
  <c r="M60" i="4" l="1"/>
  <c r="C14" i="10"/>
  <c r="C13" i="10"/>
  <c r="N60" i="4" l="1"/>
  <c r="B86" i="9"/>
  <c r="B85" i="9"/>
  <c r="B80" i="9"/>
  <c r="B79" i="9"/>
  <c r="B74" i="9"/>
  <c r="B73" i="9"/>
  <c r="B68" i="9"/>
  <c r="B67" i="9"/>
  <c r="B62" i="9"/>
  <c r="B61" i="9"/>
  <c r="B56" i="9"/>
  <c r="B55" i="9"/>
  <c r="O60" i="4" l="1"/>
  <c r="L79" i="4"/>
  <c r="C74" i="4"/>
  <c r="C73" i="4"/>
  <c r="G73" i="4" s="1"/>
  <c r="H73" i="4" s="1"/>
  <c r="K49" i="4"/>
  <c r="L49" i="4" s="1"/>
  <c r="M49" i="4" s="1"/>
  <c r="N49" i="4" s="1"/>
  <c r="O49" i="4" s="1"/>
  <c r="P49" i="4" s="1"/>
  <c r="C33" i="4"/>
  <c r="I31" i="4"/>
  <c r="J31" i="4" s="1"/>
  <c r="K31" i="4" s="1"/>
  <c r="L31" i="4" s="1"/>
  <c r="M31" i="4" s="1"/>
  <c r="N31" i="4" s="1"/>
  <c r="O31" i="4" s="1"/>
  <c r="P31" i="4" s="1"/>
  <c r="K44" i="4"/>
  <c r="L44" i="4" s="1"/>
  <c r="M44" i="4" s="1"/>
  <c r="N44" i="4" s="1"/>
  <c r="O44" i="4" s="1"/>
  <c r="P44" i="4" s="1"/>
  <c r="C24" i="4"/>
  <c r="J22" i="4"/>
  <c r="K22" i="4" s="1"/>
  <c r="L22" i="4" s="1"/>
  <c r="M22" i="4" s="1"/>
  <c r="N22" i="4" s="1"/>
  <c r="O22" i="4" s="1"/>
  <c r="P22" i="4" s="1"/>
  <c r="P60" i="4" l="1"/>
  <c r="G74" i="4"/>
  <c r="H74" i="4" s="1"/>
  <c r="I74" i="4" s="1"/>
  <c r="J74" i="4" s="1"/>
  <c r="K74" i="4" s="1"/>
  <c r="L74" i="4" s="1"/>
  <c r="M74" i="4" s="1"/>
  <c r="N74" i="4" s="1"/>
  <c r="O74" i="4" s="1"/>
  <c r="P74" i="4" s="1"/>
  <c r="I78" i="4"/>
  <c r="I73" i="4"/>
  <c r="J73" i="4" s="1"/>
  <c r="K73" i="4" s="1"/>
  <c r="L73" i="4" s="1"/>
  <c r="M73" i="4" s="1"/>
  <c r="N73" i="4" s="1"/>
  <c r="O73" i="4" s="1"/>
  <c r="P73" i="4" s="1"/>
  <c r="I76" i="4"/>
  <c r="I30" i="4"/>
  <c r="J30" i="4" s="1"/>
  <c r="K30" i="4" s="1"/>
  <c r="L30" i="4" s="1"/>
  <c r="M30" i="4" s="1"/>
  <c r="N30" i="4" s="1"/>
  <c r="O30" i="4" s="1"/>
  <c r="P30" i="4" s="1"/>
  <c r="I21" i="4"/>
  <c r="J21" i="4" s="1"/>
  <c r="K21" i="4" s="1"/>
  <c r="L21" i="4" s="1"/>
  <c r="M21" i="4" s="1"/>
  <c r="N21" i="4" s="1"/>
  <c r="O21" i="4" s="1"/>
  <c r="P21" i="4" s="1"/>
  <c r="D31" i="2" l="1"/>
  <c r="G19" i="4"/>
  <c r="D37" i="2"/>
  <c r="H28" i="4"/>
  <c r="G28" i="4"/>
  <c r="G29" i="4" s="1"/>
  <c r="E31" i="2"/>
  <c r="C78" i="4"/>
  <c r="J78" i="4"/>
  <c r="J76" i="4"/>
  <c r="D24" i="2"/>
  <c r="E24" i="2"/>
  <c r="I43" i="4" l="1"/>
  <c r="I48" i="4"/>
  <c r="I56" i="4"/>
  <c r="F31" i="2"/>
  <c r="H19" i="4"/>
  <c r="H20" i="4" s="1"/>
  <c r="G20" i="4"/>
  <c r="G82" i="4"/>
  <c r="G83" i="4"/>
  <c r="G31" i="2"/>
  <c r="L82" i="4"/>
  <c r="P82" i="4"/>
  <c r="L83" i="4"/>
  <c r="P83" i="4"/>
  <c r="I82" i="4"/>
  <c r="M82" i="4"/>
  <c r="J82" i="4"/>
  <c r="N82" i="4"/>
  <c r="H82" i="4"/>
  <c r="I83" i="4"/>
  <c r="M83" i="4"/>
  <c r="K82" i="4"/>
  <c r="O83" i="4"/>
  <c r="N83" i="4"/>
  <c r="J83" i="4"/>
  <c r="O82" i="4"/>
  <c r="H83" i="4"/>
  <c r="K83" i="4"/>
  <c r="K78" i="4"/>
  <c r="K76" i="4"/>
  <c r="H46" i="4"/>
  <c r="E14" i="2"/>
  <c r="H29" i="4"/>
  <c r="H51" i="4"/>
  <c r="I28" i="4"/>
  <c r="J56" i="4" l="1"/>
  <c r="I19" i="4"/>
  <c r="I20" i="4" s="1"/>
  <c r="J48" i="4"/>
  <c r="I50" i="4"/>
  <c r="I51" i="4" s="1"/>
  <c r="I45" i="4"/>
  <c r="I46" i="4" s="1"/>
  <c r="J43" i="4"/>
  <c r="E79" i="9"/>
  <c r="E80" i="9" s="1"/>
  <c r="G75" i="9" s="1"/>
  <c r="G78" i="9" s="1"/>
  <c r="E67" i="9"/>
  <c r="E68" i="9" s="1"/>
  <c r="G63" i="9" s="1"/>
  <c r="E85" i="9"/>
  <c r="E86" i="9" s="1"/>
  <c r="G81" i="9" s="1"/>
  <c r="G84" i="9" s="1"/>
  <c r="E73" i="9"/>
  <c r="E74" i="9" s="1"/>
  <c r="E61" i="9"/>
  <c r="E62" i="9" s="1"/>
  <c r="G57" i="9" s="1"/>
  <c r="E55" i="9"/>
  <c r="E39" i="9"/>
  <c r="E44" i="9"/>
  <c r="E34" i="9"/>
  <c r="E24" i="9"/>
  <c r="E29" i="9"/>
  <c r="L78" i="4"/>
  <c r="E14" i="9"/>
  <c r="E50" i="9"/>
  <c r="L76" i="4"/>
  <c r="H53" i="4"/>
  <c r="I29" i="4"/>
  <c r="J28" i="4"/>
  <c r="K56" i="4" l="1"/>
  <c r="G66" i="9"/>
  <c r="J19" i="4"/>
  <c r="K19" i="4" s="1"/>
  <c r="J45" i="4"/>
  <c r="J46" i="4" s="1"/>
  <c r="K43" i="4"/>
  <c r="K48" i="4"/>
  <c r="J50" i="4"/>
  <c r="J51" i="4" s="1"/>
  <c r="G60" i="9"/>
  <c r="E19" i="10"/>
  <c r="M78" i="4"/>
  <c r="I53" i="4"/>
  <c r="M76" i="4"/>
  <c r="J29" i="4"/>
  <c r="K28" i="4"/>
  <c r="J20" i="4" l="1"/>
  <c r="L56" i="4"/>
  <c r="K45" i="4"/>
  <c r="K46" i="4" s="1"/>
  <c r="L43" i="4"/>
  <c r="K50" i="4"/>
  <c r="K51" i="4" s="1"/>
  <c r="L48" i="4"/>
  <c r="E23" i="5"/>
  <c r="N78" i="4"/>
  <c r="N76" i="4"/>
  <c r="L28" i="4"/>
  <c r="K29" i="4"/>
  <c r="J53" i="4"/>
  <c r="L19" i="4"/>
  <c r="K20" i="4"/>
  <c r="E48" i="18" l="1"/>
  <c r="E24" i="5"/>
  <c r="E25" i="5" s="1"/>
  <c r="Q23" i="5"/>
  <c r="Q24" i="5" s="1"/>
  <c r="E34" i="5"/>
  <c r="M56" i="4"/>
  <c r="M48" i="4"/>
  <c r="L50" i="4"/>
  <c r="L51" i="4" s="1"/>
  <c r="L45" i="4"/>
  <c r="L46" i="4" s="1"/>
  <c r="M43" i="4"/>
  <c r="E14" i="7"/>
  <c r="E22" i="6"/>
  <c r="E23" i="6" s="1"/>
  <c r="O78" i="4"/>
  <c r="O76" i="4"/>
  <c r="K53" i="4"/>
  <c r="L29" i="4"/>
  <c r="M28" i="4"/>
  <c r="M19" i="4"/>
  <c r="L20" i="4"/>
  <c r="E51" i="18" l="1"/>
  <c r="E52" i="18" s="1"/>
  <c r="E49" i="18"/>
  <c r="N56" i="4"/>
  <c r="E42" i="5"/>
  <c r="E41" i="5"/>
  <c r="E45" i="5" s="1"/>
  <c r="E28" i="5"/>
  <c r="E16" i="10" s="1"/>
  <c r="E26" i="5"/>
  <c r="M45" i="4"/>
  <c r="M46" i="4" s="1"/>
  <c r="N43" i="4"/>
  <c r="M50" i="4"/>
  <c r="M51" i="4" s="1"/>
  <c r="N48" i="4"/>
  <c r="P78" i="4"/>
  <c r="L53" i="4"/>
  <c r="P76" i="4"/>
  <c r="M29" i="4"/>
  <c r="N28" i="4"/>
  <c r="M20" i="4"/>
  <c r="N19" i="4"/>
  <c r="E57" i="18" l="1"/>
  <c r="E46" i="5"/>
  <c r="O56" i="4"/>
  <c r="N45" i="4"/>
  <c r="N46" i="4" s="1"/>
  <c r="O43" i="4"/>
  <c r="N50" i="4"/>
  <c r="N51" i="4" s="1"/>
  <c r="O48" i="4"/>
  <c r="E32" i="10"/>
  <c r="M53" i="4"/>
  <c r="N20" i="4"/>
  <c r="O19" i="4"/>
  <c r="N29" i="4"/>
  <c r="O28" i="4"/>
  <c r="E59" i="18" l="1"/>
  <c r="P56" i="4"/>
  <c r="O50" i="4"/>
  <c r="O51" i="4" s="1"/>
  <c r="P48" i="4"/>
  <c r="O45" i="4"/>
  <c r="O46" i="4" s="1"/>
  <c r="P43" i="4"/>
  <c r="N53" i="4"/>
  <c r="O20" i="4"/>
  <c r="P19" i="4"/>
  <c r="P28" i="4"/>
  <c r="O29" i="4"/>
  <c r="P45" i="4" l="1"/>
  <c r="P46" i="4" s="1"/>
  <c r="P50" i="4"/>
  <c r="P51" i="4" s="1"/>
  <c r="P20" i="4"/>
  <c r="P29" i="4"/>
  <c r="O53" i="4"/>
  <c r="P53" i="4" l="1"/>
  <c r="I33" i="9" l="1"/>
  <c r="I23" i="9"/>
  <c r="J20" i="9" s="1"/>
  <c r="I28" i="9"/>
  <c r="I43" i="9"/>
  <c r="J40" i="9" l="1"/>
  <c r="J43" i="9" s="1"/>
  <c r="J30" i="9"/>
  <c r="J33" i="9" s="1"/>
  <c r="J25" i="9"/>
  <c r="J28" i="9" s="1"/>
  <c r="J23" i="9"/>
  <c r="K20" i="9" s="1"/>
  <c r="K40" i="9" l="1"/>
  <c r="K43" i="9" s="1"/>
  <c r="J35" i="9"/>
  <c r="J38" i="9" s="1"/>
  <c r="K30" i="9"/>
  <c r="K33" i="9" s="1"/>
  <c r="K25" i="9"/>
  <c r="K28" i="9" s="1"/>
  <c r="I45" i="9"/>
  <c r="K23" i="9"/>
  <c r="L20" i="9" s="1"/>
  <c r="F26" i="14"/>
  <c r="I48" i="9" l="1"/>
  <c r="I21" i="6"/>
  <c r="L40" i="9"/>
  <c r="L43" i="9" s="1"/>
  <c r="K35" i="9"/>
  <c r="K38" i="9" s="1"/>
  <c r="L30" i="9"/>
  <c r="L33" i="9" s="1"/>
  <c r="L25" i="9"/>
  <c r="L28" i="9" s="1"/>
  <c r="J45" i="9"/>
  <c r="L23" i="9"/>
  <c r="M20" i="9" s="1"/>
  <c r="F42" i="14"/>
  <c r="F43" i="14" s="1"/>
  <c r="F45" i="14" s="1"/>
  <c r="F45" i="18"/>
  <c r="I19" i="7" l="1"/>
  <c r="H17" i="18" s="1"/>
  <c r="J48" i="9"/>
  <c r="J21" i="6"/>
  <c r="M40" i="9"/>
  <c r="M43" i="9" s="1"/>
  <c r="L35" i="9"/>
  <c r="L38" i="9" s="1"/>
  <c r="M30" i="9"/>
  <c r="M33" i="9" s="1"/>
  <c r="M25" i="9"/>
  <c r="M28" i="9" s="1"/>
  <c r="K45" i="9"/>
  <c r="M23" i="9"/>
  <c r="N20" i="9" s="1"/>
  <c r="F96" i="14"/>
  <c r="F95" i="14"/>
  <c r="F97" i="14" s="1"/>
  <c r="F40" i="5"/>
  <c r="F48" i="5" s="1"/>
  <c r="G45" i="14"/>
  <c r="G45" i="18"/>
  <c r="J19" i="7" l="1"/>
  <c r="I17" i="18" s="1"/>
  <c r="F63" i="18"/>
  <c r="F13" i="5"/>
  <c r="R13" i="5" s="1"/>
  <c r="R20" i="5"/>
  <c r="R16" i="5"/>
  <c r="K48" i="9"/>
  <c r="K21" i="6"/>
  <c r="N40" i="9"/>
  <c r="N43" i="9" s="1"/>
  <c r="M35" i="9"/>
  <c r="M38" i="9" s="1"/>
  <c r="N30" i="9"/>
  <c r="N33" i="9" s="1"/>
  <c r="N25" i="9"/>
  <c r="N28" i="9" s="1"/>
  <c r="L45" i="9"/>
  <c r="N23" i="9"/>
  <c r="O20" i="9" s="1"/>
  <c r="F104" i="14"/>
  <c r="F17" i="5" s="1"/>
  <c r="R17" i="5" s="1"/>
  <c r="G96" i="14"/>
  <c r="F105" i="14"/>
  <c r="F101" i="14"/>
  <c r="F15" i="5" s="1"/>
  <c r="R15" i="5" s="1"/>
  <c r="G95" i="14"/>
  <c r="G101" i="14" s="1"/>
  <c r="G40" i="5"/>
  <c r="G48" i="5" s="1"/>
  <c r="G63" i="18" s="1"/>
  <c r="F18" i="5"/>
  <c r="F18" i="16" s="1"/>
  <c r="F16" i="16" s="1"/>
  <c r="H45" i="18"/>
  <c r="H45" i="14"/>
  <c r="F16" i="6" l="1"/>
  <c r="F15" i="7" s="1"/>
  <c r="F20" i="16"/>
  <c r="F22" i="16" s="1"/>
  <c r="K19" i="7"/>
  <c r="J17" i="18" s="1"/>
  <c r="R18" i="5"/>
  <c r="G104" i="14"/>
  <c r="G17" i="5" s="1"/>
  <c r="G105" i="14"/>
  <c r="G97" i="14"/>
  <c r="L48" i="9"/>
  <c r="L21" i="6"/>
  <c r="O40" i="9"/>
  <c r="O43" i="9" s="1"/>
  <c r="N35" i="9"/>
  <c r="N38" i="9" s="1"/>
  <c r="O30" i="9"/>
  <c r="O33" i="9" s="1"/>
  <c r="O25" i="9"/>
  <c r="O28" i="9" s="1"/>
  <c r="M45" i="9"/>
  <c r="O23" i="9"/>
  <c r="P20" i="9" s="1"/>
  <c r="H96" i="14"/>
  <c r="G18" i="5"/>
  <c r="G18" i="16" s="1"/>
  <c r="G16" i="16" s="1"/>
  <c r="H31" i="6"/>
  <c r="H23" i="7" s="1"/>
  <c r="H95" i="14"/>
  <c r="H105" i="14" s="1"/>
  <c r="H40" i="5"/>
  <c r="H48" i="5" s="1"/>
  <c r="I45" i="14"/>
  <c r="I45" i="18"/>
  <c r="H63" i="18" l="1"/>
  <c r="L19" i="7"/>
  <c r="K17" i="18" s="1"/>
  <c r="M48" i="9"/>
  <c r="M21" i="6"/>
  <c r="P40" i="9"/>
  <c r="O35" i="9"/>
  <c r="O38" i="9" s="1"/>
  <c r="P30" i="9"/>
  <c r="P33" i="9" s="1"/>
  <c r="P25" i="9"/>
  <c r="P28" i="9" s="1"/>
  <c r="N45" i="9"/>
  <c r="P23" i="9"/>
  <c r="H101" i="14"/>
  <c r="H104" i="14"/>
  <c r="H17" i="5" s="1"/>
  <c r="I96" i="14"/>
  <c r="H18" i="5"/>
  <c r="H18" i="16" s="1"/>
  <c r="H16" i="16" s="1"/>
  <c r="I31" i="6"/>
  <c r="H97" i="14"/>
  <c r="I95" i="14"/>
  <c r="I105" i="14" s="1"/>
  <c r="I40" i="5"/>
  <c r="I48" i="5" s="1"/>
  <c r="I63" i="18" s="1"/>
  <c r="J45" i="18"/>
  <c r="J45" i="14"/>
  <c r="P43" i="9"/>
  <c r="I23" i="7" l="1"/>
  <c r="M19" i="7"/>
  <c r="L17" i="18" s="1"/>
  <c r="N48" i="9"/>
  <c r="N21" i="6"/>
  <c r="P35" i="9"/>
  <c r="P38" i="9" s="1"/>
  <c r="O45" i="9"/>
  <c r="J96" i="14"/>
  <c r="I104" i="14"/>
  <c r="I17" i="5" s="1"/>
  <c r="I97" i="14"/>
  <c r="I101" i="14"/>
  <c r="J31" i="6"/>
  <c r="J23" i="7" s="1"/>
  <c r="I18" i="5"/>
  <c r="I18" i="16" s="1"/>
  <c r="I16" i="16" s="1"/>
  <c r="J95" i="14"/>
  <c r="J97" i="14" s="1"/>
  <c r="J40" i="5"/>
  <c r="J48" i="5" s="1"/>
  <c r="J63" i="18" s="1"/>
  <c r="K45" i="14"/>
  <c r="K45" i="18"/>
  <c r="N19" i="7" l="1"/>
  <c r="M17" i="18" s="1"/>
  <c r="O48" i="9"/>
  <c r="O21" i="6"/>
  <c r="P45" i="9"/>
  <c r="J104" i="14"/>
  <c r="J17" i="5" s="1"/>
  <c r="J105" i="14"/>
  <c r="K96" i="14"/>
  <c r="J101" i="14"/>
  <c r="K95" i="14"/>
  <c r="K104" i="14" s="1"/>
  <c r="K17" i="5" s="1"/>
  <c r="K40" i="5"/>
  <c r="K48" i="5" s="1"/>
  <c r="K63" i="18" s="1"/>
  <c r="K31" i="6"/>
  <c r="K23" i="7" s="1"/>
  <c r="J18" i="5"/>
  <c r="J18" i="16" s="1"/>
  <c r="J16" i="16" s="1"/>
  <c r="L45" i="14"/>
  <c r="L45" i="18"/>
  <c r="O19" i="7" l="1"/>
  <c r="N17" i="18" s="1"/>
  <c r="K105" i="14"/>
  <c r="P48" i="9"/>
  <c r="P21" i="6"/>
  <c r="P19" i="7" s="1"/>
  <c r="K101" i="14"/>
  <c r="L96" i="14"/>
  <c r="K97" i="14"/>
  <c r="L95" i="14"/>
  <c r="L104" i="14" s="1"/>
  <c r="L17" i="5" s="1"/>
  <c r="L40" i="5"/>
  <c r="L48" i="5" s="1"/>
  <c r="L63" i="18" s="1"/>
  <c r="K18" i="5"/>
  <c r="K18" i="16" s="1"/>
  <c r="K16" i="16" s="1"/>
  <c r="L31" i="6"/>
  <c r="L23" i="7" s="1"/>
  <c r="M45" i="14"/>
  <c r="M45" i="18"/>
  <c r="O17" i="18" l="1"/>
  <c r="L101" i="14"/>
  <c r="M96" i="14"/>
  <c r="L105" i="14"/>
  <c r="L97" i="14"/>
  <c r="L18" i="5"/>
  <c r="L18" i="16" s="1"/>
  <c r="L16" i="16" s="1"/>
  <c r="M31" i="6"/>
  <c r="M23" i="7" s="1"/>
  <c r="M95" i="14"/>
  <c r="M105" i="14" s="1"/>
  <c r="M40" i="5"/>
  <c r="M48" i="5" s="1"/>
  <c r="M63" i="18" s="1"/>
  <c r="O45" i="14"/>
  <c r="O45" i="18"/>
  <c r="N45" i="18"/>
  <c r="N45" i="14"/>
  <c r="M104" i="14" l="1"/>
  <c r="M17" i="5" s="1"/>
  <c r="O96" i="14"/>
  <c r="N96" i="14"/>
  <c r="M97" i="14"/>
  <c r="M101" i="14"/>
  <c r="N95" i="14"/>
  <c r="N101" i="14" s="1"/>
  <c r="N40" i="5"/>
  <c r="N48" i="5" s="1"/>
  <c r="N63" i="18" s="1"/>
  <c r="N31" i="6"/>
  <c r="N23" i="7" s="1"/>
  <c r="M18" i="5"/>
  <c r="M18" i="16" s="1"/>
  <c r="M16" i="16" s="1"/>
  <c r="O95" i="14"/>
  <c r="O101" i="14" s="1"/>
  <c r="O40" i="5"/>
  <c r="P48" i="5" s="1"/>
  <c r="O48" i="5" l="1"/>
  <c r="O104" i="14"/>
  <c r="O17" i="5" s="1"/>
  <c r="N105" i="14"/>
  <c r="N104" i="14"/>
  <c r="N17" i="5" s="1"/>
  <c r="O105" i="14"/>
  <c r="P31" i="6"/>
  <c r="O18" i="5"/>
  <c r="O18" i="16" s="1"/>
  <c r="O16" i="16" s="1"/>
  <c r="O97" i="14"/>
  <c r="N97" i="14"/>
  <c r="O31" i="6"/>
  <c r="O23" i="7" s="1"/>
  <c r="N18" i="5"/>
  <c r="N18" i="16" s="1"/>
  <c r="N16" i="16" s="1"/>
  <c r="O63" i="18" l="1"/>
  <c r="E64" i="18" s="1"/>
  <c r="Q48" i="5"/>
  <c r="P23" i="7"/>
  <c r="H13" i="6" l="1"/>
  <c r="I22" i="7" s="1"/>
  <c r="I13" i="6" l="1"/>
  <c r="J22" i="7" s="1"/>
  <c r="J13" i="6" l="1"/>
  <c r="K22" i="7" s="1"/>
  <c r="K13" i="6" l="1"/>
  <c r="L22" i="7" s="1"/>
  <c r="L13" i="6" l="1"/>
  <c r="M22" i="7" s="1"/>
  <c r="M13" i="6" l="1"/>
  <c r="N22" i="7" s="1"/>
  <c r="N13" i="6" l="1"/>
  <c r="O22" i="7" s="1"/>
  <c r="O13" i="6" l="1"/>
  <c r="P22" i="7" s="1"/>
  <c r="P13" i="6" l="1"/>
  <c r="H11" i="6" l="1"/>
  <c r="I11" i="6" l="1"/>
  <c r="J11" i="6" l="1"/>
  <c r="K11" i="6" l="1"/>
  <c r="L11" i="6" l="1"/>
  <c r="M11" i="6" l="1"/>
  <c r="N11" i="6" l="1"/>
  <c r="O11" i="6" l="1"/>
  <c r="P11" i="6" l="1"/>
  <c r="E88" i="9" l="1"/>
  <c r="E20" i="10" s="1"/>
  <c r="E21" i="10" s="1"/>
  <c r="E56" i="9"/>
  <c r="E26" i="10" l="1"/>
  <c r="F23" i="10" s="1"/>
  <c r="E25" i="10"/>
  <c r="F22" i="10" s="1"/>
  <c r="E24" i="10"/>
  <c r="E28" i="10" s="1"/>
  <c r="E33" i="10" s="1"/>
  <c r="G54" i="9"/>
  <c r="E87" i="9"/>
  <c r="E35" i="10" l="1"/>
  <c r="E40" i="10"/>
  <c r="E36" i="10"/>
  <c r="E41" i="10" s="1"/>
  <c r="E37" i="10" l="1"/>
  <c r="E29" i="5" s="1"/>
  <c r="E30" i="5" s="1"/>
  <c r="E42" i="10"/>
  <c r="E25" i="6" s="1"/>
  <c r="E29" i="6" s="1"/>
  <c r="E33" i="5" l="1"/>
  <c r="E35" i="5" s="1"/>
  <c r="E37" i="5" s="1"/>
  <c r="E38" i="5" s="1"/>
  <c r="E67" i="18"/>
  <c r="E12" i="6"/>
  <c r="E43" i="5"/>
  <c r="E47" i="5" s="1"/>
  <c r="F39" i="10"/>
  <c r="H54" i="9"/>
  <c r="E11" i="7"/>
  <c r="E16" i="7" s="1"/>
  <c r="E65" i="18" l="1"/>
  <c r="E61" i="18"/>
  <c r="E69" i="18"/>
  <c r="E19" i="6"/>
  <c r="E21" i="7"/>
  <c r="E27" i="7" s="1"/>
  <c r="E29" i="7" s="1"/>
  <c r="E30" i="7" s="1"/>
  <c r="F28" i="7" s="1"/>
  <c r="E33" i="6" l="1"/>
  <c r="E35" i="6" s="1"/>
  <c r="E36" i="6" s="1"/>
  <c r="E38" i="6" s="1"/>
  <c r="I54" i="9" l="1"/>
  <c r="J54" i="9" l="1"/>
  <c r="K54" i="9" l="1"/>
  <c r="L54" i="9" l="1"/>
  <c r="M54" i="9" l="1"/>
  <c r="N54" i="9" l="1"/>
  <c r="P54" i="9" l="1"/>
  <c r="G47" i="14" l="1"/>
  <c r="G92" i="14" l="1"/>
  <c r="G109" i="14" s="1"/>
  <c r="G53" i="14"/>
  <c r="I47" i="14"/>
  <c r="H47" i="14"/>
  <c r="J47" i="14" l="1"/>
  <c r="I53" i="14"/>
  <c r="I92" i="14"/>
  <c r="I109" i="14" s="1"/>
  <c r="H53" i="14"/>
  <c r="H92" i="14"/>
  <c r="H109" i="14" s="1"/>
  <c r="J92" i="14" l="1"/>
  <c r="J109" i="14" s="1"/>
  <c r="J53" i="14"/>
  <c r="K47" i="14"/>
  <c r="K92" i="14" l="1"/>
  <c r="K109" i="14" s="1"/>
  <c r="K53" i="14"/>
  <c r="L47" i="14"/>
  <c r="L53" i="14" l="1"/>
  <c r="L92" i="14"/>
  <c r="L109" i="14" s="1"/>
  <c r="M47" i="14"/>
  <c r="M53" i="14" l="1"/>
  <c r="M92" i="14"/>
  <c r="M109" i="14" s="1"/>
  <c r="O47" i="14"/>
  <c r="N47" i="14"/>
  <c r="N92" i="14" l="1"/>
  <c r="N109" i="14" s="1"/>
  <c r="N53" i="14"/>
  <c r="O92" i="14"/>
  <c r="O109" i="14" s="1"/>
  <c r="O53" i="14"/>
  <c r="O54" i="9"/>
  <c r="H8" i="4"/>
  <c r="I8" i="4" s="1"/>
  <c r="G10" i="4"/>
  <c r="G12" i="4"/>
  <c r="G58" i="4" s="1"/>
  <c r="F10" i="18" l="1"/>
  <c r="G81" i="4"/>
  <c r="G32" i="4"/>
  <c r="G33" i="4" s="1"/>
  <c r="G34" i="4" s="1"/>
  <c r="H12" i="4"/>
  <c r="H23" i="4" s="1"/>
  <c r="H24" i="4" s="1"/>
  <c r="F11" i="9"/>
  <c r="F14" i="9"/>
  <c r="F11" i="10"/>
  <c r="H11" i="9"/>
  <c r="H14" i="9"/>
  <c r="H105" i="9"/>
  <c r="H50" i="9"/>
  <c r="J8" i="4"/>
  <c r="I12" i="4"/>
  <c r="G23" i="4"/>
  <c r="G77" i="4"/>
  <c r="G62" i="4"/>
  <c r="G64" i="4" s="1"/>
  <c r="G19" i="5" s="1"/>
  <c r="G105" i="9"/>
  <c r="G50" i="9"/>
  <c r="G14" i="9"/>
  <c r="G75" i="4"/>
  <c r="G11" i="10"/>
  <c r="J12" i="4"/>
  <c r="K8" i="4"/>
  <c r="J10" i="4"/>
  <c r="I10" i="4"/>
  <c r="H10" i="4"/>
  <c r="H55" i="9" l="1"/>
  <c r="H58" i="4"/>
  <c r="H32" i="4"/>
  <c r="H33" i="4" s="1"/>
  <c r="H34" i="4" s="1"/>
  <c r="H62" i="4"/>
  <c r="H64" i="4" s="1"/>
  <c r="G10" i="18"/>
  <c r="H81" i="4"/>
  <c r="I10" i="18"/>
  <c r="J81" i="4"/>
  <c r="H75" i="4"/>
  <c r="H10" i="18"/>
  <c r="I81" i="4"/>
  <c r="H77" i="4"/>
  <c r="F79" i="9"/>
  <c r="F80" i="9" s="1"/>
  <c r="F34" i="9"/>
  <c r="F61" i="9"/>
  <c r="F62" i="9" s="1"/>
  <c r="F39" i="9"/>
  <c r="F44" i="9"/>
  <c r="F67" i="9"/>
  <c r="F68" i="9" s="1"/>
  <c r="F24" i="9"/>
  <c r="F85" i="9"/>
  <c r="F86" i="9" s="1"/>
  <c r="F73" i="9"/>
  <c r="F74" i="9" s="1"/>
  <c r="G69" i="9" s="1"/>
  <c r="G72" i="9" s="1"/>
  <c r="F55" i="9"/>
  <c r="H39" i="9"/>
  <c r="H44" i="9"/>
  <c r="H34" i="9"/>
  <c r="H29" i="9"/>
  <c r="I11" i="9"/>
  <c r="I50" i="9"/>
  <c r="I105" i="9"/>
  <c r="I14" i="9"/>
  <c r="H25" i="4"/>
  <c r="I23" i="4"/>
  <c r="I58" i="4"/>
  <c r="I75" i="4"/>
  <c r="I77" i="4"/>
  <c r="I32" i="4"/>
  <c r="I33" i="4" s="1"/>
  <c r="I34" i="4" s="1"/>
  <c r="I62" i="4"/>
  <c r="G34" i="9"/>
  <c r="G55" i="9"/>
  <c r="G85" i="9"/>
  <c r="G86" i="9" s="1"/>
  <c r="H81" i="9" s="1"/>
  <c r="H84" i="9" s="1"/>
  <c r="H85" i="9" s="1"/>
  <c r="H86" i="9" s="1"/>
  <c r="I81" i="9" s="1"/>
  <c r="I84" i="9" s="1"/>
  <c r="G110" i="9"/>
  <c r="G112" i="9" s="1"/>
  <c r="G61" i="9"/>
  <c r="G62" i="9" s="1"/>
  <c r="H57" i="9" s="1"/>
  <c r="H60" i="9" s="1"/>
  <c r="G68" i="9"/>
  <c r="H63" i="9" s="1"/>
  <c r="H66" i="9" s="1"/>
  <c r="H67" i="9" s="1"/>
  <c r="H68" i="9" s="1"/>
  <c r="I63" i="9" s="1"/>
  <c r="I66" i="9" s="1"/>
  <c r="G39" i="9"/>
  <c r="G73" i="9"/>
  <c r="G74" i="9" s="1"/>
  <c r="G44" i="9"/>
  <c r="G79" i="9"/>
  <c r="G80" i="9" s="1"/>
  <c r="H75" i="9" s="1"/>
  <c r="G24" i="4"/>
  <c r="G36" i="4"/>
  <c r="H56" i="9"/>
  <c r="R19" i="5"/>
  <c r="J11" i="9"/>
  <c r="J14" i="9"/>
  <c r="J50" i="9"/>
  <c r="J105" i="9"/>
  <c r="K10" i="4"/>
  <c r="K12" i="4"/>
  <c r="L8" i="4"/>
  <c r="J32" i="4"/>
  <c r="J58" i="4"/>
  <c r="J77" i="4"/>
  <c r="J23" i="4"/>
  <c r="J62" i="4"/>
  <c r="J75" i="4"/>
  <c r="H11" i="10"/>
  <c r="H38" i="4" l="1"/>
  <c r="J10" i="18"/>
  <c r="K81" i="4"/>
  <c r="H37" i="4"/>
  <c r="H72" i="4"/>
  <c r="H84" i="4" s="1"/>
  <c r="H22" i="5" s="1"/>
  <c r="H36" i="4"/>
  <c r="I67" i="9"/>
  <c r="I68" i="9" s="1"/>
  <c r="J63" i="9" s="1"/>
  <c r="J66" i="9" s="1"/>
  <c r="J67" i="9" s="1"/>
  <c r="J68" i="9" s="1"/>
  <c r="K63" i="9" s="1"/>
  <c r="H69" i="9"/>
  <c r="H72" i="9" s="1"/>
  <c r="H73" i="9" s="1"/>
  <c r="H74" i="9" s="1"/>
  <c r="I69" i="9" s="1"/>
  <c r="F88" i="9"/>
  <c r="F56" i="9"/>
  <c r="F87" i="9" s="1"/>
  <c r="I85" i="9"/>
  <c r="I86" i="9" s="1"/>
  <c r="J81" i="9" s="1"/>
  <c r="J84" i="9" s="1"/>
  <c r="J85" i="9" s="1"/>
  <c r="J86" i="9" s="1"/>
  <c r="K81" i="9" s="1"/>
  <c r="H78" i="9"/>
  <c r="H79" i="9" s="1"/>
  <c r="H80" i="9" s="1"/>
  <c r="I75" i="9" s="1"/>
  <c r="G113" i="9"/>
  <c r="H106" i="9" s="1"/>
  <c r="H109" i="9" s="1"/>
  <c r="I64" i="4"/>
  <c r="G37" i="4"/>
  <c r="G25" i="4"/>
  <c r="G23" i="5"/>
  <c r="I24" i="4"/>
  <c r="I37" i="4" s="1"/>
  <c r="I36" i="4"/>
  <c r="H61" i="9"/>
  <c r="G56" i="9"/>
  <c r="G87" i="9" s="1"/>
  <c r="G88" i="9"/>
  <c r="F20" i="10" s="1"/>
  <c r="I55" i="9"/>
  <c r="I56" i="9" s="1"/>
  <c r="I39" i="9"/>
  <c r="I44" i="9"/>
  <c r="I29" i="9"/>
  <c r="I34" i="9"/>
  <c r="J64" i="4"/>
  <c r="J34" i="9"/>
  <c r="J44" i="9"/>
  <c r="J55" i="9"/>
  <c r="J29" i="9"/>
  <c r="J39" i="9"/>
  <c r="M8" i="4"/>
  <c r="L10" i="4"/>
  <c r="L12" i="4"/>
  <c r="K14" i="9"/>
  <c r="K50" i="9"/>
  <c r="K11" i="9"/>
  <c r="K105" i="9"/>
  <c r="J24" i="4"/>
  <c r="J25" i="4" s="1"/>
  <c r="J36" i="4"/>
  <c r="K23" i="4"/>
  <c r="K62" i="4"/>
  <c r="K75" i="4"/>
  <c r="K32" i="4"/>
  <c r="K58" i="4"/>
  <c r="K77" i="4"/>
  <c r="I11" i="10"/>
  <c r="J33" i="4"/>
  <c r="J34" i="4" s="1"/>
  <c r="G14" i="7" l="1"/>
  <c r="H23" i="5"/>
  <c r="F23" i="5"/>
  <c r="G19" i="10"/>
  <c r="K10" i="18"/>
  <c r="L81" i="4"/>
  <c r="H88" i="9"/>
  <c r="G20" i="10" s="1"/>
  <c r="I78" i="9"/>
  <c r="I79" i="9" s="1"/>
  <c r="I80" i="9" s="1"/>
  <c r="J75" i="9" s="1"/>
  <c r="J78" i="9" s="1"/>
  <c r="J79" i="9" s="1"/>
  <c r="J80" i="9" s="1"/>
  <c r="K75" i="9" s="1"/>
  <c r="K78" i="9" s="1"/>
  <c r="K79" i="9" s="1"/>
  <c r="K80" i="9" s="1"/>
  <c r="L75" i="9" s="1"/>
  <c r="G72" i="4"/>
  <c r="G84" i="4" s="1"/>
  <c r="G38" i="4"/>
  <c r="I25" i="4"/>
  <c r="H110" i="9"/>
  <c r="H112" i="9" s="1"/>
  <c r="H111" i="9"/>
  <c r="H62" i="9"/>
  <c r="I57" i="9" s="1"/>
  <c r="I60" i="9" s="1"/>
  <c r="I61" i="9" s="1"/>
  <c r="I62" i="9" s="1"/>
  <c r="J57" i="9" s="1"/>
  <c r="J60" i="9" s="1"/>
  <c r="F19" i="10"/>
  <c r="K84" i="9"/>
  <c r="K85" i="9" s="1"/>
  <c r="K86" i="9" s="1"/>
  <c r="L81" i="9" s="1"/>
  <c r="K66" i="9"/>
  <c r="K67" i="9" s="1"/>
  <c r="K68" i="9" s="1"/>
  <c r="L63" i="9" s="1"/>
  <c r="J11" i="10"/>
  <c r="J72" i="4"/>
  <c r="J84" i="4" s="1"/>
  <c r="J22" i="5" s="1"/>
  <c r="J38" i="4"/>
  <c r="L23" i="4"/>
  <c r="L62" i="4"/>
  <c r="L75" i="4"/>
  <c r="L32" i="4"/>
  <c r="L58" i="4"/>
  <c r="L77" i="4"/>
  <c r="J56" i="9"/>
  <c r="K64" i="4"/>
  <c r="K36" i="4"/>
  <c r="K24" i="4"/>
  <c r="K25" i="4" s="1"/>
  <c r="J37" i="4"/>
  <c r="K29" i="9"/>
  <c r="K39" i="9"/>
  <c r="K34" i="9"/>
  <c r="K44" i="9"/>
  <c r="K55" i="9"/>
  <c r="G34" i="5"/>
  <c r="G14" i="18"/>
  <c r="L14" i="9"/>
  <c r="L50" i="9"/>
  <c r="L105" i="9"/>
  <c r="L11" i="9"/>
  <c r="M12" i="4"/>
  <c r="N8" i="4"/>
  <c r="M10" i="4"/>
  <c r="J23" i="5"/>
  <c r="K33" i="4"/>
  <c r="K34" i="4" s="1"/>
  <c r="I72" i="9"/>
  <c r="I73" i="9" s="1"/>
  <c r="I23" i="5" l="1"/>
  <c r="I14" i="7" s="1"/>
  <c r="F14" i="7"/>
  <c r="F22" i="6"/>
  <c r="F124" i="14"/>
  <c r="F125" i="14" s="1"/>
  <c r="F49" i="14" s="1"/>
  <c r="F51" i="14" s="1"/>
  <c r="R22" i="5"/>
  <c r="G22" i="5"/>
  <c r="L10" i="18"/>
  <c r="M81" i="4"/>
  <c r="H14" i="7"/>
  <c r="H19" i="10"/>
  <c r="H87" i="9"/>
  <c r="I88" i="9"/>
  <c r="H20" i="10" s="1"/>
  <c r="H113" i="9"/>
  <c r="I106" i="9" s="1"/>
  <c r="I109" i="9" s="1"/>
  <c r="I110" i="9" s="1"/>
  <c r="I112" i="9" s="1"/>
  <c r="F126" i="14"/>
  <c r="L64" i="4"/>
  <c r="I72" i="4"/>
  <c r="I84" i="4" s="1"/>
  <c r="I22" i="5" s="1"/>
  <c r="I38" i="4"/>
  <c r="R23" i="5"/>
  <c r="F34" i="5"/>
  <c r="F14" i="18"/>
  <c r="J61" i="9"/>
  <c r="J62" i="9" s="1"/>
  <c r="K57" i="9" s="1"/>
  <c r="K60" i="9" s="1"/>
  <c r="K61" i="9" s="1"/>
  <c r="K62" i="9" s="1"/>
  <c r="L57" i="9" s="1"/>
  <c r="L60" i="9" s="1"/>
  <c r="L61" i="9" s="1"/>
  <c r="L62" i="9" s="1"/>
  <c r="M57" i="9" s="1"/>
  <c r="M60" i="9" s="1"/>
  <c r="L78" i="9"/>
  <c r="L79" i="9" s="1"/>
  <c r="L80" i="9" s="1"/>
  <c r="M75" i="9" s="1"/>
  <c r="K56" i="9"/>
  <c r="I19" i="10"/>
  <c r="N12" i="4"/>
  <c r="O8" i="4"/>
  <c r="N10" i="4"/>
  <c r="L29" i="9"/>
  <c r="L39" i="9"/>
  <c r="L34" i="9"/>
  <c r="L44" i="9"/>
  <c r="L55" i="9"/>
  <c r="K38" i="4"/>
  <c r="K72" i="4"/>
  <c r="K84" i="4" s="1"/>
  <c r="K22" i="5" s="1"/>
  <c r="K11" i="10"/>
  <c r="M32" i="4"/>
  <c r="M58" i="4"/>
  <c r="M77" i="4"/>
  <c r="M23" i="4"/>
  <c r="M62" i="4"/>
  <c r="M75" i="4"/>
  <c r="L36" i="4"/>
  <c r="L24" i="4"/>
  <c r="L66" i="9"/>
  <c r="L67" i="9" s="1"/>
  <c r="L68" i="9" s="1"/>
  <c r="M63" i="9" s="1"/>
  <c r="M11" i="9"/>
  <c r="M14" i="9"/>
  <c r="M50" i="9"/>
  <c r="M105" i="9"/>
  <c r="I74" i="9"/>
  <c r="J69" i="9" s="1"/>
  <c r="K46" i="9"/>
  <c r="K23" i="5" s="1"/>
  <c r="K37" i="4"/>
  <c r="L33" i="4"/>
  <c r="L34" i="4" s="1"/>
  <c r="L84" i="9"/>
  <c r="L85" i="9" s="1"/>
  <c r="L86" i="9" s="1"/>
  <c r="M81" i="9" s="1"/>
  <c r="F23" i="6" l="1"/>
  <c r="G22" i="6"/>
  <c r="G49" i="14"/>
  <c r="G51" i="14" s="1"/>
  <c r="M10" i="18"/>
  <c r="N81" i="4"/>
  <c r="I111" i="9"/>
  <c r="H14" i="18"/>
  <c r="H34" i="5"/>
  <c r="L46" i="9"/>
  <c r="F14" i="5"/>
  <c r="F98" i="14"/>
  <c r="F106" i="14" s="1"/>
  <c r="M84" i="9"/>
  <c r="M85" i="9" s="1"/>
  <c r="M86" i="9" s="1"/>
  <c r="N81" i="9" s="1"/>
  <c r="M78" i="9"/>
  <c r="M79" i="9" s="1"/>
  <c r="M80" i="9" s="1"/>
  <c r="N75" i="9" s="1"/>
  <c r="M61" i="9"/>
  <c r="M62" i="9" s="1"/>
  <c r="N57" i="9" s="1"/>
  <c r="N60" i="9" s="1"/>
  <c r="I87" i="9"/>
  <c r="J19" i="10"/>
  <c r="J14" i="7"/>
  <c r="M64" i="4"/>
  <c r="L37" i="4"/>
  <c r="M33" i="4"/>
  <c r="M34" i="4" s="1"/>
  <c r="J49" i="14"/>
  <c r="J51" i="14" s="1"/>
  <c r="M34" i="9"/>
  <c r="M44" i="9"/>
  <c r="M55" i="9"/>
  <c r="M29" i="9"/>
  <c r="M39" i="9"/>
  <c r="M24" i="4"/>
  <c r="M37" i="4" s="1"/>
  <c r="M36" i="4"/>
  <c r="L56" i="9"/>
  <c r="O10" i="4"/>
  <c r="O12" i="4"/>
  <c r="P8" i="4"/>
  <c r="N11" i="9"/>
  <c r="N14" i="9"/>
  <c r="N50" i="9"/>
  <c r="N105" i="9"/>
  <c r="M66" i="9"/>
  <c r="M67" i="9" s="1"/>
  <c r="M68" i="9" s="1"/>
  <c r="N63" i="9" s="1"/>
  <c r="L25" i="4"/>
  <c r="L11" i="10"/>
  <c r="N32" i="4"/>
  <c r="N58" i="4"/>
  <c r="N77" i="4"/>
  <c r="N23" i="4"/>
  <c r="N62" i="4"/>
  <c r="N75" i="4"/>
  <c r="I34" i="5"/>
  <c r="I14" i="18"/>
  <c r="K19" i="10" l="1"/>
  <c r="L23" i="5"/>
  <c r="G23" i="6"/>
  <c r="G67" i="4" s="1"/>
  <c r="G68" i="4" s="1"/>
  <c r="G69" i="4" s="1"/>
  <c r="G21" i="5" s="1"/>
  <c r="G127" i="14" s="1"/>
  <c r="G128" i="14" s="1"/>
  <c r="H22" i="6"/>
  <c r="K14" i="7"/>
  <c r="I113" i="9"/>
  <c r="J106" i="9" s="1"/>
  <c r="J109" i="9" s="1"/>
  <c r="J110" i="9" s="1"/>
  <c r="J112" i="9" s="1"/>
  <c r="H49" i="14"/>
  <c r="H51" i="14" s="1"/>
  <c r="N10" i="18"/>
  <c r="O81" i="4"/>
  <c r="I49" i="14"/>
  <c r="I51" i="14" s="1"/>
  <c r="G14" i="5"/>
  <c r="G98" i="14"/>
  <c r="G106" i="14" s="1"/>
  <c r="H98" i="14"/>
  <c r="H106" i="14" s="1"/>
  <c r="H14" i="5"/>
  <c r="R14" i="5"/>
  <c r="G16" i="6"/>
  <c r="G15" i="7" s="1"/>
  <c r="F46" i="18"/>
  <c r="F47" i="18" s="1"/>
  <c r="N66" i="9"/>
  <c r="N67" i="9" s="1"/>
  <c r="N68" i="9" s="1"/>
  <c r="O63" i="9" s="1"/>
  <c r="N84" i="9"/>
  <c r="N85" i="9" s="1"/>
  <c r="N86" i="9" s="1"/>
  <c r="O81" i="9" s="1"/>
  <c r="N61" i="9"/>
  <c r="N62" i="9" s="1"/>
  <c r="O57" i="9" s="1"/>
  <c r="O60" i="9" s="1"/>
  <c r="N78" i="9"/>
  <c r="N79" i="9" s="1"/>
  <c r="N80" i="9" s="1"/>
  <c r="O75" i="9" s="1"/>
  <c r="O14" i="9"/>
  <c r="O50" i="9"/>
  <c r="O11" i="9"/>
  <c r="O105" i="9"/>
  <c r="O23" i="4"/>
  <c r="O62" i="4"/>
  <c r="O75" i="4"/>
  <c r="O32" i="4"/>
  <c r="O58" i="4"/>
  <c r="O77" i="4"/>
  <c r="N64" i="4"/>
  <c r="L38" i="4"/>
  <c r="L72" i="4"/>
  <c r="L84" i="4" s="1"/>
  <c r="L22" i="5" s="1"/>
  <c r="M56" i="9"/>
  <c r="K34" i="5"/>
  <c r="N33" i="4"/>
  <c r="N34" i="4" s="1"/>
  <c r="N24" i="4"/>
  <c r="N36" i="4"/>
  <c r="N34" i="9"/>
  <c r="N44" i="9"/>
  <c r="N55" i="9"/>
  <c r="N29" i="9"/>
  <c r="N39" i="9"/>
  <c r="P10" i="4"/>
  <c r="P12" i="4"/>
  <c r="M25" i="4"/>
  <c r="J14" i="18"/>
  <c r="J34" i="5"/>
  <c r="J72" i="9"/>
  <c r="J73" i="9" s="1"/>
  <c r="J88" i="9" s="1"/>
  <c r="I20" i="10" s="1"/>
  <c r="M11" i="10"/>
  <c r="M46" i="9"/>
  <c r="M23" i="5" s="1"/>
  <c r="J98" i="14"/>
  <c r="J106" i="14" s="1"/>
  <c r="J14" i="5"/>
  <c r="G86" i="4" l="1"/>
  <c r="I22" i="6"/>
  <c r="J22" i="6" s="1"/>
  <c r="K22" i="6" s="1"/>
  <c r="L22" i="6" s="1"/>
  <c r="M22" i="6" s="1"/>
  <c r="H23" i="6"/>
  <c r="H67" i="4" s="1"/>
  <c r="H68" i="4" s="1"/>
  <c r="H69" i="4" s="1"/>
  <c r="H21" i="5" s="1"/>
  <c r="H127" i="14" s="1"/>
  <c r="H128" i="14" s="1"/>
  <c r="K14" i="18"/>
  <c r="J111" i="9"/>
  <c r="O10" i="18"/>
  <c r="P81" i="4"/>
  <c r="I14" i="5"/>
  <c r="I98" i="14"/>
  <c r="I106" i="14" s="1"/>
  <c r="G46" i="18"/>
  <c r="G47" i="18" s="1"/>
  <c r="G50" i="18" s="1"/>
  <c r="H16" i="6"/>
  <c r="H15" i="7" s="1"/>
  <c r="J113" i="9"/>
  <c r="K106" i="9" s="1"/>
  <c r="K109" i="9" s="1"/>
  <c r="K110" i="9" s="1"/>
  <c r="K112" i="9" s="1"/>
  <c r="N37" i="4"/>
  <c r="R21" i="5"/>
  <c r="R24" i="5" s="1"/>
  <c r="F128" i="14"/>
  <c r="F48" i="18"/>
  <c r="F49" i="18" s="1"/>
  <c r="F24" i="5"/>
  <c r="F25" i="5" s="1"/>
  <c r="I16" i="6"/>
  <c r="H46" i="18"/>
  <c r="H47" i="18" s="1"/>
  <c r="H50" i="18" s="1"/>
  <c r="I23" i="6"/>
  <c r="I67" i="4" s="1"/>
  <c r="F50" i="18"/>
  <c r="G20" i="16"/>
  <c r="G87" i="4"/>
  <c r="G88" i="4"/>
  <c r="O78" i="9"/>
  <c r="O79" i="9" s="1"/>
  <c r="O80" i="9" s="1"/>
  <c r="P75" i="9" s="1"/>
  <c r="O66" i="9"/>
  <c r="O67" i="9" s="1"/>
  <c r="O68" i="9" s="1"/>
  <c r="P63" i="9" s="1"/>
  <c r="O84" i="9"/>
  <c r="O85" i="9" s="1"/>
  <c r="O86" i="9" s="1"/>
  <c r="P81" i="9" s="1"/>
  <c r="J46" i="18"/>
  <c r="J47" i="18" s="1"/>
  <c r="K16" i="6"/>
  <c r="L14" i="7"/>
  <c r="L19" i="10"/>
  <c r="P23" i="4"/>
  <c r="P62" i="4"/>
  <c r="P75" i="4"/>
  <c r="P32" i="4"/>
  <c r="P58" i="4"/>
  <c r="P77" i="4"/>
  <c r="J74" i="9"/>
  <c r="K69" i="9" s="1"/>
  <c r="N46" i="9"/>
  <c r="O29" i="9"/>
  <c r="O39" i="9"/>
  <c r="O34" i="9"/>
  <c r="O44" i="9"/>
  <c r="O55" i="9"/>
  <c r="P14" i="9"/>
  <c r="P50" i="9"/>
  <c r="P105" i="9"/>
  <c r="P11" i="9"/>
  <c r="M72" i="4"/>
  <c r="M84" i="4" s="1"/>
  <c r="M22" i="5" s="1"/>
  <c r="M38" i="4"/>
  <c r="N56" i="9"/>
  <c r="N25" i="4"/>
  <c r="O64" i="4"/>
  <c r="O36" i="4"/>
  <c r="O24" i="4"/>
  <c r="O25" i="4" s="1"/>
  <c r="N11" i="10"/>
  <c r="O11" i="10"/>
  <c r="K49" i="14"/>
  <c r="K51" i="14" s="1"/>
  <c r="O33" i="4"/>
  <c r="O34" i="4" s="1"/>
  <c r="O61" i="9"/>
  <c r="O62" i="9" s="1"/>
  <c r="P57" i="9" s="1"/>
  <c r="P60" i="9" s="1"/>
  <c r="H86" i="4" l="1"/>
  <c r="H87" i="4" s="1"/>
  <c r="N23" i="5"/>
  <c r="N22" i="6" s="1"/>
  <c r="I68" i="4"/>
  <c r="I69" i="4" s="1"/>
  <c r="I21" i="5" s="1"/>
  <c r="I127" i="14" s="1"/>
  <c r="I128" i="14" s="1"/>
  <c r="I15" i="7"/>
  <c r="K111" i="9"/>
  <c r="H32" i="6"/>
  <c r="H11" i="16"/>
  <c r="H20" i="16" s="1"/>
  <c r="H22" i="16" s="1"/>
  <c r="G16" i="18" s="1"/>
  <c r="J16" i="6"/>
  <c r="K15" i="7" s="1"/>
  <c r="I46" i="18"/>
  <c r="I47" i="18" s="1"/>
  <c r="I50" i="18" s="1"/>
  <c r="F51" i="18"/>
  <c r="F52" i="18" s="1"/>
  <c r="K113" i="9"/>
  <c r="L106" i="9" s="1"/>
  <c r="L109" i="9" s="1"/>
  <c r="L111" i="9" s="1"/>
  <c r="H88" i="4"/>
  <c r="G48" i="18"/>
  <c r="G24" i="5"/>
  <c r="G25" i="5" s="1"/>
  <c r="G22" i="16"/>
  <c r="F16" i="18" s="1"/>
  <c r="J23" i="6"/>
  <c r="I11" i="16"/>
  <c r="I20" i="16" s="1"/>
  <c r="I32" i="6"/>
  <c r="L110" i="9"/>
  <c r="L112" i="9" s="1"/>
  <c r="F41" i="5"/>
  <c r="F45" i="5" s="1"/>
  <c r="F42" i="5"/>
  <c r="F46" i="5" s="1"/>
  <c r="F12" i="18"/>
  <c r="F13" i="18" s="1"/>
  <c r="F15" i="18" s="1"/>
  <c r="F26" i="5"/>
  <c r="F28" i="5"/>
  <c r="F16" i="10" s="1"/>
  <c r="P64" i="4"/>
  <c r="P84" i="9"/>
  <c r="P85" i="9" s="1"/>
  <c r="P86" i="9" s="1"/>
  <c r="P66" i="9"/>
  <c r="P67" i="9" s="1"/>
  <c r="P68" i="9" s="1"/>
  <c r="K98" i="14"/>
  <c r="K106" i="14" s="1"/>
  <c r="K14" i="5"/>
  <c r="N72" i="4"/>
  <c r="N84" i="4" s="1"/>
  <c r="N22" i="5" s="1"/>
  <c r="N38" i="4"/>
  <c r="J87" i="9"/>
  <c r="P36" i="4"/>
  <c r="P24" i="4"/>
  <c r="P25" i="4" s="1"/>
  <c r="K32" i="6"/>
  <c r="K11" i="16"/>
  <c r="K20" i="16" s="1"/>
  <c r="O37" i="4"/>
  <c r="P33" i="4"/>
  <c r="P34" i="4" s="1"/>
  <c r="J50" i="18"/>
  <c r="P29" i="9"/>
  <c r="P39" i="9"/>
  <c r="P34" i="9"/>
  <c r="P44" i="9"/>
  <c r="P55" i="9"/>
  <c r="O46" i="9"/>
  <c r="L14" i="18"/>
  <c r="L34" i="5"/>
  <c r="P61" i="9"/>
  <c r="P62" i="9" s="1"/>
  <c r="O38" i="4"/>
  <c r="O72" i="4"/>
  <c r="O84" i="4" s="1"/>
  <c r="O22" i="5" s="1"/>
  <c r="O56" i="9"/>
  <c r="M14" i="7"/>
  <c r="M19" i="10"/>
  <c r="L49" i="14"/>
  <c r="L51" i="14" s="1"/>
  <c r="P78" i="9"/>
  <c r="P79" i="9" s="1"/>
  <c r="P80" i="9" s="1"/>
  <c r="O23" i="5" l="1"/>
  <c r="O22" i="6" s="1"/>
  <c r="I86" i="4"/>
  <c r="I88" i="4" s="1"/>
  <c r="J67" i="4"/>
  <c r="J68" i="4" s="1"/>
  <c r="J69" i="4" s="1"/>
  <c r="J15" i="7"/>
  <c r="I22" i="16"/>
  <c r="H16" i="18" s="1"/>
  <c r="I24" i="7"/>
  <c r="H24" i="7"/>
  <c r="J32" i="6"/>
  <c r="J24" i="7" s="1"/>
  <c r="J11" i="16"/>
  <c r="J20" i="16" s="1"/>
  <c r="K22" i="16" s="1"/>
  <c r="J16" i="18" s="1"/>
  <c r="F18" i="18"/>
  <c r="F57" i="18"/>
  <c r="F59" i="18"/>
  <c r="L113" i="9"/>
  <c r="M106" i="9" s="1"/>
  <c r="M109" i="9" s="1"/>
  <c r="M110" i="9" s="1"/>
  <c r="M112" i="9" s="1"/>
  <c r="I87" i="4"/>
  <c r="K23" i="6"/>
  <c r="G42" i="5"/>
  <c r="G46" i="5" s="1"/>
  <c r="G59" i="18" s="1"/>
  <c r="G28" i="5"/>
  <c r="G41" i="5"/>
  <c r="G45" i="5" s="1"/>
  <c r="G57" i="18" s="1"/>
  <c r="G26" i="5"/>
  <c r="G12" i="18"/>
  <c r="G13" i="18" s="1"/>
  <c r="G15" i="18" s="1"/>
  <c r="G18" i="18" s="1"/>
  <c r="F21" i="10"/>
  <c r="F32" i="10"/>
  <c r="H48" i="18"/>
  <c r="H24" i="5"/>
  <c r="H25" i="5" s="1"/>
  <c r="G51" i="18"/>
  <c r="G52" i="18" s="1"/>
  <c r="G49" i="18"/>
  <c r="P37" i="4"/>
  <c r="M34" i="5"/>
  <c r="M14" i="18"/>
  <c r="P56" i="9"/>
  <c r="L98" i="14"/>
  <c r="L106" i="14" s="1"/>
  <c r="L14" i="5"/>
  <c r="P38" i="4"/>
  <c r="P72" i="4"/>
  <c r="P84" i="4" s="1"/>
  <c r="P22" i="5" s="1"/>
  <c r="K72" i="9"/>
  <c r="K73" i="9" s="1"/>
  <c r="K88" i="9" s="1"/>
  <c r="J20" i="10" s="1"/>
  <c r="K46" i="18"/>
  <c r="K47" i="18" s="1"/>
  <c r="L16" i="6"/>
  <c r="L15" i="7" s="1"/>
  <c r="N19" i="10"/>
  <c r="N14" i="7"/>
  <c r="P46" i="9"/>
  <c r="P23" i="5" s="1"/>
  <c r="P22" i="6" l="1"/>
  <c r="P34" i="5"/>
  <c r="P14" i="7"/>
  <c r="J21" i="5"/>
  <c r="J127" i="14" s="1"/>
  <c r="J128" i="14" s="1"/>
  <c r="J86" i="4"/>
  <c r="J88" i="4" s="1"/>
  <c r="K67" i="4"/>
  <c r="K68" i="4" s="1"/>
  <c r="K69" i="4" s="1"/>
  <c r="G16" i="10"/>
  <c r="G32" i="10" s="1"/>
  <c r="K24" i="7"/>
  <c r="M111" i="9"/>
  <c r="M49" i="14"/>
  <c r="M51" i="14" s="1"/>
  <c r="J22" i="16"/>
  <c r="I16" i="18" s="1"/>
  <c r="N49" i="14"/>
  <c r="N51" i="14" s="1"/>
  <c r="N98" i="14" s="1"/>
  <c r="N106" i="14" s="1"/>
  <c r="O49" i="14"/>
  <c r="O51" i="14" s="1"/>
  <c r="H51" i="18"/>
  <c r="H52" i="18" s="1"/>
  <c r="H49" i="18"/>
  <c r="L23" i="6"/>
  <c r="K74" i="9"/>
  <c r="L69" i="9" s="1"/>
  <c r="I48" i="18"/>
  <c r="I24" i="5"/>
  <c r="I25" i="5" s="1"/>
  <c r="H28" i="5"/>
  <c r="H41" i="5"/>
  <c r="H45" i="5" s="1"/>
  <c r="H57" i="18" s="1"/>
  <c r="H12" i="18"/>
  <c r="H42" i="5"/>
  <c r="H46" i="5" s="1"/>
  <c r="H26" i="5"/>
  <c r="F25" i="10"/>
  <c r="G22" i="10" s="1"/>
  <c r="F24" i="10"/>
  <c r="F28" i="10" s="1"/>
  <c r="F33" i="10" s="1"/>
  <c r="F26" i="10"/>
  <c r="G23" i="10" s="1"/>
  <c r="O14" i="7"/>
  <c r="O19" i="10"/>
  <c r="N14" i="18"/>
  <c r="N34" i="5"/>
  <c r="L32" i="6"/>
  <c r="L24" i="7" s="1"/>
  <c r="L11" i="16"/>
  <c r="L20" i="16" s="1"/>
  <c r="L22" i="16" s="1"/>
  <c r="K16" i="18" s="1"/>
  <c r="M98" i="14"/>
  <c r="M106" i="14" s="1"/>
  <c r="M14" i="5"/>
  <c r="L46" i="18"/>
  <c r="L47" i="18" s="1"/>
  <c r="M16" i="6"/>
  <c r="M15" i="7" s="1"/>
  <c r="K50" i="18"/>
  <c r="N14" i="5"/>
  <c r="J87" i="4" l="1"/>
  <c r="K21" i="5"/>
  <c r="K127" i="14" s="1"/>
  <c r="K128" i="14" s="1"/>
  <c r="K86" i="4"/>
  <c r="L67" i="4"/>
  <c r="L68" i="4" s="1"/>
  <c r="L69" i="4" s="1"/>
  <c r="G21" i="10"/>
  <c r="G24" i="10" s="1"/>
  <c r="G28" i="10" s="1"/>
  <c r="G33" i="10" s="1"/>
  <c r="G40" i="10" s="1"/>
  <c r="H16" i="10"/>
  <c r="H21" i="10" s="1"/>
  <c r="M113" i="9"/>
  <c r="N106" i="9" s="1"/>
  <c r="N109" i="9" s="1"/>
  <c r="N111" i="9" s="1"/>
  <c r="P49" i="14"/>
  <c r="P51" i="14" s="1"/>
  <c r="K87" i="9"/>
  <c r="H59" i="18"/>
  <c r="N110" i="9"/>
  <c r="N112" i="9" s="1"/>
  <c r="N113" i="9" s="1"/>
  <c r="O106" i="9" s="1"/>
  <c r="O109" i="9" s="1"/>
  <c r="O110" i="9" s="1"/>
  <c r="O112" i="9" s="1"/>
  <c r="G26" i="10"/>
  <c r="H23" i="10" s="1"/>
  <c r="F36" i="10"/>
  <c r="F41" i="10" s="1"/>
  <c r="F40" i="10"/>
  <c r="H13" i="18"/>
  <c r="H15" i="18" s="1"/>
  <c r="H18" i="18" s="1"/>
  <c r="J48" i="18"/>
  <c r="J24" i="5"/>
  <c r="J25" i="5" s="1"/>
  <c r="I49" i="18"/>
  <c r="I51" i="18"/>
  <c r="I52" i="18" s="1"/>
  <c r="F35" i="10"/>
  <c r="M23" i="6"/>
  <c r="K88" i="4"/>
  <c r="K87" i="4"/>
  <c r="I28" i="5"/>
  <c r="I12" i="18"/>
  <c r="I41" i="5"/>
  <c r="I45" i="5" s="1"/>
  <c r="I57" i="18" s="1"/>
  <c r="I26" i="5"/>
  <c r="I42" i="5"/>
  <c r="I46" i="5" s="1"/>
  <c r="I59" i="18" s="1"/>
  <c r="L72" i="9"/>
  <c r="L73" i="9" s="1"/>
  <c r="L88" i="9" s="1"/>
  <c r="K20" i="10" s="1"/>
  <c r="M32" i="6"/>
  <c r="M24" i="7" s="1"/>
  <c r="M11" i="16"/>
  <c r="M20" i="16" s="1"/>
  <c r="M22" i="16" s="1"/>
  <c r="L16" i="18" s="1"/>
  <c r="O98" i="14"/>
  <c r="O106" i="14" s="1"/>
  <c r="O14" i="5"/>
  <c r="N46" i="18"/>
  <c r="N47" i="18" s="1"/>
  <c r="O16" i="6"/>
  <c r="L50" i="18"/>
  <c r="M46" i="18"/>
  <c r="M47" i="18" s="1"/>
  <c r="N16" i="6"/>
  <c r="N15" i="7" s="1"/>
  <c r="O34" i="5"/>
  <c r="O14" i="18"/>
  <c r="G25" i="10" l="1"/>
  <c r="H22" i="10" s="1"/>
  <c r="H24" i="10" s="1"/>
  <c r="H28" i="10" s="1"/>
  <c r="H33" i="10" s="1"/>
  <c r="H40" i="10" s="1"/>
  <c r="L21" i="5"/>
  <c r="L127" i="14" s="1"/>
  <c r="L128" i="14" s="1"/>
  <c r="L86" i="4"/>
  <c r="M67" i="4"/>
  <c r="M68" i="4" s="1"/>
  <c r="M69" i="4" s="1"/>
  <c r="M21" i="5" s="1"/>
  <c r="M127" i="14" s="1"/>
  <c r="M128" i="14" s="1"/>
  <c r="H25" i="10"/>
  <c r="I22" i="10" s="1"/>
  <c r="I16" i="10"/>
  <c r="I32" i="10" s="1"/>
  <c r="H32" i="10"/>
  <c r="O15" i="7"/>
  <c r="F37" i="10"/>
  <c r="F29" i="5" s="1"/>
  <c r="F30" i="5" s="1"/>
  <c r="F12" i="6" s="1"/>
  <c r="P14" i="5"/>
  <c r="P98" i="14"/>
  <c r="P106" i="14" s="1"/>
  <c r="O111" i="9"/>
  <c r="H26" i="10"/>
  <c r="I23" i="10" s="1"/>
  <c r="G35" i="10"/>
  <c r="F42" i="10"/>
  <c r="N23" i="6"/>
  <c r="J12" i="18"/>
  <c r="J42" i="5"/>
  <c r="J46" i="5" s="1"/>
  <c r="J59" i="18" s="1"/>
  <c r="J26" i="5"/>
  <c r="J28" i="5"/>
  <c r="J41" i="5"/>
  <c r="J45" i="5" s="1"/>
  <c r="J57" i="18" s="1"/>
  <c r="K48" i="18"/>
  <c r="K24" i="5"/>
  <c r="K25" i="5" s="1"/>
  <c r="J51" i="18"/>
  <c r="J52" i="18" s="1"/>
  <c r="J49" i="18"/>
  <c r="L87" i="4"/>
  <c r="L88" i="4"/>
  <c r="I13" i="18"/>
  <c r="I15" i="18" s="1"/>
  <c r="I18" i="18" s="1"/>
  <c r="O46" i="18"/>
  <c r="O47" i="18" s="1"/>
  <c r="P16" i="6"/>
  <c r="P15" i="7" s="1"/>
  <c r="L74" i="9"/>
  <c r="M69" i="9" s="1"/>
  <c r="N32" i="6"/>
  <c r="N24" i="7" s="1"/>
  <c r="N11" i="16"/>
  <c r="N20" i="16" s="1"/>
  <c r="N22" i="16" s="1"/>
  <c r="M16" i="18" s="1"/>
  <c r="O32" i="6"/>
  <c r="O11" i="16"/>
  <c r="O20" i="16" s="1"/>
  <c r="M50" i="18"/>
  <c r="N50" i="18"/>
  <c r="F19" i="6" l="1"/>
  <c r="N67" i="4"/>
  <c r="N68" i="4" s="1"/>
  <c r="N69" i="4" s="1"/>
  <c r="M86" i="4"/>
  <c r="M88" i="4" s="1"/>
  <c r="J16" i="10"/>
  <c r="J21" i="10" s="1"/>
  <c r="I21" i="10"/>
  <c r="I25" i="10" s="1"/>
  <c r="J22" i="10" s="1"/>
  <c r="F25" i="6"/>
  <c r="F21" i="7" s="1"/>
  <c r="O24" i="7"/>
  <c r="F43" i="5"/>
  <c r="F47" i="5" s="1"/>
  <c r="F11" i="7"/>
  <c r="F16" i="7" s="1"/>
  <c r="F33" i="5"/>
  <c r="F35" i="5" s="1"/>
  <c r="F37" i="5" s="1"/>
  <c r="F38" i="5" s="1"/>
  <c r="F67" i="18"/>
  <c r="G36" i="10"/>
  <c r="G41" i="10" s="1"/>
  <c r="O113" i="9"/>
  <c r="P106" i="9" s="1"/>
  <c r="P109" i="9" s="1"/>
  <c r="P110" i="9" s="1"/>
  <c r="P112" i="9" s="1"/>
  <c r="O22" i="16"/>
  <c r="N16" i="18" s="1"/>
  <c r="G39" i="10"/>
  <c r="H35" i="10"/>
  <c r="K41" i="5"/>
  <c r="K45" i="5" s="1"/>
  <c r="K57" i="18" s="1"/>
  <c r="K12" i="18"/>
  <c r="K13" i="18" s="1"/>
  <c r="K15" i="18" s="1"/>
  <c r="K18" i="18" s="1"/>
  <c r="K26" i="5"/>
  <c r="K42" i="5"/>
  <c r="K46" i="5" s="1"/>
  <c r="K59" i="18" s="1"/>
  <c r="K28" i="5"/>
  <c r="M87" i="4"/>
  <c r="K51" i="18"/>
  <c r="K52" i="18" s="1"/>
  <c r="K49" i="18"/>
  <c r="L24" i="5"/>
  <c r="L25" i="5" s="1"/>
  <c r="L48" i="18"/>
  <c r="O23" i="6"/>
  <c r="J13" i="18"/>
  <c r="J15" i="18" s="1"/>
  <c r="J18" i="18" s="1"/>
  <c r="P32" i="6"/>
  <c r="P24" i="7" s="1"/>
  <c r="P11" i="16"/>
  <c r="P20" i="16" s="1"/>
  <c r="P22" i="16" s="1"/>
  <c r="O16" i="18" s="1"/>
  <c r="O50" i="18"/>
  <c r="L87" i="9"/>
  <c r="F61" i="18" l="1"/>
  <c r="J25" i="10"/>
  <c r="K22" i="10" s="1"/>
  <c r="N21" i="5"/>
  <c r="N127" i="14" s="1"/>
  <c r="N128" i="14" s="1"/>
  <c r="N86" i="4"/>
  <c r="O67" i="4"/>
  <c r="O68" i="4" s="1"/>
  <c r="O69" i="4" s="1"/>
  <c r="J32" i="10"/>
  <c r="I24" i="10"/>
  <c r="I28" i="10" s="1"/>
  <c r="I33" i="10" s="1"/>
  <c r="K16" i="10"/>
  <c r="K21" i="10" s="1"/>
  <c r="I26" i="10"/>
  <c r="J23" i="10" s="1"/>
  <c r="J26" i="10" s="1"/>
  <c r="K23" i="10" s="1"/>
  <c r="F27" i="7"/>
  <c r="F29" i="7" s="1"/>
  <c r="F30" i="7" s="1"/>
  <c r="F33" i="6" s="1"/>
  <c r="F35" i="6" s="1"/>
  <c r="F29" i="6"/>
  <c r="P111" i="9"/>
  <c r="G37" i="10"/>
  <c r="G29" i="5" s="1"/>
  <c r="G30" i="5" s="1"/>
  <c r="F38" i="18"/>
  <c r="F39" i="18" s="1"/>
  <c r="G42" i="10"/>
  <c r="P113" i="9"/>
  <c r="P23" i="6"/>
  <c r="P67" i="4" s="1"/>
  <c r="P68" i="4" s="1"/>
  <c r="P69" i="4" s="1"/>
  <c r="P21" i="5" s="1"/>
  <c r="N88" i="4"/>
  <c r="N87" i="4"/>
  <c r="L28" i="5"/>
  <c r="L26" i="5"/>
  <c r="L12" i="18"/>
  <c r="L13" i="18" s="1"/>
  <c r="L15" i="18" s="1"/>
  <c r="L18" i="18" s="1"/>
  <c r="L41" i="5"/>
  <c r="L45" i="5" s="1"/>
  <c r="L57" i="18" s="1"/>
  <c r="L42" i="5"/>
  <c r="L46" i="5" s="1"/>
  <c r="L59" i="18" s="1"/>
  <c r="M24" i="5"/>
  <c r="M25" i="5" s="1"/>
  <c r="M48" i="18"/>
  <c r="L51" i="18"/>
  <c r="L52" i="18" s="1"/>
  <c r="L49" i="18"/>
  <c r="M72" i="9"/>
  <c r="M73" i="9" s="1"/>
  <c r="M88" i="9" s="1"/>
  <c r="L20" i="10" s="1"/>
  <c r="K32" i="10" l="1"/>
  <c r="G33" i="5"/>
  <c r="G35" i="5" s="1"/>
  <c r="G38" i="18" s="1"/>
  <c r="G39" i="18" s="1"/>
  <c r="G12" i="6"/>
  <c r="G67" i="18"/>
  <c r="F36" i="6"/>
  <c r="F38" i="6" s="1"/>
  <c r="J24" i="10"/>
  <c r="J28" i="10" s="1"/>
  <c r="J33" i="10" s="1"/>
  <c r="J40" i="10" s="1"/>
  <c r="O21" i="5"/>
  <c r="O86" i="4"/>
  <c r="O88" i="4" s="1"/>
  <c r="G28" i="7"/>
  <c r="K26" i="10"/>
  <c r="L23" i="10" s="1"/>
  <c r="K25" i="10"/>
  <c r="L22" i="10" s="1"/>
  <c r="K24" i="10"/>
  <c r="K28" i="10" s="1"/>
  <c r="K33" i="10" s="1"/>
  <c r="L16" i="10"/>
  <c r="L32" i="10" s="1"/>
  <c r="I40" i="10"/>
  <c r="I35" i="10"/>
  <c r="H39" i="10"/>
  <c r="G25" i="6"/>
  <c r="G21" i="7" s="1"/>
  <c r="G43" i="5"/>
  <c r="G47" i="5" s="1"/>
  <c r="G11" i="7"/>
  <c r="G16" i="7" s="1"/>
  <c r="H36" i="10"/>
  <c r="H41" i="10" s="1"/>
  <c r="P24" i="5"/>
  <c r="P25" i="5" s="1"/>
  <c r="P28" i="5" s="1"/>
  <c r="P16" i="10" s="1"/>
  <c r="P127" i="14"/>
  <c r="P128" i="14" s="1"/>
  <c r="P86" i="4"/>
  <c r="P88" i="4" s="1"/>
  <c r="M51" i="18"/>
  <c r="M52" i="18" s="1"/>
  <c r="M49" i="18"/>
  <c r="N24" i="5"/>
  <c r="N25" i="5" s="1"/>
  <c r="N48" i="18"/>
  <c r="M41" i="5"/>
  <c r="M45" i="5" s="1"/>
  <c r="M57" i="18" s="1"/>
  <c r="M12" i="18"/>
  <c r="M26" i="5"/>
  <c r="M28" i="5"/>
  <c r="M42" i="5"/>
  <c r="M46" i="5" s="1"/>
  <c r="M59" i="18" s="1"/>
  <c r="M74" i="9"/>
  <c r="N69" i="9" s="1"/>
  <c r="G37" i="5" l="1"/>
  <c r="G38" i="5" s="1"/>
  <c r="K35" i="10"/>
  <c r="K40" i="10"/>
  <c r="J35" i="10"/>
  <c r="L21" i="10"/>
  <c r="L25" i="10" s="1"/>
  <c r="M22" i="10" s="1"/>
  <c r="F69" i="18"/>
  <c r="F65" i="18"/>
  <c r="G19" i="6"/>
  <c r="G61" i="18"/>
  <c r="O87" i="4"/>
  <c r="H42" i="10"/>
  <c r="H25" i="6" s="1"/>
  <c r="O127" i="14"/>
  <c r="O128" i="14" s="1"/>
  <c r="O48" i="18"/>
  <c r="O24" i="5"/>
  <c r="O25" i="5" s="1"/>
  <c r="M16" i="10"/>
  <c r="M32" i="10" s="1"/>
  <c r="G29" i="6"/>
  <c r="G27" i="7"/>
  <c r="G29" i="7" s="1"/>
  <c r="G30" i="7" s="1"/>
  <c r="G33" i="6" s="1"/>
  <c r="G35" i="6" s="1"/>
  <c r="H37" i="10"/>
  <c r="H29" i="5" s="1"/>
  <c r="H30" i="5" s="1"/>
  <c r="H11" i="7" s="1"/>
  <c r="H16" i="7" s="1"/>
  <c r="P41" i="5"/>
  <c r="P45" i="5" s="1"/>
  <c r="P26" i="5"/>
  <c r="P42" i="5"/>
  <c r="P46" i="5" s="1"/>
  <c r="P87" i="4"/>
  <c r="P32" i="10"/>
  <c r="P21" i="10"/>
  <c r="L26" i="10"/>
  <c r="M23" i="10" s="1"/>
  <c r="N42" i="5"/>
  <c r="N46" i="5" s="1"/>
  <c r="N59" i="18" s="1"/>
  <c r="N12" i="18"/>
  <c r="N26" i="5"/>
  <c r="N28" i="5"/>
  <c r="N41" i="5"/>
  <c r="N45" i="5" s="1"/>
  <c r="N57" i="18" s="1"/>
  <c r="I39" i="10"/>
  <c r="M13" i="18"/>
  <c r="M15" i="18" s="1"/>
  <c r="M18" i="18" s="1"/>
  <c r="L24" i="10"/>
  <c r="L28" i="10" s="1"/>
  <c r="L33" i="10" s="1"/>
  <c r="L40" i="10" s="1"/>
  <c r="N49" i="18"/>
  <c r="N51" i="18"/>
  <c r="N52" i="18" s="1"/>
  <c r="M87" i="9"/>
  <c r="H29" i="6" l="1"/>
  <c r="H21" i="7"/>
  <c r="H27" i="7" s="1"/>
  <c r="H29" i="7" s="1"/>
  <c r="H12" i="6"/>
  <c r="I36" i="10"/>
  <c r="I41" i="10" s="1"/>
  <c r="I42" i="10" s="1"/>
  <c r="I25" i="6" s="1"/>
  <c r="I21" i="7" s="1"/>
  <c r="O28" i="5"/>
  <c r="O16" i="10" s="1"/>
  <c r="O26" i="5"/>
  <c r="O12" i="18"/>
  <c r="O13" i="18" s="1"/>
  <c r="O15" i="18" s="1"/>
  <c r="O18" i="18" s="1"/>
  <c r="O42" i="5"/>
  <c r="O46" i="5" s="1"/>
  <c r="O41" i="5"/>
  <c r="O45" i="5" s="1"/>
  <c r="O49" i="18"/>
  <c r="O51" i="18"/>
  <c r="O52" i="18" s="1"/>
  <c r="N16" i="10"/>
  <c r="N32" i="10" s="1"/>
  <c r="H28" i="7"/>
  <c r="G36" i="6"/>
  <c r="G38" i="6" s="1"/>
  <c r="H67" i="18"/>
  <c r="H33" i="5"/>
  <c r="H35" i="5" s="1"/>
  <c r="H38" i="18" s="1"/>
  <c r="H43" i="5"/>
  <c r="H47" i="5" s="1"/>
  <c r="L35" i="10"/>
  <c r="N13" i="18"/>
  <c r="N15" i="18" s="1"/>
  <c r="N18" i="18" s="1"/>
  <c r="N72" i="9"/>
  <c r="N73" i="9" s="1"/>
  <c r="N88" i="9" s="1"/>
  <c r="M20" i="10" s="1"/>
  <c r="M21" i="10" s="1"/>
  <c r="O32" i="10"/>
  <c r="D24" i="18" l="1"/>
  <c r="D22" i="18"/>
  <c r="G69" i="18"/>
  <c r="H19" i="6"/>
  <c r="G65" i="18"/>
  <c r="H61" i="18"/>
  <c r="O57" i="18"/>
  <c r="E58" i="18" s="1"/>
  <c r="Q45" i="5"/>
  <c r="O59" i="18"/>
  <c r="E60" i="18" s="1"/>
  <c r="Q46" i="5"/>
  <c r="I37" i="10"/>
  <c r="I29" i="5" s="1"/>
  <c r="I30" i="5" s="1"/>
  <c r="I11" i="7" s="1"/>
  <c r="I16" i="7" s="1"/>
  <c r="H30" i="7"/>
  <c r="I28" i="7" s="1"/>
  <c r="H37" i="5"/>
  <c r="H38" i="5" s="1"/>
  <c r="I29" i="6"/>
  <c r="I27" i="7"/>
  <c r="J36" i="10"/>
  <c r="J39" i="10"/>
  <c r="N74" i="9"/>
  <c r="O69" i="9" s="1"/>
  <c r="H39" i="18"/>
  <c r="M25" i="10"/>
  <c r="N22" i="10" s="1"/>
  <c r="M24" i="10"/>
  <c r="M28" i="10" s="1"/>
  <c r="M33" i="10" s="1"/>
  <c r="M26" i="10"/>
  <c r="N23" i="10" s="1"/>
  <c r="I12" i="6" l="1"/>
  <c r="I67" i="18"/>
  <c r="H33" i="6"/>
  <c r="H35" i="6" s="1"/>
  <c r="H36" i="6" s="1"/>
  <c r="H38" i="6" s="1"/>
  <c r="I43" i="5"/>
  <c r="I47" i="5" s="1"/>
  <c r="I61" i="18" s="1"/>
  <c r="I33" i="5"/>
  <c r="I35" i="5" s="1"/>
  <c r="I37" i="5" s="1"/>
  <c r="I38" i="5" s="1"/>
  <c r="I29" i="7"/>
  <c r="I30" i="7" s="1"/>
  <c r="J28" i="7" s="1"/>
  <c r="N87" i="9"/>
  <c r="J41" i="10"/>
  <c r="J42" i="10" s="1"/>
  <c r="J25" i="6" s="1"/>
  <c r="J37" i="10"/>
  <c r="J29" i="5" s="1"/>
  <c r="J30" i="5" s="1"/>
  <c r="O72" i="9"/>
  <c r="O73" i="9" s="1"/>
  <c r="O88" i="9" s="1"/>
  <c r="N20" i="10" s="1"/>
  <c r="N21" i="10" s="1"/>
  <c r="M35" i="10"/>
  <c r="M40" i="10"/>
  <c r="J21" i="7" l="1"/>
  <c r="J27" i="7" s="1"/>
  <c r="I38" i="18"/>
  <c r="F41" i="18" s="1"/>
  <c r="J12" i="6"/>
  <c r="H69" i="18"/>
  <c r="I19" i="6"/>
  <c r="H65" i="18"/>
  <c r="I33" i="6"/>
  <c r="I35" i="6" s="1"/>
  <c r="I36" i="6" s="1"/>
  <c r="J29" i="6"/>
  <c r="J11" i="7"/>
  <c r="J16" i="7" s="1"/>
  <c r="K36" i="10"/>
  <c r="K39" i="10"/>
  <c r="O74" i="9"/>
  <c r="J33" i="5"/>
  <c r="J35" i="5" s="1"/>
  <c r="J38" i="18" s="1"/>
  <c r="J43" i="5"/>
  <c r="J47" i="5" s="1"/>
  <c r="J61" i="18" s="1"/>
  <c r="J67" i="18"/>
  <c r="N25" i="10"/>
  <c r="O22" i="10" s="1"/>
  <c r="N24" i="10"/>
  <c r="N28" i="10" s="1"/>
  <c r="N33" i="10" s="1"/>
  <c r="N26" i="10"/>
  <c r="O23" i="10" s="1"/>
  <c r="I38" i="6" l="1"/>
  <c r="I39" i="18"/>
  <c r="J19" i="6"/>
  <c r="I65" i="18"/>
  <c r="I69" i="18"/>
  <c r="J29" i="7"/>
  <c r="J30" i="7" s="1"/>
  <c r="K28" i="7" s="1"/>
  <c r="O87" i="9"/>
  <c r="P69" i="9"/>
  <c r="P72" i="9" s="1"/>
  <c r="P73" i="9" s="1"/>
  <c r="P88" i="9" s="1"/>
  <c r="O20" i="10" s="1"/>
  <c r="O21" i="10" s="1"/>
  <c r="J37" i="5"/>
  <c r="J38" i="5" s="1"/>
  <c r="J39" i="18"/>
  <c r="K37" i="10"/>
  <c r="K29" i="5" s="1"/>
  <c r="K30" i="5" s="1"/>
  <c r="K11" i="7" s="1"/>
  <c r="K16" i="7" s="1"/>
  <c r="K41" i="10"/>
  <c r="K42" i="10" s="1"/>
  <c r="K25" i="6" s="1"/>
  <c r="N35" i="10"/>
  <c r="N40" i="10"/>
  <c r="J33" i="6" l="1"/>
  <c r="J35" i="6" s="1"/>
  <c r="J36" i="6" s="1"/>
  <c r="J38" i="6" s="1"/>
  <c r="K21" i="7"/>
  <c r="K27" i="7" s="1"/>
  <c r="K29" i="7" s="1"/>
  <c r="K30" i="7" s="1"/>
  <c r="L28" i="7" s="1"/>
  <c r="K12" i="6"/>
  <c r="K29" i="6"/>
  <c r="L39" i="10"/>
  <c r="L36" i="10"/>
  <c r="K43" i="5"/>
  <c r="K47" i="5" s="1"/>
  <c r="K61" i="18" s="1"/>
  <c r="K33" i="5"/>
  <c r="K35" i="5" s="1"/>
  <c r="K38" i="18" s="1"/>
  <c r="K67" i="18"/>
  <c r="P74" i="9"/>
  <c r="P87" i="9" s="1"/>
  <c r="O24" i="10"/>
  <c r="O28" i="10" s="1"/>
  <c r="O33" i="10" s="1"/>
  <c r="O26" i="10"/>
  <c r="P23" i="10" s="1"/>
  <c r="O25" i="10"/>
  <c r="P22" i="10" s="1"/>
  <c r="K19" i="6" l="1"/>
  <c r="J69" i="18"/>
  <c r="J65" i="18"/>
  <c r="K33" i="6"/>
  <c r="K35" i="6" s="1"/>
  <c r="K36" i="6" s="1"/>
  <c r="P24" i="10"/>
  <c r="P28" i="10" s="1"/>
  <c r="P33" i="10" s="1"/>
  <c r="P25" i="10"/>
  <c r="P26" i="10"/>
  <c r="K37" i="5"/>
  <c r="K38" i="5" s="1"/>
  <c r="K39" i="18"/>
  <c r="L41" i="10"/>
  <c r="L42" i="10" s="1"/>
  <c r="L25" i="6" s="1"/>
  <c r="L37" i="10"/>
  <c r="L29" i="5" s="1"/>
  <c r="L30" i="5" s="1"/>
  <c r="L11" i="7" s="1"/>
  <c r="L16" i="7" s="1"/>
  <c r="O35" i="10"/>
  <c r="O40" i="10"/>
  <c r="K38" i="6" l="1"/>
  <c r="L12" i="6"/>
  <c r="K65" i="18" s="1"/>
  <c r="L21" i="7"/>
  <c r="L27" i="7" s="1"/>
  <c r="L29" i="7" s="1"/>
  <c r="L30" i="7" s="1"/>
  <c r="M28" i="7" s="1"/>
  <c r="L19" i="6"/>
  <c r="L29" i="6"/>
  <c r="P40" i="10"/>
  <c r="P35" i="10"/>
  <c r="L43" i="5"/>
  <c r="L47" i="5" s="1"/>
  <c r="L61" i="18" s="1"/>
  <c r="L33" i="5"/>
  <c r="L35" i="5" s="1"/>
  <c r="L38" i="18" s="1"/>
  <c r="L67" i="18"/>
  <c r="M39" i="10"/>
  <c r="M36" i="10"/>
  <c r="K69" i="18" l="1"/>
  <c r="L33" i="6"/>
  <c r="L35" i="6" s="1"/>
  <c r="L36" i="6" s="1"/>
  <c r="L38" i="6" s="1"/>
  <c r="M37" i="10"/>
  <c r="M29" i="5" s="1"/>
  <c r="M30" i="5" s="1"/>
  <c r="M12" i="6" s="1"/>
  <c r="M41" i="10"/>
  <c r="M42" i="10" s="1"/>
  <c r="M25" i="6" s="1"/>
  <c r="L37" i="5"/>
  <c r="L38" i="5" s="1"/>
  <c r="L39" i="18"/>
  <c r="L69" i="18" l="1"/>
  <c r="M19" i="6"/>
  <c r="M21" i="7"/>
  <c r="M27" i="7" s="1"/>
  <c r="L65" i="18"/>
  <c r="M29" i="6"/>
  <c r="M11" i="7"/>
  <c r="M16" i="7" s="1"/>
  <c r="N36" i="10"/>
  <c r="N39" i="10"/>
  <c r="M33" i="5"/>
  <c r="M35" i="5" s="1"/>
  <c r="M38" i="18" s="1"/>
  <c r="M67" i="18"/>
  <c r="M43" i="5"/>
  <c r="M47" i="5" s="1"/>
  <c r="M61" i="18" s="1"/>
  <c r="M29" i="7" l="1"/>
  <c r="M30" i="7" s="1"/>
  <c r="N28" i="7" s="1"/>
  <c r="M37" i="5"/>
  <c r="M38" i="5" s="1"/>
  <c r="M39" i="18"/>
  <c r="N37" i="10"/>
  <c r="N29" i="5" s="1"/>
  <c r="N30" i="5" s="1"/>
  <c r="N41" i="10"/>
  <c r="N42" i="10" s="1"/>
  <c r="N25" i="6" s="1"/>
  <c r="M33" i="6" l="1"/>
  <c r="M35" i="6" s="1"/>
  <c r="M36" i="6" s="1"/>
  <c r="M38" i="6" s="1"/>
  <c r="N21" i="7"/>
  <c r="N27" i="7" s="1"/>
  <c r="N11" i="7"/>
  <c r="N16" i="7" s="1"/>
  <c r="N12" i="6"/>
  <c r="N29" i="6"/>
  <c r="O39" i="10"/>
  <c r="O36" i="10"/>
  <c r="N43" i="5"/>
  <c r="N47" i="5" s="1"/>
  <c r="N61" i="18" s="1"/>
  <c r="N33" i="5"/>
  <c r="N35" i="5" s="1"/>
  <c r="N38" i="18" s="1"/>
  <c r="N67" i="18"/>
  <c r="N29" i="7" l="1"/>
  <c r="N30" i="7" s="1"/>
  <c r="O28" i="7" s="1"/>
  <c r="N19" i="6"/>
  <c r="M69" i="18"/>
  <c r="M65" i="18"/>
  <c r="N37" i="5"/>
  <c r="N38" i="5" s="1"/>
  <c r="N39" i="18"/>
  <c r="O41" i="10"/>
  <c r="O42" i="10" s="1"/>
  <c r="O25" i="6" s="1"/>
  <c r="O37" i="10"/>
  <c r="O29" i="5" s="1"/>
  <c r="O30" i="5" s="1"/>
  <c r="O11" i="7" s="1"/>
  <c r="O16" i="7" s="1"/>
  <c r="N33" i="6" l="1"/>
  <c r="N35" i="6" s="1"/>
  <c r="N36" i="6" s="1"/>
  <c r="N38" i="6" s="1"/>
  <c r="O12" i="6"/>
  <c r="N69" i="18" s="1"/>
  <c r="O21" i="7"/>
  <c r="O27" i="7" s="1"/>
  <c r="O29" i="7" s="1"/>
  <c r="O30" i="7" s="1"/>
  <c r="P28" i="7" s="1"/>
  <c r="O29" i="6"/>
  <c r="P39" i="10"/>
  <c r="P36" i="10"/>
  <c r="O33" i="5"/>
  <c r="O35" i="5" s="1"/>
  <c r="O38" i="18" s="1"/>
  <c r="O43" i="5"/>
  <c r="O47" i="5" s="1"/>
  <c r="Q47" i="5" s="1"/>
  <c r="O67" i="18"/>
  <c r="E68" i="18" s="1"/>
  <c r="O19" i="6" l="1"/>
  <c r="N65" i="18"/>
  <c r="O33" i="6"/>
  <c r="O35" i="6" s="1"/>
  <c r="O36" i="6" s="1"/>
  <c r="P41" i="10"/>
  <c r="P42" i="10" s="1"/>
  <c r="P25" i="6" s="1"/>
  <c r="P37" i="10"/>
  <c r="P29" i="5" s="1"/>
  <c r="P30" i="5" s="1"/>
  <c r="O61" i="18"/>
  <c r="E62" i="18" s="1"/>
  <c r="O37" i="5"/>
  <c r="O38" i="5" s="1"/>
  <c r="O39" i="18"/>
  <c r="O38" i="6" l="1"/>
  <c r="P11" i="7"/>
  <c r="P16" i="7" s="1"/>
  <c r="P12" i="6"/>
  <c r="P29" i="6"/>
  <c r="P21" i="7"/>
  <c r="P27" i="7" s="1"/>
  <c r="P33" i="5"/>
  <c r="P35" i="5" s="1"/>
  <c r="P37" i="5" s="1"/>
  <c r="P38" i="5" s="1"/>
  <c r="P43" i="5"/>
  <c r="P47" i="5" s="1"/>
  <c r="P29" i="7" l="1"/>
  <c r="P30" i="7" s="1"/>
  <c r="P33" i="6" s="1"/>
  <c r="P35" i="6" s="1"/>
  <c r="P36" i="6" s="1"/>
  <c r="O69" i="18"/>
  <c r="E70" i="18" s="1"/>
  <c r="P19" i="6"/>
  <c r="O65" i="18"/>
  <c r="E66" i="18" s="1"/>
  <c r="P38" i="6" l="1"/>
  <c r="C38" i="6" s="1"/>
</calcChain>
</file>

<file path=xl/comments1.xml><?xml version="1.0" encoding="utf-8"?>
<comments xmlns="http://schemas.openxmlformats.org/spreadsheetml/2006/main">
  <authors>
    <author>Krunal Kansara</author>
  </authors>
  <commentList>
    <comment ref="D37" authorId="0" shapeId="0">
      <text>
        <r>
          <rPr>
            <b/>
            <sz val="9"/>
            <color indexed="81"/>
            <rFont val="Tahoma"/>
            <family val="2"/>
          </rPr>
          <t>Krunal Kansara:</t>
        </r>
        <r>
          <rPr>
            <sz val="9"/>
            <color indexed="81"/>
            <rFont val="Tahoma"/>
            <family val="2"/>
          </rPr>
          <t xml:space="preserve">
Per acre 0.5 lacs (2.5 acre per MW DC=2.5*36=90 Acre)
</t>
        </r>
      </text>
    </comment>
    <comment ref="E37" authorId="0" shapeId="0">
      <text>
        <r>
          <rPr>
            <b/>
            <sz val="9"/>
            <color indexed="81"/>
            <rFont val="Tahoma"/>
            <family val="2"/>
          </rPr>
          <t>Krunal Kansara:</t>
        </r>
        <r>
          <rPr>
            <sz val="9"/>
            <color indexed="81"/>
            <rFont val="Tahoma"/>
            <family val="2"/>
          </rPr>
          <t xml:space="preserve">
3 Lacs per WTG</t>
        </r>
      </text>
    </comment>
  </commentList>
</comments>
</file>

<file path=xl/sharedStrings.xml><?xml version="1.0" encoding="utf-8"?>
<sst xmlns="http://schemas.openxmlformats.org/spreadsheetml/2006/main" count="1048" uniqueCount="678">
  <si>
    <t>Particular</t>
  </si>
  <si>
    <t>Land Development Cost</t>
  </si>
  <si>
    <t>Building &amp; Civil Works</t>
  </si>
  <si>
    <t xml:space="preserve">Plant &amp; Machinery </t>
  </si>
  <si>
    <t>Electricity Infrastructure</t>
  </si>
  <si>
    <t>Vehicles</t>
  </si>
  <si>
    <t>Office equipment &amp; Furniture</t>
  </si>
  <si>
    <t>Solar Plant</t>
  </si>
  <si>
    <t>Wind Plant</t>
  </si>
  <si>
    <t>Hybrid</t>
  </si>
  <si>
    <t>Solar + Wind</t>
  </si>
  <si>
    <t>Input</t>
  </si>
  <si>
    <t>Date of Assessment</t>
  </si>
  <si>
    <t>Assessment_Date</t>
  </si>
  <si>
    <t>Start of Construction</t>
  </si>
  <si>
    <t>start_date</t>
  </si>
  <si>
    <t>Construction Period</t>
  </si>
  <si>
    <t>construction_period</t>
  </si>
  <si>
    <t>Completion Date</t>
  </si>
  <si>
    <t>Completion_date</t>
  </si>
  <si>
    <t>SCOD</t>
  </si>
  <si>
    <t>commerical</t>
  </si>
  <si>
    <t>Operating  Assumptions</t>
  </si>
  <si>
    <t>Value</t>
  </si>
  <si>
    <t>Unit</t>
  </si>
  <si>
    <t>No. of daily Operation Hours</t>
  </si>
  <si>
    <t>hours</t>
  </si>
  <si>
    <t>No. of days per Annum</t>
  </si>
  <si>
    <t>Days</t>
  </si>
  <si>
    <t xml:space="preserve">No. of Working days Per Annum </t>
  </si>
  <si>
    <t>Key Products</t>
  </si>
  <si>
    <t>Installed Capacity(MW)</t>
  </si>
  <si>
    <t>MW</t>
  </si>
  <si>
    <t>Capacity (KW)</t>
  </si>
  <si>
    <t>KW</t>
  </si>
  <si>
    <t>Plant load factor (PLF)</t>
  </si>
  <si>
    <t>%</t>
  </si>
  <si>
    <t>INR/Unit</t>
  </si>
  <si>
    <t>O &amp; M Expenses</t>
  </si>
  <si>
    <t>Insurance Expenses</t>
  </si>
  <si>
    <t>Escalation on O &amp; M Cost</t>
  </si>
  <si>
    <t>Yearly</t>
  </si>
  <si>
    <t>Lease rent for land</t>
  </si>
  <si>
    <t>Escalation on rent</t>
  </si>
  <si>
    <t>Every 3 Yearly</t>
  </si>
  <si>
    <t xml:space="preserve">Banking charges+ Transmission Charges +Fixed demand Charges </t>
  </si>
  <si>
    <t>per unit</t>
  </si>
  <si>
    <t>Escalation</t>
  </si>
  <si>
    <t>Percentage</t>
  </si>
  <si>
    <t>Taxation</t>
  </si>
  <si>
    <t>MAT</t>
  </si>
  <si>
    <t>years</t>
  </si>
  <si>
    <t>After 5 Year</t>
  </si>
  <si>
    <t xml:space="preserve">Corporate Tax Rate </t>
  </si>
  <si>
    <t>Surcharge</t>
  </si>
  <si>
    <t>Cess</t>
  </si>
  <si>
    <t>Applicable Tax Rate (%)</t>
  </si>
  <si>
    <t>Modeling Assumptions</t>
  </si>
  <si>
    <t>SOLAR PLANT</t>
  </si>
  <si>
    <t>WIND PLANT</t>
  </si>
  <si>
    <t>Degradation in PLF in First Year</t>
  </si>
  <si>
    <t>Degradation in PLF in Second Year and onwards</t>
  </si>
  <si>
    <t>(Revenue &amp; Expense Modelling)</t>
  </si>
  <si>
    <t>Year Ending (INR Crore)</t>
  </si>
  <si>
    <t>FY</t>
  </si>
  <si>
    <t>Year Counter</t>
  </si>
  <si>
    <t>Months Counter</t>
  </si>
  <si>
    <t>Number of day</t>
  </si>
  <si>
    <t>Number of Hours per day</t>
  </si>
  <si>
    <t>Revenue from Solar power plant</t>
  </si>
  <si>
    <t>Intalled Capacity (MW)</t>
  </si>
  <si>
    <t>Running Capacity (KW)</t>
  </si>
  <si>
    <t>Plant load factor</t>
  </si>
  <si>
    <t>(Degradation y-o-y)</t>
  </si>
  <si>
    <t>No. of units Producion (Yearly)</t>
  </si>
  <si>
    <t xml:space="preserve">Escalation </t>
  </si>
  <si>
    <t>O&amp;M expenses per MW</t>
  </si>
  <si>
    <t>Annual O&amp; M cost</t>
  </si>
  <si>
    <t>Lease rental per annum</t>
  </si>
  <si>
    <t>Revenue from Wind power plant</t>
  </si>
  <si>
    <t>Total O &amp; M expenses - Solar Power</t>
  </si>
  <si>
    <t>O &amp; M Expenses - Wind Power</t>
  </si>
  <si>
    <t>O &amp; M Expenses - Solar Power</t>
  </si>
  <si>
    <t>Operating Expenses</t>
  </si>
  <si>
    <t>Total O &amp; M expenses - Wind Power</t>
  </si>
  <si>
    <t>TOTAL HYBRID O &amp; M Expenses</t>
  </si>
  <si>
    <t>LEASE RENTAL - SOLAR PLANT</t>
  </si>
  <si>
    <t>LEASE RENTAL - WIND PLANT</t>
  </si>
  <si>
    <t>Lease rental expenses - Solar Plant</t>
  </si>
  <si>
    <t>Projected Lease rental expenses - Wind Plant</t>
  </si>
  <si>
    <t>TOTAL HYBRID Land Lease rental</t>
  </si>
  <si>
    <t>TOTAL HYBRID Insurance Expenses</t>
  </si>
  <si>
    <t>Banking Charges and Multi-Wheeling Charges</t>
  </si>
  <si>
    <t>SLDC Charges</t>
  </si>
  <si>
    <t>Transmission Charges</t>
  </si>
  <si>
    <t>Rs./MW/Day</t>
  </si>
  <si>
    <t>Every 5 Yearly</t>
  </si>
  <si>
    <t>Per Unit</t>
  </si>
  <si>
    <t>per MW Day</t>
  </si>
  <si>
    <t>A.</t>
  </si>
  <si>
    <t>B.</t>
  </si>
  <si>
    <t>C.</t>
  </si>
  <si>
    <t>D.</t>
  </si>
  <si>
    <t>OPERATING EXPENSES</t>
  </si>
  <si>
    <t>REVENUE MODELING</t>
  </si>
  <si>
    <t>Revenue</t>
  </si>
  <si>
    <t>Depreciation &amp; Amrtization</t>
  </si>
  <si>
    <t>Total Expenses</t>
  </si>
  <si>
    <t>EBIT</t>
  </si>
  <si>
    <t>Interest expenses</t>
  </si>
  <si>
    <t>Interest on term loan</t>
  </si>
  <si>
    <t>Profit before Taxes (PBT)</t>
  </si>
  <si>
    <t>Tax</t>
  </si>
  <si>
    <t>Profit after Taxes (PAT)</t>
  </si>
  <si>
    <t xml:space="preserve">LIABILITIES </t>
  </si>
  <si>
    <t>Equity</t>
  </si>
  <si>
    <t>Reserve &amp; Surplus</t>
  </si>
  <si>
    <t>Secured Loan</t>
  </si>
  <si>
    <t>Current Liabilities</t>
  </si>
  <si>
    <t>Trade Paybles</t>
  </si>
  <si>
    <t xml:space="preserve">Term liabilities payable within one year </t>
  </si>
  <si>
    <t>Other Current Liabilities</t>
  </si>
  <si>
    <t>Total</t>
  </si>
  <si>
    <t>Assets</t>
  </si>
  <si>
    <t>Land</t>
  </si>
  <si>
    <t>Plant &amp; Machinery</t>
  </si>
  <si>
    <t>Net Block</t>
  </si>
  <si>
    <t>Other Non Current Assets</t>
  </si>
  <si>
    <t>Total Non-Current Assets</t>
  </si>
  <si>
    <t>CURRENT ASSETS</t>
  </si>
  <si>
    <t>Trade Receivables</t>
  </si>
  <si>
    <t>Inventories</t>
  </si>
  <si>
    <t>Cash &amp; Cash Equivalent</t>
  </si>
  <si>
    <t>Other Current Assets</t>
  </si>
  <si>
    <t>Total Current Assets</t>
  </si>
  <si>
    <t xml:space="preserve">TOTAL </t>
  </si>
  <si>
    <t>Difference</t>
  </si>
  <si>
    <t xml:space="preserve">A. SOURCE OF FUND </t>
  </si>
  <si>
    <t xml:space="preserve">Net Profit </t>
  </si>
  <si>
    <t>Increase in TL</t>
  </si>
  <si>
    <t xml:space="preserve">Depreciation </t>
  </si>
  <si>
    <t>Trade paybles</t>
  </si>
  <si>
    <t xml:space="preserve">B. APPLICATION OF FUNDS </t>
  </si>
  <si>
    <t xml:space="preserve">Capital Expenses </t>
  </si>
  <si>
    <t xml:space="preserve">Decrease in Term Loan </t>
  </si>
  <si>
    <t>Trade Receivable</t>
  </si>
  <si>
    <t xml:space="preserve">Inventory </t>
  </si>
  <si>
    <t>Opening Balance</t>
  </si>
  <si>
    <t>Net Surplus/ Deficit</t>
  </si>
  <si>
    <t xml:space="preserve">Cumulative Balance </t>
  </si>
  <si>
    <t>2024-25</t>
  </si>
  <si>
    <t>Electricity Connection &amp; Infrastructure</t>
  </si>
  <si>
    <t>Office equipment</t>
  </si>
  <si>
    <t>Total WDV</t>
  </si>
  <si>
    <t xml:space="preserve">Total WDV Depreciation </t>
  </si>
  <si>
    <t>Depreciation Assumptions</t>
  </si>
  <si>
    <t>MAT Rate</t>
  </si>
  <si>
    <t>Normal Tax rate</t>
  </si>
  <si>
    <t>Profit before taxes</t>
  </si>
  <si>
    <t>Add: Exceptional items</t>
  </si>
  <si>
    <t>Add: Provision for foreign exchange fluctuations</t>
  </si>
  <si>
    <t>Add: Dep.as per Co Act</t>
  </si>
  <si>
    <t>Less: Dep. as per IT Act</t>
  </si>
  <si>
    <t>Adjusted PBT</t>
  </si>
  <si>
    <t>Losses B/F</t>
  </si>
  <si>
    <t>Unabsorbed Depreciation B/F</t>
  </si>
  <si>
    <t>Taxable Profits</t>
  </si>
  <si>
    <t>Losses C/F</t>
  </si>
  <si>
    <t>Unabsorbed Depreciation C/F</t>
  </si>
  <si>
    <t>Tax Liability as per normal provisions</t>
  </si>
  <si>
    <t>Tax Rate Business Income</t>
  </si>
  <si>
    <t>MAT Liability on book profits</t>
  </si>
  <si>
    <t>Tax Liability higher of two</t>
  </si>
  <si>
    <t>Less: Mat Credit set off</t>
  </si>
  <si>
    <t>Tax paid</t>
  </si>
  <si>
    <t>Opening</t>
  </si>
  <si>
    <t>Additions</t>
  </si>
  <si>
    <t>Utilized</t>
  </si>
  <si>
    <t>Cumulative MAT Credit</t>
  </si>
  <si>
    <t>TOTAL</t>
  </si>
  <si>
    <t>Capex</t>
  </si>
  <si>
    <t>Particulars</t>
  </si>
  <si>
    <t>Receivables</t>
  </si>
  <si>
    <t>Less: Transmission loses</t>
  </si>
  <si>
    <t>Insurance expense @0.1%</t>
  </si>
  <si>
    <t>Total NET BLOCK</t>
  </si>
  <si>
    <t>Total ASSET NET BLOCK AS PER BOOKS</t>
  </si>
  <si>
    <t>Net units Exported Annualy - Wind Power</t>
  </si>
  <si>
    <t>Net units Exported Annualy - Solar Power</t>
  </si>
  <si>
    <t>Total Net Units Exported Annually (Units in Lakhs)</t>
  </si>
  <si>
    <t>Total Net Units Generated Annually (Units in Lakhs)</t>
  </si>
  <si>
    <t>Total Transmission Loss (Units In Lakhs)</t>
  </si>
  <si>
    <t>Year Ending</t>
  </si>
  <si>
    <t>Less: 5% Transmission loses (Nos. of Units)</t>
  </si>
  <si>
    <t>(Projected Income Statement)</t>
  </si>
  <si>
    <t>(Projected Balance Sheet)</t>
  </si>
  <si>
    <t>(Projected Cash Flow Statement)</t>
  </si>
  <si>
    <t>Depreciation Schedule as per Income Tax Act</t>
  </si>
  <si>
    <t>Depreciation Schedule as per Company's Act, 2013</t>
  </si>
  <si>
    <t>(Projected Depreciation Schedule)</t>
  </si>
  <si>
    <t>(Projected Tax Calculation)</t>
  </si>
  <si>
    <t>Hybrid Plant</t>
  </si>
  <si>
    <t>per Day</t>
  </si>
  <si>
    <t>INR/YEAR</t>
  </si>
  <si>
    <t>Free O&amp;M period</t>
  </si>
  <si>
    <t>2 years</t>
  </si>
  <si>
    <t>of WDV</t>
  </si>
  <si>
    <t>Rs./Day</t>
  </si>
  <si>
    <t>Intalled Capacity (MW) - DC</t>
  </si>
  <si>
    <t>Financial Year</t>
  </si>
  <si>
    <t>66.20 MW Hybrid power project [41 MW DC Solar + 25.20 MW Wind] at Village: Vichhiyad, Taluka: Vagra, Dist: Bharuch, Gujarat - 392140.</t>
  </si>
  <si>
    <t>PVsyst - Simulation report dated 23/09/2024 Project: SPV Project at Vilayat Variant: Sai Bandhan_Fixed tilt 58.04 MWp_Emmvee_N type PV Module</t>
  </si>
  <si>
    <t>Tawanai Wind Resource Assessment Report</t>
  </si>
  <si>
    <t>KPI Green Energy Ltd - S120 2.1MWx14 - Vagra Final Report Mast: Sutrel Machine: Suzlon S120 2.1MW 1.225AD Hub Height: 140 m Rotor Diameter: 120 m Internal Locations: 14
External Locations: 87 Air Density Considered: 1.16 Kg/m^3</t>
  </si>
  <si>
    <t>Long Term Monthly Distribution, Net P50-P75-P90</t>
  </si>
  <si>
    <t>India is set to significantly boost its renewable energy investments, with a projected increase of 83% to approximately US$ 16.5 billion in 2024, as part of its strategy to transition to cleaner energy sources and reduce carbon emissions.
India is set to invest over US$ 360 billion in renewable energy and infrastructure by 2030, with US$ 190 billion to US$ 215 billion needed to achieve 500 GW of renewable capacity. An additional US$ 150 billion to US$ 170 billion will be required for electricity transmission and storage.
Brookfield Asset Management plans to boost its investments in India’s renewable energy sector to over US$ 10 billion in the next three to four years, also exploring electric vehicles and green hydrogen.
India's renewable energy sector set to attract over $250 billion in investments, with solar PV projects expecting $15.5 billion and battery manufacturing $2.7 billion.
The non-conventional energy space in India has become highly attractive for investors and received an FDI inflow of US$ 17.88 billion between April 2000-March 2024.
According to Moody's, India will require US$ 190 billion-US$ 215 billion of investment over the next seven years to achieve the target of 500 GW of renewable energy capacity by 2030, and another US$ 150 billion-US$ 170 billion for electricity transmission, distribution, and energy storage.
Radiance Renewables, an Indian renewable energy developer, and the UK's Private Infrastructure Development Group have formed a joint venture called Radiance InfraCo Renewables to develop greenfield solar and wind-solar hybrid projects for commercial and industrial clients in India, leveraging their expertise to support the country's transition towards its net-zero emissions target by 2070.
Maruti Suzuki India will invest Rs. 450 crore (US$ 54 million) over the next three years in renewable energy projects, including a biogas plant at Manesar and expanding solar capacity. The pilot biogas plant aims to produce 1 lakh cubic meters of biogas in FY 2024-25, offsetting 190 tonnes of CO2 annually. Solar capacity will grow from 43.2 MWp to 78.2 MWp by FY 2025-26, supporting Suzuki's 'Environment Vision 2050.'.
NTPC Green Energy Ltd. will invest Rs. 80,000 crore (US$ 9.59 billion) in Maharashtra for green hydrogen, ammonia, and methanol projects, including 2 GW pumped storage and up to 5 GW renewable energy projects, as part of a plan to build 60 GW renewable capacity by 2032.
On December 4, 2023, Andhra Pradesh announced Rs 6600 crore (US$ 794 million) clean energy and infrastructure expansion plans, including a 750 MW solar project, 100 MW solar plant, substation enhancements, collaborations with HPCL, Avera AI Mobility's electric vehicle expansion, and SECI contract for solar energy.
On January 4, 2024, Torrent Power signed four initial pacts with the Gujarat government to invest Rs 47,350 crore (US$ 5.70 billion) in renewable energy, green hydrogen, and electricity distribution. These investments are aimed at contributing to the state's development and creating employment opportunities.
On January 8, 2024, Tata Power announced a Rs 70,000 crore (US$ 8.42 billion) investment to develop 10 GW of solar and wind power capacity in Tamil Nadu over the next 5-7 years. This aligns with its goal of achieving 70% clean energy production by 2030.
In November 2023, AmpIn Energy Transition announced an investment of Rs. 3,100 crore (US$ 372.6 million) to establish renewable energy projects exceeding 600 MW and an integrated manufacturing facility for solar cells and modules across the Eastern region. The funding will be focused in West Bengal, Bihar, Odisha, Jharkhand, Chhattisgarh, and the Northeastern States.
Around US$ 2.8 trillion will be invested in energy in 2023 globally. More than US$ 1.7 trillion is going to clean energy, including renewable power, nuclear, grids, storage, low-emission fuels, efficiency improvements and end-use renewables and electrification.
US$ 2.4 billion National Hydrogen Mission for production of 5 MMT by 2030 and US$ 36 million additional in budget.
59 solar parks with an aggregate capacity 40 GW have been approved in India.
Solar Parks in Pavagada (2 GW), Kurnool (1 GW) and Bhadla-II (648 MW) are included in the top 5 operational solar parks of 7 GW capacity in the country.
The world’s largest renewable energy park of 30 GW capacity solar-wind hybrid project is under installation in Gujarat.
India offers a great opportunity for investments in the RE sector; $196.98 Bn worth of projects are underway in India.
Wind Energy has an offshore target of 30 GW by 2030 with 3 potential sites identified.</t>
  </si>
  <si>
    <t>66.20 MW Hybrid power project [41 MW DC Solar + 25.20 MW Wind]</t>
  </si>
  <si>
    <t>3RD FLOOR, 2137, BANSAL HOUSE, NR. GOLDEN ARC, ATABHAI CHOWK, Bhavnagar, BHAVNAGAR, Gujarat, India, 364002</t>
  </si>
  <si>
    <t>Under Saction 115BA</t>
  </si>
  <si>
    <t>This executive summary outlines the development of a 66.20 MW Hybrid Power Project (41 MW DC Solar + 25 MW Wind) at Village: Vichiyad, Taluka: Vagra, District: Bharuch, Gujarat, 392140. The project, initiated by M/s Sai Bandhan Infinium Limited, aims to harness solar &amp; Wind energy to meet the organization's growing electricity needs sustainably and to optimize the operation cost while taking the existing Rolling mill to full capacity.</t>
  </si>
  <si>
    <t>As a parent company M/s Sai Bandhan Infinium Limited has been venturing into shipping and ship-breaking industry since last 15 years. The company has forayed into integration with Bandhan TMX with the production capacity of 20,000 MT per month.</t>
  </si>
  <si>
    <t>As per the internal assessment done by the company, after 24 hours of operation of plant, it would be requiring more than 1.8 Crores units a month. Currently unit price is INR 5.96 per unit (subsidized rate as the plant operates only from 10 pm to 6 am) and as the company plans to operate the factory for 24 hours the charges will go up to INR 9.15 per unit. And therefore, the company has planned installation of hybrid wind - solar project to offset the electricity consumption while the plant operates for 3 shifts.</t>
  </si>
  <si>
    <t>Thus, the company can save up to INR 63.09 Crore by installing the proposed captive hybrid power plant. The primary objectives of the hybrid power plant is to reduce annual electricity cost by ~40%, decrease the carbon footprint by 30,000 tons per year, and ensure a reliable and renewable energy source for Sai Bandhan Infinium Limited's operations.</t>
  </si>
  <si>
    <t xml:space="preserve">Power plant will be implemented through appointment of EPC, for which company has signed an agreement with KPI Green Energy Ltd. dated 13th September 2024 for CPP vertical i.e. to design, develop, transfer and maintain the solar and wind hybrid power plant on behalf of M/s Sai Bandhan Infinium Limited as an industrial customer. According to which, estimated generated unit from the hybrid project would be 1459.15 lakhs in the initial year.
As per the agreement KPI will arrange the required land ~137.77 Acre at Renewable Energy Park for 66.20 MW Hybrid power project [41 MW DC Solar + 25.20 MW Wind] at Village: Vichhiyad, Taluka: Vagra, District: Bharuch, Gujarat – 392140 and sub-lease to Sai Bandhan. Grid Connectivity approval from GETCO for 140 MW Wind Solar hybrid power plant at 220/66 KV Wagra Substation has been taken by KPI Green Energy Ltd dated 02/11/2022.
The proposed captive hybrid power plant will be setting up with an initial investment of INR 467.62 Crore including EPC, IDC, Contingencies &amp; Preliminary &amp; Pre-operative expenses. The project is projected to achieve a return on investment (ROI) within 9.86 years. Annual savings on energy costs are estimated at ~INR 63.09 Crore, with a payback period of approximately 9.86 years.
The plant is expected to reduce CO2 emissions by 33,000 tons annually, contributing significantly to Sai Bandhan Infinium Limited's sustainability goals. Additionally, the project will create ~150 local jobs during the construction phase and ~25 permanent positions for ongoing operations &amp; maintenance. Plant is expected to be operational from 1st April, 2026 after having a 16 months implementation period from December 2024 to March 2026.
Thus, the proposed hybrid power plant represents a strategic investment in renewable energy, offering significant cost savings, environmental benefits, and alignment with Sai Bandhan Infinium Limited's sustainability objectives. We invite stakeholders to review the detailed project plan and support the initiative as we move forward with the implementation.
</t>
  </si>
  <si>
    <t>~75926 nos. of Solar Panel
540Wp of Bi-facial N-type Solar module from Waaree.</t>
  </si>
  <si>
    <t xml:space="preserve">Provisional Registration of Renewable Energy Project under Gujarat Renewable Energy Policy- 2023 from GUJARAT ENERGY DEVELOPMENT AGENCY (GEDA)
</t>
  </si>
  <si>
    <t>Certificate of Incorporation Consequent upon conversion to public company</t>
  </si>
  <si>
    <t xml:space="preserve">The company was incorporated to undertake and carry on the trader and business of shippers, breakers, ship repairers, shipping agents, broker, ship managers, tug owners, roading brokers, freight contractors, barge owners, lighter men, dredgers and forwarding agents, ship store merchants, ship husbands, stevedores, salvors, ship builders and ship repairers and to carry on business of breaking, cutting, dismantling of ship, steamers, trailers, steam launches, ocean going vessels, playing on water either by Company itself or through other arrangements whether on contract or job work basis. 
To carry on the business of manufacturing of and dealing in larc slabs, billets, ingots, squares, sheets by electro metallurgical process by operating induction are furnace of any other process and to manufacture, buy sell, import, export and dear in bars, sections, foils frats, rods, pipes, tubes, angles, channels, strips, plates, sheets, rails, nails, pins, coils, circles, nuts bolts, fasteners wire ropes, ferrous and nonferrous metal of all kinds and to conduct and carry on business of roiling, re-roiling, casting, welding, extruding, stretching, reducing forging, pressing, drawing, machining, grinding, processing working or finishing in any manner of all kinds of metals and alloys.
Under the same company, the Promoters have decided to set up the proposed captive 66.20 MW Hybrid power project [41 MW DC Solar + 25.20 MW Wind] at Village: Vichhiyad, Taluka: Vagra, District: Bharuch, Gujarat – 392140.
</t>
  </si>
  <si>
    <t>Shareholding of promoters dated 14th September, 2024 is as follows:</t>
  </si>
  <si>
    <t>for FY 2024-25 as on 14th September 2024</t>
  </si>
  <si>
    <t xml:space="preserve">Mr. ShivNarayan Bansal, aged 35 years, bearing PAN no. APOPB9420N is the appointed director from 29/08/2024. Mr. Shivnarayan Bansal has completed his graduation in Bachelor of Business from Latrobe University, Australia. He is having over 10 years of experience in various fields such as finance and ship recycling and off shore Industrial and other business activities. He is examining and advising on Purchase of Old ships and finalizes the deals with the suppliers. He is also guiding on off shore activities and is arranging finance for the business of the company. He plays a major role in providing strategic guidance to our Company. He will be supervising the functional heads and responsible for the overall operation and growth of our Company. </t>
  </si>
  <si>
    <t xml:space="preserve">  Regulatory Risks: Changes in government policies or reductions in subsidies could impact the financial viability of the solar project, affecting Sai Bandhan Infinium Limited’s profitability.
  Market Competition: Increased competition from other renewable energy sources or cheaper conventional energy options might affect the market share and pricing power of Sai Bandhan Infinium Limited.
  Technological Risks: Rapid changes in solar technology or issues with the reliability of the installed equipment could pose risks to the project’s performance and financial returns.
  Economic Fluctuations: Economic downturns could affect investment availability and delay project implementation or expansion plans.
</t>
  </si>
  <si>
    <t>The plant will feature high-efficiency solar panels with a combined capacity of 41 MW DC Solar (~75926 nos. of Solar Panel) 540Wp of Bi-facial N-type Solar module from Waaree and Suzlon S 120 – (2.1 X 12) 25.20 MW Wind turbine generator (WTG). It will utilize advanced photovoltaic (PV) technology and include a state-of-the-art monitoring system to optimize performance and maintenance.</t>
  </si>
  <si>
    <t>Proposed Power plant will be implemented through appointment of EPC, for which company has signed an agreement with KPI Green Energy Ltd. dated 13th September 2024 for CPP vertical i.e. to design, develop, transfer and maintain the solar and wind hybrid power plant on behalf of M/s Sai Bandhan Infinium Limited as an industrial customer.</t>
  </si>
  <si>
    <t xml:space="preserve">
21°52'53.3"N 72°50'13.0"E</t>
  </si>
  <si>
    <t>Solar</t>
  </si>
  <si>
    <t>Wind</t>
  </si>
  <si>
    <t>Per MW Cost</t>
  </si>
  <si>
    <t>whereas the Rs. 5-7cr for on shore projects were proposed for the older technology turbines with less hub height and small swept area as per design</t>
  </si>
  <si>
    <t xml:space="preserve">M/s Sai Bandhan Infinium Limited has executed an EPC/Techno-Commercial contract with KPI Green Energy Private Limited for Captive hybrid power plant for 25.20 WTG with 36% PLF &amp; 41 MW DC Solar 18.50% PLF.
KPI Green Energy Limited, is the solar and hybrid vertical of KP Group, a prominent Gujarat based solar and hybrid power generating company has been appointed an EPC through entering into a legal agreement dated 13th September 2024 who will be the solution provider for the proposed 66.20 MW hybrid project to implement on turnkey basis within 16 months of zero date for CPP vertical i.e. to design, develop, transfer and maintain the solar and wind hybrid power plant on behalf of M/s Sai Bandhan Infinium Limited as an industrial customer.
As per the EPC agreement, the proposed captive hybrid power plant will be setting up with an initial investment of INR 467.62 Crore including EPC, IDC, and Contingencies &amp; Preliminary &amp; Pre-operative expenses, which is proposed to be funded through a term loan of INR 350.71 Crore and promoter’s equity of INR 116.90 Crore. Plant is expected to be operational from 1st April, 2026 after having a 16 months implementation period from 1st December 2024 to 31st March 2026.
The proposed wind solar hybrid power plant will not be having major building and civil works. Only land development and foundation work will be there as per the requirement of WTG and PV modules. Out of total EPC cost of INR 433.35 Cr., INR ~5% i.e. INR 21.67 Cr. will be the cost of Civil work, which seems to be reasonable after considering the infrastructure of the plant. However we are relied upon the data/information and EPC agreement of KPI shared with us by the client in this regard. </t>
  </si>
  <si>
    <t xml:space="preserve">5. 
6. </t>
  </si>
  <si>
    <t>Thus, ~INR 7.06 Crore per MW is the expected CAPEX for the proposed 66.20 MW Wind Solar Hybrid power plant 
Per MW cost of Solar and Wind power plants are in the line with market trends. The cost of a 1 MW solar power plant in India is typically between ₹4 and ₹5 crores. The cost depends on several factors, including: Solar panels, Land, Balance of system (BOS) components, Installation challenges, Batteries. For reference Amplus Solar (https://amplussolar.com/blogs/1mw-solar-power-plant) and Waree (https://waaree.com/blog/5-mw-solar-power-energy-plant-in-india-profit-cost-land-requirement/) are known name in this field.
Similarly, According to a report by the Ministry of New and Renewable Energy in India, the capital cost of wind power projects in India ranges from INR 5.5 crore per MW to INR 6.5 crore per MW (approximately USD 750,000 to USD 880,000 per MW) for onshore wind projects, and from INR 8.5 crore per MW to INR 12 crore per MW (approximately USD 1.2 million to USD 1.6 million per MW) for offshore wind project. (https://www.linkedin.com/pulse/india-wind-energy-potential-quesrow#:~:text=According%20to%20a%20report%20by,INR%2012%20crore%20per%20MW%20).</t>
  </si>
  <si>
    <t>State Load Despatch Center</t>
  </si>
  <si>
    <t>M/s. Sai Infinium Limited</t>
  </si>
  <si>
    <t>Mat Credit Entitlement</t>
  </si>
  <si>
    <t>Change in MAT</t>
  </si>
  <si>
    <t>Transmission loss (Including Inhouse farm lossess)</t>
  </si>
  <si>
    <t>Forecasting &amp;
Scheduling</t>
  </si>
  <si>
    <t>INR/MW/Month</t>
  </si>
  <si>
    <t>GEDA Certification Charges</t>
  </si>
  <si>
    <t>INR/MW/Year</t>
  </si>
  <si>
    <t>Charges will vary every year as per GERC order</t>
  </si>
  <si>
    <t>GETCO Feeder Bay Maintenance Charges</t>
  </si>
  <si>
    <t>Approx.</t>
  </si>
  <si>
    <t>Forecasting &amp; Scheduling Charges</t>
  </si>
  <si>
    <t>Per MW Per Year</t>
  </si>
  <si>
    <t>Total Statuatory Fee &amp; Charges</t>
  </si>
  <si>
    <t>at Village: Sardharka Taluka: Wankaner Morbi District, State of Gujrat 363621</t>
  </si>
  <si>
    <t>at 66KVGangiyavadar substation of GETCO</t>
  </si>
  <si>
    <t>GUJARAT ENERGY TRANSMISSION CORPORATION LIMITED</t>
  </si>
  <si>
    <t>GETCO/R&amp;C/STAGE2000127</t>
  </si>
  <si>
    <t>The plant will feature high-efficiency solar panels with a combined capacity of 36 MW DC Solar (~62062 nos. of Solar PV Module) 580Wp of BiN-08-580 type Solar module from Waaree Energies Limited and Suzlon S 120 – (2.1 X 13) 27.30 MW Wind turbine generator (WTG)</t>
  </si>
  <si>
    <t>Specialize turnkey EPC solutions for Wind-Solar Hybrid projects with battery storage, serving IPP and C&amp;I clients under Capex, Captive, Group Captive, and 3rd PartySalesmodels.</t>
  </si>
  <si>
    <t>Forecasting &amp; Scheduling</t>
  </si>
  <si>
    <t>Amount per Unit</t>
  </si>
  <si>
    <t>GST%</t>
  </si>
  <si>
    <t>GST Amount</t>
  </si>
  <si>
    <t>Total Amount</t>
  </si>
  <si>
    <t>Supply of Solar Panel and construction of solar park with supply of PV panel Tier -1 Top Con, Inverter, all required, Inverter duty Transformer, Aux, transformer, LTDB, MMS, HT Cable, LT cable, DC cable, earthing cable, HDPE pipe, cable accessories, Earthing strip, Metering. Balance of Plant (Land, Permits, Approvals, Land, Fencing, Approach Road, Internal Line, Commissioning)</t>
  </si>
  <si>
    <t>Certificate of Incorporation pursuant to change of name</t>
  </si>
  <si>
    <t>the name of the company has been changed from SAI BANDHAN INFINIUM LIMITED to SAI INFINIUM
LIMITED with effect from the date of</t>
  </si>
  <si>
    <t>22°38'54.9"N 71°01'46.3"E</t>
  </si>
  <si>
    <t>at Village: Sardharka Taluka: Wankaner Morbi District</t>
  </si>
  <si>
    <t>BiN-08-580</t>
  </si>
  <si>
    <t xml:space="preserve">A. We shall Operate and Maintain the WTG/ Solar Plant for the first 2 years of operation from the date of commissioning, free of cost to the Buyer. This shall also include the provision of necessary spares and consumables.
B. We shall facilitate for necessary arrangements for a Complete Operation, Maintenance and Security Contract with the facility provider from the start of the 3rd year of operation from the date of commissioning to the end of the 25th year at the anticipated rates as mentioned.
C. From the beginning of the 3rd year from the date of commissioning to the end of the 10th year O&amp;M Expenses as per the below table.
</t>
  </si>
  <si>
    <t>In private free hold land, the registered lease deed shall be executed in favor of the customer before the commissioning of the project. Lease shall be 3.0 lacs per WTG per year with 7% escalation on every 3rd year basis start from 2nd year on wards and for solar 50k/ Acre/ Year with 7% escalation on every 3rd year basis start from 2nd year onwards. Balance all other documents like 7/12 extracts, NA Permissions, etc. shall be obtained after the commissioning of the project as per the government procedures and guidelines.</t>
  </si>
  <si>
    <t>11. Evacuation Arrangement and Grid Availability</t>
  </si>
  <si>
    <t xml:space="preserve">We shall arrange for adequate evacuation facilities for the project. The timely completion of the permanent power evacuation arrangement depends on various permissions from Government / Nodal Agency / DISCOM and also the Right of Way (ROW) by the local villagers. Accordingly, in case of any delay in the completion of the permanent power evacuation arrangement, we shall arrange for a temporary power evacuation for the commissioning of your project, subject to feasibility with the relevant agency.
Any change or levy of new charges, levies, duties or access shall be borne by Buyer at actual, as levied by any Government Authority from time to time. The buyer shall also agree to enter into an agreement with the concerned service provider for such O&amp;M as per their draft and terms &amp; conditions therein
</t>
  </si>
  <si>
    <t>The following are some of the prevailing Open Access Charges &amp; losses payable by the Buyer:</t>
  </si>
  <si>
    <t xml:space="preserve">end-to-end solution  provider in conventional wind and Large-scale PV Solar projects. </t>
  </si>
  <si>
    <t>https://operaenergy.in/</t>
  </si>
  <si>
    <t xml:space="preserve">O&amp;M WTG and Wind farm
O&amp;M of BoP Components
Scheduled Maintenance
Unscheduled Maintenance
O&amp;M of Substation
.
</t>
  </si>
  <si>
    <t>Sr. No.</t>
  </si>
  <si>
    <t>Year</t>
  </si>
  <si>
    <t>Project Location</t>
  </si>
  <si>
    <t>Type</t>
  </si>
  <si>
    <t xml:space="preserve">  Capacity (MW)</t>
  </si>
  <si>
    <t>2014 - 2018</t>
  </si>
  <si>
    <t>GJ - Dwarka</t>
  </si>
  <si>
    <t>2015 - 2016</t>
  </si>
  <si>
    <t>GJ - Bhatel</t>
  </si>
  <si>
    <t>2018 - 2020</t>
  </si>
  <si>
    <t>GJ - Jodiya</t>
  </si>
  <si>
    <t>2018 - 2019</t>
  </si>
  <si>
    <t>GJ - Amreli</t>
  </si>
  <si>
    <t>GJ - Jamjodhpur</t>
  </si>
  <si>
    <t>2019 - 2020</t>
  </si>
  <si>
    <t>GJ - Mandavi</t>
  </si>
  <si>
    <t>2019 - 2022</t>
  </si>
  <si>
    <t>GJ - Lakhpat</t>
  </si>
  <si>
    <t>2020 - 2021</t>
  </si>
  <si>
    <t>GJ - Khambhaliya</t>
  </si>
  <si>
    <t>Sub station</t>
  </si>
  <si>
    <t>2021 - 2022</t>
  </si>
  <si>
    <t>GJ - Gondal</t>
  </si>
  <si>
    <t>GJ - Rajkot</t>
  </si>
  <si>
    <t>GJ - Jamnagar</t>
  </si>
  <si>
    <t>GJ - Mahuva</t>
  </si>
  <si>
    <t>hybrid</t>
  </si>
  <si>
    <t>MH - Kallam</t>
  </si>
  <si>
    <t xml:space="preserve"> Solar</t>
  </si>
  <si>
    <t>2022 - 2023</t>
  </si>
  <si>
    <t>2022 – 2023</t>
  </si>
  <si>
    <t>ASSET UNDER MANAGEMENT (OPERATION &amp; MAINTENANCE)</t>
  </si>
  <si>
    <t>S. No</t>
  </si>
  <si>
    <t>Customer Name</t>
  </si>
  <si>
    <t>Solar / Wind</t>
  </si>
  <si>
    <t>Capacity in MW</t>
  </si>
  <si>
    <t>2020-21</t>
  </si>
  <si>
    <t>Envision Wind Power Service India Pvt Ltd (Owner Sprng Energy)</t>
  </si>
  <si>
    <t>2021-22</t>
  </si>
  <si>
    <t>Cleanmax Max Vent Power Pvt Ltd</t>
  </si>
  <si>
    <t>Tata Power Renewable Energy Ltd</t>
  </si>
  <si>
    <t>EPC PROJECT ON GOING</t>
  </si>
  <si>
    <t>2022-23</t>
  </si>
  <si>
    <t>PR No.: GEDA/PR/WSH/23-24/02/824/13</t>
  </si>
  <si>
    <t>Provisional Registration of Renewable Energy Project under Gujarat Renewable Energy Policy- 2023</t>
  </si>
  <si>
    <t>Wankaner, Gujarat Land Type Private Land</t>
  </si>
  <si>
    <t>No. of Available Locations</t>
  </si>
  <si>
    <t>13 Terrain Type Plain Terrain</t>
  </si>
  <si>
    <t>Soil Type</t>
  </si>
  <si>
    <t>Murrum &amp; Hard Rock Elevation Range (m) 85 to 125 m AMSL</t>
  </si>
  <si>
    <t>Land Type</t>
  </si>
  <si>
    <t>Terrain Type</t>
  </si>
  <si>
    <t>Elevation Range (m)</t>
  </si>
  <si>
    <t>Wankaner, Gujarat</t>
  </si>
  <si>
    <t>Private Land</t>
  </si>
  <si>
    <t>Plain Terrain</t>
  </si>
  <si>
    <t>Murrum &amp; Hard Rock</t>
  </si>
  <si>
    <t>85 to 125 m AMSL</t>
  </si>
  <si>
    <t>SITE DESCRIPTION</t>
  </si>
  <si>
    <t>No of WMS</t>
  </si>
  <si>
    <t>Wind Mast</t>
  </si>
  <si>
    <t>Wind mast Height</t>
  </si>
  <si>
    <t>Measurement Period</t>
  </si>
  <si>
    <t>Elevation</t>
  </si>
  <si>
    <t>Project Average WS at 140 m</t>
  </si>
  <si>
    <t>WPD at 140 m</t>
  </si>
  <si>
    <t>Temperature at 10 m</t>
  </si>
  <si>
    <t>Pressure at 10 m</t>
  </si>
  <si>
    <t>Air density</t>
  </si>
  <si>
    <t>Wind Shear</t>
  </si>
  <si>
    <t>Turbulence Intensity at 15 m/s</t>
  </si>
  <si>
    <t>Details</t>
  </si>
  <si>
    <t>Chitrakhada</t>
  </si>
  <si>
    <t>100 m</t>
  </si>
  <si>
    <t>Nov 2020 – Oct 2021</t>
  </si>
  <si>
    <t>119 m</t>
  </si>
  <si>
    <t>6.60 m/s</t>
  </si>
  <si>
    <t>266 W/m2</t>
  </si>
  <si>
    <t>27.1 oC</t>
  </si>
  <si>
    <t>977 mbar</t>
  </si>
  <si>
    <t>1.15 Kg/m3</t>
  </si>
  <si>
    <t>WIND CLIMATIC PARAMETERS</t>
  </si>
  <si>
    <t>Project: 36 MWp DC Solar</t>
  </si>
  <si>
    <t>PVsyst V7.2.8 VC0, Simulation date: 10/01/25</t>
  </si>
  <si>
    <t>Cost of generation of Generation of units (INR/Unit)</t>
  </si>
  <si>
    <t>Cost of generation of Export of units (INR/Unit)</t>
  </si>
  <si>
    <t>No. of Working Days in a year</t>
  </si>
  <si>
    <t>Nos.</t>
  </si>
  <si>
    <t>No. of Working Hours in a year</t>
  </si>
  <si>
    <t>Plant Capacity  Per Annum (TMT Bar)</t>
  </si>
  <si>
    <t>Plant Install Capacity (Existing)</t>
  </si>
  <si>
    <t>Plant Capacity  Per Annum</t>
  </si>
  <si>
    <t>In MT</t>
  </si>
  <si>
    <t>Full Machine Per Day Capacity</t>
  </si>
  <si>
    <t>Actual Capacity utilisation</t>
  </si>
  <si>
    <t>Yearly Production</t>
  </si>
  <si>
    <t>Plant Utilization Capacity Per Day</t>
  </si>
  <si>
    <t>Month</t>
  </si>
  <si>
    <t>TMT BAR</t>
  </si>
  <si>
    <t>Manufacturing</t>
  </si>
  <si>
    <t>Per Day</t>
  </si>
  <si>
    <t>TMT Bar Division</t>
  </si>
  <si>
    <t>Sales Price</t>
  </si>
  <si>
    <t>Total Sales</t>
  </si>
  <si>
    <t>Ship Breaking Activity (Direct Income)</t>
  </si>
  <si>
    <t>Real Estate Activity (Direct Income)</t>
  </si>
  <si>
    <t>Grand Total Sales</t>
  </si>
  <si>
    <t>Raw Material</t>
  </si>
  <si>
    <t>RM Cost</t>
  </si>
  <si>
    <t>Cost Price</t>
  </si>
  <si>
    <t>Billet / MS Pallet</t>
  </si>
  <si>
    <t>In INR</t>
  </si>
  <si>
    <t>Per MT</t>
  </si>
  <si>
    <t>Total Raw Materials  Cost</t>
  </si>
  <si>
    <t>Power &amp; Fuel</t>
  </si>
  <si>
    <t>Monthly Expense</t>
  </si>
  <si>
    <t>INR/MT</t>
  </si>
  <si>
    <t>Available Annual Months</t>
  </si>
  <si>
    <t>Total Yearly Expense</t>
  </si>
  <si>
    <t>INR Lacs/Annum</t>
  </si>
  <si>
    <t>Direct Labour</t>
  </si>
  <si>
    <t>Skilled Staff</t>
  </si>
  <si>
    <t>Nos</t>
  </si>
  <si>
    <t>Semi-Skilled Staff</t>
  </si>
  <si>
    <t>Unskilled Staff</t>
  </si>
  <si>
    <t>Monthly Wages</t>
  </si>
  <si>
    <t>INR/PM</t>
  </si>
  <si>
    <t>Yearly Wages</t>
  </si>
  <si>
    <t>Production Manager</t>
  </si>
  <si>
    <t>INR/ANNUM</t>
  </si>
  <si>
    <t>Salary &amp; Employee Benefits</t>
  </si>
  <si>
    <t>Sales &amp; Marketing</t>
  </si>
  <si>
    <t>Commercial Manager</t>
  </si>
  <si>
    <t>HR &amp; Accounting Staff</t>
  </si>
  <si>
    <t>Technical Director</t>
  </si>
  <si>
    <t>Total Employee</t>
  </si>
  <si>
    <t>Monthly Salaries</t>
  </si>
  <si>
    <t>Monthly Salary</t>
  </si>
  <si>
    <t>Emloyee Salary &amp; Benfits</t>
  </si>
  <si>
    <t>FINAL SUMMARY</t>
  </si>
  <si>
    <t>Net Sales</t>
  </si>
  <si>
    <t>Base</t>
  </si>
  <si>
    <t>RM Consume</t>
  </si>
  <si>
    <t>Stores &amp; Spares</t>
  </si>
  <si>
    <t>Jobwork Expenses</t>
  </si>
  <si>
    <t>Direct Expenses</t>
  </si>
  <si>
    <t>Rent Expenses</t>
  </si>
  <si>
    <t>Selling &amp; Admin Expneses</t>
  </si>
  <si>
    <t>Freight Outward</t>
  </si>
  <si>
    <t>POWER CONSUMTION</t>
  </si>
  <si>
    <t>Existing</t>
  </si>
  <si>
    <t>Proposed</t>
  </si>
  <si>
    <t>Installed power capicity(in KVA)</t>
  </si>
  <si>
    <t>Divesity factor</t>
  </si>
  <si>
    <t>Average KVA</t>
  </si>
  <si>
    <t>No. of working days</t>
  </si>
  <si>
    <t>No. of working hrs per day</t>
  </si>
  <si>
    <t>capicity utilizaton</t>
  </si>
  <si>
    <t>Units to be consumed</t>
  </si>
  <si>
    <t>Rate per unit</t>
  </si>
  <si>
    <t>TOTAL MONTHLY EXP</t>
  </si>
  <si>
    <r>
      <t>(</t>
    </r>
    <r>
      <rPr>
        <b/>
        <sz val="11"/>
        <color indexed="9"/>
        <rFont val="Calibri"/>
        <family val="2"/>
        <scheme val="minor"/>
      </rPr>
      <t>In Lakhs)</t>
    </r>
  </si>
  <si>
    <t>Net units to be purchsed from DISCOM</t>
  </si>
  <si>
    <t xml:space="preserve">Ship Breaking </t>
  </si>
  <si>
    <t>%age of Sales</t>
  </si>
  <si>
    <t>O&amp;M Charges for Hybrid Plant</t>
  </si>
  <si>
    <t>Statuatory Fee &amp; Charges (For hybrid Plant)</t>
  </si>
  <si>
    <t>Lease Rentals for land for hybrid plant</t>
  </si>
  <si>
    <t>Units to be exported from Hybrid plant</t>
  </si>
  <si>
    <t>Other Long term liabilities</t>
  </si>
  <si>
    <t>Property, Plant and equipment</t>
  </si>
  <si>
    <t>Capital Work in Progress</t>
  </si>
  <si>
    <t>Goodwill</t>
  </si>
  <si>
    <t>Other non Current Assets</t>
  </si>
  <si>
    <t>(Projected Working Capital )</t>
  </si>
  <si>
    <t>Finished Goods</t>
  </si>
  <si>
    <t>Raw Material inventory</t>
  </si>
  <si>
    <t>CURRENT LIABILTIES</t>
  </si>
  <si>
    <t>Creditors for goods</t>
  </si>
  <si>
    <t>Creditor for Expenses</t>
  </si>
  <si>
    <t>WORKING CAPITAL GAP</t>
  </si>
  <si>
    <t>Audited</t>
  </si>
  <si>
    <t>Projected</t>
  </si>
  <si>
    <t>Total Expenses (Excluding Freight Outward)</t>
  </si>
  <si>
    <t>+ Addition during the year</t>
  </si>
  <si>
    <t>-Disposal During the year</t>
  </si>
  <si>
    <t>Clsoing as at year end</t>
  </si>
  <si>
    <t>Total GROSS BLOCK</t>
  </si>
  <si>
    <t>Less: Depreciation fund</t>
  </si>
  <si>
    <t>As per company</t>
  </si>
  <si>
    <t>As per IT</t>
  </si>
  <si>
    <t>DEPRECIATION ASSUMPTIONS</t>
  </si>
  <si>
    <t>Business Projections</t>
  </si>
  <si>
    <t>(ASSUMPTIONS/VARIABLES) - STEEL PLANT</t>
  </si>
  <si>
    <t>Manufacturing Expenses</t>
  </si>
  <si>
    <t>Cost of materials consumed</t>
  </si>
  <si>
    <t>Other expenses</t>
  </si>
  <si>
    <t>Estimated</t>
  </si>
  <si>
    <t>PARAMETER</t>
  </si>
  <si>
    <t>Missc. Assets &amp; Equipments</t>
  </si>
  <si>
    <t>Missc. Assets</t>
  </si>
  <si>
    <t>Less: Consession</t>
  </si>
  <si>
    <t>Sub Total Including Land</t>
  </si>
  <si>
    <t>Sub Total Excluding Land</t>
  </si>
  <si>
    <t>Pre-Operative Expenses</t>
  </si>
  <si>
    <t>Contigencies</t>
  </si>
  <si>
    <t>IDC Cost</t>
  </si>
  <si>
    <t>Margin Money for Working Capital</t>
  </si>
  <si>
    <t>Total Project Cost</t>
  </si>
  <si>
    <t>MEANS OF FINANCE</t>
  </si>
  <si>
    <t>Term Loan</t>
  </si>
  <si>
    <t>Investment By the Company</t>
  </si>
  <si>
    <t>Internal Accruals</t>
  </si>
  <si>
    <t>Total Cost of Project</t>
  </si>
  <si>
    <t>Building &amp; Plant &amp; Machinery (Inc. GST)</t>
  </si>
  <si>
    <t>IPO Proceeds (Share capital + Share Premium)</t>
  </si>
  <si>
    <t xml:space="preserve"> Depreciation - Land</t>
  </si>
  <si>
    <t>Increase in Equity / Share Capital/USL/IPO</t>
  </si>
  <si>
    <t>COST OF PROJECT</t>
  </si>
  <si>
    <t>* Survey numbers of land shall be provided once the EPC agreement is executed with EPC partner.</t>
  </si>
  <si>
    <t>Leasehold Land</t>
  </si>
  <si>
    <t>Total Cost (INR Lakhs)</t>
  </si>
  <si>
    <t>Working hours per day</t>
  </si>
  <si>
    <t>Capacity Utilization</t>
  </si>
  <si>
    <t>In lakhs</t>
  </si>
  <si>
    <t>Monthly electricity Cost (RS. Lakhs)</t>
  </si>
  <si>
    <t>Saving in Electricity cost (Rs. lakhs per month)</t>
  </si>
  <si>
    <t>Cost of generation of electricity (Rs. lakhs per month)</t>
  </si>
  <si>
    <t>Net saving (Rs. lakhs per month)</t>
  </si>
  <si>
    <t>(ASSUMPTIONS/VARIABLES) - UPCOMING 17.4 MW HYBRID PLANT</t>
  </si>
  <si>
    <t>Total Cost of generation of power (INR lakhs)</t>
  </si>
  <si>
    <t>EBITDA</t>
  </si>
  <si>
    <t>PAT</t>
  </si>
  <si>
    <t>EBITDA Margin %</t>
  </si>
  <si>
    <t>EBIT Margin %</t>
  </si>
  <si>
    <t>PAT Margin %</t>
  </si>
  <si>
    <t>Revenue Growth rate %</t>
  </si>
  <si>
    <t>Year Ending (INR Lakhs)</t>
  </si>
  <si>
    <r>
      <t xml:space="preserve">(All Values in </t>
    </r>
    <r>
      <rPr>
        <b/>
        <u/>
        <sz val="11"/>
        <color rgb="FFFF0000"/>
        <rFont val="Calibri"/>
        <family val="2"/>
        <scheme val="minor"/>
      </rPr>
      <t>INR Lakhs</t>
    </r>
    <r>
      <rPr>
        <b/>
        <sz val="11"/>
        <color rgb="FFFF0000"/>
        <rFont val="Calibri"/>
        <family val="2"/>
        <scheme val="minor"/>
      </rPr>
      <t>, unless specified)</t>
    </r>
  </si>
  <si>
    <t>RATIO</t>
  </si>
  <si>
    <t>Less: Taxes</t>
  </si>
  <si>
    <t>Add: Depreciation &amp; Amortisation</t>
  </si>
  <si>
    <t>NOPAT</t>
  </si>
  <si>
    <t>Free Cash Flow to Firm (FCFF)</t>
  </si>
  <si>
    <t>WACC</t>
  </si>
  <si>
    <t>NPV</t>
  </si>
  <si>
    <t>IRR</t>
  </si>
  <si>
    <t>Wd</t>
  </si>
  <si>
    <t>Kd</t>
  </si>
  <si>
    <t>Post tax Kd</t>
  </si>
  <si>
    <t>We</t>
  </si>
  <si>
    <t>Ke</t>
  </si>
  <si>
    <t>Payback Perid</t>
  </si>
  <si>
    <t>No. Of Years</t>
  </si>
  <si>
    <t>Cash Accrual</t>
  </si>
  <si>
    <t>Accumulated Cash Accrual</t>
  </si>
  <si>
    <t>TPC</t>
  </si>
  <si>
    <t>Payback Period</t>
  </si>
  <si>
    <t>Break - Even Point</t>
  </si>
  <si>
    <t>Sales</t>
  </si>
  <si>
    <t>Variable Expenses</t>
  </si>
  <si>
    <t>Contribution</t>
  </si>
  <si>
    <t>Fixed Expenses</t>
  </si>
  <si>
    <t>Profit / PBT</t>
  </si>
  <si>
    <t>PV RATIO (Contr / Sales)</t>
  </si>
  <si>
    <t>BEP  Sales (Fix Exps / Contr * Sales)</t>
  </si>
  <si>
    <t>BEP% (BEP Sales / sales)</t>
  </si>
  <si>
    <t>Ratio Analysis:</t>
  </si>
  <si>
    <t>Average</t>
  </si>
  <si>
    <t>Revenue growth rate Y-o-Y (%)</t>
  </si>
  <si>
    <t>Return on Capital employed (%)</t>
  </si>
  <si>
    <t>Return on Investment (%)</t>
  </si>
  <si>
    <t>Return on Net Worth</t>
  </si>
  <si>
    <t>Add: Dep &amp; Am</t>
  </si>
  <si>
    <t xml:space="preserve">Less: Repayment Obligations </t>
  </si>
  <si>
    <t>Net cash accrual</t>
  </si>
  <si>
    <t xml:space="preserve">Cumulative Internal Accruals  </t>
  </si>
  <si>
    <t>WCC</t>
  </si>
  <si>
    <t xml:space="preserve">a. net unit generated annually as defined in the EPC agreement with Opera Energy Private Limited and applicable tariff in the state of Gujrat for Industrial/Commercial Electricity. </t>
  </si>
  <si>
    <t xml:space="preserve">a. has been done based on the terms &amp; conditions mutually agreed by EPC &amp; Company regarding Fixed and variable charges. </t>
  </si>
  <si>
    <t>The proposed hybrid power plant is assumed to be operational for 360 days for 24 hours annually.</t>
  </si>
  <si>
    <t xml:space="preserve">As per data/information provided by the client, M/s Sai Infinium Limited is  engaged in three line of business at present i.e. manufacturing and selling of Steel Product, Ship Breaking and investing in Real Estate. </t>
  </si>
  <si>
    <t>Company manufactures and sells TMT (Thermo Mechanically Treated) Bars and MS Billets under brand name of “Bandhan TMX Bar” and “Bandhan TMX Billet”,which are manufactured at their steel plant, located at Chamradi village, Vallabhipur Taluka of district Bhavnager in Gujarat. Our manufacturing capacity for TMT bars is1,08,000 Metric Ton per annum and 1,08,000 Metric Ton per annum for MS Billets.We manufacture our MS Billets and TMT Bars at our manufacturing facility by utilizing Electric Induction Furnace and modern TMT rolling mill machines from waste and scrap of iron and steel and sponge iron. Production of TMT bars was started in December 2022.</t>
  </si>
  <si>
    <t xml:space="preserve">Apart from manufacturing of MS Billet and TMT, we are also, engaged in ship recycling business and currently our ship recycling capacity is 30,000 MT per annum.Our ship breaking yard is located at Sosiya in Alang, a coastal stretch in Bhanvnagar district of Gujarat.Alang is India’s largest Ship breaking yard. </t>
  </si>
  <si>
    <t xml:space="preserve">Company is also engaged in buying and selling of real estate commercial properties as well as letting out property on rental basis to institutions.  </t>
  </si>
  <si>
    <t>below is the bifurcation of Total Income as per restated financials</t>
  </si>
  <si>
    <t>Manufacturing of MS Billet</t>
  </si>
  <si>
    <t>Steel billets are semi-finished products that are an intermediate stage product in the production of steel. They are usually rectangular or square-shaped pieces of steel that are cast from molten steel. Billets are widely used in the construction industry for the production of beams, columns, and other large structural sections like rods, sheets, angles, channels etc. Billets are also used in the production of various components and parts for machinery and equipments like manufacturing of gears, shafts, and axles etc. Hot billets are directly fed to rolling mill for direct manufacturing of TMT bars.</t>
  </si>
  <si>
    <t>We manufacture steel billets at our facility which are sold under brand name of “Bandhan TMX Billet” for further steel product manufacturing by other manufacturer. However, most of the billet are used for captive consumption as an intermediate product to manufacture TMT bars at our in-house facility. Our company manufactures high-quality MS Billets by utilizing advanced Electric Induction Furnace technology. These products are made from a combination of waste and scrap iron, steel, sponge iron and other raw material. Our billet manufacturing capacity is 108,000 MT per annum.</t>
  </si>
  <si>
    <t>The primary raw materials used in the production of our MS Billets are waste and scrap iron and steel, sponge iron, Ferro alloy, silicon, manganese and carbon. We source our iron and steel scrap primarily from our own ship recycling unit, as well as from other suppliers located in the Alang Shipyards along the coastal line of Bhavnagar, Gujarat. By procuring these raw materials locally, we significantly reduce transportation costs and delivery times. In addition to scrap and sponge iron, we source other materials, such as silicon, manganese, from external vendors. One of the major costs in our production process is power, as we require a consistent supply of 33,700 KVA to maintain uninterrupted operations, which we obtain from Paschim Gujarat Vij Company Limited.</t>
  </si>
  <si>
    <t xml:space="preserve">Capacity Utilisation and Sales &amp; Average Realisation of MS Billets
</t>
  </si>
  <si>
    <t xml:space="preserve">Manufacturing Process of MS billets </t>
  </si>
  <si>
    <t>Steel melting shop is createdto melt sponge iron, scarp, manganese, coke, silicon to get molten material i.e liquid steel which are poured in molds of required size andshape. Then it passes through the rolling mill to get various finished product of steel.Steel melting shop is equipped with the following machines and equipments to carry out the whole process.</t>
  </si>
  <si>
    <t xml:space="preserve">Melting of Raw Material: Electrical Induction Furnace melts charged material using electrical power into liquid steel material. Furnace consists of crucible, lined with water cooled induction coils, electrical system provides controlled power to induction coil, Hydraulic tilting system, heat exchanger to cool the circulating water, water softener for generating soft water, furnace transformer, power factor improvement system and surge suppressor. The temperature required for melting ranges between 1500 ° C – 1600 ° C.
Chemical Analysis of Liquid: During the melting process, sample is tested for impurities, carbon content and gases. Proportion of carbon content, manganese silicon is properly tested to get the desired mixing proportion and de-oxidation of liquid steel is performed to get the desired product that possess required strength and properties.
Ladle: Ladles are pots with refractory lining inside to withstand 1600 ° C temperature. It has side arms for lifting the same with the help of cranes. Ladles are used to store the hot liquid steel from Induction Furnace and take it for further processing. Ladles are with bottom nozzle and pneumatically operated gate for discharge of liquid. 
Ladle Refining Furnace (LRF): Ladle furnace is a mini electric arc furnace. It has three carbon electrodes, roof to cover the ladle, and furnace transformer of suitable capacity. The operation of electrodes, roof etc are controlled by hydraulic system. The molten steel undergoes secondary refining in a Ladle Refining Furnace (LRF). During this stage, deoxidation, desulfurization, and alloying take place. Excess oxygen is removed, sulphur content is reduced, and elements like chromium, nickel, and vanadium are added to refine the steel and ensure it possesses the required properties for high-strength applications.
Continuous Casting Machine (CCM): CCM consist of tundish, mould bow with withdrawal mechanism, straightening mechanism and cooling bed, hydraulic system for withdrawal mechanism, water pumps and cooling towers for water spray on the withdrawn section as well as on the cooling bed. Molten liquid are poured in Tundish equipped with stands, liquid are passed though stands with automatic water pressure where it solidifies in to desired shape, rapid cooling in the mould ensures the steel retains its structural integrity. Finally billets are derived at the end of the process. 
Hot billets and cold billetsare directly passed through the rolling mill to produce TMT bars. Whereas, cold billets are stored to are sold to traders and manufacturer of variety steel products.  
</t>
  </si>
  <si>
    <t xml:space="preserve">TMT bars, or Thermo-Mechanically Treated bars, are high-strength steel bars used in construction to resist tension and provide support. They are known for their strength, durability, and other properties like, high tensile strength, ductility, corrosion resistant and earthquake resistant.
Our rolling mill facility has installed capacity of 1,08,000 MT of TMT bars, equipped with Tempcore quenching technology for manufacturing of TMT bars sold under “Bandhan TMX Bar” brand name. We use Thermex (German) technology which is an exclusive process that helps in the production of high-strength and corrosion-resistant TMT bars for construction. Use of Thermex Technology ensuresthat our TMT bars must have high-yield strength, bendability, weld ability and ductility along with resistance to fire and earthquake. The main source of raw material to manufacture TMT bars are billets, which are fully sourced from our in-house billet manufacturing. 
The hot billets are fed to the rolling mill which consist of equipments and processes like rolling table stands, roughing machine, quenching machine and block mill.We have started the manufacturing of TMT bars in December 2022.
</t>
  </si>
  <si>
    <t xml:space="preserve">We use in-house manufactured hot billets to produce TMT bars at our rolling mill, rolling mill is equipped with Tempco quenching technology from Belgium to yield high strength bars, then we have block mill where sizing shaping cutting is done automatically on continuous basis. 
MS Billets coming from our CCM in red hot condition passes through rolling conveyers to roughing stand, where roughing is done to ensure gradual reduction of billets,then is passes to other different stands where it goes through the size and shape reduction and ribs are made, further it is cut by automatic hot billets shearing machine before the same is used in TMT production. Automatic hot billet shear machines is installed with each strand. The gas cutting facility is maintained as a backup to the hot billet shearing machine. After the billet is cut into required length, then the same is pushed out to rolling stands for re-rolling. Steel pieces are rolled through all stands in order to get required shape of TMT. Then it is transferred to cooling bed where it cools at room temperature and post cooling these TMT bars are sent to automatic strapping machine to create strapped bundles.
</t>
  </si>
  <si>
    <t xml:space="preserve">Rolling Mill:In rolling mill, hot billets or reheated billets are passed through three different stands grouped in to roughing, intermediate and finishingstand.Roughing mill for initial shaping, followed by the intermediate mill for further reduction in thickness, and finally the finishing mill to achieve the precise size and shape of the TMT bars.
Quenching:After passing through the stands, the hot rolled steel bars enters the series of water spray system known as (Thermex), this process results in creating a hardened outer layer while the core remains hot and relatively soft.
Self-Tempering:The self-tempering process involves the transfer of residual heat from the core to the surface, tempering the hardened outer layer. This results in a tough outer surface that is less brittle, enhancing the overall strength and durability of the TMT bars.
Atmospheric Cooling:The bars are then laid on a cooling bed for atmospheric cooling. This step allows the core to cool down slowly, forming a ductile ferrite-pearlite structure. The combination of a tough exterior and a ductile core gives TMT bars their characteristic strength and flexibility.
Cutting and Quality Check:Once cooled, the bars are cut into specified lengths using shearing machines. Rigorous quality control tests are conducted to ensure the bars meet the required mechanical and chemical standards. These tests include tensile tests for strength, bend tests for ductility, and chemical analyses to verify composition.
Strapping: Once TMT bars are passed through the quality check these are automatically transferred to strapping machine where machine straps the TMT bars according to different size, length and weight.
</t>
  </si>
  <si>
    <t xml:space="preserve">Raw material used in production of billets are waste and scrap of Iron and Steel, sponge iron, silico manganese, HR coil sheet and copper mould tube. Iron and steel which is major part of billets are sourced from our ship recycling unit and other ship recyclers from Alang, whereas other raw material are sourced from local market in Gujarat. Copper mould tubes are sourced from vendor in Maharashtra and few of the quantity is imported from China. Table set out below describes various sources of raw material used for manufacturing of MS billet:
</t>
  </si>
  <si>
    <t>Major raw material for manufacturing of billets is steel, majorquantity of scrap iron &amp; steel to be used as raw material for billet manufacturing are set out in below table:</t>
  </si>
  <si>
    <t>Sourcing of Scarp Iron &amp; Steel Raw Material for Billet Manufacturing</t>
  </si>
  <si>
    <t>Billets are used to manufacture TMT bars either by direct rolling of hot billets or by reheating the billets in ladle reheating. We use in-house manufactured billets to produce TMT bars at our rolling mill.</t>
  </si>
  <si>
    <t>Billets as Raw Material Used for Manufacturing of TMT Bars</t>
  </si>
  <si>
    <t>Water is used in SID Coolers to cool off materials, in SMS for cooling the furnace coil and in CCM for billets and mould cooling, in Rolling Mill division for cooling rolls and billet, in Thermex, in boiler and cooling tower to cool WHR process and is also sprinkled around the plant for dust suppression. It is sourced from Gujarat Water Infrastructure Limited at Barwala Village, Dist. Ahmedabad.</t>
  </si>
  <si>
    <t>Our manufacturing plants has adequate power supply at Chamardi with connected load of 33,700 KVA from Paschim Gujarat Vij Company Limited.</t>
  </si>
  <si>
    <t xml:space="preserve">Our Company has been certified as confirming to ISO 9001:2015, ISO 14001:2015 and ISO 45001:2015.
Our manufacturing facilities are strategically located in close proximity to our raw material sources, which we believe lowers our transportation costs and provides significant logistics management and cost benefits thereby improving our operating margins. Our manufacturing plants are located within 50 kilometres of the Alang Ship Recycling Yard in Gujarat, India, including, waste and scrap of iron and steel, sponge iron, etc. our primary raw materials. We believe the strategic location of our manufacturing plants has helped us in creating synergies as well as achieving economies of scale and operational efficiencies. 
</t>
  </si>
  <si>
    <t xml:space="preserve">Further, our manufacturing plants are well connected by roads, railways and ports. Our manufacturing plant is in proximity to NH 51, GJ SH 25 and GJ SH 36 respectively. Our manufacturing plants are located close to our raw material sources and are supported by strong logistics infrastructure which we believe enables us to reduce the logistic costs associated with the transportation of raw materials and products. The ports nearest to our manufacturing plant is Pipavav which is situated within a radius of 175 kilometers while Kandla port is situated within a radius of 345 kilometers from our manufacturing plant. We believe that the strategic location of our manufacturing plant has enabled us to export our products to our international customers in a cost efficient manner. </t>
  </si>
  <si>
    <t xml:space="preserve">At present, our Company is operating the ship-recycling unit at Plot No. 158, Sosiya Ship Breaking Yard, Sosiya Village, Talaja Taluka, Dist. Bhavnagar, Gujarat, India. The said plot is suitable to accommodate ships weighing up to 30,000 MT per year. We believe that the strategic location of our Plot at Alang- Sosiyaprovide us with significant advantages and efficiencies, resulting in lower overheads and cost effectiveness to our shipping business. The said plot is suitable to accommodate ships weighing up to 30,000 MT per year. We believe that the strategic location of our Plot at Alang-Sosiya will provide us with significant advantages and efficiencies, resulting in lower overheads and cost effectiveness.
Ship recycling business came into the books of our company post-merger of Sai Infinium Private Limitedas on September 2024. Our revenue from ship recycling for nine-month period ending December 2024 was reported at  529.53 million. Which contributes 13.90 % of the total revenue from operations.
</t>
  </si>
  <si>
    <t xml:space="preserve">Ship Acquisition - Sourcing and Selecting Vessels for Ship-recycling
The ship recycling process commences with the procurement of vessels designated for dismantling. Various approaches are employed to acquire ships for the recovery of scrap materials and other valuable components. Common sources utilized by ship recycling facilities to identify suitable end-of-life vessels include:
 Decommissioned Navy and Military Vessels
 Government Auctions and Sales
 Merchant Ships
 Salvage Operations
 Ship Recycling Companies
Ships are primarily acquired through auctions or direct negotiations with ship-owners or brokers for dismantling purposes. Ship recycling facilities may also purchase vessels directly from owners or brokers. In some cases, governments establish contracts with ship recycling yards to transfer decommissioned naval or Coast Guard vessels for recycling.
</t>
  </si>
  <si>
    <t xml:space="preserve">
Major documents required from boarding till recycling permission:
</t>
  </si>
  <si>
    <t xml:space="preserve">Apart from manufacturing and selling of TMT bars, Billets and Ship recycling, we are also engaged in buying, selling of commercial and residential real estate property and also generate income from letting out property on rent on B2B model. As on December 2024, we have 44 units of commercial property as well as 1 unit of residential property. We have generated the revenue from sale of property for nine month period ending December 2024, fiscal 2024, fiscal 2023 and fiscal 2022 was ₹1.31 million, ₹ 25.49 million, ₹ 26.38 million, and ₹ 74.64 million.We have generated the rental revenue for nine-month period ending December 2024, fiscal 2024, fiscal 2023 and fiscal 2022 was ₹23.90 million, ₹58.28 million, ₹47.99 million, and ₹29.53 million.  </t>
  </si>
  <si>
    <t>For nine-month period ending December 2024, fiscal 2024, fiscal 2023 and fiscal 2022, our company held – units, 44 units, 45 units, 52 units and 75 units of commercial property respectively and 1 units, 1 unit, 2 units, and 3 units of residential property respectively.</t>
  </si>
  <si>
    <t xml:space="preserve">Insurance
We maintain insurance policies that are customary in our industry and provide for commercially appropriate insurance coverage for a variety of risks. Our insurance policies currently cover certain risks, including, among other, Fire Basic coverage, Earthquake coverage, MB Basic coverage, FLOP Basic coverage, Coverage as per Employee’s Compensation Act, 1923 and subsequent amendments thereof prior to the date of issue of this Policy Liability under the Fatal Accidents Act &amp; Common Law.
Intellectual Property
The trademark is registered in the previous name of our Company i.e. Sai Inductomelt Private Limited. The company is in the process of making application for change in the name of company
</t>
  </si>
  <si>
    <t>Land Documents/Deeds</t>
  </si>
  <si>
    <t>SAI BANDHAN INFINIUM PVT. LTD., SURVEY NO.1020,1021/1, VILL:CHAMARDI TAL:VALLABHIPUR DIST:, BHAVNAGAR 364310</t>
  </si>
  <si>
    <t>21°48'33.8" North and 71°54'06.7" East</t>
  </si>
  <si>
    <t xml:space="preserve">Company manufactures and sells TMT (Thermo Mechanically Treated) Bars and MS Billets under brand name of “Bandhan TMX Bar” and “Bandhan TMX Billet”, which are manufactured at their steel plant, located at Chamradi village, Vallabhipur Taluka of district Bhavnagar 364310 in Gujarat. Company is also, engaged in ship recycling business with installed capacity of 30,000 MT per annum located at India’s largest Ship breaking yard Sosiya in Alang, 364081 a coastal stretch in Bhanvnagar district of Gujarat. </t>
  </si>
  <si>
    <t xml:space="preserve">The primary raw materials used in the production of MS Billets are waste and scrap iron and steel, sponge iron, Ferro alloy, silicon, manganese and carbon. Company source iron and steel scrap primarily from its own ship recycling unit, as well as from other suppliers located in the Alang Shipyards along the coastal line of Bhavnagar, Gujarat. </t>
  </si>
  <si>
    <t>The primary raw materials used in the production of MS Billets are waste and scrap iron and steel, sponge iron, Ferro alloy, silicon, manganese and carbon. Company source iron and steel scrap primarily from its own ship recycling unit, as well as from other suppliers located in the Alang Shipyards along the coastal line of Bhavnagar, Gujarat. 
By procuring these raw materials locally, company significantly reduce transportation costs and delivery times. In addition to scrap and sponge iron, Company also source other materials, such as silicon, manganese, from external vendors. 
at Plot No. 158, Sosiya Ship Breaking Yard, Sosiya Village, Talaja Taluka, Dist. Bhavnagar, Gujarat, India.</t>
  </si>
  <si>
    <t xml:space="preserve">Our manufacturing facilities are strategically located in close proximity to our raw material sources, which we believe lowers our transportation costs and provides significant logistics management and cost benefits thereby improving our operating margins. Our manufacturing plants are located within 50 kilometres of the Alang Ship Recycling Yard in Gujarat, India, including, waste and scrap of iron and steel, sponge iron, etc. our primary raw materials. We believe the strategic location of our manufacturing plants has helped us in creating synergies as well as achieving economies of scale and operational efficiencies. 
Further, our manufacturing plants are well connected by roads, railways and ports. Our manufacturing plant is in proximity to NH 51, GJ SH 25 and GJ SH 36 respectively. Our manufacturing plants are located close to our raw material sources and are supported by strong logistics infrastructure which we believe enables us to reduce the logistic costs associated with the transportation of raw materials and products. The ports nearest to our manufacturing plant is Pipavav which is situated within a radius of 175 kilometers while Kandla port is situated within a radius of 345 kilometers from our manufacturing plant. We believe that the strategic location of our manufacturing plant has enabled us to export our products to our international customers in a cost efficient manner. 
</t>
  </si>
  <si>
    <t>The steel industry has emerged as a major focus area given the dependence of a diverse range of sectors on its output as India works to become a manufacturing powerhouse through policy initiatives like Make in India. With the industry accounting for about 2% of the nation's GDP, India ranks as the world's second-largest producer of steel and is poised to overtake China as the world's second-largest consumer of steel. Both the industry and the nation's export manufacturing capacity have the potential to help India regain its favourable steel trade balance.
The National Steel Policy, 2017 envisage 300 million tonnes of production capacity by 2030-31. The per capita consumption of steel has increased from 57.6 kgs to 74.1 kgs during the last five years. The government has a fixed objective of increasing rural consumption of steel from the current 19.6 kg/per capita to 38 kg/per capita by 2030-31. As per Indian Steel Association (ISA), steel demand will grow by 7.2% in 2019-20 and 2020-21.
Huge scope for growth is offered by India's comparatively low per capita steel consumption and the expected rise in consumption due to increased infrastructure construction and the thriving automobile and railways sectors.</t>
  </si>
  <si>
    <t xml:space="preserve">Our manufacturing facility comprising of billet and TMT bar is strategically located at 60 km distance from Alang ship yard. This gives us proximity advantage in terms of availability of raw material and logistics cost. </t>
  </si>
  <si>
    <t>FAR of existing unit.</t>
  </si>
  <si>
    <t xml:space="preserve">Sl. No. </t>
  </si>
  <si>
    <t>RCC</t>
  </si>
  <si>
    <t>Sai Infinum Pvt Ltd.</t>
  </si>
  <si>
    <t>Descrioption</t>
  </si>
  <si>
    <t xml:space="preserve">Shed Area </t>
  </si>
  <si>
    <t>Canteen</t>
  </si>
  <si>
    <t>Office Area</t>
  </si>
  <si>
    <t>Pump House</t>
  </si>
  <si>
    <t>Air Cleaning Unit Housing</t>
  </si>
  <si>
    <t>Area (Sq.mt)</t>
  </si>
  <si>
    <t>Guard Room and Parking</t>
  </si>
  <si>
    <t xml:space="preserve">RCC structure and Hardened mud flooring </t>
  </si>
  <si>
    <t>Some areas RCC and maximum flooring is Hardened mud flooring</t>
  </si>
  <si>
    <t xml:space="preserve">288000000
</t>
  </si>
  <si>
    <t xml:space="preserve">A. UTILITIES:
WATER: 
ELECTRICITY: 
</t>
  </si>
  <si>
    <t>Attachment to Licence No. CM/L- 7900106612, Endorsement No. 3 Dated 04-Feb-2025</t>
  </si>
  <si>
    <t>Furthermore, as per the certificate of Incorporation pursuant to change of name, the name of the company has been changed from Sai Bandhan Infinium Limited to Sai Infinium Limited with effect from the date of 22nd November 2024</t>
  </si>
  <si>
    <t>Paschim Gujarat Vij Company Ltd.</t>
  </si>
  <si>
    <t>BHAVNAGAR MUNICIPAL CORPORATION</t>
  </si>
  <si>
    <t>District Planning Office in the Collector Office, Bhavnagar</t>
  </si>
  <si>
    <t>* Our company has started TMT manufacturing in December 2022.</t>
  </si>
  <si>
    <t>Technical Write-Up: Sai Bandhan Infinum Manufacturing Plant
Sai Bandhan Infinum is a manufacturer of TMT bars and MS billets located in Chamradi Village, Vallabhipur Taluka, District Bhavnagar, Gujarat. The plant consists of two units: TMT bars manufacturing and MS billets manufacturing. The combined installed capacity of both units is 27,000 MT when operating 24 hours a day.
The TMT manufacturing process involves rolling mills, quenching, self-tempering, atmospheric cooling, cutting, quality checks, and strapping. The plant uses Tempcore Quenching Technology and Thermax (German) technology for producing high-strength, corrosion-resistant TMT bars sold under the “Bandhan TMX Bar” brand.
Key equipment includes a 25-ton furnace, bundling machine, shearing machine, cranes, continuous casting machine (CCM), reheating furnace, CNC machines, and a coal pulverizer plant with a 30-meter chimney. All machines are in good condition and are expected to function for approximately 10 more years. However, the Ladle Refining Furnace (LRF) has been non-operational after two months of its inception.</t>
  </si>
  <si>
    <t>Company</t>
  </si>
  <si>
    <t>Sail 8mm TMT Bar price</t>
  </si>
  <si>
    <t>₹54/KG</t>
  </si>
  <si>
    <t>Sail 10mm TMT Bar price</t>
  </si>
  <si>
    <t>₹52/KG</t>
  </si>
  <si>
    <t>Sail 12mm TMT Bar price</t>
  </si>
  <si>
    <t>₹51/KG</t>
  </si>
  <si>
    <t>Sail 16mm TMT Bar price</t>
  </si>
  <si>
    <t>Sail 20mm TMT Bar price</t>
  </si>
  <si>
    <t>Sail 25mm TMT Bar price</t>
  </si>
  <si>
    <t>Sail 32mm TMT Bar price</t>
  </si>
  <si>
    <t xml:space="preserve"> 8mm TMT Bar price</t>
  </si>
  <si>
    <t xml:space="preserve"> 10mm TMT Bar price</t>
  </si>
  <si>
    <t xml:space="preserve"> 12mm TMT Bar price</t>
  </si>
  <si>
    <t xml:space="preserve"> 16mm TMT Bar price</t>
  </si>
  <si>
    <t xml:space="preserve"> 20mm TMT Bar price</t>
  </si>
  <si>
    <t xml:space="preserve"> 25mm TMT Bar price</t>
  </si>
  <si>
    <t xml:space="preserve"> 32mm TMT Bar price</t>
  </si>
  <si>
    <t>Electrosteel 8mm TMT Bar price</t>
  </si>
  <si>
    <t>Electrosteel 10mm TMT Bar price</t>
  </si>
  <si>
    <t>Electrosteel 12mm TMT Bar price</t>
  </si>
  <si>
    <t>Electrosteel 16mm TMT Bar price</t>
  </si>
  <si>
    <t>Electrosteel 20mm TMT Bar price</t>
  </si>
  <si>
    <t>Electrosteel 25mm TMT Bar price</t>
  </si>
  <si>
    <t>Electrosteel 32mm TMT Bar price</t>
  </si>
  <si>
    <t>Kamdhenu 8mm TMT Bar price</t>
  </si>
  <si>
    <t>Kamdhenu 10mm TMT Bar price</t>
  </si>
  <si>
    <t>Kamdhenu 12mm TMT Bar price</t>
  </si>
  <si>
    <t>Kamdhenu 16mm TMT Bar price</t>
  </si>
  <si>
    <t>Kamdhenu 20mm TMT Bar price</t>
  </si>
  <si>
    <t>Kamdhenu 25mm TMT Bar price</t>
  </si>
  <si>
    <t>Kamdhenu 32mm TMT Bar price</t>
  </si>
  <si>
    <t>Sbf Rapid TMT bar</t>
  </si>
  <si>
    <t>KAMDHENU  TMT bar</t>
  </si>
  <si>
    <t>ELECTROSTEEL  TMT bar</t>
  </si>
  <si>
    <t>SAIL  TMT bar</t>
  </si>
  <si>
    <t>Sbf Rapid 8mm TMT Bar price</t>
  </si>
  <si>
    <t>Sbf Rapid 10mm TMT Bar price</t>
  </si>
  <si>
    <t>Sbf Rapid 12mm TMT Bar price</t>
  </si>
  <si>
    <t>Sbf Rapid 16mm TMT Bar price</t>
  </si>
  <si>
    <t>Sbf Rapid 20mm TMT Bar price</t>
  </si>
  <si>
    <t>Sbf Rapid 25mm TMT Bar price</t>
  </si>
  <si>
    <t>Sbf Rapid 32mm TMT Bar price</t>
  </si>
  <si>
    <t>Amba Shakti TMT bar</t>
  </si>
  <si>
    <t>Amba Shakti 8mm TMT Bar price</t>
  </si>
  <si>
    <t>Amba Shakti 10mm TMT Bar price</t>
  </si>
  <si>
    <t>Amba Shakti 12mm TMT Bar price</t>
  </si>
  <si>
    <t>Amba Shakti 16mm TMT Bar price</t>
  </si>
  <si>
    <t>Amba Shakti 20mm TMT Bar price</t>
  </si>
  <si>
    <t>Amba Shakti 25mm TMT Bar price</t>
  </si>
  <si>
    <t>Amba Shakti 32mm TMT Bar price</t>
  </si>
  <si>
    <t>Construction</t>
  </si>
</sst>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43" formatCode="_ * #,##0.00_ ;_ * \-#,##0.00_ ;_ * &quot;-&quot;??_ ;_ @_ "/>
    <numFmt numFmtId="164" formatCode="0.000"/>
    <numFmt numFmtId="165" formatCode="0\ &quot;Months&quot;"/>
    <numFmt numFmtId="166" formatCode="0.0"/>
    <numFmt numFmtId="167" formatCode="[$-409]d\-mmm\-yy;@"/>
    <numFmt numFmtId="168" formatCode="_ * #,##0_ ;_ * \-#,##0_ ;_ * &quot;-&quot;??_ ;_ @_ "/>
    <numFmt numFmtId="169" formatCode="_ * #,##0.00000000_ ;_ * \-#,##0.00000000_ ;_ * &quot;-&quot;??_ ;_ @_ "/>
    <numFmt numFmtId="170" formatCode="_ * #,##0.00000_ ;_ * \-#,##0.00000_ ;_ * &quot;-&quot;??_ ;_ @_ "/>
    <numFmt numFmtId="171" formatCode="#,##0.0"/>
    <numFmt numFmtId="172" formatCode="0.0%"/>
    <numFmt numFmtId="173" formatCode="&quot;INR&quot;\ 0\ &quot;Crore&quot;"/>
    <numFmt numFmtId="174" formatCode="&quot;INR&quot;\ 0.00\ &quot;Crore&quot;"/>
    <numFmt numFmtId="175" formatCode="0.00\ &quot;years&quot;"/>
    <numFmt numFmtId="176" formatCode="&quot;INR&quot;\ 0\ &quot;Lakhs&quot;"/>
  </numFmts>
  <fonts count="57"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9"/>
      <color theme="1"/>
      <name val="Gill Sans MT"/>
      <family val="2"/>
    </font>
    <font>
      <sz val="11"/>
      <color theme="1"/>
      <name val="Calibri"/>
      <family val="2"/>
    </font>
    <font>
      <b/>
      <sz val="11"/>
      <color theme="1"/>
      <name val="Calibri"/>
      <family val="2"/>
    </font>
    <font>
      <b/>
      <sz val="12"/>
      <color theme="0"/>
      <name val="Calibri"/>
      <family val="2"/>
    </font>
    <font>
      <sz val="11"/>
      <color theme="0"/>
      <name val="Calibri"/>
      <family val="2"/>
    </font>
    <font>
      <b/>
      <sz val="11"/>
      <color theme="0"/>
      <name val="Calibri"/>
      <family val="2"/>
    </font>
    <font>
      <sz val="11"/>
      <color rgb="FF0070C0"/>
      <name val="Calibri"/>
      <family val="2"/>
    </font>
    <font>
      <sz val="11"/>
      <name val="Calibri"/>
      <family val="2"/>
    </font>
    <font>
      <b/>
      <sz val="11"/>
      <color rgb="FF0070C0"/>
      <name val="Calibri"/>
      <family val="2"/>
    </font>
    <font>
      <b/>
      <sz val="11"/>
      <color rgb="FFC00000"/>
      <name val="Calibri"/>
      <family val="2"/>
    </font>
    <font>
      <b/>
      <u/>
      <sz val="11"/>
      <color theme="1"/>
      <name val="Calibri"/>
      <family val="2"/>
    </font>
    <font>
      <b/>
      <i/>
      <sz val="11"/>
      <color theme="1"/>
      <name val="Calibri"/>
      <family val="2"/>
      <scheme val="minor"/>
    </font>
    <font>
      <b/>
      <sz val="11"/>
      <name val="Calibri"/>
      <family val="2"/>
    </font>
    <font>
      <sz val="11"/>
      <name val="Calibri"/>
      <family val="2"/>
      <scheme val="minor"/>
    </font>
    <font>
      <sz val="11"/>
      <color rgb="FFFF0000"/>
      <name val="Calibri"/>
      <family val="2"/>
    </font>
    <font>
      <b/>
      <u/>
      <sz val="11"/>
      <color theme="1"/>
      <name val="Calibri"/>
      <family val="2"/>
      <scheme val="minor"/>
    </font>
    <font>
      <sz val="11"/>
      <color rgb="FF0070C0"/>
      <name val="Calibri"/>
      <family val="2"/>
      <scheme val="minor"/>
    </font>
    <font>
      <sz val="10"/>
      <name val="Arial"/>
      <family val="2"/>
    </font>
    <font>
      <b/>
      <sz val="11"/>
      <color rgb="FFFF0000"/>
      <name val="Calibri"/>
      <family val="2"/>
    </font>
    <font>
      <sz val="11"/>
      <color theme="0" tint="-0.499984740745262"/>
      <name val="Calibri"/>
      <family val="2"/>
    </font>
    <font>
      <sz val="9"/>
      <color indexed="81"/>
      <name val="Tahoma"/>
      <family val="2"/>
    </font>
    <font>
      <b/>
      <sz val="9"/>
      <color indexed="81"/>
      <name val="Tahoma"/>
      <family val="2"/>
    </font>
    <font>
      <u/>
      <sz val="11"/>
      <color theme="10"/>
      <name val="Calibri"/>
      <family val="2"/>
      <scheme val="minor"/>
    </font>
    <font>
      <sz val="11"/>
      <color rgb="FFFF0000"/>
      <name val="Calibri"/>
      <family val="2"/>
      <scheme val="minor"/>
    </font>
    <font>
      <sz val="11"/>
      <color theme="0"/>
      <name val="Calibri"/>
      <family val="2"/>
      <scheme val="minor"/>
    </font>
    <font>
      <sz val="10"/>
      <name val="Arial"/>
      <family val="2"/>
    </font>
    <font>
      <b/>
      <sz val="11"/>
      <name val="Calibri"/>
      <family val="2"/>
      <scheme val="minor"/>
    </font>
    <font>
      <b/>
      <u/>
      <sz val="11"/>
      <name val="Calibri"/>
      <family val="2"/>
      <scheme val="minor"/>
    </font>
    <font>
      <b/>
      <u/>
      <sz val="11"/>
      <color theme="0"/>
      <name val="Calibri"/>
      <family val="2"/>
      <scheme val="minor"/>
    </font>
    <font>
      <sz val="11"/>
      <color theme="4"/>
      <name val="Calibri"/>
      <family val="2"/>
      <scheme val="minor"/>
    </font>
    <font>
      <b/>
      <sz val="11"/>
      <color rgb="FFFF0000"/>
      <name val="Calibri"/>
      <family val="2"/>
      <scheme val="minor"/>
    </font>
    <font>
      <b/>
      <u/>
      <sz val="11"/>
      <color rgb="FFFF0000"/>
      <name val="Calibri"/>
      <family val="2"/>
      <scheme val="minor"/>
    </font>
    <font>
      <b/>
      <sz val="11"/>
      <color indexed="9"/>
      <name val="Calibri"/>
      <family val="2"/>
      <scheme val="minor"/>
    </font>
    <font>
      <b/>
      <i/>
      <u/>
      <sz val="11"/>
      <name val="Calibri"/>
      <family val="2"/>
      <scheme val="minor"/>
    </font>
    <font>
      <sz val="11"/>
      <color theme="0" tint="-0.249977111117893"/>
      <name val="Calibri"/>
      <family val="2"/>
    </font>
    <font>
      <sz val="10"/>
      <color rgb="FFFF0000"/>
      <name val="Times New Roman"/>
      <family val="1"/>
    </font>
    <font>
      <b/>
      <sz val="11"/>
      <color rgb="FFC00000"/>
      <name val="Calibri"/>
      <family val="2"/>
      <scheme val="minor"/>
    </font>
    <font>
      <b/>
      <sz val="14"/>
      <color rgb="FFC00000"/>
      <name val="Calibri"/>
      <family val="2"/>
      <scheme val="minor"/>
    </font>
    <font>
      <b/>
      <sz val="12"/>
      <color theme="0"/>
      <name val="Calibri"/>
      <family val="2"/>
      <scheme val="minor"/>
    </font>
    <font>
      <b/>
      <sz val="14"/>
      <color rgb="FFC00000"/>
      <name val="Calibri"/>
      <family val="2"/>
    </font>
    <font>
      <i/>
      <sz val="11"/>
      <color theme="1"/>
      <name val="Calibri"/>
      <family val="2"/>
      <scheme val="minor"/>
    </font>
    <font>
      <b/>
      <sz val="12"/>
      <color rgb="FFC00000"/>
      <name val="Calibri"/>
      <family val="2"/>
      <scheme val="minor"/>
    </font>
    <font>
      <i/>
      <sz val="11"/>
      <color rgb="FFC00000"/>
      <name val="Calibri"/>
      <family val="2"/>
      <scheme val="minor"/>
    </font>
    <font>
      <b/>
      <i/>
      <sz val="11"/>
      <color rgb="FFC00000"/>
      <name val="Calibri"/>
      <family val="2"/>
      <scheme val="minor"/>
    </font>
    <font>
      <sz val="11"/>
      <color theme="5" tint="-0.249977111117893"/>
      <name val="Calibri"/>
      <family val="2"/>
      <scheme val="minor"/>
    </font>
    <font>
      <i/>
      <sz val="11"/>
      <color rgb="FF0070C0"/>
      <name val="Calibri"/>
      <family val="2"/>
      <scheme val="minor"/>
    </font>
    <font>
      <i/>
      <sz val="11"/>
      <color theme="5" tint="-0.249977111117893"/>
      <name val="Calibri"/>
      <family val="2"/>
      <scheme val="minor"/>
    </font>
    <font>
      <b/>
      <i/>
      <sz val="11"/>
      <color rgb="FF0070C0"/>
      <name val="Calibri"/>
      <family val="2"/>
      <scheme val="minor"/>
    </font>
    <font>
      <b/>
      <u/>
      <sz val="11"/>
      <color theme="5" tint="-0.249977111117893"/>
      <name val="Calibri"/>
      <family val="2"/>
      <scheme val="minor"/>
    </font>
    <font>
      <b/>
      <i/>
      <sz val="10"/>
      <color theme="1"/>
      <name val="Calibri"/>
      <family val="2"/>
    </font>
    <font>
      <i/>
      <sz val="10"/>
      <color theme="1"/>
      <name val="Calibri"/>
      <family val="2"/>
    </font>
    <font>
      <b/>
      <sz val="12"/>
      <color theme="1"/>
      <name val="Calibri"/>
      <family val="2"/>
      <scheme val="minor"/>
    </font>
    <font>
      <b/>
      <sz val="11"/>
      <color theme="4"/>
      <name val="Calibri"/>
      <family val="2"/>
      <scheme val="minor"/>
    </font>
  </fonts>
  <fills count="17">
    <fill>
      <patternFill patternType="none"/>
    </fill>
    <fill>
      <patternFill patternType="gray125"/>
    </fill>
    <fill>
      <patternFill patternType="solid">
        <fgColor rgb="FF002060"/>
        <bgColor indexed="64"/>
      </patternFill>
    </fill>
    <fill>
      <patternFill patternType="solid">
        <fgColor theme="8" tint="0.79998168889431442"/>
        <bgColor indexed="64"/>
      </patternFill>
    </fill>
    <fill>
      <patternFill patternType="solid">
        <fgColor rgb="FFFFD966"/>
        <bgColor indexed="64"/>
      </patternFill>
    </fill>
    <fill>
      <patternFill patternType="solid">
        <fgColor theme="4" tint="0.79998168889431442"/>
        <bgColor indexed="64"/>
      </patternFill>
    </fill>
    <fill>
      <patternFill patternType="solid">
        <fgColor theme="7" tint="-0.499984740745262"/>
        <bgColor indexed="64"/>
      </patternFill>
    </fill>
    <fill>
      <patternFill patternType="solid">
        <fgColor theme="5" tint="-0.499984740745262"/>
        <bgColor indexed="64"/>
      </patternFill>
    </fill>
    <fill>
      <patternFill patternType="solid">
        <fgColor theme="6" tint="0.79998168889431442"/>
        <bgColor indexed="64"/>
      </patternFill>
    </fill>
    <fill>
      <patternFill patternType="solid">
        <fgColor theme="0"/>
        <bgColor indexed="64"/>
      </patternFill>
    </fill>
    <fill>
      <patternFill patternType="solid">
        <fgColor theme="4" tint="-0.499984740745262"/>
        <bgColor indexed="64"/>
      </patternFill>
    </fill>
    <fill>
      <patternFill patternType="solid">
        <fgColor theme="5" tint="0.39997558519241921"/>
        <bgColor indexed="64"/>
      </patternFill>
    </fill>
    <fill>
      <patternFill patternType="solid">
        <fgColor theme="7" tint="0.39997558519241921"/>
        <bgColor indexed="64"/>
      </patternFill>
    </fill>
    <fill>
      <patternFill patternType="solid">
        <fgColor theme="9" tint="0.39997558519241921"/>
        <bgColor indexed="64"/>
      </patternFill>
    </fill>
    <fill>
      <patternFill patternType="solid">
        <fgColor theme="4" tint="0.39997558519241921"/>
        <bgColor indexed="64"/>
      </patternFill>
    </fill>
    <fill>
      <patternFill patternType="solid">
        <fgColor theme="7"/>
        <bgColor indexed="64"/>
      </patternFill>
    </fill>
    <fill>
      <patternFill patternType="solid">
        <fgColor theme="7" tint="0.79998168889431442"/>
        <bgColor indexed="64"/>
      </patternFill>
    </fill>
  </fills>
  <borders count="19">
    <border>
      <left/>
      <right/>
      <top/>
      <bottom/>
      <diagonal/>
    </border>
    <border>
      <left/>
      <right/>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9">
    <xf numFmtId="0" fontId="0" fillId="0" borderId="0"/>
    <xf numFmtId="43" fontId="1" fillId="0" borderId="0" applyFont="0" applyFill="0" applyBorder="0" applyAlignment="0" applyProtection="0"/>
    <xf numFmtId="9" fontId="1" fillId="0" borderId="0" applyFont="0" applyFill="0" applyBorder="0" applyAlignment="0" applyProtection="0"/>
    <xf numFmtId="0" fontId="4" fillId="0" borderId="0"/>
    <xf numFmtId="9" fontId="4" fillId="0" borderId="0" applyFont="0" applyFill="0" applyBorder="0" applyAlignment="0" applyProtection="0"/>
    <xf numFmtId="9" fontId="21" fillId="0" borderId="0" applyFont="0" applyFill="0" applyBorder="0" applyAlignment="0" applyProtection="0"/>
    <xf numFmtId="0" fontId="26" fillId="0" borderId="0" applyNumberFormat="0" applyFill="0" applyBorder="0" applyAlignment="0" applyProtection="0"/>
    <xf numFmtId="0" fontId="29" fillId="0" borderId="0"/>
    <xf numFmtId="0" fontId="29" fillId="0" borderId="0"/>
  </cellStyleXfs>
  <cellXfs count="407">
    <xf numFmtId="0" fontId="0" fillId="0" borderId="0" xfId="0"/>
    <xf numFmtId="0" fontId="5" fillId="0" borderId="0" xfId="3" applyFont="1" applyAlignment="1">
      <alignment vertical="center"/>
    </xf>
    <xf numFmtId="0" fontId="5" fillId="0" borderId="0" xfId="3" applyFont="1" applyAlignment="1">
      <alignment horizontal="left" vertical="center"/>
    </xf>
    <xf numFmtId="43" fontId="5" fillId="0" borderId="0" xfId="1" applyFont="1" applyAlignment="1">
      <alignment horizontal="center" vertical="center"/>
    </xf>
    <xf numFmtId="0" fontId="5" fillId="0" borderId="0" xfId="0" applyFont="1" applyAlignment="1">
      <alignment vertical="center"/>
    </xf>
    <xf numFmtId="0" fontId="5" fillId="0" borderId="0" xfId="0" applyFont="1" applyAlignment="1">
      <alignment horizontal="left" vertical="center"/>
    </xf>
    <xf numFmtId="0" fontId="7" fillId="2" borderId="0" xfId="0" applyFont="1" applyFill="1" applyAlignment="1">
      <alignment horizontal="left" vertical="center"/>
    </xf>
    <xf numFmtId="0" fontId="8" fillId="2" borderId="0" xfId="0" applyFont="1" applyFill="1" applyAlignment="1">
      <alignment horizontal="left" vertical="center"/>
    </xf>
    <xf numFmtId="0" fontId="9" fillId="2" borderId="1" xfId="0" applyFont="1" applyFill="1" applyBorder="1" applyAlignment="1">
      <alignment vertical="center"/>
    </xf>
    <xf numFmtId="0" fontId="6" fillId="3" borderId="0" xfId="0" applyFont="1" applyFill="1" applyAlignment="1">
      <alignment horizontal="left" vertical="center"/>
    </xf>
    <xf numFmtId="0" fontId="6" fillId="3" borderId="0" xfId="0" applyFont="1" applyFill="1" applyAlignment="1">
      <alignment horizontal="center" vertical="center"/>
    </xf>
    <xf numFmtId="15" fontId="10" fillId="0" borderId="0" xfId="0" applyNumberFormat="1" applyFont="1" applyAlignment="1">
      <alignment horizontal="center" vertical="center"/>
    </xf>
    <xf numFmtId="165" fontId="10" fillId="0" borderId="0" xfId="1" applyNumberFormat="1" applyFont="1" applyAlignment="1">
      <alignment horizontal="center" vertical="center"/>
    </xf>
    <xf numFmtId="0" fontId="5" fillId="0" borderId="0" xfId="0" applyFont="1"/>
    <xf numFmtId="0" fontId="5" fillId="0" borderId="0" xfId="0" applyFont="1" applyAlignment="1">
      <alignment vertical="center" wrapText="1"/>
    </xf>
    <xf numFmtId="0" fontId="10" fillId="0" borderId="0" xfId="0" applyFont="1" applyAlignment="1">
      <alignment horizontal="center" vertical="center"/>
    </xf>
    <xf numFmtId="9" fontId="5" fillId="0" borderId="0" xfId="0" applyNumberFormat="1" applyFont="1" applyAlignment="1">
      <alignment horizontal="center" vertical="center"/>
    </xf>
    <xf numFmtId="0" fontId="6" fillId="3" borderId="2" xfId="0" applyFont="1" applyFill="1" applyBorder="1" applyAlignment="1">
      <alignment horizontal="left" vertical="center"/>
    </xf>
    <xf numFmtId="9" fontId="10" fillId="0" borderId="0" xfId="0" applyNumberFormat="1" applyFont="1" applyAlignment="1">
      <alignment horizontal="center" vertical="center"/>
    </xf>
    <xf numFmtId="10" fontId="10" fillId="0" borderId="0" xfId="0" applyNumberFormat="1" applyFont="1" applyAlignment="1">
      <alignment horizontal="center" vertical="center"/>
    </xf>
    <xf numFmtId="4" fontId="10" fillId="0" borderId="0" xfId="0" applyNumberFormat="1" applyFont="1" applyAlignment="1">
      <alignment horizontal="center" vertical="center"/>
    </xf>
    <xf numFmtId="0" fontId="11" fillId="0" borderId="0" xfId="0" applyFont="1" applyAlignment="1">
      <alignment horizontal="left" vertical="center"/>
    </xf>
    <xf numFmtId="3" fontId="10" fillId="0" borderId="0" xfId="0" applyNumberFormat="1" applyFont="1" applyAlignment="1">
      <alignment horizontal="center" vertical="center"/>
    </xf>
    <xf numFmtId="4" fontId="11" fillId="0" borderId="0" xfId="0" applyNumberFormat="1" applyFont="1" applyAlignment="1">
      <alignment horizontal="center" vertical="center"/>
    </xf>
    <xf numFmtId="10" fontId="10" fillId="0" borderId="0" xfId="2" applyNumberFormat="1" applyFont="1" applyAlignment="1">
      <alignment horizontal="center" vertical="center"/>
    </xf>
    <xf numFmtId="9" fontId="10" fillId="0" borderId="0" xfId="2" applyFont="1" applyAlignment="1">
      <alignment horizontal="center" vertical="center"/>
    </xf>
    <xf numFmtId="0" fontId="5" fillId="0" borderId="0" xfId="0" applyFont="1" applyAlignment="1">
      <alignment horizontal="left" vertical="center" wrapText="1"/>
    </xf>
    <xf numFmtId="2" fontId="10" fillId="0" borderId="0" xfId="0" applyNumberFormat="1" applyFont="1" applyAlignment="1">
      <alignment horizontal="center" vertical="center"/>
    </xf>
    <xf numFmtId="0" fontId="14" fillId="0" borderId="0" xfId="0" applyFont="1" applyAlignment="1">
      <alignment vertical="center"/>
    </xf>
    <xf numFmtId="0" fontId="6" fillId="0" borderId="2" xfId="0" applyFont="1" applyBorder="1" applyAlignment="1">
      <alignment vertical="center"/>
    </xf>
    <xf numFmtId="10" fontId="6" fillId="0" borderId="2" xfId="0" applyNumberFormat="1" applyFont="1" applyBorder="1" applyAlignment="1">
      <alignment horizontal="center" vertical="center"/>
    </xf>
    <xf numFmtId="9" fontId="12" fillId="0" borderId="2" xfId="0" applyNumberFormat="1" applyFont="1" applyBorder="1" applyAlignment="1">
      <alignment horizontal="center" vertical="center"/>
    </xf>
    <xf numFmtId="0" fontId="9" fillId="2" borderId="1" xfId="0" applyFont="1" applyFill="1" applyBorder="1" applyAlignment="1">
      <alignment horizontal="center" vertical="center"/>
    </xf>
    <xf numFmtId="0" fontId="5" fillId="0" borderId="0" xfId="0" applyFont="1" applyAlignment="1">
      <alignment horizontal="center" vertical="center"/>
    </xf>
    <xf numFmtId="1" fontId="11" fillId="0" borderId="0" xfId="0" applyNumberFormat="1" applyFont="1" applyAlignment="1">
      <alignment horizontal="center" vertical="center"/>
    </xf>
    <xf numFmtId="0" fontId="0" fillId="0" borderId="0" xfId="0" applyAlignment="1">
      <alignment vertical="center"/>
    </xf>
    <xf numFmtId="0" fontId="7" fillId="2" borderId="0" xfId="0" applyFont="1" applyFill="1" applyAlignment="1">
      <alignment vertical="center"/>
    </xf>
    <xf numFmtId="0" fontId="8" fillId="2" borderId="0" xfId="0" applyFont="1" applyFill="1" applyAlignment="1">
      <alignment horizontal="center" vertical="center"/>
    </xf>
    <xf numFmtId="0" fontId="9" fillId="2" borderId="0" xfId="0" applyFont="1" applyFill="1" applyAlignment="1">
      <alignment vertical="center"/>
    </xf>
    <xf numFmtId="0" fontId="9" fillId="2" borderId="0" xfId="0" applyFont="1" applyFill="1" applyAlignment="1">
      <alignment horizontal="center" vertical="center"/>
    </xf>
    <xf numFmtId="167" fontId="9" fillId="2" borderId="0" xfId="0" applyNumberFormat="1" applyFont="1" applyFill="1" applyAlignment="1">
      <alignment horizontal="center" vertical="center"/>
    </xf>
    <xf numFmtId="0" fontId="15" fillId="5" borderId="0" xfId="0" applyFont="1" applyFill="1" applyAlignment="1">
      <alignment vertical="center"/>
    </xf>
    <xf numFmtId="0" fontId="15" fillId="5" borderId="0" xfId="0" applyFont="1" applyFill="1" applyAlignment="1">
      <alignment horizontal="center" vertical="center"/>
    </xf>
    <xf numFmtId="2" fontId="5" fillId="0" borderId="0" xfId="0" applyNumberFormat="1" applyFont="1" applyAlignment="1">
      <alignment horizontal="center" vertical="center"/>
    </xf>
    <xf numFmtId="1" fontId="5" fillId="0" borderId="0" xfId="0" applyNumberFormat="1" applyFont="1" applyAlignment="1">
      <alignment horizontal="center" vertical="center"/>
    </xf>
    <xf numFmtId="2" fontId="0" fillId="0" borderId="0" xfId="0" applyNumberFormat="1" applyAlignment="1">
      <alignment vertical="center"/>
    </xf>
    <xf numFmtId="0" fontId="3" fillId="0" borderId="0" xfId="0" applyFont="1"/>
    <xf numFmtId="0" fontId="3" fillId="0" borderId="0" xfId="0" applyFont="1" applyAlignment="1">
      <alignment horizontal="center"/>
    </xf>
    <xf numFmtId="2" fontId="6" fillId="0" borderId="2" xfId="0" applyNumberFormat="1" applyFont="1" applyBorder="1" applyAlignment="1">
      <alignment horizontal="center" vertical="center"/>
    </xf>
    <xf numFmtId="2" fontId="5" fillId="0" borderId="0" xfId="0" applyNumberFormat="1" applyFont="1" applyAlignment="1">
      <alignment vertical="center"/>
    </xf>
    <xf numFmtId="2" fontId="9" fillId="2" borderId="0" xfId="0" applyNumberFormat="1" applyFont="1" applyFill="1" applyAlignment="1">
      <alignment horizontal="center" vertical="center"/>
    </xf>
    <xf numFmtId="2" fontId="16" fillId="0" borderId="2" xfId="0" applyNumberFormat="1" applyFont="1" applyBorder="1" applyAlignment="1">
      <alignment horizontal="center" vertical="center"/>
    </xf>
    <xf numFmtId="2" fontId="11" fillId="0" borderId="0" xfId="0" applyNumberFormat="1" applyFont="1" applyAlignment="1">
      <alignment horizontal="center" vertical="center"/>
    </xf>
    <xf numFmtId="0" fontId="17" fillId="0" borderId="0" xfId="0" applyFont="1" applyAlignment="1">
      <alignment vertical="center"/>
    </xf>
    <xf numFmtId="0" fontId="19" fillId="0" borderId="0" xfId="0" applyFont="1" applyAlignment="1">
      <alignment vertical="center"/>
    </xf>
    <xf numFmtId="2" fontId="20" fillId="0" borderId="0" xfId="0" applyNumberFormat="1" applyFont="1" applyAlignment="1">
      <alignment horizontal="center" vertical="center"/>
    </xf>
    <xf numFmtId="0" fontId="2" fillId="2" borderId="0" xfId="0" applyFont="1" applyFill="1" applyAlignment="1">
      <alignment vertical="center"/>
    </xf>
    <xf numFmtId="2" fontId="2" fillId="2" borderId="0" xfId="0" applyNumberFormat="1" applyFont="1" applyFill="1" applyAlignment="1">
      <alignment horizontal="center" vertical="center"/>
    </xf>
    <xf numFmtId="0" fontId="3" fillId="0" borderId="2" xfId="0" applyFont="1" applyBorder="1" applyAlignment="1">
      <alignment vertical="center"/>
    </xf>
    <xf numFmtId="2" fontId="3" fillId="0" borderId="2" xfId="0" applyNumberFormat="1" applyFont="1" applyBorder="1" applyAlignment="1">
      <alignment horizontal="center" vertical="center"/>
    </xf>
    <xf numFmtId="0" fontId="3" fillId="5" borderId="0" xfId="0" applyFont="1" applyFill="1" applyAlignment="1">
      <alignment vertical="center"/>
    </xf>
    <xf numFmtId="2" fontId="3" fillId="5" borderId="0" xfId="0" applyNumberFormat="1" applyFont="1" applyFill="1" applyAlignment="1">
      <alignment horizontal="center" vertical="center"/>
    </xf>
    <xf numFmtId="2" fontId="17" fillId="0" borderId="0" xfId="0" applyNumberFormat="1" applyFont="1" applyAlignment="1">
      <alignment horizontal="center" vertical="center"/>
    </xf>
    <xf numFmtId="0" fontId="3" fillId="5" borderId="2" xfId="0" applyFont="1" applyFill="1" applyBorder="1" applyAlignment="1">
      <alignment vertical="center"/>
    </xf>
    <xf numFmtId="2" fontId="3" fillId="5" borderId="2" xfId="0" applyNumberFormat="1" applyFont="1" applyFill="1" applyBorder="1" applyAlignment="1">
      <alignment horizontal="center" vertical="center"/>
    </xf>
    <xf numFmtId="0" fontId="11" fillId="0" borderId="0" xfId="0" applyFont="1" applyAlignment="1">
      <alignment vertical="center"/>
    </xf>
    <xf numFmtId="10" fontId="10" fillId="0" borderId="0" xfId="5" applyNumberFormat="1" applyFont="1" applyFill="1" applyBorder="1" applyAlignment="1">
      <alignment horizontal="center" vertical="center"/>
    </xf>
    <xf numFmtId="0" fontId="3" fillId="0" borderId="0" xfId="0" applyFont="1" applyAlignment="1">
      <alignment vertical="center"/>
    </xf>
    <xf numFmtId="0" fontId="3" fillId="5" borderId="3" xfId="0" applyFont="1" applyFill="1" applyBorder="1" applyAlignment="1">
      <alignment vertical="center"/>
    </xf>
    <xf numFmtId="10" fontId="3" fillId="5" borderId="4" xfId="2" applyNumberFormat="1" applyFont="1" applyFill="1" applyBorder="1" applyAlignment="1">
      <alignment horizontal="center" vertical="center"/>
    </xf>
    <xf numFmtId="0" fontId="3" fillId="5" borderId="5" xfId="0" applyFont="1" applyFill="1" applyBorder="1" applyAlignment="1">
      <alignment vertical="center"/>
    </xf>
    <xf numFmtId="2" fontId="3" fillId="0" borderId="0" xfId="0" applyNumberFormat="1" applyFont="1" applyAlignment="1">
      <alignment horizontal="center" vertical="center"/>
    </xf>
    <xf numFmtId="0" fontId="11" fillId="0" borderId="0" xfId="3" applyFont="1" applyAlignment="1">
      <alignment vertical="center"/>
    </xf>
    <xf numFmtId="10" fontId="11" fillId="0" borderId="0" xfId="0" applyNumberFormat="1" applyFont="1" applyAlignment="1">
      <alignment vertical="center"/>
    </xf>
    <xf numFmtId="169" fontId="0" fillId="0" borderId="0" xfId="1" applyNumberFormat="1" applyFont="1" applyAlignment="1">
      <alignment vertical="center"/>
    </xf>
    <xf numFmtId="43" fontId="0" fillId="0" borderId="0" xfId="1" applyFont="1" applyAlignment="1">
      <alignment vertical="center"/>
    </xf>
    <xf numFmtId="10" fontId="5" fillId="0" borderId="0" xfId="2" applyNumberFormat="1" applyFont="1" applyAlignment="1">
      <alignment vertical="center"/>
    </xf>
    <xf numFmtId="0" fontId="22" fillId="0" borderId="0" xfId="0" applyFont="1" applyAlignment="1">
      <alignment vertical="center"/>
    </xf>
    <xf numFmtId="170" fontId="5" fillId="0" borderId="0" xfId="1" applyNumberFormat="1" applyFont="1" applyAlignment="1">
      <alignment vertical="center"/>
    </xf>
    <xf numFmtId="10" fontId="18" fillId="0" borderId="0" xfId="0" applyNumberFormat="1" applyFont="1" applyAlignment="1">
      <alignment horizontal="center" vertical="center"/>
    </xf>
    <xf numFmtId="2" fontId="0" fillId="0" borderId="0" xfId="0" applyNumberFormat="1"/>
    <xf numFmtId="168" fontId="0" fillId="0" borderId="0" xfId="1" applyNumberFormat="1" applyFont="1"/>
    <xf numFmtId="0" fontId="0" fillId="0" borderId="0" xfId="0" applyAlignment="1">
      <alignment wrapText="1"/>
    </xf>
    <xf numFmtId="168" fontId="23" fillId="0" borderId="0" xfId="1" applyNumberFormat="1" applyFont="1" applyAlignment="1">
      <alignment vertical="center"/>
    </xf>
    <xf numFmtId="4" fontId="10" fillId="0" borderId="0" xfId="0" applyNumberFormat="1" applyFont="1" applyAlignment="1">
      <alignment horizontal="center" vertical="center" wrapText="1"/>
    </xf>
    <xf numFmtId="10" fontId="0" fillId="0" borderId="0" xfId="2" applyNumberFormat="1" applyFont="1"/>
    <xf numFmtId="0" fontId="26" fillId="0" borderId="0" xfId="6"/>
    <xf numFmtId="0" fontId="0" fillId="0" borderId="0" xfId="0" applyAlignment="1">
      <alignment horizontal="left"/>
    </xf>
    <xf numFmtId="0" fontId="2" fillId="10" borderId="0" xfId="0" applyFont="1" applyFill="1" applyAlignment="1">
      <alignment vertical="center"/>
    </xf>
    <xf numFmtId="2" fontId="2" fillId="10" borderId="0" xfId="0" applyNumberFormat="1" applyFont="1" applyFill="1" applyAlignment="1">
      <alignment horizontal="center" vertical="center"/>
    </xf>
    <xf numFmtId="172" fontId="0" fillId="0" borderId="0" xfId="2" applyNumberFormat="1" applyFont="1" applyAlignment="1">
      <alignment vertical="center"/>
    </xf>
    <xf numFmtId="0" fontId="18" fillId="0" borderId="0" xfId="3" applyFont="1" applyAlignment="1">
      <alignment vertical="center"/>
    </xf>
    <xf numFmtId="0" fontId="18" fillId="0" borderId="0" xfId="0" applyFont="1" applyAlignment="1">
      <alignment vertical="center"/>
    </xf>
    <xf numFmtId="0" fontId="27" fillId="0" borderId="0" xfId="0" applyFont="1" applyAlignment="1">
      <alignment vertical="center"/>
    </xf>
    <xf numFmtId="9" fontId="38" fillId="0" borderId="0" xfId="2" applyFont="1" applyAlignment="1">
      <alignment horizontal="center" vertical="center"/>
    </xf>
    <xf numFmtId="2" fontId="17" fillId="0" borderId="0" xfId="0" applyNumberFormat="1" applyFont="1" applyAlignment="1">
      <alignment vertical="center"/>
    </xf>
    <xf numFmtId="0" fontId="39" fillId="0" borderId="0" xfId="0" applyFont="1"/>
    <xf numFmtId="2" fontId="18" fillId="0" borderId="0" xfId="0" applyNumberFormat="1" applyFont="1" applyAlignment="1">
      <alignment horizontal="center" vertical="center"/>
    </xf>
    <xf numFmtId="172" fontId="0" fillId="0" borderId="0" xfId="0" applyNumberFormat="1" applyAlignment="1">
      <alignment vertical="center"/>
    </xf>
    <xf numFmtId="0" fontId="1" fillId="0" borderId="0" xfId="3" applyFont="1" applyAlignment="1">
      <alignment vertical="center"/>
    </xf>
    <xf numFmtId="0" fontId="40" fillId="11" borderId="0" xfId="3" applyFont="1" applyFill="1" applyAlignment="1">
      <alignment vertical="center"/>
    </xf>
    <xf numFmtId="0" fontId="40" fillId="11" borderId="0" xfId="3" applyFont="1" applyFill="1" applyAlignment="1">
      <alignment horizontal="left" vertical="center"/>
    </xf>
    <xf numFmtId="0" fontId="1" fillId="0" borderId="0" xfId="3" applyFont="1" applyAlignment="1">
      <alignment horizontal="left" vertical="center"/>
    </xf>
    <xf numFmtId="0" fontId="2" fillId="2" borderId="0" xfId="3" applyFont="1" applyFill="1" applyAlignment="1">
      <alignment vertical="center"/>
    </xf>
    <xf numFmtId="0" fontId="2" fillId="2" borderId="0" xfId="3" applyFont="1" applyFill="1" applyAlignment="1">
      <alignment horizontal="left" vertical="center"/>
    </xf>
    <xf numFmtId="0" fontId="17" fillId="0" borderId="0" xfId="8" applyFont="1" applyAlignment="1">
      <alignment vertical="center"/>
    </xf>
    <xf numFmtId="0" fontId="30" fillId="0" borderId="0" xfId="8" applyFont="1" applyAlignment="1">
      <alignment horizontal="center" vertical="center"/>
    </xf>
    <xf numFmtId="0" fontId="30" fillId="5" borderId="17" xfId="8" applyFont="1" applyFill="1" applyBorder="1" applyAlignment="1">
      <alignment horizontal="center" vertical="center"/>
    </xf>
    <xf numFmtId="0" fontId="30" fillId="5" borderId="8" xfId="8" applyFont="1" applyFill="1" applyBorder="1" applyAlignment="1">
      <alignment horizontal="left" vertical="center"/>
    </xf>
    <xf numFmtId="0" fontId="30" fillId="5" borderId="18" xfId="8" applyFont="1" applyFill="1" applyBorder="1" applyAlignment="1">
      <alignment horizontal="center" vertical="center" wrapText="1"/>
    </xf>
    <xf numFmtId="0" fontId="30" fillId="0" borderId="10" xfId="8" applyFont="1" applyBorder="1" applyAlignment="1">
      <alignment horizontal="center" vertical="center"/>
    </xf>
    <xf numFmtId="0" fontId="17" fillId="0" borderId="7" xfId="8" applyFont="1" applyBorder="1" applyAlignment="1">
      <alignment horizontal="left" vertical="center"/>
    </xf>
    <xf numFmtId="4" fontId="17" fillId="0" borderId="11" xfId="8" applyNumberFormat="1" applyFont="1" applyBorder="1" applyAlignment="1">
      <alignment horizontal="center" vertical="center"/>
    </xf>
    <xf numFmtId="0" fontId="17" fillId="9" borderId="7" xfId="8" applyFont="1" applyFill="1" applyBorder="1" applyAlignment="1">
      <alignment horizontal="left" vertical="center"/>
    </xf>
    <xf numFmtId="4" fontId="17" fillId="9" borderId="11" xfId="8" applyNumberFormat="1" applyFont="1" applyFill="1" applyBorder="1" applyAlignment="1">
      <alignment horizontal="center" vertical="center"/>
    </xf>
    <xf numFmtId="4" fontId="17" fillId="0" borderId="0" xfId="8" applyNumberFormat="1" applyFont="1" applyAlignment="1">
      <alignment vertical="center"/>
    </xf>
    <xf numFmtId="4" fontId="30" fillId="0" borderId="0" xfId="8" applyNumberFormat="1" applyFont="1" applyAlignment="1">
      <alignment vertical="center"/>
    </xf>
    <xf numFmtId="4" fontId="30" fillId="5" borderId="18" xfId="8" applyNumberFormat="1" applyFont="1" applyFill="1" applyBorder="1" applyAlignment="1">
      <alignment horizontal="center" vertical="center"/>
    </xf>
    <xf numFmtId="0" fontId="30" fillId="5" borderId="10" xfId="8" applyFont="1" applyFill="1" applyBorder="1" applyAlignment="1">
      <alignment horizontal="center" vertical="center"/>
    </xf>
    <xf numFmtId="0" fontId="30" fillId="5" borderId="7" xfId="8" applyFont="1" applyFill="1" applyBorder="1" applyAlignment="1">
      <alignment horizontal="left" vertical="center"/>
    </xf>
    <xf numFmtId="4" fontId="30" fillId="5" borderId="11" xfId="8" applyNumberFormat="1" applyFont="1" applyFill="1" applyBorder="1" applyAlignment="1">
      <alignment horizontal="center" vertical="center"/>
    </xf>
    <xf numFmtId="0" fontId="27" fillId="0" borderId="0" xfId="8" applyFont="1" applyAlignment="1">
      <alignment vertical="center"/>
    </xf>
    <xf numFmtId="0" fontId="30" fillId="0" borderId="3" xfId="8" applyFont="1" applyBorder="1" applyAlignment="1">
      <alignment horizontal="center" vertical="center"/>
    </xf>
    <xf numFmtId="0" fontId="17" fillId="0" borderId="9" xfId="8" applyFont="1" applyBorder="1" applyAlignment="1">
      <alignment vertical="center"/>
    </xf>
    <xf numFmtId="4" fontId="17" fillId="0" borderId="4" xfId="8" applyNumberFormat="1" applyFont="1" applyBorder="1" applyAlignment="1">
      <alignment horizontal="center" vertical="center"/>
    </xf>
    <xf numFmtId="0" fontId="17" fillId="0" borderId="7" xfId="8" applyFont="1" applyBorder="1" applyAlignment="1">
      <alignment vertical="center"/>
    </xf>
    <xf numFmtId="0" fontId="30" fillId="0" borderId="7" xfId="8" applyFont="1" applyBorder="1" applyAlignment="1">
      <alignment vertical="center"/>
    </xf>
    <xf numFmtId="4" fontId="34" fillId="0" borderId="11" xfId="8" applyNumberFormat="1" applyFont="1" applyBorder="1" applyAlignment="1">
      <alignment horizontal="center" vertical="center"/>
    </xf>
    <xf numFmtId="0" fontId="30" fillId="5" borderId="17" xfId="8" applyFont="1" applyFill="1" applyBorder="1" applyAlignment="1">
      <alignment vertical="center"/>
    </xf>
    <xf numFmtId="0" fontId="30" fillId="5" borderId="8" xfId="8" applyFont="1" applyFill="1" applyBorder="1" applyAlignment="1">
      <alignment vertical="center"/>
    </xf>
    <xf numFmtId="0" fontId="42" fillId="2" borderId="0" xfId="3" applyFont="1" applyFill="1" applyAlignment="1">
      <alignment vertical="center"/>
    </xf>
    <xf numFmtId="0" fontId="2" fillId="2" borderId="0" xfId="0" applyFont="1" applyFill="1" applyAlignment="1">
      <alignment horizontal="center" vertical="center"/>
    </xf>
    <xf numFmtId="10" fontId="20" fillId="0" borderId="0" xfId="5" applyNumberFormat="1" applyFont="1" applyFill="1" applyBorder="1" applyAlignment="1">
      <alignment horizontal="center" vertical="center"/>
    </xf>
    <xf numFmtId="168" fontId="0" fillId="0" borderId="0" xfId="1" applyNumberFormat="1" applyFont="1" applyAlignment="1"/>
    <xf numFmtId="9" fontId="0" fillId="0" borderId="0" xfId="2" applyFont="1" applyAlignment="1"/>
    <xf numFmtId="10" fontId="0" fillId="0" borderId="0" xfId="2" applyNumberFormat="1" applyFont="1" applyAlignment="1">
      <alignment vertical="center"/>
    </xf>
    <xf numFmtId="2" fontId="3" fillId="0" borderId="0" xfId="0" applyNumberFormat="1" applyFont="1" applyAlignment="1">
      <alignment vertical="center"/>
    </xf>
    <xf numFmtId="0" fontId="15" fillId="0" borderId="0" xfId="0" applyFont="1" applyAlignment="1">
      <alignment vertical="center"/>
    </xf>
    <xf numFmtId="0" fontId="43" fillId="11" borderId="0" xfId="3" applyFont="1" applyFill="1" applyAlignment="1">
      <alignment vertical="center"/>
    </xf>
    <xf numFmtId="0" fontId="7" fillId="2" borderId="0" xfId="3" applyFont="1" applyFill="1" applyAlignment="1">
      <alignment vertical="center"/>
    </xf>
    <xf numFmtId="0" fontId="0" fillId="0" borderId="0" xfId="0" applyFont="1" applyAlignment="1">
      <alignment vertical="center"/>
    </xf>
    <xf numFmtId="0" fontId="0" fillId="0" borderId="0" xfId="0" applyFont="1"/>
    <xf numFmtId="2" fontId="0" fillId="0" borderId="0" xfId="0" applyNumberFormat="1" applyFont="1" applyAlignment="1">
      <alignment horizontal="center" vertical="center"/>
    </xf>
    <xf numFmtId="0" fontId="0" fillId="0" borderId="0" xfId="3" applyFont="1" applyAlignment="1">
      <alignment vertical="center"/>
    </xf>
    <xf numFmtId="0" fontId="0" fillId="0" borderId="0" xfId="3" applyFont="1" applyAlignment="1">
      <alignment horizontal="left" vertical="center"/>
    </xf>
    <xf numFmtId="0" fontId="42" fillId="2" borderId="0" xfId="0" applyFont="1" applyFill="1" applyAlignment="1">
      <alignment vertical="center"/>
    </xf>
    <xf numFmtId="0" fontId="28" fillId="2" borderId="0" xfId="0" applyFont="1" applyFill="1" applyAlignment="1">
      <alignment horizontal="center" vertical="center"/>
    </xf>
    <xf numFmtId="0" fontId="34" fillId="0" borderId="0" xfId="0" applyFont="1" applyAlignment="1">
      <alignment vertical="center"/>
    </xf>
    <xf numFmtId="0" fontId="0" fillId="0" borderId="0" xfId="0" applyFont="1" applyAlignment="1">
      <alignment horizontal="center" vertical="center"/>
    </xf>
    <xf numFmtId="43" fontId="0" fillId="0" borderId="0" xfId="1" applyFont="1" applyAlignment="1">
      <alignment horizontal="center" vertical="center"/>
    </xf>
    <xf numFmtId="167" fontId="2" fillId="2" borderId="0" xfId="0" applyNumberFormat="1" applyFont="1" applyFill="1" applyAlignment="1">
      <alignment horizontal="center" vertical="center"/>
    </xf>
    <xf numFmtId="1" fontId="15" fillId="5" borderId="0" xfId="0" applyNumberFormat="1" applyFont="1" applyFill="1" applyAlignment="1">
      <alignment horizontal="center" vertical="center"/>
    </xf>
    <xf numFmtId="0" fontId="44" fillId="0" borderId="0" xfId="0" applyFont="1" applyAlignment="1">
      <alignment vertical="center"/>
    </xf>
    <xf numFmtId="0" fontId="45" fillId="11" borderId="0" xfId="3" applyFont="1" applyFill="1" applyAlignment="1">
      <alignment vertical="center"/>
    </xf>
    <xf numFmtId="4" fontId="0" fillId="0" borderId="0" xfId="0" applyNumberFormat="1" applyFont="1" applyAlignment="1">
      <alignment horizontal="center" vertical="center"/>
    </xf>
    <xf numFmtId="0" fontId="0" fillId="0" borderId="0" xfId="0" applyFont="1" applyAlignment="1">
      <alignment vertical="center" wrapText="1"/>
    </xf>
    <xf numFmtId="167" fontId="40" fillId="4" borderId="0" xfId="0" applyNumberFormat="1" applyFont="1" applyFill="1" applyAlignment="1">
      <alignment horizontal="center" vertical="center"/>
    </xf>
    <xf numFmtId="167" fontId="3" fillId="5" borderId="0" xfId="0" applyNumberFormat="1" applyFont="1" applyFill="1" applyAlignment="1">
      <alignment horizontal="center" vertical="center"/>
    </xf>
    <xf numFmtId="0" fontId="0" fillId="0" borderId="0" xfId="0" quotePrefix="1" applyFont="1" applyAlignment="1">
      <alignment vertical="center"/>
    </xf>
    <xf numFmtId="0" fontId="3" fillId="8" borderId="0" xfId="0" applyFont="1" applyFill="1" applyAlignment="1">
      <alignment vertical="center"/>
    </xf>
    <xf numFmtId="2" fontId="3" fillId="8" borderId="0" xfId="0" applyNumberFormat="1" applyFont="1" applyFill="1" applyAlignment="1">
      <alignment horizontal="center" vertical="center"/>
    </xf>
    <xf numFmtId="164" fontId="3" fillId="8" borderId="0" xfId="0" applyNumberFormat="1" applyFont="1" applyFill="1" applyAlignment="1">
      <alignment horizontal="center" vertical="center"/>
    </xf>
    <xf numFmtId="2" fontId="0" fillId="0" borderId="0" xfId="0" applyNumberFormat="1" applyFont="1" applyAlignment="1">
      <alignment vertical="center"/>
    </xf>
    <xf numFmtId="0" fontId="0" fillId="8" borderId="0" xfId="0" applyFont="1" applyFill="1" applyAlignment="1">
      <alignment vertical="center"/>
    </xf>
    <xf numFmtId="2" fontId="0" fillId="8" borderId="0" xfId="0" applyNumberFormat="1" applyFont="1" applyFill="1" applyAlignment="1">
      <alignment horizontal="center" vertical="center"/>
    </xf>
    <xf numFmtId="10" fontId="3" fillId="5" borderId="6" xfId="0" applyNumberFormat="1" applyFont="1" applyFill="1" applyBorder="1" applyAlignment="1">
      <alignment horizontal="center" vertical="center"/>
    </xf>
    <xf numFmtId="0" fontId="3" fillId="5" borderId="0" xfId="0" applyFont="1" applyFill="1" applyAlignment="1">
      <alignment horizontal="center" vertical="center"/>
    </xf>
    <xf numFmtId="0" fontId="2" fillId="10" borderId="0" xfId="0" applyFont="1" applyFill="1" applyAlignment="1">
      <alignment horizontal="center" vertical="center"/>
    </xf>
    <xf numFmtId="0" fontId="0" fillId="5" borderId="0" xfId="0" applyFont="1" applyFill="1" applyAlignment="1">
      <alignment horizontal="center" vertical="center"/>
    </xf>
    <xf numFmtId="0" fontId="0" fillId="0" borderId="0" xfId="3" applyFont="1" applyAlignment="1">
      <alignment horizontal="center" vertical="center"/>
    </xf>
    <xf numFmtId="0" fontId="40" fillId="11" borderId="0" xfId="3" applyFont="1" applyFill="1" applyAlignment="1">
      <alignment horizontal="center" vertical="center"/>
    </xf>
    <xf numFmtId="0" fontId="2" fillId="2" borderId="0" xfId="3" applyFont="1" applyFill="1" applyAlignment="1">
      <alignment horizontal="center" vertical="center"/>
    </xf>
    <xf numFmtId="0" fontId="46" fillId="0" borderId="2" xfId="0" applyFont="1" applyBorder="1" applyAlignment="1">
      <alignment vertical="center"/>
    </xf>
    <xf numFmtId="2" fontId="46" fillId="0" borderId="2" xfId="0" applyNumberFormat="1" applyFont="1" applyBorder="1" applyAlignment="1">
      <alignment vertical="center"/>
    </xf>
    <xf numFmtId="2" fontId="46" fillId="0" borderId="2" xfId="0" applyNumberFormat="1" applyFont="1" applyBorder="1" applyAlignment="1">
      <alignment horizontal="center" vertical="center"/>
    </xf>
    <xf numFmtId="167" fontId="13" fillId="12" borderId="0" xfId="0" applyNumberFormat="1" applyFont="1" applyFill="1" applyAlignment="1">
      <alignment horizontal="center" vertical="center"/>
    </xf>
    <xf numFmtId="2" fontId="15" fillId="5" borderId="0" xfId="0" applyNumberFormat="1" applyFont="1" applyFill="1" applyAlignment="1">
      <alignment vertical="center"/>
    </xf>
    <xf numFmtId="10" fontId="15" fillId="5" borderId="0" xfId="2" applyNumberFormat="1" applyFont="1" applyFill="1" applyAlignment="1">
      <alignment vertical="center"/>
    </xf>
    <xf numFmtId="167" fontId="40" fillId="12" borderId="0" xfId="0" applyNumberFormat="1" applyFont="1" applyFill="1" applyAlignment="1">
      <alignment horizontal="center" vertical="center"/>
    </xf>
    <xf numFmtId="1" fontId="47" fillId="12" borderId="0" xfId="0" applyNumberFormat="1" applyFont="1" applyFill="1" applyAlignment="1">
      <alignment horizontal="center" vertical="center"/>
    </xf>
    <xf numFmtId="1" fontId="47" fillId="4" borderId="0" xfId="0" applyNumberFormat="1" applyFont="1" applyFill="1" applyAlignment="1">
      <alignment horizontal="center" vertical="center"/>
    </xf>
    <xf numFmtId="0" fontId="19" fillId="5" borderId="0" xfId="0" applyFont="1" applyFill="1" applyAlignment="1">
      <alignment vertical="center"/>
    </xf>
    <xf numFmtId="0" fontId="0" fillId="5" borderId="0" xfId="0" applyFont="1" applyFill="1" applyAlignment="1">
      <alignment vertical="center"/>
    </xf>
    <xf numFmtId="9" fontId="20" fillId="0" borderId="0" xfId="0" applyNumberFormat="1" applyFont="1" applyAlignment="1">
      <alignment horizontal="center" vertical="center"/>
    </xf>
    <xf numFmtId="0" fontId="15" fillId="0" borderId="2" xfId="0" applyFont="1" applyBorder="1" applyAlignment="1">
      <alignment vertical="center"/>
    </xf>
    <xf numFmtId="3" fontId="0" fillId="0" borderId="0" xfId="0" applyNumberFormat="1" applyFont="1" applyAlignment="1">
      <alignment horizontal="center" vertical="center"/>
    </xf>
    <xf numFmtId="0" fontId="2" fillId="7" borderId="2" xfId="0" applyFont="1" applyFill="1" applyBorder="1" applyAlignment="1">
      <alignment vertical="center"/>
    </xf>
    <xf numFmtId="0" fontId="2" fillId="6" borderId="2" xfId="0" applyFont="1" applyFill="1" applyBorder="1" applyAlignment="1">
      <alignment vertical="center"/>
    </xf>
    <xf numFmtId="0" fontId="2" fillId="2" borderId="2" xfId="0" applyFont="1" applyFill="1" applyBorder="1" applyAlignment="1">
      <alignment vertical="center"/>
    </xf>
    <xf numFmtId="0" fontId="3" fillId="0" borderId="0" xfId="0" applyFont="1" applyAlignment="1">
      <alignment horizontal="left" vertical="center" wrapText="1"/>
    </xf>
    <xf numFmtId="0" fontId="0" fillId="0" borderId="0" xfId="0" applyFont="1" applyAlignment="1">
      <alignment horizontal="right" vertical="center" wrapText="1"/>
    </xf>
    <xf numFmtId="4" fontId="0" fillId="0" borderId="0" xfId="0" applyNumberFormat="1" applyFont="1" applyAlignment="1">
      <alignment vertical="center"/>
    </xf>
    <xf numFmtId="0" fontId="52" fillId="0" borderId="0" xfId="0" applyFont="1" applyAlignment="1">
      <alignment vertical="center"/>
    </xf>
    <xf numFmtId="0" fontId="0" fillId="0" borderId="0" xfId="0" applyFont="1" applyAlignment="1"/>
    <xf numFmtId="0" fontId="28" fillId="2" borderId="0" xfId="0" applyFont="1" applyFill="1" applyAlignment="1">
      <alignment vertical="center"/>
    </xf>
    <xf numFmtId="167" fontId="2" fillId="2" borderId="0" xfId="0" applyNumberFormat="1" applyFont="1" applyFill="1" applyAlignment="1">
      <alignment vertical="center"/>
    </xf>
    <xf numFmtId="1" fontId="15" fillId="5" borderId="0" xfId="0" applyNumberFormat="1" applyFont="1" applyFill="1" applyAlignment="1">
      <alignment vertical="center"/>
    </xf>
    <xf numFmtId="2" fontId="0" fillId="5" borderId="0" xfId="0" applyNumberFormat="1" applyFont="1" applyFill="1" applyAlignment="1">
      <alignment vertical="center"/>
    </xf>
    <xf numFmtId="166" fontId="48" fillId="0" borderId="0" xfId="0" applyNumberFormat="1" applyFont="1" applyAlignment="1">
      <alignment vertical="center"/>
    </xf>
    <xf numFmtId="166" fontId="0" fillId="0" borderId="0" xfId="0" applyNumberFormat="1" applyFont="1" applyAlignment="1">
      <alignment vertical="center"/>
    </xf>
    <xf numFmtId="9" fontId="20" fillId="0" borderId="0" xfId="0" applyNumberFormat="1" applyFont="1" applyAlignment="1">
      <alignment vertical="center"/>
    </xf>
    <xf numFmtId="1" fontId="0" fillId="0" borderId="0" xfId="0" applyNumberFormat="1" applyFont="1" applyAlignment="1">
      <alignment vertical="center"/>
    </xf>
    <xf numFmtId="10" fontId="48" fillId="0" borderId="0" xfId="2" applyNumberFormat="1" applyFont="1" applyAlignment="1">
      <alignment vertical="center"/>
    </xf>
    <xf numFmtId="9" fontId="49" fillId="0" borderId="0" xfId="0" applyNumberFormat="1" applyFont="1" applyAlignment="1">
      <alignment vertical="center"/>
    </xf>
    <xf numFmtId="10" fontId="50" fillId="0" borderId="0" xfId="2" applyNumberFormat="1" applyFont="1" applyAlignment="1">
      <alignment vertical="center"/>
    </xf>
    <xf numFmtId="10" fontId="0" fillId="0" borderId="0" xfId="0" applyNumberFormat="1" applyFont="1" applyAlignment="1"/>
    <xf numFmtId="168" fontId="0" fillId="0" borderId="0" xfId="1" applyNumberFormat="1" applyFont="1" applyAlignment="1">
      <alignment vertical="center"/>
    </xf>
    <xf numFmtId="10" fontId="48" fillId="0" borderId="0" xfId="0" applyNumberFormat="1" applyFont="1" applyAlignment="1">
      <alignment vertical="center"/>
    </xf>
    <xf numFmtId="9" fontId="51" fillId="0" borderId="2" xfId="0" applyNumberFormat="1" applyFont="1" applyBorder="1" applyAlignment="1">
      <alignment vertical="center"/>
    </xf>
    <xf numFmtId="168" fontId="15" fillId="0" borderId="2" xfId="1" applyNumberFormat="1" applyFont="1" applyBorder="1" applyAlignment="1">
      <alignment vertical="center"/>
    </xf>
    <xf numFmtId="9" fontId="51" fillId="0" borderId="0" xfId="0" applyNumberFormat="1" applyFont="1" applyAlignment="1">
      <alignment vertical="center"/>
    </xf>
    <xf numFmtId="168" fontId="15" fillId="0" borderId="0" xfId="1" applyNumberFormat="1" applyFont="1" applyBorder="1" applyAlignment="1">
      <alignment vertical="center"/>
    </xf>
    <xf numFmtId="4" fontId="48" fillId="0" borderId="0" xfId="0" applyNumberFormat="1" applyFont="1" applyAlignment="1">
      <alignment vertical="center"/>
    </xf>
    <xf numFmtId="3" fontId="0" fillId="0" borderId="0" xfId="0" applyNumberFormat="1" applyFont="1" applyAlignment="1">
      <alignment vertical="center"/>
    </xf>
    <xf numFmtId="4" fontId="20" fillId="0" borderId="0" xfId="0" applyNumberFormat="1" applyFont="1" applyAlignment="1">
      <alignment vertical="center"/>
    </xf>
    <xf numFmtId="9" fontId="17" fillId="0" borderId="0" xfId="0" applyNumberFormat="1" applyFont="1" applyAlignment="1">
      <alignment vertical="center"/>
    </xf>
    <xf numFmtId="4" fontId="17" fillId="0" borderId="0" xfId="0" applyNumberFormat="1" applyFont="1" applyAlignment="1">
      <alignment vertical="center"/>
    </xf>
    <xf numFmtId="3" fontId="17" fillId="0" borderId="0" xfId="0" applyNumberFormat="1" applyFont="1" applyAlignment="1">
      <alignment vertical="center"/>
    </xf>
    <xf numFmtId="2" fontId="2" fillId="7" borderId="2" xfId="0" applyNumberFormat="1" applyFont="1" applyFill="1" applyBorder="1" applyAlignment="1">
      <alignment vertical="center"/>
    </xf>
    <xf numFmtId="3" fontId="48" fillId="0" borderId="0" xfId="0" applyNumberFormat="1" applyFont="1" applyAlignment="1">
      <alignment vertical="center"/>
    </xf>
    <xf numFmtId="9" fontId="50" fillId="0" borderId="0" xfId="2" applyFont="1" applyAlignment="1">
      <alignment vertical="center"/>
    </xf>
    <xf numFmtId="2" fontId="2" fillId="6" borderId="2" xfId="0" applyNumberFormat="1" applyFont="1" applyFill="1" applyBorder="1" applyAlignment="1">
      <alignment vertical="center"/>
    </xf>
    <xf numFmtId="2" fontId="2" fillId="2" borderId="2" xfId="0" applyNumberFormat="1" applyFont="1" applyFill="1" applyBorder="1" applyAlignment="1">
      <alignment vertical="center"/>
    </xf>
    <xf numFmtId="171" fontId="48" fillId="0" borderId="0" xfId="0" applyNumberFormat="1" applyFont="1" applyAlignment="1">
      <alignment vertical="center"/>
    </xf>
    <xf numFmtId="2" fontId="48" fillId="0" borderId="0" xfId="0" applyNumberFormat="1" applyFont="1" applyAlignment="1">
      <alignment vertical="center"/>
    </xf>
    <xf numFmtId="4" fontId="3" fillId="0" borderId="0" xfId="0" applyNumberFormat="1" applyFont="1" applyAlignment="1">
      <alignment vertical="center"/>
    </xf>
    <xf numFmtId="3" fontId="30" fillId="0" borderId="0" xfId="0" applyNumberFormat="1" applyFont="1" applyAlignment="1">
      <alignment vertical="center"/>
    </xf>
    <xf numFmtId="3" fontId="34" fillId="0" borderId="0" xfId="0" applyNumberFormat="1" applyFont="1" applyAlignment="1">
      <alignment vertical="center"/>
    </xf>
    <xf numFmtId="2" fontId="0" fillId="0" borderId="0" xfId="0" applyNumberFormat="1" applyFont="1" applyAlignment="1"/>
    <xf numFmtId="168" fontId="0" fillId="0" borderId="0" xfId="0" applyNumberFormat="1" applyFont="1" applyAlignment="1"/>
    <xf numFmtId="43" fontId="0" fillId="0" borderId="0" xfId="0" applyNumberFormat="1" applyFont="1" applyAlignment="1"/>
    <xf numFmtId="10" fontId="3" fillId="12" borderId="0" xfId="2" applyNumberFormat="1" applyFont="1" applyFill="1" applyAlignment="1">
      <alignment horizontal="center" vertical="center"/>
    </xf>
    <xf numFmtId="0" fontId="53" fillId="5" borderId="0" xfId="0" applyFont="1" applyFill="1" applyAlignment="1">
      <alignment vertical="center"/>
    </xf>
    <xf numFmtId="0" fontId="53" fillId="5" borderId="0" xfId="0" applyFont="1" applyFill="1" applyAlignment="1">
      <alignment horizontal="center" vertical="center"/>
    </xf>
    <xf numFmtId="0" fontId="54" fillId="0" borderId="0" xfId="0" applyFont="1" applyAlignment="1">
      <alignment vertical="center"/>
    </xf>
    <xf numFmtId="0" fontId="6" fillId="3" borderId="2" xfId="0" applyFont="1" applyFill="1" applyBorder="1" applyAlignment="1">
      <alignment vertical="center"/>
    </xf>
    <xf numFmtId="2" fontId="6" fillId="3" borderId="2" xfId="0" applyNumberFormat="1" applyFont="1" applyFill="1" applyBorder="1" applyAlignment="1">
      <alignment horizontal="center" vertical="center"/>
    </xf>
    <xf numFmtId="2" fontId="0" fillId="0" borderId="0" xfId="0" applyNumberFormat="1" applyAlignment="1">
      <alignment horizontal="center" vertical="center"/>
    </xf>
    <xf numFmtId="174" fontId="9" fillId="2" borderId="0" xfId="0" applyNumberFormat="1" applyFont="1" applyFill="1" applyAlignment="1">
      <alignment vertical="center"/>
    </xf>
    <xf numFmtId="173" fontId="9" fillId="2" borderId="0" xfId="0" applyNumberFormat="1" applyFont="1" applyFill="1" applyAlignment="1">
      <alignment vertical="center"/>
    </xf>
    <xf numFmtId="10" fontId="9" fillId="2" borderId="0" xfId="0" applyNumberFormat="1" applyFont="1" applyFill="1" applyAlignment="1">
      <alignment horizontal="center" vertical="center"/>
    </xf>
    <xf numFmtId="10" fontId="9" fillId="2" borderId="0" xfId="0" applyNumberFormat="1" applyFont="1" applyFill="1" applyAlignment="1">
      <alignment vertical="center"/>
    </xf>
    <xf numFmtId="9" fontId="5" fillId="0" borderId="0" xfId="0" applyNumberFormat="1" applyFont="1" applyAlignment="1">
      <alignment vertical="center"/>
    </xf>
    <xf numFmtId="0" fontId="9" fillId="2" borderId="7" xfId="0" applyFont="1" applyFill="1" applyBorder="1" applyAlignment="1">
      <alignment vertical="center"/>
    </xf>
    <xf numFmtId="9" fontId="9" fillId="2" borderId="7" xfId="0" applyNumberFormat="1" applyFont="1" applyFill="1" applyBorder="1" applyAlignment="1">
      <alignment vertical="center"/>
    </xf>
    <xf numFmtId="0" fontId="5" fillId="0" borderId="7" xfId="0" applyFont="1" applyBorder="1" applyAlignment="1">
      <alignment vertical="center"/>
    </xf>
    <xf numFmtId="9" fontId="5" fillId="0" borderId="7" xfId="0" applyNumberFormat="1" applyFont="1" applyBorder="1" applyAlignment="1">
      <alignment vertical="center"/>
    </xf>
    <xf numFmtId="10" fontId="5" fillId="0" borderId="7" xfId="0" applyNumberFormat="1" applyFont="1" applyBorder="1" applyAlignment="1">
      <alignment vertical="center"/>
    </xf>
    <xf numFmtId="10" fontId="9" fillId="2" borderId="7" xfId="0" applyNumberFormat="1" applyFont="1" applyFill="1" applyBorder="1" applyAlignment="1">
      <alignment vertical="center"/>
    </xf>
    <xf numFmtId="0" fontId="13" fillId="13" borderId="0" xfId="0" applyFont="1" applyFill="1" applyAlignment="1">
      <alignment vertical="center"/>
    </xf>
    <xf numFmtId="175" fontId="9" fillId="2" borderId="0" xfId="0" applyNumberFormat="1" applyFont="1" applyFill="1" applyAlignment="1">
      <alignment vertical="center"/>
    </xf>
    <xf numFmtId="0" fontId="0" fillId="0" borderId="0" xfId="0" applyAlignment="1">
      <alignment horizontal="center" vertical="center"/>
    </xf>
    <xf numFmtId="0" fontId="19" fillId="0" borderId="0" xfId="0" applyFont="1" applyAlignment="1">
      <alignment horizontal="left" vertical="center"/>
    </xf>
    <xf numFmtId="0" fontId="6" fillId="0" borderId="0" xfId="0" applyFont="1" applyAlignment="1">
      <alignment vertical="center"/>
    </xf>
    <xf numFmtId="10" fontId="6" fillId="0" borderId="0" xfId="4" applyNumberFormat="1" applyFont="1" applyAlignment="1">
      <alignment horizontal="center" vertical="center"/>
    </xf>
    <xf numFmtId="0" fontId="6" fillId="0" borderId="0" xfId="0" applyFont="1" applyAlignment="1">
      <alignment vertical="center" wrapText="1"/>
    </xf>
    <xf numFmtId="2" fontId="6" fillId="0" borderId="0" xfId="0" applyNumberFormat="1" applyFont="1" applyAlignment="1">
      <alignment horizontal="center" vertical="center"/>
    </xf>
    <xf numFmtId="0" fontId="9" fillId="2" borderId="2" xfId="0" applyFont="1" applyFill="1" applyBorder="1" applyAlignment="1">
      <alignment vertical="center"/>
    </xf>
    <xf numFmtId="0" fontId="0" fillId="2" borderId="0" xfId="0" applyFill="1" applyAlignment="1">
      <alignment vertical="center"/>
    </xf>
    <xf numFmtId="10" fontId="9" fillId="2" borderId="2" xfId="4" applyNumberFormat="1" applyFont="1" applyFill="1" applyBorder="1" applyAlignment="1">
      <alignment horizontal="center" vertical="center"/>
    </xf>
    <xf numFmtId="0" fontId="13" fillId="11" borderId="0" xfId="0" applyFont="1" applyFill="1" applyAlignment="1">
      <alignment vertical="center"/>
    </xf>
    <xf numFmtId="0" fontId="6" fillId="3" borderId="0" xfId="0" applyFont="1" applyFill="1" applyAlignment="1">
      <alignment vertical="center"/>
    </xf>
    <xf numFmtId="0" fontId="0" fillId="0" borderId="2" xfId="0" applyBorder="1" applyAlignment="1">
      <alignment vertical="center"/>
    </xf>
    <xf numFmtId="2" fontId="0" fillId="0" borderId="2" xfId="0" applyNumberFormat="1" applyBorder="1" applyAlignment="1">
      <alignment horizontal="center" vertical="center"/>
    </xf>
    <xf numFmtId="0" fontId="15" fillId="3" borderId="0" xfId="0" applyFont="1" applyFill="1" applyAlignment="1">
      <alignment vertical="center"/>
    </xf>
    <xf numFmtId="2" fontId="3" fillId="3" borderId="0" xfId="0" applyNumberFormat="1" applyFont="1" applyFill="1" applyAlignment="1">
      <alignment horizontal="center" vertical="center"/>
    </xf>
    <xf numFmtId="176" fontId="9" fillId="2" borderId="0" xfId="0" applyNumberFormat="1" applyFont="1" applyFill="1" applyAlignment="1">
      <alignment horizontal="center" vertical="center"/>
    </xf>
    <xf numFmtId="10" fontId="5" fillId="0" borderId="0" xfId="0" applyNumberFormat="1" applyFont="1" applyAlignment="1">
      <alignment vertical="center"/>
    </xf>
    <xf numFmtId="9" fontId="13" fillId="12" borderId="0" xfId="3" applyNumberFormat="1" applyFont="1" applyFill="1" applyAlignment="1">
      <alignment vertical="center"/>
    </xf>
    <xf numFmtId="0" fontId="0" fillId="0" borderId="0" xfId="0" applyAlignment="1"/>
    <xf numFmtId="0" fontId="0" fillId="0" borderId="0" xfId="0" applyAlignment="1">
      <alignment horizontal="center"/>
    </xf>
    <xf numFmtId="3" fontId="17" fillId="0" borderId="0" xfId="8" applyNumberFormat="1" applyFont="1" applyAlignment="1">
      <alignment vertical="center"/>
    </xf>
    <xf numFmtId="43" fontId="17" fillId="0" borderId="0" xfId="1" applyFont="1" applyAlignment="1">
      <alignment vertical="center"/>
    </xf>
    <xf numFmtId="168" fontId="17" fillId="0" borderId="0" xfId="1" applyNumberFormat="1" applyFont="1" applyAlignment="1">
      <alignment vertical="center"/>
    </xf>
    <xf numFmtId="0" fontId="55" fillId="0" borderId="7" xfId="0" applyFont="1" applyBorder="1" applyAlignment="1">
      <alignment horizontal="center" vertical="center"/>
    </xf>
    <xf numFmtId="0" fontId="55" fillId="0" borderId="7" xfId="0" applyFont="1" applyBorder="1" applyAlignment="1">
      <alignment horizontal="center" vertical="center" wrapText="1"/>
    </xf>
    <xf numFmtId="0" fontId="0" fillId="0" borderId="7" xfId="0" applyBorder="1"/>
    <xf numFmtId="0" fontId="0" fillId="0" borderId="7" xfId="0" applyBorder="1" applyAlignment="1">
      <alignment wrapText="1"/>
    </xf>
    <xf numFmtId="3" fontId="0" fillId="0" borderId="7" xfId="0" applyNumberFormat="1" applyBorder="1"/>
    <xf numFmtId="1" fontId="47" fillId="4" borderId="0" xfId="0" applyNumberFormat="1" applyFont="1" applyFill="1" applyAlignment="1">
      <alignment horizontal="center" vertical="center"/>
    </xf>
    <xf numFmtId="0" fontId="0" fillId="0" borderId="0" xfId="0" applyFont="1" applyFill="1" applyAlignment="1">
      <alignment vertical="center"/>
    </xf>
    <xf numFmtId="0" fontId="0" fillId="0" borderId="0" xfId="0" applyFont="1" applyFill="1" applyAlignment="1">
      <alignment vertical="center" wrapText="1"/>
    </xf>
    <xf numFmtId="10" fontId="0" fillId="0" borderId="0" xfId="0" applyNumberFormat="1" applyFont="1" applyFill="1" applyAlignment="1">
      <alignment vertical="center"/>
    </xf>
    <xf numFmtId="0" fontId="2" fillId="0" borderId="2" xfId="0" applyFont="1" applyFill="1" applyBorder="1" applyAlignment="1">
      <alignment vertical="center"/>
    </xf>
    <xf numFmtId="0" fontId="41" fillId="11" borderId="0" xfId="3" applyFont="1" applyFill="1" applyBorder="1" applyAlignment="1">
      <alignment vertical="center"/>
    </xf>
    <xf numFmtId="0" fontId="1" fillId="0" borderId="0" xfId="3" applyFont="1" applyBorder="1" applyAlignment="1">
      <alignment vertical="center"/>
    </xf>
    <xf numFmtId="0" fontId="1" fillId="0" borderId="0" xfId="3" applyFont="1" applyBorder="1" applyAlignment="1">
      <alignment horizontal="left" vertical="center"/>
    </xf>
    <xf numFmtId="0" fontId="42" fillId="2" borderId="0" xfId="3" applyFont="1" applyFill="1" applyBorder="1" applyAlignment="1">
      <alignment vertical="center"/>
    </xf>
    <xf numFmtId="0" fontId="2" fillId="2" borderId="0" xfId="0" applyFont="1" applyFill="1" applyBorder="1" applyAlignment="1">
      <alignment horizontal="left" vertical="center"/>
    </xf>
    <xf numFmtId="0" fontId="2" fillId="2" borderId="0" xfId="0" applyFont="1" applyFill="1" applyBorder="1" applyAlignment="1">
      <alignment vertical="center"/>
    </xf>
    <xf numFmtId="0" fontId="1" fillId="0" borderId="0" xfId="0" applyFont="1" applyBorder="1" applyAlignment="1">
      <alignment vertical="center"/>
    </xf>
    <xf numFmtId="167" fontId="13" fillId="12" borderId="0" xfId="0" applyNumberFormat="1" applyFont="1" applyFill="1" applyBorder="1" applyAlignment="1">
      <alignment horizontal="center" vertical="center"/>
    </xf>
    <xf numFmtId="0" fontId="2" fillId="2" borderId="0" xfId="0" applyFont="1" applyFill="1" applyBorder="1" applyAlignment="1">
      <alignment horizontal="center" vertical="center" wrapText="1"/>
    </xf>
    <xf numFmtId="0" fontId="2" fillId="2" borderId="0" xfId="0" applyFont="1" applyFill="1" applyBorder="1" applyAlignment="1">
      <alignment horizontal="center" vertical="center"/>
    </xf>
    <xf numFmtId="1" fontId="1" fillId="0" borderId="0" xfId="0" applyNumberFormat="1" applyFont="1" applyBorder="1" applyAlignment="1">
      <alignment horizontal="center" vertical="center"/>
    </xf>
    <xf numFmtId="0" fontId="3" fillId="5" borderId="0" xfId="0" applyFont="1" applyFill="1" applyBorder="1" applyAlignment="1">
      <alignment vertical="center"/>
    </xf>
    <xf numFmtId="2" fontId="3" fillId="5" borderId="0" xfId="0" applyNumberFormat="1" applyFont="1" applyFill="1" applyBorder="1" applyAlignment="1">
      <alignment horizontal="center" vertical="center"/>
    </xf>
    <xf numFmtId="0" fontId="1" fillId="5" borderId="0" xfId="0" applyFont="1" applyFill="1" applyBorder="1" applyAlignment="1">
      <alignment horizontal="center" vertical="center"/>
    </xf>
    <xf numFmtId="0" fontId="17" fillId="0" borderId="0" xfId="7" applyFont="1" applyBorder="1" applyAlignment="1">
      <alignment vertical="center"/>
    </xf>
    <xf numFmtId="0" fontId="17" fillId="0" borderId="0" xfId="7" applyFont="1" applyBorder="1" applyAlignment="1">
      <alignment horizontal="center" vertical="center"/>
    </xf>
    <xf numFmtId="0" fontId="30" fillId="0" borderId="0" xfId="8" applyFont="1" applyBorder="1" applyAlignment="1">
      <alignment horizontal="left" vertical="center"/>
    </xf>
    <xf numFmtId="0" fontId="31" fillId="0" borderId="0" xfId="8" applyFont="1" applyBorder="1" applyAlignment="1">
      <alignment horizontal="center" vertical="center"/>
    </xf>
    <xf numFmtId="0" fontId="2" fillId="2" borderId="0" xfId="8" applyFont="1" applyFill="1" applyBorder="1" applyAlignment="1">
      <alignment horizontal="left" vertical="center"/>
    </xf>
    <xf numFmtId="0" fontId="32" fillId="2" borderId="0" xfId="8" applyFont="1" applyFill="1" applyBorder="1" applyAlignment="1">
      <alignment horizontal="center" vertical="center"/>
    </xf>
    <xf numFmtId="15" fontId="2" fillId="2" borderId="0" xfId="8" applyNumberFormat="1" applyFont="1" applyFill="1" applyBorder="1" applyAlignment="1">
      <alignment horizontal="center" vertical="center"/>
    </xf>
    <xf numFmtId="14" fontId="2" fillId="2" borderId="0" xfId="8" applyNumberFormat="1" applyFont="1" applyFill="1" applyBorder="1" applyAlignment="1">
      <alignment horizontal="center" vertical="center"/>
    </xf>
    <xf numFmtId="0" fontId="17" fillId="0" borderId="0" xfId="8" applyFont="1" applyBorder="1" applyAlignment="1">
      <alignment horizontal="left" vertical="center"/>
    </xf>
    <xf numFmtId="0" fontId="17" fillId="0" borderId="0" xfId="8" applyFont="1" applyBorder="1" applyAlignment="1">
      <alignment horizontal="center" vertical="center"/>
    </xf>
    <xf numFmtId="37" fontId="17" fillId="0" borderId="0" xfId="8" applyNumberFormat="1" applyFont="1" applyBorder="1" applyAlignment="1">
      <alignment horizontal="center" vertical="center"/>
    </xf>
    <xf numFmtId="37" fontId="17" fillId="0" borderId="0" xfId="7" applyNumberFormat="1" applyFont="1" applyBorder="1" applyAlignment="1">
      <alignment horizontal="center" vertical="center"/>
    </xf>
    <xf numFmtId="0" fontId="2" fillId="2" borderId="0" xfId="8" applyFont="1" applyFill="1" applyBorder="1" applyAlignment="1">
      <alignment vertical="center"/>
    </xf>
    <xf numFmtId="0" fontId="30" fillId="5" borderId="0" xfId="8" applyFont="1" applyFill="1" applyBorder="1" applyAlignment="1">
      <alignment horizontal="left" vertical="center"/>
    </xf>
    <xf numFmtId="3" fontId="30" fillId="5" borderId="0" xfId="8" applyNumberFormat="1" applyFont="1" applyFill="1" applyBorder="1" applyAlignment="1">
      <alignment horizontal="center" vertical="center"/>
    </xf>
    <xf numFmtId="15" fontId="30" fillId="5" borderId="0" xfId="8" applyNumberFormat="1" applyFont="1" applyFill="1" applyBorder="1" applyAlignment="1">
      <alignment horizontal="center" vertical="center"/>
    </xf>
    <xf numFmtId="14" fontId="30" fillId="5" borderId="0" xfId="8" applyNumberFormat="1" applyFont="1" applyFill="1" applyBorder="1" applyAlignment="1">
      <alignment horizontal="center" vertical="center"/>
    </xf>
    <xf numFmtId="3" fontId="17" fillId="0" borderId="0" xfId="8" applyNumberFormat="1" applyFont="1" applyBorder="1" applyAlignment="1">
      <alignment horizontal="center" vertical="center"/>
    </xf>
    <xf numFmtId="0" fontId="20" fillId="0" borderId="0" xfId="8" applyFont="1" applyBorder="1" applyAlignment="1">
      <alignment horizontal="left" vertical="center"/>
    </xf>
    <xf numFmtId="0" fontId="20" fillId="0" borderId="0" xfId="8" applyFont="1" applyBorder="1" applyAlignment="1">
      <alignment horizontal="center" vertical="center"/>
    </xf>
    <xf numFmtId="9" fontId="33" fillId="0" borderId="0" xfId="2" applyFont="1" applyBorder="1" applyAlignment="1">
      <alignment horizontal="center" vertical="center"/>
    </xf>
    <xf numFmtId="9" fontId="20" fillId="0" borderId="0" xfId="2" applyFont="1" applyBorder="1" applyAlignment="1">
      <alignment horizontal="center" vertical="center"/>
    </xf>
    <xf numFmtId="0" fontId="30" fillId="0" borderId="0" xfId="8" applyFont="1" applyBorder="1" applyAlignment="1">
      <alignment horizontal="center" vertical="center"/>
    </xf>
    <xf numFmtId="37" fontId="30" fillId="0" borderId="0" xfId="8" applyNumberFormat="1" applyFont="1" applyBorder="1" applyAlignment="1">
      <alignment horizontal="center" vertical="center"/>
    </xf>
    <xf numFmtId="0" fontId="30" fillId="0" borderId="0" xfId="8" applyFont="1" applyBorder="1" applyAlignment="1">
      <alignment horizontal="left" vertical="center" wrapText="1"/>
    </xf>
    <xf numFmtId="0" fontId="28" fillId="0" borderId="0" xfId="7" applyFont="1" applyBorder="1" applyAlignment="1">
      <alignment vertical="center"/>
    </xf>
    <xf numFmtId="0" fontId="32" fillId="2" borderId="0" xfId="7" applyFont="1" applyFill="1" applyBorder="1" applyAlignment="1">
      <alignment horizontal="left" vertical="center"/>
    </xf>
    <xf numFmtId="0" fontId="2" fillId="2" borderId="0" xfId="7" applyFont="1" applyFill="1" applyBorder="1" applyAlignment="1">
      <alignment horizontal="center" vertical="center"/>
    </xf>
    <xf numFmtId="1" fontId="17" fillId="0" borderId="0" xfId="7" applyNumberFormat="1" applyFont="1" applyBorder="1" applyAlignment="1">
      <alignment horizontal="center" vertical="center"/>
    </xf>
    <xf numFmtId="0" fontId="31" fillId="5" borderId="0" xfId="7" applyFont="1" applyFill="1" applyBorder="1" applyAlignment="1">
      <alignment vertical="center"/>
    </xf>
    <xf numFmtId="0" fontId="30" fillId="5" borderId="0" xfId="7" applyFont="1" applyFill="1" applyBorder="1" applyAlignment="1">
      <alignment horizontal="center" vertical="center"/>
    </xf>
    <xf numFmtId="1" fontId="30" fillId="5" borderId="0" xfId="7" applyNumberFormat="1" applyFont="1" applyFill="1" applyBorder="1" applyAlignment="1">
      <alignment horizontal="center" vertical="center"/>
    </xf>
    <xf numFmtId="0" fontId="17" fillId="9" borderId="0" xfId="7" applyFont="1" applyFill="1" applyBorder="1" applyAlignment="1">
      <alignment vertical="center"/>
    </xf>
    <xf numFmtId="0" fontId="31" fillId="0" borderId="0" xfId="7" applyFont="1" applyBorder="1" applyAlignment="1">
      <alignment vertical="center"/>
    </xf>
    <xf numFmtId="0" fontId="30" fillId="0" borderId="0" xfId="7" applyFont="1" applyBorder="1" applyAlignment="1">
      <alignment horizontal="center" vertical="center"/>
    </xf>
    <xf numFmtId="9" fontId="30" fillId="0" borderId="0" xfId="7" applyNumberFormat="1" applyFont="1" applyBorder="1" applyAlignment="1">
      <alignment horizontal="center" vertical="center"/>
    </xf>
    <xf numFmtId="10" fontId="30" fillId="0" borderId="0" xfId="7" applyNumberFormat="1" applyFont="1" applyBorder="1" applyAlignment="1">
      <alignment horizontal="center" vertical="center"/>
    </xf>
    <xf numFmtId="0" fontId="30" fillId="0" borderId="0" xfId="7" applyFont="1" applyBorder="1" applyAlignment="1">
      <alignment horizontal="right" vertical="center"/>
    </xf>
    <xf numFmtId="0" fontId="30" fillId="0" borderId="0" xfId="7" applyFont="1" applyBorder="1" applyAlignment="1">
      <alignment vertical="center"/>
    </xf>
    <xf numFmtId="0" fontId="27" fillId="0" borderId="0" xfId="7" applyFont="1" applyBorder="1" applyAlignment="1">
      <alignment vertical="center"/>
    </xf>
    <xf numFmtId="10" fontId="34" fillId="0" borderId="0" xfId="7" applyNumberFormat="1" applyFont="1" applyBorder="1" applyAlignment="1">
      <alignment horizontal="center" vertical="center"/>
    </xf>
    <xf numFmtId="2" fontId="17" fillId="0" borderId="0" xfId="7" applyNumberFormat="1" applyFont="1" applyBorder="1" applyAlignment="1">
      <alignment horizontal="center" vertical="center"/>
    </xf>
    <xf numFmtId="2" fontId="30" fillId="0" borderId="0" xfId="7" applyNumberFormat="1" applyFont="1" applyBorder="1" applyAlignment="1">
      <alignment horizontal="center" vertical="center"/>
    </xf>
    <xf numFmtId="0" fontId="34" fillId="0" borderId="0" xfId="7" applyFont="1" applyBorder="1" applyAlignment="1">
      <alignment vertical="center"/>
    </xf>
    <xf numFmtId="0" fontId="27" fillId="0" borderId="0" xfId="7" applyFont="1" applyBorder="1" applyAlignment="1">
      <alignment horizontal="center" vertical="center"/>
    </xf>
    <xf numFmtId="0" fontId="2" fillId="2" borderId="0" xfId="7" applyFont="1" applyFill="1" applyBorder="1" applyAlignment="1">
      <alignment vertical="center"/>
    </xf>
    <xf numFmtId="2" fontId="2" fillId="2" borderId="0" xfId="7" applyNumberFormat="1" applyFont="1" applyFill="1" applyBorder="1" applyAlignment="1">
      <alignment horizontal="center" vertical="center"/>
    </xf>
    <xf numFmtId="0" fontId="28" fillId="2" borderId="0" xfId="7" applyFont="1" applyFill="1" applyBorder="1" applyAlignment="1">
      <alignment horizontal="center" vertical="center"/>
    </xf>
    <xf numFmtId="9" fontId="34" fillId="0" borderId="0" xfId="7" applyNumberFormat="1" applyFont="1" applyBorder="1" applyAlignment="1">
      <alignment horizontal="center" vertical="center"/>
    </xf>
    <xf numFmtId="9" fontId="27" fillId="0" borderId="0" xfId="7" applyNumberFormat="1" applyFont="1" applyBorder="1" applyAlignment="1">
      <alignment horizontal="center" vertical="center"/>
    </xf>
    <xf numFmtId="0" fontId="30" fillId="9" borderId="0" xfId="7" applyFont="1" applyFill="1" applyBorder="1" applyAlignment="1">
      <alignment vertical="center"/>
    </xf>
    <xf numFmtId="0" fontId="17" fillId="0" borderId="0" xfId="7" applyFont="1" applyBorder="1" applyAlignment="1">
      <alignment horizontal="left" vertical="center"/>
    </xf>
    <xf numFmtId="10" fontId="17" fillId="0" borderId="0" xfId="7" applyNumberFormat="1" applyFont="1" applyBorder="1" applyAlignment="1">
      <alignment horizontal="center" vertical="center"/>
    </xf>
    <xf numFmtId="0" fontId="2" fillId="2" borderId="0" xfId="7" applyFont="1" applyFill="1" applyBorder="1" applyAlignment="1">
      <alignment horizontal="left" vertical="center"/>
    </xf>
    <xf numFmtId="0" fontId="30" fillId="0" borderId="0" xfId="7" applyFont="1" applyBorder="1" applyAlignment="1">
      <alignment horizontal="left" vertical="center"/>
    </xf>
    <xf numFmtId="0" fontId="17" fillId="9" borderId="0" xfId="7" applyFont="1" applyFill="1" applyBorder="1" applyAlignment="1">
      <alignment horizontal="center" vertical="center"/>
    </xf>
    <xf numFmtId="1" fontId="17" fillId="9" borderId="0" xfId="7" applyNumberFormat="1" applyFont="1" applyFill="1" applyBorder="1" applyAlignment="1">
      <alignment horizontal="center" vertical="center"/>
    </xf>
    <xf numFmtId="1" fontId="2" fillId="2" borderId="0" xfId="7" applyNumberFormat="1" applyFont="1" applyFill="1" applyBorder="1" applyAlignment="1">
      <alignment horizontal="center" vertical="center"/>
    </xf>
    <xf numFmtId="0" fontId="37" fillId="0" borderId="0" xfId="7" applyFont="1" applyBorder="1" applyAlignment="1">
      <alignment horizontal="left" vertical="center"/>
    </xf>
    <xf numFmtId="0" fontId="30" fillId="9" borderId="0" xfId="7" applyFont="1" applyFill="1" applyBorder="1" applyAlignment="1">
      <alignment horizontal="left" vertical="center"/>
    </xf>
    <xf numFmtId="10" fontId="27" fillId="0" borderId="0" xfId="7" applyNumberFormat="1" applyFont="1" applyBorder="1" applyAlignment="1">
      <alignment horizontal="center" vertical="center"/>
    </xf>
    <xf numFmtId="0" fontId="40" fillId="11" borderId="0" xfId="3" applyFont="1" applyFill="1" applyBorder="1" applyAlignment="1">
      <alignment horizontal="center" vertical="center"/>
    </xf>
    <xf numFmtId="0" fontId="1" fillId="0" borderId="0" xfId="3" applyFont="1" applyBorder="1" applyAlignment="1">
      <alignment horizontal="center" vertical="center"/>
    </xf>
    <xf numFmtId="0" fontId="2" fillId="2" borderId="0" xfId="3" applyFont="1" applyFill="1" applyBorder="1" applyAlignment="1">
      <alignment horizontal="center" vertical="center"/>
    </xf>
    <xf numFmtId="0" fontId="28" fillId="2" borderId="0" xfId="0" applyFont="1" applyFill="1" applyBorder="1" applyAlignment="1">
      <alignment horizontal="center" vertical="center"/>
    </xf>
    <xf numFmtId="0" fontId="2" fillId="2" borderId="0" xfId="8" applyFont="1" applyFill="1" applyBorder="1" applyAlignment="1">
      <alignment horizontal="center" vertical="center"/>
    </xf>
    <xf numFmtId="0" fontId="28" fillId="2" borderId="0" xfId="8" applyFont="1" applyFill="1" applyBorder="1" applyAlignment="1">
      <alignment horizontal="center" vertical="center"/>
    </xf>
    <xf numFmtId="0" fontId="17" fillId="2" borderId="0" xfId="7" applyFont="1" applyFill="1" applyBorder="1" applyAlignment="1">
      <alignment horizontal="center" vertical="center"/>
    </xf>
    <xf numFmtId="2" fontId="17" fillId="9" borderId="0" xfId="7" applyNumberFormat="1" applyFont="1" applyFill="1" applyBorder="1" applyAlignment="1">
      <alignment horizontal="center" vertical="center"/>
    </xf>
    <xf numFmtId="4" fontId="17" fillId="9" borderId="0" xfId="7" applyNumberFormat="1" applyFont="1" applyFill="1" applyBorder="1" applyAlignment="1">
      <alignment horizontal="center" vertical="center"/>
    </xf>
    <xf numFmtId="4" fontId="2" fillId="2" borderId="0" xfId="7" applyNumberFormat="1" applyFont="1" applyFill="1" applyBorder="1" applyAlignment="1">
      <alignment horizontal="center" vertical="center"/>
    </xf>
    <xf numFmtId="9" fontId="17" fillId="0" borderId="0" xfId="7" applyNumberFormat="1" applyFont="1" applyBorder="1" applyAlignment="1">
      <alignment horizontal="center" vertical="center"/>
    </xf>
    <xf numFmtId="4" fontId="30" fillId="0" borderId="0" xfId="7" applyNumberFormat="1" applyFont="1" applyBorder="1" applyAlignment="1">
      <alignment horizontal="center" vertical="center"/>
    </xf>
    <xf numFmtId="4" fontId="17" fillId="0" borderId="0" xfId="7" applyNumberFormat="1" applyFont="1" applyBorder="1" applyAlignment="1">
      <alignment horizontal="center" vertical="center"/>
    </xf>
    <xf numFmtId="0" fontId="1" fillId="0" borderId="0" xfId="0" applyFont="1" applyBorder="1" applyAlignment="1">
      <alignment horizontal="center" vertical="center"/>
    </xf>
    <xf numFmtId="10" fontId="56" fillId="0" borderId="0" xfId="7" applyNumberFormat="1" applyFont="1" applyBorder="1" applyAlignment="1">
      <alignment horizontal="center" vertical="center"/>
    </xf>
    <xf numFmtId="2" fontId="33" fillId="0" borderId="0" xfId="7" applyNumberFormat="1" applyFont="1" applyBorder="1" applyAlignment="1">
      <alignment horizontal="center" vertical="center"/>
    </xf>
    <xf numFmtId="39" fontId="17" fillId="0" borderId="0" xfId="7" applyNumberFormat="1" applyFont="1" applyBorder="1" applyAlignment="1">
      <alignment horizontal="center" vertical="center"/>
    </xf>
    <xf numFmtId="0" fontId="30" fillId="5" borderId="0" xfId="7" applyFont="1" applyFill="1" applyBorder="1" applyAlignment="1">
      <alignment horizontal="left" vertical="center"/>
    </xf>
    <xf numFmtId="10" fontId="17" fillId="5" borderId="0" xfId="7" applyNumberFormat="1" applyFont="1" applyFill="1" applyBorder="1" applyAlignment="1">
      <alignment horizontal="center" vertical="center"/>
    </xf>
    <xf numFmtId="2" fontId="30" fillId="5" borderId="0" xfId="7" applyNumberFormat="1" applyFont="1" applyFill="1" applyBorder="1" applyAlignment="1">
      <alignment horizontal="center" vertical="center"/>
    </xf>
    <xf numFmtId="0" fontId="33" fillId="9" borderId="0" xfId="7" applyFont="1" applyFill="1" applyBorder="1" applyAlignment="1">
      <alignment horizontal="center" vertical="center"/>
    </xf>
    <xf numFmtId="1" fontId="33" fillId="9" borderId="0" xfId="7" applyNumberFormat="1" applyFont="1" applyFill="1" applyBorder="1" applyAlignment="1">
      <alignment horizontal="center" vertical="center"/>
    </xf>
    <xf numFmtId="9" fontId="33" fillId="0" borderId="0" xfId="7" applyNumberFormat="1" applyFont="1" applyBorder="1" applyAlignment="1">
      <alignment horizontal="center" vertical="center"/>
    </xf>
    <xf numFmtId="9" fontId="56" fillId="0" borderId="0" xfId="7" applyNumberFormat="1" applyFont="1" applyBorder="1" applyAlignment="1">
      <alignment horizontal="center" vertical="center"/>
    </xf>
    <xf numFmtId="0" fontId="33" fillId="0" borderId="0" xfId="7" applyFont="1" applyBorder="1" applyAlignment="1">
      <alignment horizontal="center" vertical="center"/>
    </xf>
    <xf numFmtId="2" fontId="56" fillId="0" borderId="0" xfId="7" applyNumberFormat="1" applyFont="1" applyBorder="1" applyAlignment="1">
      <alignment horizontal="center" vertical="center"/>
    </xf>
    <xf numFmtId="0" fontId="56" fillId="0" borderId="0" xfId="7" applyFont="1" applyBorder="1" applyAlignment="1">
      <alignment horizontal="center" vertical="center"/>
    </xf>
    <xf numFmtId="3" fontId="56" fillId="0" borderId="0" xfId="7" applyNumberFormat="1" applyFont="1" applyBorder="1" applyAlignment="1">
      <alignment horizontal="center" vertical="center"/>
    </xf>
    <xf numFmtId="2" fontId="56" fillId="5" borderId="0" xfId="7" applyNumberFormat="1" applyFont="1" applyFill="1" applyBorder="1" applyAlignment="1">
      <alignment horizontal="center" vertical="center"/>
    </xf>
    <xf numFmtId="0" fontId="17" fillId="0" borderId="0" xfId="7" applyFont="1" applyFill="1" applyBorder="1" applyAlignment="1">
      <alignment horizontal="left" vertical="center"/>
    </xf>
    <xf numFmtId="1" fontId="33" fillId="0" borderId="0" xfId="7" applyNumberFormat="1" applyFont="1" applyFill="1" applyBorder="1" applyAlignment="1">
      <alignment horizontal="center" vertical="center"/>
    </xf>
    <xf numFmtId="1" fontId="17" fillId="0" borderId="0" xfId="7" applyNumberFormat="1" applyFont="1" applyFill="1" applyBorder="1" applyAlignment="1">
      <alignment horizontal="center" vertical="center"/>
    </xf>
    <xf numFmtId="0" fontId="19" fillId="15" borderId="0" xfId="0" applyFont="1" applyFill="1" applyAlignment="1">
      <alignment vertical="center"/>
    </xf>
    <xf numFmtId="0" fontId="5" fillId="16" borderId="0" xfId="0" applyFont="1" applyFill="1" applyAlignment="1">
      <alignment vertical="center"/>
    </xf>
    <xf numFmtId="0" fontId="11" fillId="16" borderId="0" xfId="0" applyFont="1" applyFill="1" applyAlignment="1">
      <alignment vertical="center"/>
    </xf>
    <xf numFmtId="0" fontId="17" fillId="0" borderId="0" xfId="8" applyFont="1" applyAlignment="1">
      <alignment vertical="center" wrapText="1"/>
    </xf>
    <xf numFmtId="0" fontId="55" fillId="14" borderId="7" xfId="0" applyFont="1" applyFill="1" applyBorder="1" applyAlignment="1">
      <alignment horizontal="center"/>
    </xf>
    <xf numFmtId="0" fontId="32" fillId="2" borderId="15" xfId="8" applyFont="1" applyFill="1" applyBorder="1" applyAlignment="1">
      <alignment horizontal="center" vertical="center"/>
    </xf>
    <xf numFmtId="0" fontId="32" fillId="2" borderId="16" xfId="8" applyFont="1" applyFill="1" applyBorder="1" applyAlignment="1">
      <alignment horizontal="center" vertical="center"/>
    </xf>
    <xf numFmtId="0" fontId="32" fillId="2" borderId="12" xfId="8" applyFont="1" applyFill="1" applyBorder="1" applyAlignment="1">
      <alignment horizontal="center" vertical="center"/>
    </xf>
    <xf numFmtId="0" fontId="32" fillId="2" borderId="13" xfId="8" applyFont="1" applyFill="1" applyBorder="1" applyAlignment="1">
      <alignment horizontal="center" vertical="center"/>
    </xf>
    <xf numFmtId="0" fontId="32" fillId="2" borderId="14" xfId="8" applyFont="1" applyFill="1" applyBorder="1" applyAlignment="1">
      <alignment horizontal="center" vertical="center"/>
    </xf>
    <xf numFmtId="0" fontId="17" fillId="0" borderId="0" xfId="7" applyFont="1" applyBorder="1" applyAlignment="1">
      <alignment horizontal="center" vertical="center"/>
    </xf>
    <xf numFmtId="0" fontId="28" fillId="2" borderId="0" xfId="7" applyFont="1" applyFill="1" applyBorder="1" applyAlignment="1">
      <alignment horizontal="center" vertical="center"/>
    </xf>
    <xf numFmtId="0" fontId="43" fillId="11" borderId="0" xfId="3" applyFont="1" applyFill="1" applyAlignment="1">
      <alignment horizontal="left" vertical="center"/>
    </xf>
    <xf numFmtId="0" fontId="7" fillId="2" borderId="0" xfId="3" applyFont="1" applyFill="1" applyAlignment="1">
      <alignment horizontal="left" vertical="center"/>
    </xf>
    <xf numFmtId="1" fontId="47" fillId="4" borderId="0" xfId="0" applyNumberFormat="1" applyFont="1" applyFill="1" applyAlignment="1">
      <alignment horizontal="center" vertical="center"/>
    </xf>
    <xf numFmtId="10" fontId="6" fillId="3" borderId="0" xfId="0" applyNumberFormat="1" applyFont="1" applyFill="1" applyAlignment="1">
      <alignment horizontal="center" vertical="center"/>
    </xf>
  </cellXfs>
  <cellStyles count="9">
    <cellStyle name="Comma" xfId="1" builtinId="3"/>
    <cellStyle name="Hyperlink" xfId="6" builtinId="8"/>
    <cellStyle name="Normal" xfId="0" builtinId="0"/>
    <cellStyle name="Normal 2" xfId="3"/>
    <cellStyle name="Normal 3" xfId="7"/>
    <cellStyle name="Normal_VIRAL ALLOYS PRIVATE LIMITED" xfId="8"/>
    <cellStyle name="Percent" xfId="2" builtinId="5"/>
    <cellStyle name="Percent 2" xfId="4"/>
    <cellStyle name="Percent 4" xfId="5"/>
  </cellStyles>
  <dxfs count="3">
    <dxf>
      <font>
        <color rgb="FF9C0006"/>
      </font>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42354349008336317"/>
          <c:y val="4.0774732764969943E-2"/>
        </c:manualLayout>
      </c:layout>
      <c:overlay val="0"/>
      <c:spPr>
        <a:solidFill>
          <a:srgbClr val="002060"/>
        </a:solidFill>
        <a:ln>
          <a:noFill/>
        </a:ln>
        <a:effectLst/>
      </c:spPr>
      <c:txPr>
        <a:bodyPr rot="0" spcFirstLastPara="1" vertOverflow="ellipsis" vert="horz" wrap="square" anchor="ctr" anchorCtr="1"/>
        <a:lstStyle/>
        <a:p>
          <a:pPr>
            <a:defRPr sz="1100" b="1" i="0" u="none" strike="noStrike" kern="1200" spc="0" baseline="0">
              <a:solidFill>
                <a:schemeClr val="bg1"/>
              </a:solidFill>
              <a:latin typeface="+mn-lt"/>
              <a:ea typeface="+mn-ea"/>
              <a:cs typeface="+mn-cs"/>
            </a:defRPr>
          </a:pPr>
          <a:endParaRPr lang="en-US"/>
        </a:p>
      </c:txPr>
    </c:title>
    <c:autoTitleDeleted val="0"/>
    <c:plotArea>
      <c:layout/>
      <c:barChart>
        <c:barDir val="col"/>
        <c:grouping val="clustered"/>
        <c:varyColors val="0"/>
        <c:ser>
          <c:idx val="0"/>
          <c:order val="0"/>
          <c:tx>
            <c:strRef>
              <c:f>IS!$B$45</c:f>
              <c:strCache>
                <c:ptCount val="1"/>
                <c:pt idx="0">
                  <c:v>EBITDA Margin %</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002060"/>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1"/>
                </a:solidFill>
                <a:prstDash val="sysDot"/>
              </a:ln>
              <a:effectLst/>
            </c:spPr>
            <c:trendlineType val="linear"/>
            <c:dispRSqr val="0"/>
            <c:dispEq val="0"/>
          </c:trendline>
          <c:cat>
            <c:numRef>
              <c:f>IS!$D$8:$O$8</c:f>
              <c:numCache>
                <c:formatCode>[$-409]d\-mmm\-yy;@</c:formatCode>
                <c:ptCount val="12"/>
                <c:pt idx="0">
                  <c:v>45382</c:v>
                </c:pt>
                <c:pt idx="1">
                  <c:v>45747</c:v>
                </c:pt>
                <c:pt idx="2">
                  <c:v>46112</c:v>
                </c:pt>
                <c:pt idx="3">
                  <c:v>46477</c:v>
                </c:pt>
                <c:pt idx="4">
                  <c:v>46843</c:v>
                </c:pt>
                <c:pt idx="5">
                  <c:v>47208</c:v>
                </c:pt>
                <c:pt idx="6">
                  <c:v>47573</c:v>
                </c:pt>
                <c:pt idx="7">
                  <c:v>47938</c:v>
                </c:pt>
                <c:pt idx="8">
                  <c:v>48304</c:v>
                </c:pt>
                <c:pt idx="9">
                  <c:v>48669</c:v>
                </c:pt>
                <c:pt idx="10">
                  <c:v>49034</c:v>
                </c:pt>
                <c:pt idx="11">
                  <c:v>49399</c:v>
                </c:pt>
              </c:numCache>
            </c:numRef>
          </c:cat>
          <c:val>
            <c:numRef>
              <c:f>IS!$D$45:$O$45</c:f>
              <c:numCache>
                <c:formatCode>0.00%</c:formatCode>
                <c:ptCount val="12"/>
                <c:pt idx="0">
                  <c:v>8.319007711319705E-2</c:v>
                </c:pt>
                <c:pt idx="1">
                  <c:v>8.2183698431794294E-2</c:v>
                </c:pt>
                <c:pt idx="2">
                  <c:v>5.0094197227690651E-2</c:v>
                </c:pt>
                <c:pt idx="3">
                  <c:v>0.10992837467901537</c:v>
                </c:pt>
                <c:pt idx="4">
                  <c:v>0.11477685919281051</c:v>
                </c:pt>
                <c:pt idx="5">
                  <c:v>0.11134680455700161</c:v>
                </c:pt>
                <c:pt idx="6">
                  <c:v>0.11071974109052056</c:v>
                </c:pt>
                <c:pt idx="7">
                  <c:v>0.11155326609662783</c:v>
                </c:pt>
                <c:pt idx="8">
                  <c:v>0.11046213060344011</c:v>
                </c:pt>
                <c:pt idx="9">
                  <c:v>0.10898295446999447</c:v>
                </c:pt>
                <c:pt idx="10">
                  <c:v>0.10763476969257367</c:v>
                </c:pt>
                <c:pt idx="11">
                  <c:v>0.1061961409877052</c:v>
                </c:pt>
              </c:numCache>
            </c:numRef>
          </c:val>
        </c:ser>
        <c:dLbls>
          <c:dLblPos val="outEnd"/>
          <c:showLegendKey val="0"/>
          <c:showVal val="1"/>
          <c:showCatName val="0"/>
          <c:showSerName val="0"/>
          <c:showPercent val="0"/>
          <c:showBubbleSize val="0"/>
        </c:dLbls>
        <c:gapWidth val="219"/>
        <c:overlap val="-27"/>
        <c:axId val="478498936"/>
        <c:axId val="478499328"/>
      </c:barChart>
      <c:catAx>
        <c:axId val="478498936"/>
        <c:scaling>
          <c:orientation val="minMax"/>
        </c:scaling>
        <c:delete val="0"/>
        <c:axPos val="b"/>
        <c:title>
          <c:tx>
            <c:rich>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IN" b="1"/>
                  <a:t>Financial Year</a:t>
                </a:r>
              </a:p>
            </c:rich>
          </c:tx>
          <c:layout>
            <c:manualLayout>
              <c:xMode val="edge"/>
              <c:yMode val="edge"/>
              <c:x val="0.50843550812951477"/>
              <c:y val="0.90538207208844323"/>
            </c:manualLayout>
          </c:layout>
          <c:overlay val="0"/>
          <c:spPr>
            <a:noFill/>
            <a:ln>
              <a:noFill/>
            </a:ln>
            <a:effectLst/>
          </c:spPr>
          <c:txPr>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409]d\-mmm\-yy;@" sourceLinked="1"/>
        <c:majorTickMark val="none"/>
        <c:minorTickMark val="none"/>
        <c:tickLblPos val="nextTo"/>
        <c:spPr>
          <a:noFill/>
          <a:ln w="9525" cap="flat" cmpd="sng" algn="ctr">
            <a:solidFill>
              <a:schemeClr val="tx1">
                <a:lumMod val="15000"/>
                <a:lumOff val="85000"/>
              </a:schemeClr>
            </a:solidFill>
            <a:round/>
          </a:ln>
          <a:effectLst/>
        </c:spPr>
        <c:txPr>
          <a:bodyPr rot="-12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78499328"/>
        <c:crosses val="autoZero"/>
        <c:auto val="0"/>
        <c:lblAlgn val="ctr"/>
        <c:lblOffset val="100"/>
        <c:noMultiLvlLbl val="0"/>
      </c:catAx>
      <c:valAx>
        <c:axId val="478499328"/>
        <c:scaling>
          <c:orientation val="minMax"/>
        </c:scaling>
        <c:delete val="0"/>
        <c:axPos val="l"/>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IN" b="1" i="0"/>
                  <a:t>EBITDA Margin %</a:t>
                </a:r>
              </a:p>
            </c:rich>
          </c:tx>
          <c:layout>
            <c:manualLayout>
              <c:xMode val="edge"/>
              <c:yMode val="edge"/>
              <c:x val="1.5768723185927733E-2"/>
              <c:y val="0.29608812992948857"/>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7849893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solidFill>
          <a:srgbClr val="002060"/>
        </a:solidFill>
        <a:ln>
          <a:noFill/>
        </a:ln>
        <a:effectLst/>
      </c:spPr>
      <c:txPr>
        <a:bodyPr rot="0" spcFirstLastPara="1" vertOverflow="ellipsis" vert="horz" wrap="square" anchor="ctr" anchorCtr="1"/>
        <a:lstStyle/>
        <a:p>
          <a:pPr>
            <a:defRPr sz="1100" b="1" i="0" u="none" strike="noStrike" kern="1200" spc="0" baseline="0">
              <a:solidFill>
                <a:schemeClr val="bg1"/>
              </a:solidFill>
              <a:latin typeface="+mn-lt"/>
              <a:ea typeface="+mn-ea"/>
              <a:cs typeface="+mn-cs"/>
            </a:defRPr>
          </a:pPr>
          <a:endParaRPr lang="en-US"/>
        </a:p>
      </c:txPr>
    </c:title>
    <c:autoTitleDeleted val="0"/>
    <c:plotArea>
      <c:layout/>
      <c:barChart>
        <c:barDir val="col"/>
        <c:grouping val="clustered"/>
        <c:varyColors val="0"/>
        <c:ser>
          <c:idx val="0"/>
          <c:order val="0"/>
          <c:tx>
            <c:strRef>
              <c:f>IS!$B$46</c:f>
              <c:strCache>
                <c:ptCount val="1"/>
                <c:pt idx="0">
                  <c:v>EBIT Margin %</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002060"/>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1"/>
                </a:solidFill>
                <a:prstDash val="sysDot"/>
              </a:ln>
              <a:effectLst/>
            </c:spPr>
            <c:trendlineType val="linear"/>
            <c:dispRSqr val="0"/>
            <c:dispEq val="0"/>
          </c:trendline>
          <c:cat>
            <c:numRef>
              <c:f>IS!$D$8:$O$8</c:f>
              <c:numCache>
                <c:formatCode>[$-409]d\-mmm\-yy;@</c:formatCode>
                <c:ptCount val="12"/>
                <c:pt idx="0">
                  <c:v>45382</c:v>
                </c:pt>
                <c:pt idx="1">
                  <c:v>45747</c:v>
                </c:pt>
                <c:pt idx="2">
                  <c:v>46112</c:v>
                </c:pt>
                <c:pt idx="3">
                  <c:v>46477</c:v>
                </c:pt>
                <c:pt idx="4">
                  <c:v>46843</c:v>
                </c:pt>
                <c:pt idx="5">
                  <c:v>47208</c:v>
                </c:pt>
                <c:pt idx="6">
                  <c:v>47573</c:v>
                </c:pt>
                <c:pt idx="7">
                  <c:v>47938</c:v>
                </c:pt>
                <c:pt idx="8">
                  <c:v>48304</c:v>
                </c:pt>
                <c:pt idx="9">
                  <c:v>48669</c:v>
                </c:pt>
                <c:pt idx="10">
                  <c:v>49034</c:v>
                </c:pt>
                <c:pt idx="11">
                  <c:v>49399</c:v>
                </c:pt>
              </c:numCache>
            </c:numRef>
          </c:cat>
          <c:val>
            <c:numRef>
              <c:f>IS!$D$46:$O$46</c:f>
              <c:numCache>
                <c:formatCode>0.00%</c:formatCode>
                <c:ptCount val="12"/>
                <c:pt idx="0">
                  <c:v>4.7616613580472804E-2</c:v>
                </c:pt>
                <c:pt idx="1">
                  <c:v>5.7536432054282459E-2</c:v>
                </c:pt>
                <c:pt idx="2">
                  <c:v>2.5446930850178809E-2</c:v>
                </c:pt>
                <c:pt idx="3">
                  <c:v>8.4411055742844104E-2</c:v>
                </c:pt>
                <c:pt idx="4">
                  <c:v>6.9579584860308116E-2</c:v>
                </c:pt>
                <c:pt idx="5">
                  <c:v>6.6827201409753734E-2</c:v>
                </c:pt>
                <c:pt idx="6">
                  <c:v>6.6742782118066113E-2</c:v>
                </c:pt>
                <c:pt idx="7">
                  <c:v>6.8107798072269188E-2</c:v>
                </c:pt>
                <c:pt idx="8">
                  <c:v>6.6997340310730819E-2</c:v>
                </c:pt>
                <c:pt idx="9">
                  <c:v>6.5737875299780257E-2</c:v>
                </c:pt>
                <c:pt idx="10">
                  <c:v>6.4492181174078123E-2</c:v>
                </c:pt>
                <c:pt idx="11">
                  <c:v>6.3157593664780715E-2</c:v>
                </c:pt>
              </c:numCache>
            </c:numRef>
          </c:val>
        </c:ser>
        <c:dLbls>
          <c:dLblPos val="outEnd"/>
          <c:showLegendKey val="0"/>
          <c:showVal val="1"/>
          <c:showCatName val="0"/>
          <c:showSerName val="0"/>
          <c:showPercent val="0"/>
          <c:showBubbleSize val="0"/>
        </c:dLbls>
        <c:gapWidth val="219"/>
        <c:overlap val="-27"/>
        <c:axId val="478499720"/>
        <c:axId val="478496192"/>
      </c:barChart>
      <c:catAx>
        <c:axId val="478499720"/>
        <c:scaling>
          <c:orientation val="minMax"/>
        </c:scaling>
        <c:delete val="0"/>
        <c:axPos val="b"/>
        <c:title>
          <c:tx>
            <c:rich>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IN" b="1"/>
                  <a:t>Financial Year</a:t>
                </a:r>
              </a:p>
            </c:rich>
          </c:tx>
          <c:layout>
            <c:manualLayout>
              <c:xMode val="edge"/>
              <c:yMode val="edge"/>
              <c:x val="0.4818496703660074"/>
              <c:y val="0.90435843130484228"/>
            </c:manualLayout>
          </c:layout>
          <c:overlay val="0"/>
          <c:spPr>
            <a:noFill/>
            <a:ln>
              <a:noFill/>
            </a:ln>
            <a:effectLst/>
          </c:spPr>
          <c:txPr>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409]d\-mmm\-yy;@" sourceLinked="1"/>
        <c:majorTickMark val="none"/>
        <c:minorTickMark val="none"/>
        <c:tickLblPos val="nextTo"/>
        <c:spPr>
          <a:noFill/>
          <a:ln w="9525" cap="flat" cmpd="sng" algn="ctr">
            <a:solidFill>
              <a:schemeClr val="tx1">
                <a:lumMod val="15000"/>
                <a:lumOff val="85000"/>
              </a:schemeClr>
            </a:solidFill>
            <a:round/>
          </a:ln>
          <a:effectLst/>
        </c:spPr>
        <c:txPr>
          <a:bodyPr rot="-12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78496192"/>
        <c:crosses val="autoZero"/>
        <c:auto val="0"/>
        <c:lblAlgn val="ctr"/>
        <c:lblOffset val="100"/>
        <c:noMultiLvlLbl val="0"/>
      </c:catAx>
      <c:valAx>
        <c:axId val="478496192"/>
        <c:scaling>
          <c:orientation val="minMax"/>
        </c:scaling>
        <c:delete val="0"/>
        <c:axPos val="l"/>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IN" b="1"/>
                  <a:t>EBIT Margin %</a:t>
                </a:r>
              </a:p>
            </c:rich>
          </c:tx>
          <c:layout>
            <c:manualLayout>
              <c:xMode val="edge"/>
              <c:yMode val="edge"/>
              <c:x val="1.399825021872266E-2"/>
              <c:y val="0.32692680906800875"/>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7849972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solidFill>
          <a:srgbClr val="002060"/>
        </a:solidFill>
        <a:ln>
          <a:noFill/>
        </a:ln>
        <a:effectLst/>
      </c:spPr>
      <c:txPr>
        <a:bodyPr rot="0" spcFirstLastPara="1" vertOverflow="ellipsis" vert="horz" wrap="square" anchor="ctr" anchorCtr="1"/>
        <a:lstStyle/>
        <a:p>
          <a:pPr>
            <a:defRPr sz="1100" b="1" i="0" u="none" strike="noStrike" kern="1200" spc="0" baseline="0">
              <a:solidFill>
                <a:schemeClr val="bg1"/>
              </a:solidFill>
              <a:latin typeface="+mn-lt"/>
              <a:ea typeface="+mn-ea"/>
              <a:cs typeface="+mn-cs"/>
            </a:defRPr>
          </a:pPr>
          <a:endParaRPr lang="en-US"/>
        </a:p>
      </c:txPr>
    </c:title>
    <c:autoTitleDeleted val="0"/>
    <c:plotArea>
      <c:layout/>
      <c:barChart>
        <c:barDir val="col"/>
        <c:grouping val="clustered"/>
        <c:varyColors val="0"/>
        <c:ser>
          <c:idx val="0"/>
          <c:order val="0"/>
          <c:tx>
            <c:strRef>
              <c:f>IS!$B$47</c:f>
              <c:strCache>
                <c:ptCount val="1"/>
                <c:pt idx="0">
                  <c:v>PAT Margin %</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002060"/>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1"/>
                </a:solidFill>
                <a:prstDash val="sysDot"/>
              </a:ln>
              <a:effectLst/>
            </c:spPr>
            <c:trendlineType val="linear"/>
            <c:dispRSqr val="0"/>
            <c:dispEq val="0"/>
          </c:trendline>
          <c:cat>
            <c:numRef>
              <c:f>IS!$D$8:$O$8</c:f>
              <c:numCache>
                <c:formatCode>[$-409]d\-mmm\-yy;@</c:formatCode>
                <c:ptCount val="12"/>
                <c:pt idx="0">
                  <c:v>45382</c:v>
                </c:pt>
                <c:pt idx="1">
                  <c:v>45747</c:v>
                </c:pt>
                <c:pt idx="2">
                  <c:v>46112</c:v>
                </c:pt>
                <c:pt idx="3">
                  <c:v>46477</c:v>
                </c:pt>
                <c:pt idx="4">
                  <c:v>46843</c:v>
                </c:pt>
                <c:pt idx="5">
                  <c:v>47208</c:v>
                </c:pt>
                <c:pt idx="6">
                  <c:v>47573</c:v>
                </c:pt>
                <c:pt idx="7">
                  <c:v>47938</c:v>
                </c:pt>
                <c:pt idx="8">
                  <c:v>48304</c:v>
                </c:pt>
                <c:pt idx="9">
                  <c:v>48669</c:v>
                </c:pt>
                <c:pt idx="10">
                  <c:v>49034</c:v>
                </c:pt>
                <c:pt idx="11">
                  <c:v>49399</c:v>
                </c:pt>
              </c:numCache>
            </c:numRef>
          </c:cat>
          <c:val>
            <c:numRef>
              <c:f>IS!$D$47:$O$47</c:f>
              <c:numCache>
                <c:formatCode>0.00%</c:formatCode>
                <c:ptCount val="12"/>
                <c:pt idx="0">
                  <c:v>1.9214574451158449E-2</c:v>
                </c:pt>
                <c:pt idx="1">
                  <c:v>4.1137786230104327E-2</c:v>
                </c:pt>
                <c:pt idx="2">
                  <c:v>2.1000843092035565E-2</c:v>
                </c:pt>
                <c:pt idx="3">
                  <c:v>5.8857227394836072E-2</c:v>
                </c:pt>
                <c:pt idx="4">
                  <c:v>4.315793760331605E-2</c:v>
                </c:pt>
                <c:pt idx="5">
                  <c:v>4.0270060765616747E-2</c:v>
                </c:pt>
                <c:pt idx="6">
                  <c:v>3.9456519125161189E-2</c:v>
                </c:pt>
                <c:pt idx="7">
                  <c:v>3.9794806390046726E-2</c:v>
                </c:pt>
                <c:pt idx="8">
                  <c:v>3.8455565068651935E-2</c:v>
                </c:pt>
                <c:pt idx="9">
                  <c:v>3.7080756755094806E-2</c:v>
                </c:pt>
                <c:pt idx="10">
                  <c:v>3.5792213037705634E-2</c:v>
                </c:pt>
                <c:pt idx="11">
                  <c:v>3.4477002871008029E-2</c:v>
                </c:pt>
              </c:numCache>
            </c:numRef>
          </c:val>
        </c:ser>
        <c:dLbls>
          <c:dLblPos val="outEnd"/>
          <c:showLegendKey val="0"/>
          <c:showVal val="1"/>
          <c:showCatName val="0"/>
          <c:showSerName val="0"/>
          <c:showPercent val="0"/>
          <c:showBubbleSize val="0"/>
        </c:dLbls>
        <c:gapWidth val="219"/>
        <c:overlap val="-27"/>
        <c:axId val="478497368"/>
        <c:axId val="478498544"/>
      </c:barChart>
      <c:catAx>
        <c:axId val="478497368"/>
        <c:scaling>
          <c:orientation val="minMax"/>
        </c:scaling>
        <c:delete val="0"/>
        <c:axPos val="b"/>
        <c:title>
          <c:tx>
            <c:rich>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IN" b="1"/>
                  <a:t>Financial Year</a:t>
                </a:r>
              </a:p>
            </c:rich>
          </c:tx>
          <c:layout>
            <c:manualLayout>
              <c:xMode val="edge"/>
              <c:yMode val="edge"/>
              <c:x val="0.47532217504225582"/>
              <c:y val="0.90376346052363443"/>
            </c:manualLayout>
          </c:layout>
          <c:overlay val="0"/>
          <c:spPr>
            <a:noFill/>
            <a:ln>
              <a:noFill/>
            </a:ln>
            <a:effectLst/>
          </c:spPr>
          <c:txPr>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409]d\-mmm\-yy;@" sourceLinked="1"/>
        <c:majorTickMark val="none"/>
        <c:minorTickMark val="none"/>
        <c:tickLblPos val="nextTo"/>
        <c:spPr>
          <a:noFill/>
          <a:ln w="9525" cap="flat" cmpd="sng" algn="ctr">
            <a:solidFill>
              <a:schemeClr val="tx1">
                <a:lumMod val="15000"/>
                <a:lumOff val="85000"/>
              </a:schemeClr>
            </a:solidFill>
            <a:round/>
          </a:ln>
          <a:effectLst/>
        </c:spPr>
        <c:txPr>
          <a:bodyPr rot="-12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78498544"/>
        <c:crosses val="autoZero"/>
        <c:auto val="0"/>
        <c:lblAlgn val="ctr"/>
        <c:lblOffset val="100"/>
        <c:noMultiLvlLbl val="0"/>
      </c:catAx>
      <c:valAx>
        <c:axId val="478498544"/>
        <c:scaling>
          <c:orientation val="minMax"/>
        </c:scaling>
        <c:delete val="0"/>
        <c:axPos val="l"/>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IN" b="1"/>
                  <a:t>PAT</a:t>
                </a:r>
                <a:r>
                  <a:rPr lang="en-IN" b="1" baseline="0"/>
                  <a:t> Margin %</a:t>
                </a:r>
                <a:endParaRPr lang="en-IN" b="1"/>
              </a:p>
            </c:rich>
          </c:tx>
          <c:layout>
            <c:manualLayout>
              <c:xMode val="edge"/>
              <c:yMode val="edge"/>
              <c:x val="1.2216404886561954E-2"/>
              <c:y val="0.34376714404393061"/>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7849736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40026075619295959"/>
          <c:y val="4.1666666666666664E-2"/>
        </c:manualLayout>
      </c:layout>
      <c:overlay val="0"/>
      <c:spPr>
        <a:solidFill>
          <a:srgbClr val="002060"/>
        </a:solidFill>
        <a:ln>
          <a:noFill/>
        </a:ln>
        <a:effectLst/>
      </c:spPr>
      <c:txPr>
        <a:bodyPr rot="0" spcFirstLastPara="1" vertOverflow="ellipsis" vert="horz" wrap="square" anchor="ctr" anchorCtr="1"/>
        <a:lstStyle/>
        <a:p>
          <a:pPr>
            <a:defRPr sz="1100" b="1" i="0" u="none" strike="noStrike" kern="1200" spc="0" baseline="0">
              <a:solidFill>
                <a:schemeClr val="bg1"/>
              </a:solidFill>
              <a:latin typeface="+mn-lt"/>
              <a:ea typeface="+mn-ea"/>
              <a:cs typeface="+mn-cs"/>
            </a:defRPr>
          </a:pPr>
          <a:endParaRPr lang="en-US"/>
        </a:p>
      </c:txPr>
    </c:title>
    <c:autoTitleDeleted val="0"/>
    <c:plotArea>
      <c:layout/>
      <c:barChart>
        <c:barDir val="col"/>
        <c:grouping val="clustered"/>
        <c:varyColors val="0"/>
        <c:ser>
          <c:idx val="0"/>
          <c:order val="0"/>
          <c:tx>
            <c:strRef>
              <c:f>IS!$B$48</c:f>
              <c:strCache>
                <c:ptCount val="1"/>
                <c:pt idx="0">
                  <c:v>Revenue Growth rate %</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002060"/>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1"/>
                </a:solidFill>
                <a:prstDash val="sysDot"/>
              </a:ln>
              <a:effectLst/>
            </c:spPr>
            <c:trendlineType val="linear"/>
            <c:dispRSqr val="0"/>
            <c:dispEq val="0"/>
          </c:trendline>
          <c:cat>
            <c:numRef>
              <c:f>IS!$D$8:$O$8</c:f>
              <c:numCache>
                <c:formatCode>[$-409]d\-mmm\-yy;@</c:formatCode>
                <c:ptCount val="12"/>
                <c:pt idx="0">
                  <c:v>45382</c:v>
                </c:pt>
                <c:pt idx="1">
                  <c:v>45747</c:v>
                </c:pt>
                <c:pt idx="2">
                  <c:v>46112</c:v>
                </c:pt>
                <c:pt idx="3">
                  <c:v>46477</c:v>
                </c:pt>
                <c:pt idx="4">
                  <c:v>46843</c:v>
                </c:pt>
                <c:pt idx="5">
                  <c:v>47208</c:v>
                </c:pt>
                <c:pt idx="6">
                  <c:v>47573</c:v>
                </c:pt>
                <c:pt idx="7">
                  <c:v>47938</c:v>
                </c:pt>
                <c:pt idx="8">
                  <c:v>48304</c:v>
                </c:pt>
                <c:pt idx="9">
                  <c:v>48669</c:v>
                </c:pt>
                <c:pt idx="10">
                  <c:v>49034</c:v>
                </c:pt>
                <c:pt idx="11">
                  <c:v>49399</c:v>
                </c:pt>
              </c:numCache>
            </c:numRef>
          </c:cat>
          <c:val>
            <c:numRef>
              <c:f>IS!$D$48:$O$48</c:f>
              <c:numCache>
                <c:formatCode>0.00%</c:formatCode>
                <c:ptCount val="12"/>
                <c:pt idx="1">
                  <c:v>9.5426620610834956E-2</c:v>
                </c:pt>
                <c:pt idx="2">
                  <c:v>0</c:v>
                </c:pt>
                <c:pt idx="3">
                  <c:v>1.2674837121133375E-2</c:v>
                </c:pt>
                <c:pt idx="4">
                  <c:v>1.2559849449549576E-2</c:v>
                </c:pt>
                <c:pt idx="5">
                  <c:v>1.24480302046035E-2</c:v>
                </c:pt>
                <c:pt idx="6">
                  <c:v>1.2339283740226747E-2</c:v>
                </c:pt>
                <c:pt idx="7">
                  <c:v>1.2233518759605211E-2</c:v>
                </c:pt>
                <c:pt idx="8">
                  <c:v>2.2939581784859886E-3</c:v>
                </c:pt>
                <c:pt idx="9">
                  <c:v>2.3344821376638514E-3</c:v>
                </c:pt>
                <c:pt idx="10">
                  <c:v>2.3756259241312083E-3</c:v>
                </c:pt>
                <c:pt idx="11">
                  <c:v>2.4173956149222686E-3</c:v>
                </c:pt>
              </c:numCache>
            </c:numRef>
          </c:val>
        </c:ser>
        <c:dLbls>
          <c:dLblPos val="outEnd"/>
          <c:showLegendKey val="0"/>
          <c:showVal val="1"/>
          <c:showCatName val="0"/>
          <c:showSerName val="0"/>
          <c:showPercent val="0"/>
          <c:showBubbleSize val="0"/>
        </c:dLbls>
        <c:gapWidth val="219"/>
        <c:overlap val="-27"/>
        <c:axId val="478501680"/>
        <c:axId val="478402192"/>
      </c:barChart>
      <c:catAx>
        <c:axId val="478501680"/>
        <c:scaling>
          <c:orientation val="minMax"/>
        </c:scaling>
        <c:delete val="0"/>
        <c:axPos val="b"/>
        <c:title>
          <c:tx>
            <c:rich>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IN" b="1"/>
                  <a:t>Financial Year</a:t>
                </a:r>
              </a:p>
            </c:rich>
          </c:tx>
          <c:overlay val="0"/>
          <c:spPr>
            <a:noFill/>
            <a:ln>
              <a:noFill/>
            </a:ln>
            <a:effectLst/>
          </c:spPr>
          <c:txPr>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409]d\-mmm\-yy;@" sourceLinked="1"/>
        <c:majorTickMark val="none"/>
        <c:minorTickMark val="none"/>
        <c:tickLblPos val="nextTo"/>
        <c:spPr>
          <a:noFill/>
          <a:ln w="9525" cap="flat" cmpd="sng" algn="ctr">
            <a:solidFill>
              <a:schemeClr val="tx1">
                <a:lumMod val="15000"/>
                <a:lumOff val="85000"/>
              </a:schemeClr>
            </a:solidFill>
            <a:round/>
          </a:ln>
          <a:effectLst/>
        </c:spPr>
        <c:txPr>
          <a:bodyPr rot="-12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78402192"/>
        <c:crosses val="autoZero"/>
        <c:auto val="0"/>
        <c:lblAlgn val="ctr"/>
        <c:lblOffset val="100"/>
        <c:noMultiLvlLbl val="0"/>
      </c:catAx>
      <c:valAx>
        <c:axId val="478402192"/>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IN"/>
                  <a:t>Revenue Growth %</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7850168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1</xdr:col>
      <xdr:colOff>2362199</xdr:colOff>
      <xdr:row>50</xdr:row>
      <xdr:rowOff>123826</xdr:rowOff>
    </xdr:from>
    <xdr:to>
      <xdr:col>9</xdr:col>
      <xdr:colOff>28575</xdr:colOff>
      <xdr:row>67</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2352675</xdr:colOff>
      <xdr:row>68</xdr:row>
      <xdr:rowOff>119062</xdr:rowOff>
    </xdr:from>
    <xdr:to>
      <xdr:col>9</xdr:col>
      <xdr:colOff>28575</xdr:colOff>
      <xdr:row>84</xdr:row>
      <xdr:rowOff>152400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2352675</xdr:colOff>
      <xdr:row>86</xdr:row>
      <xdr:rowOff>61912</xdr:rowOff>
    </xdr:from>
    <xdr:to>
      <xdr:col>9</xdr:col>
      <xdr:colOff>47625</xdr:colOff>
      <xdr:row>102</xdr:row>
      <xdr:rowOff>171450</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2352674</xdr:colOff>
      <xdr:row>104</xdr:row>
      <xdr:rowOff>42862</xdr:rowOff>
    </xdr:from>
    <xdr:to>
      <xdr:col>9</xdr:col>
      <xdr:colOff>76199</xdr:colOff>
      <xdr:row>118</xdr:row>
      <xdr:rowOff>119062</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financialanalyst3\Desktop\SAI%20INFINIUM%20TEV%20FOR%20MERCHANT%20BANKER\Sai%20Infinium_Financial%20Model%20-%2063.30%20MW%20Captive%20Wind%20Solar%20Hybrid%20Power%20Project_Revised%20V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PC &amp; MoF"/>
      <sheetName val="Assumptions"/>
      <sheetName val="Sheet2"/>
      <sheetName val="Revenue &amp; Expenses Modeling"/>
      <sheetName val="IS"/>
      <sheetName val="BS"/>
      <sheetName val="CFS"/>
      <sheetName val="Loan Schedule"/>
      <sheetName val="Dep Schedule"/>
      <sheetName val="Tax Schedule"/>
      <sheetName val="Ratio"/>
      <sheetName val="Sheet1"/>
    </sheetNames>
    <sheetDataSet>
      <sheetData sheetId="0">
        <row r="1">
          <cell r="B1" t="str">
            <v>M/s. Sai Infinium Limited</v>
          </cell>
        </row>
        <row r="3">
          <cell r="B3" t="str">
            <v>Financial Model for Proposed Hybrid Solar Plant (36 MW DC) &amp; Wind Plant (27.30 MW) @ GUJARAT</v>
          </cell>
        </row>
      </sheetData>
      <sheetData sheetId="1">
        <row r="77">
          <cell r="D77">
            <v>0.29120000000000001</v>
          </cell>
        </row>
      </sheetData>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hyperlink" Target="https://operaenergy.in/"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4:K210"/>
  <sheetViews>
    <sheetView topLeftCell="A164" workbookViewId="0">
      <selection activeCell="G171" sqref="G171:H177"/>
    </sheetView>
  </sheetViews>
  <sheetFormatPr defaultRowHeight="15" x14ac:dyDescent="0.25"/>
  <cols>
    <col min="2" max="2" width="33" customWidth="1"/>
    <col min="3" max="3" width="12.5703125" customWidth="1"/>
    <col min="4" max="4" width="15.140625" customWidth="1"/>
    <col min="5" max="5" width="17.85546875" customWidth="1"/>
    <col min="7" max="7" width="29" style="82" customWidth="1"/>
    <col min="8" max="8" width="25.85546875" style="82" customWidth="1"/>
    <col min="9" max="9" width="10.140625" customWidth="1"/>
  </cols>
  <sheetData>
    <row r="4" spans="3:4" x14ac:dyDescent="0.25">
      <c r="C4" t="s">
        <v>560</v>
      </c>
    </row>
    <row r="5" spans="3:4" x14ac:dyDescent="0.25">
      <c r="C5" t="s">
        <v>561</v>
      </c>
    </row>
    <row r="6" spans="3:4" x14ac:dyDescent="0.25">
      <c r="C6" t="s">
        <v>562</v>
      </c>
    </row>
    <row r="11" spans="3:4" x14ac:dyDescent="0.25">
      <c r="C11" t="s">
        <v>563</v>
      </c>
    </row>
    <row r="13" spans="3:4" x14ac:dyDescent="0.25">
      <c r="C13" t="s">
        <v>564</v>
      </c>
    </row>
    <row r="14" spans="3:4" x14ac:dyDescent="0.25">
      <c r="C14" t="s">
        <v>565</v>
      </c>
    </row>
    <row r="15" spans="3:4" ht="150" x14ac:dyDescent="0.25">
      <c r="D15" s="82" t="s">
        <v>572</v>
      </c>
    </row>
    <row r="16" spans="3:4" x14ac:dyDescent="0.25">
      <c r="D16" t="s">
        <v>568</v>
      </c>
    </row>
    <row r="17" spans="4:4" x14ac:dyDescent="0.25">
      <c r="D17" t="s">
        <v>566</v>
      </c>
    </row>
    <row r="18" spans="4:4" x14ac:dyDescent="0.25">
      <c r="D18" t="s">
        <v>571</v>
      </c>
    </row>
    <row r="19" spans="4:4" x14ac:dyDescent="0.25">
      <c r="D19" t="s">
        <v>567</v>
      </c>
    </row>
    <row r="20" spans="4:4" x14ac:dyDescent="0.25">
      <c r="D20" t="s">
        <v>570</v>
      </c>
    </row>
    <row r="21" spans="4:4" x14ac:dyDescent="0.25">
      <c r="D21" t="s">
        <v>569</v>
      </c>
    </row>
    <row r="23" spans="4:4" x14ac:dyDescent="0.25">
      <c r="D23" t="s">
        <v>573</v>
      </c>
    </row>
    <row r="25" spans="4:4" x14ac:dyDescent="0.25">
      <c r="D25" t="s">
        <v>574</v>
      </c>
    </row>
    <row r="30" spans="4:4" x14ac:dyDescent="0.25">
      <c r="D30" s="269" t="s">
        <v>575</v>
      </c>
    </row>
    <row r="35" spans="4:4" x14ac:dyDescent="0.25">
      <c r="D35" s="269" t="s">
        <v>576</v>
      </c>
    </row>
    <row r="37" spans="4:4" x14ac:dyDescent="0.25">
      <c r="D37" s="269" t="s">
        <v>577</v>
      </c>
    </row>
    <row r="40" spans="4:4" x14ac:dyDescent="0.25">
      <c r="D40" s="269" t="s">
        <v>578</v>
      </c>
    </row>
    <row r="42" spans="4:4" x14ac:dyDescent="0.25">
      <c r="D42" s="269" t="s">
        <v>579</v>
      </c>
    </row>
    <row r="44" spans="4:4" x14ac:dyDescent="0.25">
      <c r="D44" t="s">
        <v>580</v>
      </c>
    </row>
    <row r="45" spans="4:4" x14ac:dyDescent="0.25">
      <c r="D45" t="s">
        <v>581</v>
      </c>
    </row>
    <row r="47" spans="4:4" x14ac:dyDescent="0.25">
      <c r="D47" t="s">
        <v>582</v>
      </c>
    </row>
    <row r="49" spans="4:4" x14ac:dyDescent="0.25">
      <c r="D49" t="s">
        <v>583</v>
      </c>
    </row>
    <row r="51" spans="4:4" x14ac:dyDescent="0.25">
      <c r="D51" t="s">
        <v>584</v>
      </c>
    </row>
    <row r="53" spans="4:4" x14ac:dyDescent="0.25">
      <c r="D53" t="s">
        <v>585</v>
      </c>
    </row>
    <row r="55" spans="4:4" x14ac:dyDescent="0.25">
      <c r="D55" s="269" t="s">
        <v>586</v>
      </c>
    </row>
    <row r="57" spans="4:4" x14ac:dyDescent="0.25">
      <c r="D57" t="s">
        <v>587</v>
      </c>
    </row>
    <row r="58" spans="4:4" x14ac:dyDescent="0.25">
      <c r="D58" s="269" t="s">
        <v>588</v>
      </c>
    </row>
    <row r="61" spans="4:4" x14ac:dyDescent="0.25">
      <c r="D61" s="269" t="s">
        <v>589</v>
      </c>
    </row>
    <row r="64" spans="4:4" x14ac:dyDescent="0.25">
      <c r="D64" s="269" t="s">
        <v>593</v>
      </c>
    </row>
    <row r="65" spans="4:4" x14ac:dyDescent="0.25">
      <c r="D65" t="s">
        <v>592</v>
      </c>
    </row>
    <row r="66" spans="4:4" x14ac:dyDescent="0.25">
      <c r="D66" s="269" t="s">
        <v>590</v>
      </c>
    </row>
    <row r="69" spans="4:4" x14ac:dyDescent="0.25">
      <c r="D69" t="s">
        <v>591</v>
      </c>
    </row>
    <row r="71" spans="4:4" x14ac:dyDescent="0.25">
      <c r="D71" t="s">
        <v>595</v>
      </c>
    </row>
    <row r="73" spans="4:4" x14ac:dyDescent="0.25">
      <c r="D73" s="269" t="s">
        <v>599</v>
      </c>
    </row>
    <row r="74" spans="4:4" x14ac:dyDescent="0.25">
      <c r="D74" t="s">
        <v>596</v>
      </c>
    </row>
    <row r="75" spans="4:4" x14ac:dyDescent="0.25">
      <c r="D75" t="s">
        <v>598</v>
      </c>
    </row>
    <row r="76" spans="4:4" x14ac:dyDescent="0.25">
      <c r="D76" t="s">
        <v>597</v>
      </c>
    </row>
    <row r="85" spans="7:7" ht="409.5" x14ac:dyDescent="0.25">
      <c r="G85" s="82" t="s">
        <v>600</v>
      </c>
    </row>
    <row r="98" spans="4:9" x14ac:dyDescent="0.25">
      <c r="D98" s="269" t="s">
        <v>601</v>
      </c>
    </row>
    <row r="106" spans="4:9" x14ac:dyDescent="0.25">
      <c r="D106" t="s">
        <v>602</v>
      </c>
    </row>
    <row r="112" spans="4:9" ht="15.75" x14ac:dyDescent="0.25">
      <c r="F112" s="395" t="s">
        <v>606</v>
      </c>
      <c r="G112" s="395"/>
      <c r="H112" s="395"/>
      <c r="I112" s="395"/>
    </row>
    <row r="113" spans="6:11" ht="31.5" x14ac:dyDescent="0.25">
      <c r="F113" s="274" t="s">
        <v>604</v>
      </c>
      <c r="G113" s="275" t="s">
        <v>607</v>
      </c>
      <c r="H113" s="275" t="s">
        <v>285</v>
      </c>
      <c r="I113" s="275" t="s">
        <v>613</v>
      </c>
    </row>
    <row r="114" spans="6:11" ht="45" x14ac:dyDescent="0.25">
      <c r="F114" s="276">
        <v>1</v>
      </c>
      <c r="G114" s="277" t="s">
        <v>608</v>
      </c>
      <c r="H114" s="277" t="s">
        <v>616</v>
      </c>
      <c r="I114" s="276"/>
    </row>
    <row r="115" spans="6:11" x14ac:dyDescent="0.25">
      <c r="F115" s="276">
        <v>2</v>
      </c>
      <c r="G115" s="277" t="s">
        <v>609</v>
      </c>
      <c r="H115" s="277" t="s">
        <v>605</v>
      </c>
      <c r="I115" s="276">
        <v>1676.58</v>
      </c>
    </row>
    <row r="116" spans="6:11" ht="30" x14ac:dyDescent="0.25">
      <c r="F116" s="276">
        <v>3</v>
      </c>
      <c r="G116" s="277" t="s">
        <v>610</v>
      </c>
      <c r="H116" s="277" t="s">
        <v>605</v>
      </c>
      <c r="I116" s="276">
        <v>137.75</v>
      </c>
    </row>
    <row r="117" spans="6:11" ht="45" x14ac:dyDescent="0.25">
      <c r="F117" s="276">
        <v>4</v>
      </c>
      <c r="G117" s="277" t="s">
        <v>611</v>
      </c>
      <c r="H117" s="277" t="s">
        <v>616</v>
      </c>
      <c r="I117" s="276">
        <v>927</v>
      </c>
    </row>
    <row r="118" spans="6:11" ht="60" x14ac:dyDescent="0.25">
      <c r="F118" s="276">
        <v>5</v>
      </c>
      <c r="G118" s="277" t="s">
        <v>612</v>
      </c>
      <c r="H118" s="277" t="s">
        <v>615</v>
      </c>
      <c r="I118" s="278">
        <v>1160</v>
      </c>
    </row>
    <row r="119" spans="6:11" ht="60" x14ac:dyDescent="0.25">
      <c r="F119" s="276">
        <v>6</v>
      </c>
      <c r="G119" s="277" t="s">
        <v>614</v>
      </c>
      <c r="H119" s="277" t="s">
        <v>605</v>
      </c>
      <c r="I119" s="276">
        <v>108</v>
      </c>
    </row>
    <row r="128" spans="6:11" x14ac:dyDescent="0.25">
      <c r="J128">
        <v>36</v>
      </c>
      <c r="K128">
        <v>89</v>
      </c>
    </row>
    <row r="129" spans="5:11" x14ac:dyDescent="0.25">
      <c r="J129">
        <v>1</v>
      </c>
      <c r="K129">
        <f>K128/J128</f>
        <v>2.4722222222222223</v>
      </c>
    </row>
    <row r="130" spans="5:11" x14ac:dyDescent="0.25">
      <c r="J130">
        <v>9</v>
      </c>
      <c r="K130">
        <f>K129*J130</f>
        <v>22.25</v>
      </c>
    </row>
    <row r="131" spans="5:11" ht="60" x14ac:dyDescent="0.25">
      <c r="K131" s="82" t="s">
        <v>617</v>
      </c>
    </row>
    <row r="132" spans="5:11" x14ac:dyDescent="0.25">
      <c r="G132" s="269" t="s">
        <v>620</v>
      </c>
    </row>
    <row r="134" spans="5:11" x14ac:dyDescent="0.25">
      <c r="E134" s="269" t="s">
        <v>618</v>
      </c>
      <c r="G134" s="269" t="s">
        <v>619</v>
      </c>
    </row>
    <row r="139" spans="5:11" x14ac:dyDescent="0.25">
      <c r="F139" t="s">
        <v>623</v>
      </c>
    </row>
    <row r="140" spans="5:11" x14ac:dyDescent="0.25">
      <c r="F140" t="s">
        <v>621</v>
      </c>
    </row>
    <row r="141" spans="5:11" x14ac:dyDescent="0.25">
      <c r="F141" t="s">
        <v>622</v>
      </c>
    </row>
    <row r="143" spans="5:11" ht="45" x14ac:dyDescent="0.25">
      <c r="G143" s="82" t="s">
        <v>624</v>
      </c>
      <c r="H143" s="269" t="s">
        <v>625</v>
      </c>
    </row>
    <row r="170" spans="2:8" x14ac:dyDescent="0.25">
      <c r="B170" t="s">
        <v>626</v>
      </c>
    </row>
    <row r="171" spans="2:8" x14ac:dyDescent="0.25">
      <c r="B171" t="s">
        <v>661</v>
      </c>
      <c r="G171" t="s">
        <v>637</v>
      </c>
      <c r="H171" t="s">
        <v>628</v>
      </c>
    </row>
    <row r="172" spans="2:8" x14ac:dyDescent="0.25">
      <c r="B172" t="s">
        <v>627</v>
      </c>
      <c r="C172" t="s">
        <v>628</v>
      </c>
      <c r="G172" t="s">
        <v>638</v>
      </c>
      <c r="H172" t="s">
        <v>630</v>
      </c>
    </row>
    <row r="173" spans="2:8" x14ac:dyDescent="0.25">
      <c r="B173" t="s">
        <v>629</v>
      </c>
      <c r="C173" t="s">
        <v>630</v>
      </c>
      <c r="G173" t="s">
        <v>639</v>
      </c>
      <c r="H173" t="s">
        <v>632</v>
      </c>
    </row>
    <row r="174" spans="2:8" x14ac:dyDescent="0.25">
      <c r="B174" t="s">
        <v>631</v>
      </c>
      <c r="C174" t="s">
        <v>632</v>
      </c>
      <c r="G174" t="s">
        <v>640</v>
      </c>
      <c r="H174" t="s">
        <v>632</v>
      </c>
    </row>
    <row r="175" spans="2:8" x14ac:dyDescent="0.25">
      <c r="B175" t="s">
        <v>633</v>
      </c>
      <c r="C175" t="s">
        <v>632</v>
      </c>
      <c r="G175" t="s">
        <v>641</v>
      </c>
      <c r="H175" t="s">
        <v>632</v>
      </c>
    </row>
    <row r="176" spans="2:8" x14ac:dyDescent="0.25">
      <c r="B176" t="s">
        <v>634</v>
      </c>
      <c r="C176" t="s">
        <v>632</v>
      </c>
      <c r="G176" t="s">
        <v>642</v>
      </c>
      <c r="H176" t="s">
        <v>632</v>
      </c>
    </row>
    <row r="177" spans="2:8" x14ac:dyDescent="0.25">
      <c r="B177" t="s">
        <v>635</v>
      </c>
      <c r="C177" t="s">
        <v>632</v>
      </c>
      <c r="G177" t="s">
        <v>643</v>
      </c>
      <c r="H177" t="s">
        <v>632</v>
      </c>
    </row>
    <row r="178" spans="2:8" x14ac:dyDescent="0.25">
      <c r="B178" t="s">
        <v>636</v>
      </c>
      <c r="C178" t="s">
        <v>632</v>
      </c>
    </row>
    <row r="179" spans="2:8" x14ac:dyDescent="0.25">
      <c r="B179" t="s">
        <v>660</v>
      </c>
    </row>
    <row r="180" spans="2:8" x14ac:dyDescent="0.25">
      <c r="B180" t="s">
        <v>644</v>
      </c>
      <c r="C180" t="s">
        <v>628</v>
      </c>
    </row>
    <row r="181" spans="2:8" x14ac:dyDescent="0.25">
      <c r="B181" t="s">
        <v>645</v>
      </c>
      <c r="C181" t="s">
        <v>630</v>
      </c>
    </row>
    <row r="182" spans="2:8" x14ac:dyDescent="0.25">
      <c r="B182" t="s">
        <v>646</v>
      </c>
      <c r="C182" t="s">
        <v>632</v>
      </c>
    </row>
    <row r="183" spans="2:8" x14ac:dyDescent="0.25">
      <c r="B183" t="s">
        <v>647</v>
      </c>
      <c r="C183" t="s">
        <v>632</v>
      </c>
    </row>
    <row r="184" spans="2:8" x14ac:dyDescent="0.25">
      <c r="B184" t="s">
        <v>648</v>
      </c>
      <c r="C184" t="s">
        <v>632</v>
      </c>
    </row>
    <row r="185" spans="2:8" x14ac:dyDescent="0.25">
      <c r="B185" t="s">
        <v>649</v>
      </c>
      <c r="C185" t="s">
        <v>632</v>
      </c>
    </row>
    <row r="186" spans="2:8" x14ac:dyDescent="0.25">
      <c r="B186" t="s">
        <v>650</v>
      </c>
      <c r="C186" t="s">
        <v>632</v>
      </c>
    </row>
    <row r="187" spans="2:8" x14ac:dyDescent="0.25">
      <c r="B187" t="s">
        <v>659</v>
      </c>
    </row>
    <row r="188" spans="2:8" x14ac:dyDescent="0.25">
      <c r="B188" t="s">
        <v>651</v>
      </c>
      <c r="C188" t="s">
        <v>628</v>
      </c>
    </row>
    <row r="189" spans="2:8" x14ac:dyDescent="0.25">
      <c r="B189" t="s">
        <v>652</v>
      </c>
      <c r="C189" t="s">
        <v>630</v>
      </c>
    </row>
    <row r="190" spans="2:8" x14ac:dyDescent="0.25">
      <c r="B190" t="s">
        <v>653</v>
      </c>
      <c r="C190" t="s">
        <v>632</v>
      </c>
    </row>
    <row r="191" spans="2:8" x14ac:dyDescent="0.25">
      <c r="B191" t="s">
        <v>654</v>
      </c>
      <c r="C191" t="s">
        <v>632</v>
      </c>
    </row>
    <row r="192" spans="2:8" x14ac:dyDescent="0.25">
      <c r="B192" t="s">
        <v>655</v>
      </c>
      <c r="C192" t="s">
        <v>632</v>
      </c>
    </row>
    <row r="193" spans="2:3" x14ac:dyDescent="0.25">
      <c r="B193" t="s">
        <v>656</v>
      </c>
      <c r="C193" t="s">
        <v>632</v>
      </c>
    </row>
    <row r="194" spans="2:3" x14ac:dyDescent="0.25">
      <c r="B194" t="s">
        <v>657</v>
      </c>
      <c r="C194" t="s">
        <v>632</v>
      </c>
    </row>
    <row r="195" spans="2:3" x14ac:dyDescent="0.25">
      <c r="B195" t="s">
        <v>658</v>
      </c>
    </row>
    <row r="196" spans="2:3" x14ac:dyDescent="0.25">
      <c r="B196" t="s">
        <v>662</v>
      </c>
      <c r="C196" t="s">
        <v>628</v>
      </c>
    </row>
    <row r="197" spans="2:3" x14ac:dyDescent="0.25">
      <c r="B197" t="s">
        <v>663</v>
      </c>
      <c r="C197" t="s">
        <v>630</v>
      </c>
    </row>
    <row r="198" spans="2:3" x14ac:dyDescent="0.25">
      <c r="B198" t="s">
        <v>664</v>
      </c>
      <c r="C198" t="s">
        <v>632</v>
      </c>
    </row>
    <row r="199" spans="2:3" x14ac:dyDescent="0.25">
      <c r="B199" t="s">
        <v>665</v>
      </c>
      <c r="C199" t="s">
        <v>632</v>
      </c>
    </row>
    <row r="200" spans="2:3" x14ac:dyDescent="0.25">
      <c r="B200" t="s">
        <v>666</v>
      </c>
      <c r="C200" t="s">
        <v>632</v>
      </c>
    </row>
    <row r="201" spans="2:3" x14ac:dyDescent="0.25">
      <c r="B201" t="s">
        <v>667</v>
      </c>
      <c r="C201" t="s">
        <v>632</v>
      </c>
    </row>
    <row r="202" spans="2:3" x14ac:dyDescent="0.25">
      <c r="B202" t="s">
        <v>668</v>
      </c>
      <c r="C202" t="s">
        <v>632</v>
      </c>
    </row>
    <row r="203" spans="2:3" x14ac:dyDescent="0.25">
      <c r="B203" t="s">
        <v>669</v>
      </c>
    </row>
    <row r="204" spans="2:3" x14ac:dyDescent="0.25">
      <c r="B204" t="s">
        <v>670</v>
      </c>
      <c r="C204" t="s">
        <v>628</v>
      </c>
    </row>
    <row r="205" spans="2:3" x14ac:dyDescent="0.25">
      <c r="B205" t="s">
        <v>671</v>
      </c>
      <c r="C205" t="s">
        <v>630</v>
      </c>
    </row>
    <row r="206" spans="2:3" x14ac:dyDescent="0.25">
      <c r="B206" t="s">
        <v>672</v>
      </c>
      <c r="C206" t="s">
        <v>632</v>
      </c>
    </row>
    <row r="207" spans="2:3" x14ac:dyDescent="0.25">
      <c r="B207" t="s">
        <v>673</v>
      </c>
      <c r="C207" t="s">
        <v>632</v>
      </c>
    </row>
    <row r="208" spans="2:3" x14ac:dyDescent="0.25">
      <c r="B208" t="s">
        <v>674</v>
      </c>
      <c r="C208" t="s">
        <v>632</v>
      </c>
    </row>
    <row r="209" spans="2:3" x14ac:dyDescent="0.25">
      <c r="B209" t="s">
        <v>675</v>
      </c>
      <c r="C209" t="s">
        <v>632</v>
      </c>
    </row>
    <row r="210" spans="2:3" x14ac:dyDescent="0.25">
      <c r="B210" t="s">
        <v>676</v>
      </c>
      <c r="C210" t="s">
        <v>632</v>
      </c>
    </row>
  </sheetData>
  <mergeCells count="1">
    <mergeCell ref="F112:I112"/>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32"/>
  <sheetViews>
    <sheetView showGridLines="0" zoomScaleNormal="100" workbookViewId="0">
      <pane xSplit="2" ySplit="8" topLeftCell="C9" activePane="bottomRight" state="frozen"/>
      <selection activeCell="A9" sqref="A9"/>
      <selection pane="topRight" activeCell="A9" sqref="A9"/>
      <selection pane="bottomLeft" activeCell="A9" sqref="A9"/>
      <selection pane="bottomRight"/>
    </sheetView>
  </sheetViews>
  <sheetFormatPr defaultColWidth="13.7109375" defaultRowHeight="15" x14ac:dyDescent="0.25"/>
  <cols>
    <col min="1" max="1" width="4" style="140" customWidth="1"/>
    <col min="2" max="2" width="36.42578125" style="140" bestFit="1" customWidth="1"/>
    <col min="3" max="3" width="6.7109375" style="140" customWidth="1"/>
    <col min="4" max="15" width="13.28515625" style="140" customWidth="1"/>
    <col min="16" max="16" width="13.28515625" style="140" hidden="1" customWidth="1"/>
    <col min="17" max="16384" width="13.7109375" style="140"/>
  </cols>
  <sheetData>
    <row r="1" spans="2:16" ht="18" customHeight="1" x14ac:dyDescent="0.25"/>
    <row r="2" spans="2:16" s="143" customFormat="1" ht="19.899999999999999" customHeight="1" x14ac:dyDescent="0.25">
      <c r="B2" s="153" t="str">
        <f>'Assumptions on Steel Plant'!B2</f>
        <v>M/s. Sai Infinium Limited</v>
      </c>
      <c r="C2" s="100"/>
      <c r="D2" s="100"/>
      <c r="E2" s="100"/>
      <c r="F2" s="100"/>
      <c r="G2" s="100"/>
      <c r="H2" s="100"/>
      <c r="I2" s="100"/>
      <c r="J2" s="100"/>
      <c r="K2" s="100"/>
      <c r="L2" s="100"/>
      <c r="M2" s="100"/>
      <c r="N2" s="100"/>
      <c r="O2" s="100"/>
      <c r="P2" s="100"/>
    </row>
    <row r="3" spans="2:16" s="143" customFormat="1" ht="9" customHeight="1" x14ac:dyDescent="0.25">
      <c r="B3" s="144"/>
      <c r="C3" s="144"/>
      <c r="D3" s="144"/>
      <c r="E3" s="144"/>
      <c r="F3" s="144"/>
      <c r="G3" s="144"/>
      <c r="H3" s="144"/>
      <c r="I3" s="144"/>
      <c r="J3" s="144"/>
      <c r="K3" s="144"/>
      <c r="L3" s="144"/>
      <c r="M3" s="144"/>
      <c r="N3" s="144"/>
      <c r="O3" s="144"/>
      <c r="P3" s="144"/>
    </row>
    <row r="4" spans="2:16" s="143" customFormat="1" ht="19.899999999999999" customHeight="1" x14ac:dyDescent="0.25">
      <c r="B4" s="130" t="str">
        <f>'Assumptions on Steel Plant'!B4</f>
        <v>Business Projections</v>
      </c>
      <c r="C4" s="103"/>
      <c r="D4" s="103"/>
      <c r="E4" s="103"/>
      <c r="F4" s="103"/>
      <c r="G4" s="103"/>
      <c r="H4" s="103"/>
      <c r="I4" s="103"/>
      <c r="J4" s="103"/>
      <c r="K4" s="103"/>
      <c r="L4" s="103"/>
      <c r="M4" s="103"/>
      <c r="N4" s="103"/>
      <c r="O4" s="103"/>
      <c r="P4" s="103"/>
    </row>
    <row r="5" spans="2:16" s="143" customFormat="1" ht="9" customHeight="1" x14ac:dyDescent="0.25">
      <c r="B5" s="144"/>
      <c r="C5" s="144"/>
      <c r="D5" s="144"/>
      <c r="E5" s="144"/>
      <c r="F5" s="144"/>
      <c r="G5" s="144"/>
      <c r="H5" s="144"/>
      <c r="I5" s="135"/>
    </row>
    <row r="6" spans="2:16" s="141" customFormat="1" ht="15.75" x14ac:dyDescent="0.25">
      <c r="B6" s="145" t="s">
        <v>196</v>
      </c>
      <c r="C6" s="56"/>
      <c r="D6" s="56"/>
      <c r="E6" s="146"/>
      <c r="F6" s="146"/>
      <c r="G6" s="146"/>
      <c r="H6" s="146"/>
      <c r="I6" s="146"/>
      <c r="J6" s="146"/>
      <c r="K6" s="146"/>
      <c r="L6" s="146"/>
      <c r="M6" s="146"/>
      <c r="N6" s="146"/>
      <c r="O6" s="146"/>
      <c r="P6" s="146"/>
    </row>
    <row r="7" spans="2:16" s="141" customFormat="1" x14ac:dyDescent="0.25">
      <c r="B7" s="147" t="str">
        <f>'Expenses Modeling_Hybrid Plant'!B7</f>
        <v>(All Values in INR Lakhs, unless specified)</v>
      </c>
      <c r="C7" s="148"/>
      <c r="D7" s="148"/>
      <c r="E7" s="148"/>
      <c r="F7" s="148"/>
      <c r="G7" s="140"/>
      <c r="H7" s="149"/>
      <c r="I7" s="149"/>
      <c r="J7" s="149"/>
      <c r="K7" s="149"/>
      <c r="L7" s="149"/>
      <c r="M7" s="149"/>
      <c r="N7" s="149"/>
      <c r="O7" s="149"/>
      <c r="P7" s="149"/>
    </row>
    <row r="8" spans="2:16" ht="18" customHeight="1" x14ac:dyDescent="0.25">
      <c r="B8" s="56" t="s">
        <v>519</v>
      </c>
      <c r="C8" s="131" t="s">
        <v>64</v>
      </c>
      <c r="D8" s="175">
        <f>IS!D8</f>
        <v>45382</v>
      </c>
      <c r="E8" s="175">
        <f>IS!E8</f>
        <v>45747</v>
      </c>
      <c r="F8" s="150">
        <f>IS!F8</f>
        <v>46112</v>
      </c>
      <c r="G8" s="150">
        <f>IS!G8</f>
        <v>46477</v>
      </c>
      <c r="H8" s="150">
        <f>IS!H8</f>
        <v>46843</v>
      </c>
      <c r="I8" s="150">
        <f>IS!I8</f>
        <v>47208</v>
      </c>
      <c r="J8" s="150">
        <f>IS!J8</f>
        <v>47573</v>
      </c>
      <c r="K8" s="150">
        <f>IS!K8</f>
        <v>47938</v>
      </c>
      <c r="L8" s="150">
        <f>IS!L8</f>
        <v>48304</v>
      </c>
      <c r="M8" s="150">
        <f>IS!M8</f>
        <v>48669</v>
      </c>
      <c r="N8" s="150">
        <f>IS!N8</f>
        <v>49034</v>
      </c>
      <c r="O8" s="150">
        <f>IS!O8</f>
        <v>49399</v>
      </c>
      <c r="P8" s="150">
        <f>IS!P8</f>
        <v>49765</v>
      </c>
    </row>
    <row r="9" spans="2:16" s="152" customFormat="1" ht="18" customHeight="1" x14ac:dyDescent="0.25">
      <c r="B9" s="41" t="s">
        <v>65</v>
      </c>
      <c r="C9" s="42"/>
      <c r="D9" s="179" t="s">
        <v>463</v>
      </c>
      <c r="E9" s="179" t="s">
        <v>479</v>
      </c>
      <c r="F9" s="151" t="str">
        <f>IS!F9</f>
        <v>Projected</v>
      </c>
      <c r="G9" s="151" t="s">
        <v>464</v>
      </c>
      <c r="H9" s="151" t="s">
        <v>464</v>
      </c>
      <c r="I9" s="151" t="s">
        <v>464</v>
      </c>
      <c r="J9" s="151" t="s">
        <v>464</v>
      </c>
      <c r="K9" s="151" t="s">
        <v>464</v>
      </c>
      <c r="L9" s="151" t="s">
        <v>464</v>
      </c>
      <c r="M9" s="151" t="s">
        <v>464</v>
      </c>
      <c r="N9" s="151" t="s">
        <v>464</v>
      </c>
      <c r="O9" s="151" t="s">
        <v>464</v>
      </c>
      <c r="P9" s="151" t="s">
        <v>464</v>
      </c>
    </row>
    <row r="10" spans="2:16" ht="18" customHeight="1" x14ac:dyDescent="0.25">
      <c r="B10" s="54" t="s">
        <v>137</v>
      </c>
    </row>
    <row r="11" spans="2:16" ht="18" customHeight="1" x14ac:dyDescent="0.25">
      <c r="B11" s="140" t="s">
        <v>138</v>
      </c>
      <c r="E11" s="142">
        <f>IS!E30</f>
        <v>2144.059359040396</v>
      </c>
      <c r="F11" s="142">
        <f>IS!F30</f>
        <v>1094.5424706949163</v>
      </c>
      <c r="G11" s="142">
        <f>IS!G30</f>
        <v>3106.4595742385582</v>
      </c>
      <c r="H11" s="142">
        <f>IS!H30</f>
        <v>2306.4672472029588</v>
      </c>
      <c r="I11" s="142">
        <f>IS!I30</f>
        <v>2178.921748510892</v>
      </c>
      <c r="J11" s="142">
        <f>IS!J30</f>
        <v>2161.2460256480044</v>
      </c>
      <c r="K11" s="142">
        <f>IS!K30</f>
        <v>2206.4421694614744</v>
      </c>
      <c r="L11" s="142">
        <f>IS!L30</f>
        <v>2137.0784391035086</v>
      </c>
      <c r="M11" s="142">
        <f>IS!M30</f>
        <v>2065.4872828337457</v>
      </c>
      <c r="N11" s="142">
        <f>IS!N30</f>
        <v>1998.4486151094645</v>
      </c>
      <c r="O11" s="142">
        <f>IS!O30</f>
        <v>1929.667729110786</v>
      </c>
      <c r="P11" s="142">
        <f>IS!P30</f>
        <v>2227.5907733451841</v>
      </c>
    </row>
    <row r="12" spans="2:16" ht="30" x14ac:dyDescent="0.25">
      <c r="B12" s="155" t="s">
        <v>499</v>
      </c>
      <c r="E12" s="142">
        <f>5.86953+915710400/10^5</f>
        <v>9162.9735299999993</v>
      </c>
      <c r="F12" s="142">
        <f>'COP &amp; MOF'!D26</f>
        <v>13000</v>
      </c>
      <c r="G12" s="142">
        <v>0</v>
      </c>
      <c r="H12" s="142">
        <v>0</v>
      </c>
      <c r="I12" s="142">
        <v>0</v>
      </c>
      <c r="J12" s="142">
        <v>0</v>
      </c>
      <c r="K12" s="142">
        <v>0</v>
      </c>
      <c r="L12" s="142">
        <v>0</v>
      </c>
      <c r="M12" s="142">
        <v>0</v>
      </c>
      <c r="N12" s="142">
        <v>0</v>
      </c>
      <c r="O12" s="142">
        <v>0</v>
      </c>
      <c r="P12" s="142">
        <v>0</v>
      </c>
    </row>
    <row r="13" spans="2:16" ht="18" customHeight="1" x14ac:dyDescent="0.25">
      <c r="B13" s="140" t="s">
        <v>139</v>
      </c>
      <c r="E13" s="142">
        <v>0</v>
      </c>
      <c r="F13" s="142">
        <v>0</v>
      </c>
      <c r="G13" s="142">
        <v>0</v>
      </c>
      <c r="H13" s="142">
        <v>0</v>
      </c>
      <c r="I13" s="142">
        <v>0</v>
      </c>
      <c r="J13" s="142">
        <v>0</v>
      </c>
      <c r="K13" s="142">
        <v>0</v>
      </c>
      <c r="L13" s="142">
        <v>0</v>
      </c>
      <c r="M13" s="142">
        <v>0</v>
      </c>
      <c r="N13" s="142">
        <v>0</v>
      </c>
      <c r="O13" s="142">
        <v>0</v>
      </c>
      <c r="P13" s="142">
        <v>0</v>
      </c>
    </row>
    <row r="14" spans="2:16" ht="18" customHeight="1" x14ac:dyDescent="0.25">
      <c r="B14" s="140" t="s">
        <v>140</v>
      </c>
      <c r="E14" s="142">
        <f>IS!E23</f>
        <v>1284.5903242307727</v>
      </c>
      <c r="F14" s="142">
        <f>IS!F23</f>
        <v>1284.5903242307727</v>
      </c>
      <c r="G14" s="142">
        <f>IS!G23</f>
        <v>1346.7933035038416</v>
      </c>
      <c r="H14" s="142">
        <f>IS!H23</f>
        <v>2415.454460983186</v>
      </c>
      <c r="I14" s="142">
        <f>IS!I23</f>
        <v>2408.8548586307725</v>
      </c>
      <c r="J14" s="142">
        <f>IS!J23</f>
        <v>2408.8548586307725</v>
      </c>
      <c r="K14" s="142">
        <f>IS!K23</f>
        <v>2408.8548586307725</v>
      </c>
      <c r="L14" s="142">
        <f>IS!L23</f>
        <v>2415.454460983186</v>
      </c>
      <c r="M14" s="142">
        <f>IS!M23</f>
        <v>2408.8548586307725</v>
      </c>
      <c r="N14" s="142">
        <f>IS!N23</f>
        <v>2408.8548586307725</v>
      </c>
      <c r="O14" s="142">
        <f>IS!O23</f>
        <v>2408.8548586307725</v>
      </c>
      <c r="P14" s="142">
        <f>IS!P23</f>
        <v>2415.454460983186</v>
      </c>
    </row>
    <row r="15" spans="2:16" ht="18" customHeight="1" x14ac:dyDescent="0.25">
      <c r="B15" s="140" t="s">
        <v>141</v>
      </c>
      <c r="E15" s="142">
        <f>BS!E16-BS!D16</f>
        <v>810.26145832320253</v>
      </c>
      <c r="F15" s="142">
        <f>BS!F16-BS!E16</f>
        <v>-216.25719334922996</v>
      </c>
      <c r="G15" s="142">
        <f>BS!G16-BS!F16</f>
        <v>-26.592253103842722</v>
      </c>
      <c r="H15" s="142">
        <f>BS!H16-BS!G16</f>
        <v>32.333002308303094</v>
      </c>
      <c r="I15" s="142">
        <f>BS!I16-BS!H16</f>
        <v>38.382589576268856</v>
      </c>
      <c r="J15" s="142">
        <f>BS!J16-BS!I16</f>
        <v>38.256449297909057</v>
      </c>
      <c r="K15" s="142">
        <f>BS!K16-BS!J16</f>
        <v>36.718197297601819</v>
      </c>
      <c r="L15" s="142">
        <f>BS!L16-BS!K16</f>
        <v>3.2898734468185467</v>
      </c>
      <c r="M15" s="142">
        <f>BS!M16-BS!L16</f>
        <v>3.730980186666784</v>
      </c>
      <c r="N15" s="142">
        <f>BS!N16-BS!M16</f>
        <v>3.6484946848399886</v>
      </c>
      <c r="O15" s="142">
        <f>BS!O16-BS!N16</f>
        <v>3.7459854960734447</v>
      </c>
      <c r="P15" s="142">
        <f>BS!P16-BS!O16</f>
        <v>9.9129461447523681</v>
      </c>
    </row>
    <row r="16" spans="2:16" ht="18" customHeight="1" x14ac:dyDescent="0.25">
      <c r="B16" s="63" t="s">
        <v>122</v>
      </c>
      <c r="C16" s="63"/>
      <c r="D16" s="63"/>
      <c r="E16" s="64">
        <f t="shared" ref="E16:P16" si="0">SUM(E11:E15)</f>
        <v>13401.884671594369</v>
      </c>
      <c r="F16" s="64">
        <f t="shared" si="0"/>
        <v>15162.875601576459</v>
      </c>
      <c r="G16" s="64">
        <f t="shared" si="0"/>
        <v>4426.6606246385563</v>
      </c>
      <c r="H16" s="64">
        <f t="shared" si="0"/>
        <v>4754.2547104944479</v>
      </c>
      <c r="I16" s="64">
        <f t="shared" si="0"/>
        <v>4626.1591967179338</v>
      </c>
      <c r="J16" s="64">
        <f t="shared" si="0"/>
        <v>4608.357333576686</v>
      </c>
      <c r="K16" s="64">
        <f t="shared" si="0"/>
        <v>4652.0152253898486</v>
      </c>
      <c r="L16" s="64">
        <f t="shared" si="0"/>
        <v>4555.8227735335131</v>
      </c>
      <c r="M16" s="64">
        <f t="shared" si="0"/>
        <v>4478.0731216511849</v>
      </c>
      <c r="N16" s="64">
        <f t="shared" si="0"/>
        <v>4410.9519684250772</v>
      </c>
      <c r="O16" s="64">
        <f t="shared" si="0"/>
        <v>4342.2685732376322</v>
      </c>
      <c r="P16" s="64">
        <f t="shared" si="0"/>
        <v>4652.9581804731224</v>
      </c>
    </row>
    <row r="17" spans="2:16" ht="18" customHeight="1" x14ac:dyDescent="0.25"/>
    <row r="18" spans="2:16" ht="18" customHeight="1" x14ac:dyDescent="0.25">
      <c r="B18" s="54" t="s">
        <v>142</v>
      </c>
    </row>
    <row r="19" spans="2:16" ht="18" customHeight="1" x14ac:dyDescent="0.25">
      <c r="B19" s="140" t="s">
        <v>143</v>
      </c>
      <c r="E19" s="142">
        <f>BS!E21-BS!D21</f>
        <v>-975.57055129999935</v>
      </c>
      <c r="F19" s="142">
        <f>BS!F21-BS!E21</f>
        <v>0</v>
      </c>
      <c r="G19" s="142">
        <f>BS!G21-BS!F21</f>
        <v>13033.440000000002</v>
      </c>
      <c r="H19" s="142">
        <f>BS!H21-BS!G21</f>
        <v>0</v>
      </c>
      <c r="I19" s="142">
        <f>BS!I21-BS!H21</f>
        <v>0</v>
      </c>
      <c r="J19" s="142">
        <f>BS!J21-BS!I21</f>
        <v>0</v>
      </c>
      <c r="K19" s="142">
        <f>BS!K21-BS!J21</f>
        <v>0</v>
      </c>
      <c r="L19" s="142">
        <f>BS!L21-BS!K21</f>
        <v>0</v>
      </c>
      <c r="M19" s="142">
        <f>BS!M21-BS!L21</f>
        <v>0</v>
      </c>
      <c r="N19" s="142">
        <f>BS!N21-BS!M21</f>
        <v>0</v>
      </c>
      <c r="O19" s="142">
        <f>BS!O21-BS!N21</f>
        <v>0</v>
      </c>
      <c r="P19" s="142">
        <f>BS!P21-BS!O21</f>
        <v>0</v>
      </c>
    </row>
    <row r="20" spans="2:16" ht="18" customHeight="1" x14ac:dyDescent="0.25">
      <c r="B20" s="140" t="str">
        <f>BS!B24</f>
        <v>Capital Work in Progress</v>
      </c>
      <c r="E20" s="142">
        <f>BS!E24-BS!D24</f>
        <v>0</v>
      </c>
      <c r="F20" s="142">
        <f>BS!F24-BS!E24</f>
        <v>13033.44</v>
      </c>
      <c r="G20" s="142">
        <f>BS!G24-BS!F24</f>
        <v>-13033.44</v>
      </c>
      <c r="H20" s="142">
        <f>BS!H24-BS!G24</f>
        <v>0</v>
      </c>
      <c r="I20" s="142">
        <f>BS!I24-BS!H24</f>
        <v>0</v>
      </c>
      <c r="J20" s="142">
        <f>BS!J24-BS!I24</f>
        <v>0</v>
      </c>
      <c r="K20" s="142">
        <f>BS!K24-BS!J24</f>
        <v>0</v>
      </c>
      <c r="L20" s="142">
        <f>BS!L24-BS!K24</f>
        <v>0</v>
      </c>
      <c r="M20" s="142">
        <f>BS!M24-BS!L24</f>
        <v>0</v>
      </c>
      <c r="N20" s="142">
        <f>BS!N24-BS!M24</f>
        <v>0</v>
      </c>
      <c r="O20" s="142">
        <f>BS!O24-BS!N24</f>
        <v>0</v>
      </c>
      <c r="P20" s="142">
        <f>BS!P24-BS!O24</f>
        <v>0</v>
      </c>
    </row>
    <row r="21" spans="2:16" ht="18" customHeight="1" x14ac:dyDescent="0.25">
      <c r="B21" s="140" t="s">
        <v>245</v>
      </c>
      <c r="E21" s="142">
        <f>BS!E25-BS!C25</f>
        <v>-19.087200961380063</v>
      </c>
      <c r="F21" s="142">
        <f>BS!F25-BS!E25</f>
        <v>231.72554827430184</v>
      </c>
      <c r="G21" s="142">
        <f>BS!G25-BS!F25</f>
        <v>-212.63834731292178</v>
      </c>
      <c r="H21" s="142">
        <f>BS!H25-BS!G25</f>
        <v>0</v>
      </c>
      <c r="I21" s="142">
        <f>BS!I25-BS!H25</f>
        <v>0</v>
      </c>
      <c r="J21" s="142">
        <f>BS!J25-BS!I25</f>
        <v>0</v>
      </c>
      <c r="K21" s="142">
        <f>BS!K25-BS!J25</f>
        <v>0</v>
      </c>
      <c r="L21" s="142">
        <f>BS!L25-BS!K25</f>
        <v>0</v>
      </c>
      <c r="M21" s="142">
        <f>BS!M25-BS!L25</f>
        <v>0</v>
      </c>
      <c r="N21" s="142">
        <f>BS!N25-BS!M25</f>
        <v>0</v>
      </c>
      <c r="O21" s="142">
        <f>BS!O25-BS!N25</f>
        <v>0</v>
      </c>
      <c r="P21" s="142">
        <f>BS!P25-BS!O25</f>
        <v>0</v>
      </c>
    </row>
    <row r="22" spans="2:16" ht="18" customHeight="1" x14ac:dyDescent="0.25">
      <c r="B22" s="140" t="s">
        <v>144</v>
      </c>
      <c r="E22" s="142">
        <f>(BS!D13+BS!D17)</f>
        <v>9067.8613289999994</v>
      </c>
      <c r="F22" s="142">
        <f>(BS!E13+BS!E17)</f>
        <v>0</v>
      </c>
      <c r="G22" s="142">
        <f>(BS!F13+BS!F17)</f>
        <v>0</v>
      </c>
      <c r="H22" s="142">
        <f>(BS!G13+BS!G17)</f>
        <v>0</v>
      </c>
      <c r="I22" s="142">
        <f>(BS!H13+BS!H17)</f>
        <v>0</v>
      </c>
      <c r="J22" s="142">
        <f>(BS!I13+BS!I17)</f>
        <v>0</v>
      </c>
      <c r="K22" s="142">
        <f>(BS!J13+BS!J17)</f>
        <v>0</v>
      </c>
      <c r="L22" s="142">
        <f>(BS!K13+BS!K17)</f>
        <v>0</v>
      </c>
      <c r="M22" s="142">
        <f>(BS!L13+BS!L17)</f>
        <v>0</v>
      </c>
      <c r="N22" s="142">
        <f>(BS!M13+BS!M17)</f>
        <v>0</v>
      </c>
      <c r="O22" s="142">
        <f>(BS!N13+BS!N17)</f>
        <v>0</v>
      </c>
      <c r="P22" s="142">
        <f>(BS!O13+BS!O17)</f>
        <v>0</v>
      </c>
    </row>
    <row r="23" spans="2:16" ht="18" customHeight="1" x14ac:dyDescent="0.25">
      <c r="B23" s="140" t="s">
        <v>145</v>
      </c>
      <c r="E23" s="142">
        <f>BS!E31-BS!D31</f>
        <v>-154.00162608235587</v>
      </c>
      <c r="F23" s="142">
        <f>BS!F31-BS!E31</f>
        <v>0</v>
      </c>
      <c r="G23" s="142">
        <f>BS!G31-BS!F31</f>
        <v>54.295853589040235</v>
      </c>
      <c r="H23" s="142">
        <f>BS!H31-BS!G31</f>
        <v>54.485222715617056</v>
      </c>
      <c r="I23" s="142">
        <f>BS!I31-BS!H31</f>
        <v>54.678379224722448</v>
      </c>
      <c r="J23" s="142">
        <f>BS!J31-BS!I31</f>
        <v>54.875398864012823</v>
      </c>
      <c r="K23" s="142">
        <f>BS!K31-BS!J31</f>
        <v>55.076358896087186</v>
      </c>
      <c r="L23" s="142">
        <f>BS!L31-BS!K31</f>
        <v>10.453940868529571</v>
      </c>
      <c r="M23" s="142">
        <f>BS!M31-BS!L31</f>
        <v>10.663019685899599</v>
      </c>
      <c r="N23" s="142">
        <f>BS!N31-BS!M31</f>
        <v>10.876280079618482</v>
      </c>
      <c r="O23" s="142">
        <f>BS!O31-BS!N31</f>
        <v>11.093805681210142</v>
      </c>
      <c r="P23" s="142">
        <f>BS!P31-BS!O31</f>
        <v>11.315681794833836</v>
      </c>
    </row>
    <row r="24" spans="2:16" ht="18" customHeight="1" x14ac:dyDescent="0.25">
      <c r="B24" s="140" t="s">
        <v>146</v>
      </c>
      <c r="E24" s="142">
        <f>BS!E32-BS!D32</f>
        <v>-3391.3584885005939</v>
      </c>
      <c r="F24" s="142">
        <f>BS!F32-BS!E32</f>
        <v>-639.28301490872127</v>
      </c>
      <c r="G24" s="142">
        <f>BS!G32-BS!F32</f>
        <v>20.510767437176582</v>
      </c>
      <c r="H24" s="142">
        <f>BS!H32-BS!G32</f>
        <v>75.458327743827795</v>
      </c>
      <c r="I24" s="142">
        <f>BS!I32-BS!H32</f>
        <v>81.527672411730236</v>
      </c>
      <c r="J24" s="142">
        <f>BS!J32-BS!I32</f>
        <v>81.420485304609429</v>
      </c>
      <c r="K24" s="142">
        <f>BS!K32-BS!J32</f>
        <v>81.495291364702098</v>
      </c>
      <c r="L24" s="142">
        <f>BS!L32-BS!K32</f>
        <v>3.3997039197447521</v>
      </c>
      <c r="M24" s="142">
        <f>BS!M32-BS!L32</f>
        <v>3.8308997637377615</v>
      </c>
      <c r="N24" s="142">
        <f>BS!N32-BS!M32</f>
        <v>3.7370943976047784</v>
      </c>
      <c r="O24" s="142">
        <f>BS!O32-BS!N32</f>
        <v>3.8217071216631666</v>
      </c>
      <c r="P24" s="142">
        <f>BS!P32-BS!O32</f>
        <v>9.9740671132794887</v>
      </c>
    </row>
    <row r="25" spans="2:16" ht="18" customHeight="1" x14ac:dyDescent="0.25">
      <c r="B25" s="140" t="s">
        <v>133</v>
      </c>
      <c r="E25" s="154"/>
      <c r="F25" s="154"/>
      <c r="G25" s="154"/>
      <c r="H25" s="154"/>
      <c r="I25" s="154"/>
      <c r="J25" s="154"/>
      <c r="K25" s="154"/>
      <c r="L25" s="154"/>
      <c r="M25" s="154"/>
      <c r="N25" s="154"/>
      <c r="O25" s="154"/>
      <c r="P25" s="154"/>
    </row>
    <row r="26" spans="2:16" ht="18" customHeight="1" x14ac:dyDescent="0.25">
      <c r="B26" s="140" t="s">
        <v>127</v>
      </c>
      <c r="E26" s="142"/>
      <c r="F26" s="142"/>
      <c r="G26" s="142"/>
      <c r="H26" s="142"/>
      <c r="I26" s="142"/>
      <c r="J26" s="142"/>
      <c r="K26" s="142"/>
      <c r="L26" s="142"/>
      <c r="M26" s="142"/>
      <c r="N26" s="142"/>
      <c r="O26" s="142"/>
      <c r="P26" s="142"/>
    </row>
    <row r="27" spans="2:16" ht="18" customHeight="1" x14ac:dyDescent="0.25">
      <c r="B27" s="63" t="s">
        <v>122</v>
      </c>
      <c r="C27" s="63"/>
      <c r="D27" s="63"/>
      <c r="E27" s="64">
        <f>SUM(E19:E26)</f>
        <v>4527.8434621556698</v>
      </c>
      <c r="F27" s="64">
        <f>SUM(F19:F26)</f>
        <v>12625.88253336558</v>
      </c>
      <c r="G27" s="64">
        <f>SUM(G19:G26)</f>
        <v>-137.83172628670314</v>
      </c>
      <c r="H27" s="64">
        <f t="shared" ref="H27:P27" si="1">SUM(H19:H26)</f>
        <v>129.94355045944485</v>
      </c>
      <c r="I27" s="64">
        <f t="shared" si="1"/>
        <v>136.20605163645268</v>
      </c>
      <c r="J27" s="64">
        <f t="shared" si="1"/>
        <v>136.29588416862225</v>
      </c>
      <c r="K27" s="64">
        <f t="shared" si="1"/>
        <v>136.57165026078928</v>
      </c>
      <c r="L27" s="64">
        <f t="shared" si="1"/>
        <v>13.853644788274323</v>
      </c>
      <c r="M27" s="64">
        <f t="shared" si="1"/>
        <v>14.49391944963736</v>
      </c>
      <c r="N27" s="64">
        <f t="shared" si="1"/>
        <v>14.61337447722326</v>
      </c>
      <c r="O27" s="64">
        <f t="shared" si="1"/>
        <v>14.915512802873309</v>
      </c>
      <c r="P27" s="64">
        <f t="shared" si="1"/>
        <v>21.289748908113324</v>
      </c>
    </row>
    <row r="28" spans="2:16" ht="18" customHeight="1" x14ac:dyDescent="0.25">
      <c r="B28" s="140" t="s">
        <v>147</v>
      </c>
      <c r="E28" s="142">
        <f>BS!D33</f>
        <v>58.532378200000004</v>
      </c>
      <c r="F28" s="142">
        <f>E30</f>
        <v>8932.5735876386989</v>
      </c>
      <c r="G28" s="142">
        <f>F30</f>
        <v>11469.566655849578</v>
      </c>
      <c r="H28" s="142">
        <f t="shared" ref="H28:P28" si="2">G30</f>
        <v>16034.059006774838</v>
      </c>
      <c r="I28" s="142">
        <f t="shared" si="2"/>
        <v>20658.37016680984</v>
      </c>
      <c r="J28" s="142">
        <f t="shared" si="2"/>
        <v>25148.323311891319</v>
      </c>
      <c r="K28" s="142">
        <f t="shared" si="2"/>
        <v>29620.384761299385</v>
      </c>
      <c r="L28" s="142">
        <f t="shared" si="2"/>
        <v>34135.828336428443</v>
      </c>
      <c r="M28" s="142">
        <f t="shared" si="2"/>
        <v>38677.79746517368</v>
      </c>
      <c r="N28" s="142">
        <f t="shared" si="2"/>
        <v>43141.376667375225</v>
      </c>
      <c r="O28" s="142">
        <f t="shared" si="2"/>
        <v>47537.715261323079</v>
      </c>
      <c r="P28" s="142">
        <f t="shared" si="2"/>
        <v>51865.068321757841</v>
      </c>
    </row>
    <row r="29" spans="2:16" ht="18" customHeight="1" x14ac:dyDescent="0.25">
      <c r="B29" s="140" t="s">
        <v>148</v>
      </c>
      <c r="E29" s="142">
        <f>E16-E27</f>
        <v>8874.0412094386993</v>
      </c>
      <c r="F29" s="142">
        <f t="shared" ref="F29:P29" si="3">F16-F27</f>
        <v>2536.9930682108788</v>
      </c>
      <c r="G29" s="142">
        <f t="shared" si="3"/>
        <v>4564.4923509252594</v>
      </c>
      <c r="H29" s="142">
        <f t="shared" si="3"/>
        <v>4624.311160035003</v>
      </c>
      <c r="I29" s="142">
        <f t="shared" si="3"/>
        <v>4489.9531450814811</v>
      </c>
      <c r="J29" s="142">
        <f t="shared" si="3"/>
        <v>4472.0614494080637</v>
      </c>
      <c r="K29" s="142">
        <f t="shared" si="3"/>
        <v>4515.4435751290594</v>
      </c>
      <c r="L29" s="142">
        <f t="shared" si="3"/>
        <v>4541.9691287452388</v>
      </c>
      <c r="M29" s="142">
        <f t="shared" si="3"/>
        <v>4463.5792022015476</v>
      </c>
      <c r="N29" s="142">
        <f t="shared" si="3"/>
        <v>4396.338593947854</v>
      </c>
      <c r="O29" s="142">
        <f t="shared" si="3"/>
        <v>4327.3530604347588</v>
      </c>
      <c r="P29" s="142">
        <f t="shared" si="3"/>
        <v>4631.6684315650091</v>
      </c>
    </row>
    <row r="30" spans="2:16" ht="18" customHeight="1" x14ac:dyDescent="0.25">
      <c r="B30" s="140" t="s">
        <v>149</v>
      </c>
      <c r="E30" s="142">
        <f>E28+E29</f>
        <v>8932.5735876386989</v>
      </c>
      <c r="F30" s="142">
        <f>F28+F29</f>
        <v>11469.566655849578</v>
      </c>
      <c r="G30" s="142">
        <f>G28+G29</f>
        <v>16034.059006774838</v>
      </c>
      <c r="H30" s="142">
        <f t="shared" ref="H30:P30" si="4">H28+H29</f>
        <v>20658.37016680984</v>
      </c>
      <c r="I30" s="142">
        <f t="shared" si="4"/>
        <v>25148.323311891319</v>
      </c>
      <c r="J30" s="142">
        <f t="shared" si="4"/>
        <v>29620.384761299385</v>
      </c>
      <c r="K30" s="142">
        <f t="shared" si="4"/>
        <v>34135.828336428443</v>
      </c>
      <c r="L30" s="142">
        <f t="shared" si="4"/>
        <v>38677.79746517368</v>
      </c>
      <c r="M30" s="142">
        <f t="shared" si="4"/>
        <v>43141.376667375225</v>
      </c>
      <c r="N30" s="142">
        <f t="shared" si="4"/>
        <v>47537.715261323079</v>
      </c>
      <c r="O30" s="142">
        <f t="shared" si="4"/>
        <v>51865.068321757841</v>
      </c>
      <c r="P30" s="142">
        <f t="shared" si="4"/>
        <v>56496.736753322853</v>
      </c>
    </row>
    <row r="32" spans="2:16" x14ac:dyDescent="0.25">
      <c r="G32" s="74"/>
    </row>
  </sheetData>
  <conditionalFormatting sqref="E28:P30">
    <cfRule type="cellIs" dxfId="1" priority="1" operator="lessThan">
      <formula>0</formula>
    </cfRule>
  </conditionalFormatting>
  <conditionalFormatting sqref="E29:P30">
    <cfRule type="cellIs" dxfId="0" priority="4" operator="lessThan">
      <formula>0</formula>
    </cfRule>
  </conditionalFormatting>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3"/>
  <sheetViews>
    <sheetView showGridLines="0" workbookViewId="0"/>
  </sheetViews>
  <sheetFormatPr defaultColWidth="13.7109375" defaultRowHeight="15" x14ac:dyDescent="0.25"/>
  <cols>
    <col min="1" max="1" width="4.42578125" style="140" customWidth="1"/>
    <col min="2" max="2" width="44.7109375" style="140" customWidth="1"/>
    <col min="3" max="3" width="7.140625" style="148" customWidth="1"/>
    <col min="4" max="4" width="13.5703125" style="140" customWidth="1"/>
    <col min="5" max="15" width="14.42578125" style="140" customWidth="1"/>
    <col min="16" max="16" width="14.42578125" style="140" hidden="1" customWidth="1"/>
    <col min="17" max="16384" width="13.7109375" style="140"/>
  </cols>
  <sheetData>
    <row r="1" spans="1:16" ht="19.5" customHeight="1" x14ac:dyDescent="0.25"/>
    <row r="2" spans="1:16" s="143" customFormat="1" ht="19.899999999999999" customHeight="1" x14ac:dyDescent="0.25">
      <c r="B2" s="153" t="str">
        <f>'Assumptions on Steel Plant'!B2</f>
        <v>M/s. Sai Infinium Limited</v>
      </c>
      <c r="C2" s="170"/>
      <c r="D2" s="100"/>
      <c r="E2" s="100"/>
      <c r="F2" s="100"/>
      <c r="G2" s="100"/>
      <c r="H2" s="100"/>
      <c r="I2" s="100"/>
      <c r="J2" s="100"/>
      <c r="K2" s="100"/>
      <c r="L2" s="100"/>
      <c r="M2" s="100"/>
      <c r="N2" s="100"/>
      <c r="O2" s="100"/>
      <c r="P2" s="100"/>
    </row>
    <row r="3" spans="1:16" s="143" customFormat="1" ht="9" customHeight="1" x14ac:dyDescent="0.25">
      <c r="B3" s="144"/>
      <c r="C3" s="169"/>
      <c r="D3" s="144"/>
      <c r="E3" s="144"/>
      <c r="F3" s="144"/>
      <c r="G3" s="144"/>
      <c r="H3" s="144"/>
      <c r="I3" s="144"/>
      <c r="J3" s="144"/>
      <c r="K3" s="144"/>
      <c r="L3" s="144"/>
      <c r="M3" s="144"/>
      <c r="N3" s="144"/>
      <c r="O3" s="144"/>
      <c r="P3" s="144"/>
    </row>
    <row r="4" spans="1:16" s="143" customFormat="1" ht="19.899999999999999" customHeight="1" x14ac:dyDescent="0.25">
      <c r="B4" s="130" t="str">
        <f>'Assumptions on Steel Plant'!B4</f>
        <v>Business Projections</v>
      </c>
      <c r="C4" s="171"/>
      <c r="D4" s="103"/>
      <c r="E4" s="103"/>
      <c r="F4" s="103"/>
      <c r="G4" s="103"/>
      <c r="H4" s="103"/>
      <c r="I4" s="103"/>
      <c r="J4" s="103"/>
      <c r="K4" s="103"/>
      <c r="L4" s="103"/>
      <c r="M4" s="103"/>
      <c r="N4" s="103"/>
      <c r="O4" s="103"/>
      <c r="P4" s="103"/>
    </row>
    <row r="5" spans="1:16" s="143" customFormat="1" ht="9" customHeight="1" x14ac:dyDescent="0.25">
      <c r="B5" s="144"/>
      <c r="C5" s="169"/>
      <c r="D5" s="144"/>
      <c r="E5" s="144"/>
      <c r="F5" s="144"/>
      <c r="G5" s="144"/>
      <c r="H5" s="144"/>
      <c r="I5" s="135"/>
    </row>
    <row r="6" spans="1:16" s="141" customFormat="1" ht="18.75" customHeight="1" x14ac:dyDescent="0.25">
      <c r="B6" s="145" t="s">
        <v>456</v>
      </c>
      <c r="C6" s="131"/>
      <c r="D6" s="146"/>
      <c r="E6" s="146"/>
      <c r="F6" s="146"/>
      <c r="G6" s="146"/>
      <c r="H6" s="146"/>
      <c r="I6" s="146"/>
      <c r="J6" s="146"/>
      <c r="K6" s="146"/>
      <c r="L6" s="146"/>
      <c r="M6" s="146"/>
      <c r="N6" s="146"/>
      <c r="O6" s="146"/>
      <c r="P6" s="146"/>
    </row>
    <row r="7" spans="1:16" s="141" customFormat="1" ht="18.75" customHeight="1" x14ac:dyDescent="0.25">
      <c r="B7" s="147" t="str">
        <f>'Expenses Modeling_Hybrid Plant'!B7</f>
        <v>(All Values in INR Lakhs, unless specified)</v>
      </c>
      <c r="C7" s="148"/>
      <c r="D7" s="148"/>
      <c r="E7" s="148"/>
      <c r="F7" s="148"/>
      <c r="G7" s="140"/>
      <c r="H7" s="149"/>
      <c r="I7" s="149"/>
      <c r="J7" s="149"/>
      <c r="K7" s="149"/>
      <c r="L7" s="149"/>
      <c r="M7" s="149"/>
      <c r="N7" s="149"/>
      <c r="O7" s="149"/>
      <c r="P7" s="149"/>
    </row>
    <row r="8" spans="1:16" ht="18.75" customHeight="1" x14ac:dyDescent="0.25">
      <c r="B8" s="56" t="s">
        <v>63</v>
      </c>
      <c r="C8" s="131" t="s">
        <v>64</v>
      </c>
      <c r="D8" s="150">
        <f>IS!D8</f>
        <v>45382</v>
      </c>
      <c r="E8" s="150">
        <f>IS!E8</f>
        <v>45747</v>
      </c>
      <c r="F8" s="150">
        <f>IS!F8</f>
        <v>46112</v>
      </c>
      <c r="G8" s="150">
        <f>IS!G8</f>
        <v>46477</v>
      </c>
      <c r="H8" s="150">
        <f>IS!H8</f>
        <v>46843</v>
      </c>
      <c r="I8" s="150">
        <f>IS!I8</f>
        <v>47208</v>
      </c>
      <c r="J8" s="150">
        <f>IS!J8</f>
        <v>47573</v>
      </c>
      <c r="K8" s="150">
        <f>IS!K8</f>
        <v>47938</v>
      </c>
      <c r="L8" s="150">
        <f>IS!L8</f>
        <v>48304</v>
      </c>
      <c r="M8" s="150">
        <f>IS!M8</f>
        <v>48669</v>
      </c>
      <c r="N8" s="150">
        <f>IS!N8</f>
        <v>49034</v>
      </c>
      <c r="O8" s="150">
        <f>IS!O8</f>
        <v>49399</v>
      </c>
      <c r="P8" s="150">
        <f>IS!P8</f>
        <v>49765</v>
      </c>
    </row>
    <row r="9" spans="1:16" s="152" customFormat="1" ht="18.75" customHeight="1" x14ac:dyDescent="0.25">
      <c r="B9" s="41" t="s">
        <v>65</v>
      </c>
      <c r="C9" s="42"/>
      <c r="D9" s="178"/>
      <c r="E9" s="178" t="s">
        <v>479</v>
      </c>
      <c r="F9" s="151" t="s">
        <v>464</v>
      </c>
      <c r="G9" s="151" t="s">
        <v>464</v>
      </c>
      <c r="H9" s="151" t="s">
        <v>464</v>
      </c>
      <c r="I9" s="151" t="s">
        <v>464</v>
      </c>
      <c r="J9" s="151" t="s">
        <v>464</v>
      </c>
      <c r="K9" s="151" t="s">
        <v>464</v>
      </c>
      <c r="L9" s="151" t="s">
        <v>464</v>
      </c>
      <c r="M9" s="151" t="s">
        <v>464</v>
      </c>
      <c r="N9" s="151" t="s">
        <v>464</v>
      </c>
      <c r="O9" s="151" t="s">
        <v>464</v>
      </c>
      <c r="P9" s="151" t="s">
        <v>464</v>
      </c>
    </row>
    <row r="10" spans="1:16" ht="18.75" customHeight="1" x14ac:dyDescent="0.25">
      <c r="D10" s="148"/>
      <c r="E10" s="148"/>
      <c r="F10" s="148"/>
      <c r="G10" s="148"/>
      <c r="H10" s="148"/>
      <c r="I10" s="148"/>
      <c r="J10" s="148"/>
      <c r="K10" s="148"/>
      <c r="L10" s="148"/>
      <c r="M10" s="148"/>
      <c r="N10" s="148"/>
      <c r="O10" s="148"/>
      <c r="P10" s="148"/>
    </row>
    <row r="11" spans="1:16" s="67" customFormat="1" ht="18.75" customHeight="1" x14ac:dyDescent="0.25">
      <c r="B11" s="60" t="s">
        <v>129</v>
      </c>
      <c r="C11" s="166"/>
      <c r="D11" s="61"/>
      <c r="E11" s="61">
        <f t="shared" ref="E11:P11" si="0">SUM(E12:E14)</f>
        <v>11681.76556506105</v>
      </c>
      <c r="F11" s="61">
        <f t="shared" si="0"/>
        <v>11042.48255015233</v>
      </c>
      <c r="G11" s="61">
        <f t="shared" si="0"/>
        <v>11117.289171178545</v>
      </c>
      <c r="H11" s="61">
        <f t="shared" si="0"/>
        <v>11247.232721637991</v>
      </c>
      <c r="I11" s="61">
        <f t="shared" si="0"/>
        <v>11383.438773274444</v>
      </c>
      <c r="J11" s="61">
        <f t="shared" si="0"/>
        <v>11519.734657443067</v>
      </c>
      <c r="K11" s="61">
        <f t="shared" si="0"/>
        <v>11656.306307703855</v>
      </c>
      <c r="L11" s="61">
        <f t="shared" si="0"/>
        <v>11670.159952492129</v>
      </c>
      <c r="M11" s="61">
        <f t="shared" si="0"/>
        <v>11684.653871941766</v>
      </c>
      <c r="N11" s="61">
        <f t="shared" si="0"/>
        <v>11699.267246418989</v>
      </c>
      <c r="O11" s="61">
        <f t="shared" si="0"/>
        <v>11714.182759221863</v>
      </c>
      <c r="P11" s="61">
        <f t="shared" si="0"/>
        <v>11735.472508129977</v>
      </c>
    </row>
    <row r="12" spans="1:16" ht="18.75" customHeight="1" x14ac:dyDescent="0.25">
      <c r="A12" s="67"/>
      <c r="B12" s="140" t="s">
        <v>458</v>
      </c>
      <c r="C12" s="148">
        <v>60</v>
      </c>
      <c r="D12" s="142"/>
      <c r="E12" s="142">
        <f>IS!E13*$C12/365</f>
        <v>6518.4788212101075</v>
      </c>
      <c r="F12" s="142">
        <f>IS!F13*$C12/365</f>
        <v>5836.3391481863018</v>
      </c>
      <c r="G12" s="142">
        <f>IS!G13*$C12/365</f>
        <v>5905.1813053966025</v>
      </c>
      <c r="H12" s="142">
        <f>IS!H13*$C12/365</f>
        <v>5974.0321735867265</v>
      </c>
      <c r="I12" s="142">
        <f>IS!I13*$C12/365</f>
        <v>6042.8919269762691</v>
      </c>
      <c r="J12" s="142">
        <f>IS!J13*$C12/365</f>
        <v>6111.7607432692193</v>
      </c>
      <c r="K12" s="142">
        <f>IS!K13*$C12/365</f>
        <v>6180.6388037236457</v>
      </c>
      <c r="L12" s="142">
        <f>IS!L13*$C12/365</f>
        <v>6181.1196850035967</v>
      </c>
      <c r="M12" s="142">
        <f>IS!M13*$C12/365</f>
        <v>6181.6101839091489</v>
      </c>
      <c r="N12" s="142">
        <f>IS!N13*$C12/365</f>
        <v>6182.1104927928109</v>
      </c>
      <c r="O12" s="142">
        <f>IS!O13*$C12/365</f>
        <v>6182.6208078541458</v>
      </c>
      <c r="P12" s="142">
        <f>IS!P13*$C12/365</f>
        <v>6183.1413292167081</v>
      </c>
    </row>
    <row r="13" spans="1:16" ht="18.75" customHeight="1" x14ac:dyDescent="0.25">
      <c r="A13" s="67"/>
      <c r="B13" s="140" t="s">
        <v>457</v>
      </c>
      <c r="C13" s="148">
        <v>7</v>
      </c>
      <c r="D13" s="142"/>
      <c r="E13" s="142">
        <f>SUM(IS!E13:E15)*$C13/365</f>
        <v>879.53516028929891</v>
      </c>
      <c r="F13" s="142">
        <f>SUM(IS!F13:F15)*$C13/365</f>
        <v>922.39181840438368</v>
      </c>
      <c r="G13" s="142">
        <f>SUM(IS!G13:G15)*$C13/365</f>
        <v>874.06042863125901</v>
      </c>
      <c r="H13" s="142">
        <f>SUM(IS!H13:H15)*$C13/365</f>
        <v>880.66788818496332</v>
      </c>
      <c r="I13" s="142">
        <f>SUM(IS!I13:I15)*$C13/365</f>
        <v>893.33580720715065</v>
      </c>
      <c r="J13" s="142">
        <f>SUM(IS!J13:J15)*$C13/365</f>
        <v>905.88747621880998</v>
      </c>
      <c r="K13" s="142">
        <f>SUM(IS!K13:K15)*$C13/365</f>
        <v>918.50470712908532</v>
      </c>
      <c r="L13" s="142">
        <f>SUM(IS!L13:L15)*$C13/365</f>
        <v>921.42352976887935</v>
      </c>
      <c r="M13" s="142">
        <f>SUM(IS!M13:M15)*$C13/365</f>
        <v>924.76393062706495</v>
      </c>
      <c r="N13" s="142">
        <f>SUM(IS!N13:N15)*$C13/365</f>
        <v>928.00071614100807</v>
      </c>
      <c r="O13" s="142">
        <f>SUM(IS!O13:O15)*$C13/365</f>
        <v>931.31210820133549</v>
      </c>
      <c r="P13" s="142">
        <f>SUM(IS!P13:P15)*$C13/365</f>
        <v>940.76565395205262</v>
      </c>
    </row>
    <row r="14" spans="1:16" ht="18.75" customHeight="1" x14ac:dyDescent="0.25">
      <c r="A14" s="67"/>
      <c r="B14" s="140" t="s">
        <v>182</v>
      </c>
      <c r="C14" s="148">
        <v>30</v>
      </c>
      <c r="D14" s="142"/>
      <c r="E14" s="142">
        <f>IS!E11*$C14/365</f>
        <v>4283.7515835616441</v>
      </c>
      <c r="F14" s="142">
        <f>IS!F11*$C14/365</f>
        <v>4283.7515835616441</v>
      </c>
      <c r="G14" s="142">
        <f>IS!G11*$C14/365</f>
        <v>4338.0474371506843</v>
      </c>
      <c r="H14" s="142">
        <f>IS!H11*$C14/365</f>
        <v>4392.5326598663014</v>
      </c>
      <c r="I14" s="142">
        <f>IS!I11*$C14/365</f>
        <v>4447.2110390910238</v>
      </c>
      <c r="J14" s="142">
        <f>IS!J11*$C14/365</f>
        <v>4502.0864379550367</v>
      </c>
      <c r="K14" s="142">
        <f>IS!K11*$C14/365</f>
        <v>4557.1627968511239</v>
      </c>
      <c r="L14" s="142">
        <f>IS!L11*$C14/365</f>
        <v>4567.6167377196534</v>
      </c>
      <c r="M14" s="142">
        <f>IS!M11*$C14/365</f>
        <v>4578.279757405553</v>
      </c>
      <c r="N14" s="142">
        <f>IS!N11*$C14/365</f>
        <v>4589.1560374851715</v>
      </c>
      <c r="O14" s="142">
        <f>IS!O11*$C14/365</f>
        <v>4600.2498431663817</v>
      </c>
      <c r="P14" s="142">
        <f>IS!P11*$C14/365</f>
        <v>4611.5655249612155</v>
      </c>
    </row>
    <row r="15" spans="1:16" ht="18.75" customHeight="1" x14ac:dyDescent="0.25">
      <c r="A15" s="67"/>
      <c r="D15" s="148"/>
      <c r="E15" s="148"/>
      <c r="F15" s="148"/>
      <c r="G15" s="148"/>
      <c r="H15" s="148"/>
      <c r="I15" s="148"/>
      <c r="J15" s="148"/>
      <c r="K15" s="148"/>
      <c r="L15" s="148"/>
      <c r="M15" s="148"/>
      <c r="N15" s="148"/>
      <c r="O15" s="148"/>
      <c r="P15" s="148"/>
    </row>
    <row r="16" spans="1:16" ht="18.75" customHeight="1" x14ac:dyDescent="0.25">
      <c r="A16" s="67"/>
      <c r="B16" s="60" t="s">
        <v>459</v>
      </c>
      <c r="C16" s="168"/>
      <c r="D16" s="61"/>
      <c r="E16" s="61">
        <f>SUM(E17:E18)</f>
        <v>3401.8406288232027</v>
      </c>
      <c r="F16" s="61">
        <f t="shared" ref="F16:P16" si="1">SUM(F17:F18)</f>
        <v>3185.5834354739727</v>
      </c>
      <c r="G16" s="61">
        <f t="shared" si="1"/>
        <v>3158.99118237013</v>
      </c>
      <c r="H16" s="61">
        <f t="shared" si="1"/>
        <v>3191.3241846784331</v>
      </c>
      <c r="I16" s="61">
        <f t="shared" si="1"/>
        <v>3229.7067742547019</v>
      </c>
      <c r="J16" s="61">
        <f t="shared" si="1"/>
        <v>3267.963223552611</v>
      </c>
      <c r="K16" s="61">
        <f t="shared" si="1"/>
        <v>3304.6814208502128</v>
      </c>
      <c r="L16" s="61">
        <f t="shared" si="1"/>
        <v>3307.9712942970314</v>
      </c>
      <c r="M16" s="61">
        <f t="shared" si="1"/>
        <v>3311.7022744836981</v>
      </c>
      <c r="N16" s="61">
        <f t="shared" si="1"/>
        <v>3315.3507691685381</v>
      </c>
      <c r="O16" s="61">
        <f t="shared" si="1"/>
        <v>3319.0967546646116</v>
      </c>
      <c r="P16" s="61">
        <f t="shared" si="1"/>
        <v>3329.0097008093639</v>
      </c>
    </row>
    <row r="17" spans="1:16" ht="18.75" customHeight="1" x14ac:dyDescent="0.25">
      <c r="A17" s="67"/>
      <c r="B17" s="140" t="s">
        <v>460</v>
      </c>
      <c r="C17" s="148">
        <v>30</v>
      </c>
      <c r="D17" s="142"/>
      <c r="E17" s="142">
        <f>IS!E13*$C17/365</f>
        <v>3259.2394106050538</v>
      </c>
      <c r="F17" s="142">
        <f>IS!F13*$C17/365</f>
        <v>2918.1695740931509</v>
      </c>
      <c r="G17" s="142">
        <f>IS!G13*$C17/365</f>
        <v>2952.5906526983013</v>
      </c>
      <c r="H17" s="142">
        <f>IS!H13*$C17/365</f>
        <v>2987.0160867933632</v>
      </c>
      <c r="I17" s="142">
        <f>IS!I13*$C17/365</f>
        <v>3021.4459634881346</v>
      </c>
      <c r="J17" s="142">
        <f>IS!J13*$C17/365</f>
        <v>3055.8803716346097</v>
      </c>
      <c r="K17" s="142">
        <f>IS!K13*$C17/365</f>
        <v>3090.3194018618228</v>
      </c>
      <c r="L17" s="142">
        <f>IS!L13*$C17/365</f>
        <v>3090.5598425017984</v>
      </c>
      <c r="M17" s="142">
        <f>IS!M13*$C17/365</f>
        <v>3090.8050919545744</v>
      </c>
      <c r="N17" s="142">
        <f>IS!N13*$C17/365</f>
        <v>3091.0552463964054</v>
      </c>
      <c r="O17" s="142">
        <f>IS!O13*$C17/365</f>
        <v>3091.3104039270729</v>
      </c>
      <c r="P17" s="142">
        <f>IS!P13*$C17/365</f>
        <v>3091.570664608354</v>
      </c>
    </row>
    <row r="18" spans="1:16" ht="18.75" customHeight="1" x14ac:dyDescent="0.25">
      <c r="A18" s="67"/>
      <c r="B18" s="140" t="s">
        <v>461</v>
      </c>
      <c r="C18" s="148">
        <v>7</v>
      </c>
      <c r="D18" s="142"/>
      <c r="E18" s="142">
        <f>(IS!E14+IS!E15+IS!E17+IS!E18)*$C18/365</f>
        <v>142.60121821814894</v>
      </c>
      <c r="F18" s="142">
        <f>(IS!F14+IS!F15+IS!F17+IS!F18)*$C18/365</f>
        <v>267.41386138082191</v>
      </c>
      <c r="G18" s="142">
        <f>(IS!G14+IS!G15+IS!G17+IS!G18)*$C18/365</f>
        <v>206.40052967182882</v>
      </c>
      <c r="H18" s="142">
        <f>(IS!H14+IS!H15+IS!H17+IS!H18)*$C18/365</f>
        <v>204.30809788506974</v>
      </c>
      <c r="I18" s="142">
        <f>(IS!I14+IS!I15+IS!I17+IS!I18)*$C18/365</f>
        <v>208.26081076656729</v>
      </c>
      <c r="J18" s="142">
        <f>(IS!J14+IS!J15+IS!J17+IS!J18)*$C18/365</f>
        <v>212.08285191800152</v>
      </c>
      <c r="K18" s="142">
        <f>(IS!K14+IS!K15+IS!K17+IS!K18)*$C18/365</f>
        <v>214.36201898838985</v>
      </c>
      <c r="L18" s="142">
        <f>(IS!L14+IS!L15+IS!L17+IS!L18)*$C18/365</f>
        <v>217.41145179523303</v>
      </c>
      <c r="M18" s="142">
        <f>(IS!M14+IS!M15+IS!M17+IS!M18)*$C18/365</f>
        <v>220.89718252912382</v>
      </c>
      <c r="N18" s="142">
        <f>(IS!N14+IS!N15+IS!N17+IS!N18)*$C18/365</f>
        <v>224.29552277213278</v>
      </c>
      <c r="O18" s="142">
        <f>(IS!O14+IS!O15+IS!O17+IS!O18)*$C18/365</f>
        <v>227.78635073753867</v>
      </c>
      <c r="P18" s="142">
        <f>(IS!P14+IS!P15+IS!P17+IS!P18)*$C18/365</f>
        <v>237.43903620101011</v>
      </c>
    </row>
    <row r="19" spans="1:16" ht="18.75" customHeight="1" x14ac:dyDescent="0.25">
      <c r="D19" s="148"/>
      <c r="E19" s="148"/>
      <c r="F19" s="148"/>
      <c r="G19" s="148"/>
      <c r="H19" s="148"/>
      <c r="I19" s="148"/>
      <c r="J19" s="148"/>
      <c r="K19" s="148"/>
      <c r="L19" s="148"/>
      <c r="M19" s="148"/>
      <c r="N19" s="148"/>
      <c r="O19" s="148"/>
      <c r="P19" s="148"/>
    </row>
    <row r="20" spans="1:16" s="67" customFormat="1" ht="18.75" customHeight="1" x14ac:dyDescent="0.25">
      <c r="B20" s="88" t="s">
        <v>462</v>
      </c>
      <c r="C20" s="167"/>
      <c r="D20" s="89"/>
      <c r="E20" s="89">
        <f t="shared" ref="E20:P20" si="2">E11-E16</f>
        <v>8279.9249362378469</v>
      </c>
      <c r="F20" s="89">
        <f t="shared" si="2"/>
        <v>7856.8991146783574</v>
      </c>
      <c r="G20" s="89">
        <f t="shared" si="2"/>
        <v>7958.2979888084155</v>
      </c>
      <c r="H20" s="89">
        <f t="shared" si="2"/>
        <v>8055.9085369595578</v>
      </c>
      <c r="I20" s="89">
        <f t="shared" si="2"/>
        <v>8153.7319990197411</v>
      </c>
      <c r="J20" s="89">
        <f t="shared" si="2"/>
        <v>8251.7714338904552</v>
      </c>
      <c r="K20" s="89">
        <f t="shared" si="2"/>
        <v>8351.6248868536422</v>
      </c>
      <c r="L20" s="89">
        <f t="shared" si="2"/>
        <v>8362.1886581950985</v>
      </c>
      <c r="M20" s="89">
        <f t="shared" si="2"/>
        <v>8372.9515974580681</v>
      </c>
      <c r="N20" s="89">
        <f t="shared" si="2"/>
        <v>8383.9164772504519</v>
      </c>
      <c r="O20" s="89">
        <f t="shared" si="2"/>
        <v>8395.0860045572517</v>
      </c>
      <c r="P20" s="89">
        <f t="shared" si="2"/>
        <v>8406.4628073206131</v>
      </c>
    </row>
    <row r="21" spans="1:16" x14ac:dyDescent="0.25">
      <c r="D21" s="148"/>
      <c r="E21" s="148"/>
      <c r="F21" s="148"/>
      <c r="G21" s="148"/>
      <c r="H21" s="148"/>
      <c r="I21" s="148"/>
      <c r="J21" s="148"/>
      <c r="K21" s="148"/>
      <c r="L21" s="148"/>
      <c r="M21" s="148"/>
      <c r="N21" s="148"/>
      <c r="O21" s="148"/>
      <c r="P21" s="148"/>
    </row>
    <row r="22" spans="1:16" x14ac:dyDescent="0.25">
      <c r="B22" s="140" t="s">
        <v>559</v>
      </c>
      <c r="D22" s="148"/>
      <c r="E22" s="142">
        <f t="shared" ref="E22:F22" si="3">E20-C20</f>
        <v>8279.9249362378469</v>
      </c>
      <c r="F22" s="142">
        <f t="shared" si="3"/>
        <v>7856.8991146783574</v>
      </c>
      <c r="G22" s="142">
        <f>G20-E20</f>
        <v>-321.62694742943131</v>
      </c>
      <c r="H22" s="142">
        <f t="shared" ref="H22:P22" si="4">H20-G20</f>
        <v>97.610548151142211</v>
      </c>
      <c r="I22" s="142">
        <f t="shared" si="4"/>
        <v>97.823462060183374</v>
      </c>
      <c r="J22" s="142">
        <f t="shared" si="4"/>
        <v>98.039434870714103</v>
      </c>
      <c r="K22" s="142">
        <f t="shared" si="4"/>
        <v>99.85345296318701</v>
      </c>
      <c r="L22" s="142">
        <f t="shared" si="4"/>
        <v>10.563771341456231</v>
      </c>
      <c r="M22" s="142">
        <f t="shared" si="4"/>
        <v>10.762939262969667</v>
      </c>
      <c r="N22" s="142">
        <f t="shared" si="4"/>
        <v>10.964879792383726</v>
      </c>
      <c r="O22" s="142">
        <f t="shared" si="4"/>
        <v>11.169527306799864</v>
      </c>
      <c r="P22" s="142">
        <f t="shared" si="4"/>
        <v>11.376802763361411</v>
      </c>
    </row>
    <row r="23" spans="1:16" x14ac:dyDescent="0.25">
      <c r="D23" s="148"/>
      <c r="E23" s="148"/>
      <c r="F23" s="148"/>
      <c r="G23" s="148"/>
      <c r="H23" s="148"/>
      <c r="I23" s="148"/>
      <c r="J23" s="148"/>
      <c r="K23" s="148"/>
      <c r="L23" s="148"/>
      <c r="M23" s="148"/>
      <c r="N23" s="148"/>
      <c r="O23" s="148"/>
      <c r="P23" s="148"/>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75"/>
  <sheetViews>
    <sheetView showGridLines="0" workbookViewId="0">
      <pane xSplit="2" ySplit="8" topLeftCell="C9" activePane="bottomRight" state="frozen"/>
      <selection activeCell="A9" sqref="A9"/>
      <selection pane="topRight" activeCell="A9" sqref="A9"/>
      <selection pane="bottomLeft" activeCell="A9" sqref="A9"/>
      <selection pane="bottomRight"/>
    </sheetView>
  </sheetViews>
  <sheetFormatPr defaultColWidth="13.7109375" defaultRowHeight="15" x14ac:dyDescent="0.25"/>
  <cols>
    <col min="1" max="1" width="5.140625" style="140" customWidth="1"/>
    <col min="2" max="2" width="64.7109375" style="140" customWidth="1"/>
    <col min="3" max="3" width="13.7109375" style="140" customWidth="1"/>
    <col min="4" max="9" width="13.5703125" style="140" customWidth="1"/>
    <col min="10" max="10" width="13.5703125" style="148" customWidth="1"/>
    <col min="11" max="15" width="13.5703125" style="140" customWidth="1"/>
    <col min="16" max="16" width="13.5703125" style="140" hidden="1" customWidth="1"/>
    <col min="17" max="16384" width="13.7109375" style="140"/>
  </cols>
  <sheetData>
    <row r="1" spans="2:16" ht="18.75" customHeight="1" x14ac:dyDescent="0.25"/>
    <row r="2" spans="2:16" s="143" customFormat="1" ht="19.899999999999999" customHeight="1" x14ac:dyDescent="0.25">
      <c r="B2" s="153" t="str">
        <f>'Assumptions on Steel Plant'!B2</f>
        <v>M/s. Sai Infinium Limited</v>
      </c>
      <c r="C2" s="153"/>
      <c r="D2" s="100"/>
      <c r="E2" s="100"/>
      <c r="F2" s="100"/>
      <c r="G2" s="100"/>
      <c r="H2" s="100"/>
      <c r="I2" s="100"/>
      <c r="J2" s="100"/>
      <c r="K2" s="100"/>
      <c r="L2" s="100"/>
      <c r="M2" s="100"/>
      <c r="N2" s="100"/>
      <c r="O2" s="100"/>
      <c r="P2" s="100"/>
    </row>
    <row r="3" spans="2:16" s="143" customFormat="1" ht="9" customHeight="1" x14ac:dyDescent="0.25">
      <c r="B3" s="144"/>
      <c r="C3" s="144"/>
      <c r="D3" s="144"/>
      <c r="E3" s="144"/>
      <c r="F3" s="144"/>
      <c r="G3" s="144"/>
      <c r="H3" s="144"/>
      <c r="I3" s="144"/>
      <c r="J3" s="144"/>
      <c r="K3" s="144"/>
      <c r="L3" s="144"/>
      <c r="M3" s="144"/>
      <c r="N3" s="144"/>
      <c r="O3" s="144"/>
      <c r="P3" s="144"/>
    </row>
    <row r="4" spans="2:16" s="143" customFormat="1" ht="19.899999999999999" customHeight="1" x14ac:dyDescent="0.25">
      <c r="B4" s="130" t="str">
        <f>'Assumptions on Steel Plant'!B4</f>
        <v>Business Projections</v>
      </c>
      <c r="C4" s="130"/>
      <c r="D4" s="103"/>
      <c r="E4" s="103"/>
      <c r="F4" s="103"/>
      <c r="G4" s="103"/>
      <c r="H4" s="103"/>
      <c r="I4" s="103"/>
      <c r="J4" s="103"/>
      <c r="K4" s="103"/>
      <c r="L4" s="103"/>
      <c r="M4" s="103"/>
      <c r="N4" s="103"/>
      <c r="O4" s="103"/>
      <c r="P4" s="103"/>
    </row>
    <row r="5" spans="2:16" s="143" customFormat="1" ht="9" customHeight="1" x14ac:dyDescent="0.25">
      <c r="B5" s="144"/>
      <c r="C5" s="144"/>
      <c r="D5" s="144"/>
      <c r="E5" s="144"/>
      <c r="F5" s="144"/>
      <c r="G5" s="144"/>
      <c r="H5" s="144"/>
      <c r="I5" s="135"/>
    </row>
    <row r="6" spans="2:16" s="141" customFormat="1" ht="15.75" x14ac:dyDescent="0.25">
      <c r="B6" s="145" t="s">
        <v>199</v>
      </c>
      <c r="C6" s="145"/>
      <c r="D6" s="56"/>
      <c r="E6" s="146"/>
      <c r="F6" s="146"/>
      <c r="G6" s="146"/>
      <c r="H6" s="146"/>
      <c r="I6" s="146"/>
      <c r="J6" s="146"/>
      <c r="K6" s="146"/>
      <c r="L6" s="146"/>
      <c r="M6" s="146"/>
      <c r="N6" s="146"/>
      <c r="O6" s="146"/>
      <c r="P6" s="146"/>
    </row>
    <row r="7" spans="2:16" s="141" customFormat="1" x14ac:dyDescent="0.25">
      <c r="B7" s="147" t="str">
        <f>'Expenses Modeling_Hybrid Plant'!B7</f>
        <v>(All Values in INR Lakhs, unless specified)</v>
      </c>
      <c r="C7" s="147"/>
      <c r="D7" s="148"/>
      <c r="E7" s="148"/>
      <c r="F7" s="148"/>
      <c r="G7" s="140"/>
      <c r="H7" s="149"/>
      <c r="I7" s="149"/>
      <c r="J7" s="149"/>
      <c r="K7" s="149"/>
      <c r="L7" s="149"/>
      <c r="M7" s="149"/>
      <c r="N7" s="149"/>
      <c r="O7" s="149"/>
      <c r="P7" s="149"/>
    </row>
    <row r="8" spans="2:16" ht="20.25" customHeight="1" x14ac:dyDescent="0.25">
      <c r="B8" s="56" t="s">
        <v>192</v>
      </c>
      <c r="C8" s="56"/>
      <c r="D8" s="150">
        <f>BS!D8</f>
        <v>45382</v>
      </c>
      <c r="E8" s="150">
        <f>BS!E8</f>
        <v>45747</v>
      </c>
      <c r="F8" s="150">
        <f>IS!F8</f>
        <v>46112</v>
      </c>
      <c r="G8" s="150">
        <f>IS!G8</f>
        <v>46477</v>
      </c>
      <c r="H8" s="150">
        <f>IS!H8</f>
        <v>46843</v>
      </c>
      <c r="I8" s="150">
        <f>IS!I8</f>
        <v>47208</v>
      </c>
      <c r="J8" s="150">
        <f>IS!J8</f>
        <v>47573</v>
      </c>
      <c r="K8" s="150">
        <f>IS!K8</f>
        <v>47938</v>
      </c>
      <c r="L8" s="150">
        <f>IS!L8</f>
        <v>48304</v>
      </c>
      <c r="M8" s="150">
        <f>IS!M8</f>
        <v>48669</v>
      </c>
      <c r="N8" s="150">
        <f>IS!N8</f>
        <v>49034</v>
      </c>
      <c r="O8" s="150">
        <f>IS!O8</f>
        <v>49399</v>
      </c>
      <c r="P8" s="150">
        <f>IS!P8</f>
        <v>49765</v>
      </c>
    </row>
    <row r="9" spans="2:16" ht="20.25" customHeight="1" x14ac:dyDescent="0.25">
      <c r="B9" s="41" t="s">
        <v>65</v>
      </c>
      <c r="C9" s="41"/>
      <c r="D9" s="180" t="s">
        <v>463</v>
      </c>
      <c r="E9" s="180" t="s">
        <v>479</v>
      </c>
      <c r="F9" s="151" t="s">
        <v>464</v>
      </c>
      <c r="G9" s="151" t="s">
        <v>464</v>
      </c>
      <c r="H9" s="151" t="s">
        <v>464</v>
      </c>
      <c r="I9" s="151" t="s">
        <v>464</v>
      </c>
      <c r="J9" s="151" t="s">
        <v>464</v>
      </c>
      <c r="K9" s="151" t="s">
        <v>464</v>
      </c>
      <c r="L9" s="151" t="s">
        <v>464</v>
      </c>
      <c r="M9" s="151" t="s">
        <v>464</v>
      </c>
      <c r="N9" s="151" t="s">
        <v>464</v>
      </c>
      <c r="O9" s="151" t="s">
        <v>464</v>
      </c>
      <c r="P9" s="151" t="s">
        <v>464</v>
      </c>
    </row>
    <row r="10" spans="2:16" ht="20.25" customHeight="1" x14ac:dyDescent="0.25">
      <c r="J10" s="140"/>
    </row>
    <row r="11" spans="2:16" ht="20.25" customHeight="1" x14ac:dyDescent="0.25">
      <c r="B11" s="41" t="s">
        <v>67</v>
      </c>
      <c r="C11" s="41"/>
      <c r="D11" s="41"/>
      <c r="E11" s="42">
        <f t="shared" ref="E11:P11" si="0">E8-D8</f>
        <v>365</v>
      </c>
      <c r="F11" s="42">
        <f t="shared" si="0"/>
        <v>365</v>
      </c>
      <c r="G11" s="42">
        <f>G8-F8</f>
        <v>365</v>
      </c>
      <c r="H11" s="42">
        <f t="shared" si="0"/>
        <v>366</v>
      </c>
      <c r="I11" s="42">
        <f t="shared" si="0"/>
        <v>365</v>
      </c>
      <c r="J11" s="42">
        <f t="shared" si="0"/>
        <v>365</v>
      </c>
      <c r="K11" s="42">
        <f t="shared" si="0"/>
        <v>365</v>
      </c>
      <c r="L11" s="42">
        <f t="shared" si="0"/>
        <v>366</v>
      </c>
      <c r="M11" s="42">
        <f t="shared" si="0"/>
        <v>365</v>
      </c>
      <c r="N11" s="42">
        <f t="shared" si="0"/>
        <v>365</v>
      </c>
      <c r="O11" s="42">
        <f t="shared" si="0"/>
        <v>365</v>
      </c>
      <c r="P11" s="42">
        <f t="shared" si="0"/>
        <v>366</v>
      </c>
    </row>
    <row r="12" spans="2:16" ht="20.25" customHeight="1" x14ac:dyDescent="0.25">
      <c r="J12" s="140"/>
    </row>
    <row r="13" spans="2:16" ht="20.25" customHeight="1" x14ac:dyDescent="0.25">
      <c r="B13" s="56" t="s">
        <v>198</v>
      </c>
      <c r="C13" s="56"/>
      <c r="D13" s="56"/>
      <c r="E13" s="56"/>
      <c r="F13" s="56"/>
      <c r="G13" s="56"/>
      <c r="H13" s="56"/>
      <c r="I13" s="56"/>
      <c r="J13" s="56"/>
      <c r="K13" s="56"/>
      <c r="L13" s="56"/>
      <c r="M13" s="56"/>
      <c r="N13" s="56"/>
      <c r="O13" s="56"/>
      <c r="P13" s="56"/>
    </row>
    <row r="14" spans="2:16" ht="20.25" customHeight="1" x14ac:dyDescent="0.25">
      <c r="B14" s="60" t="s">
        <v>0</v>
      </c>
      <c r="C14" s="60"/>
      <c r="D14" s="156">
        <f t="shared" ref="D14:P14" si="1">D8</f>
        <v>45382</v>
      </c>
      <c r="E14" s="156">
        <f t="shared" si="1"/>
        <v>45747</v>
      </c>
      <c r="F14" s="157">
        <f t="shared" ref="F14" si="2">F8</f>
        <v>46112</v>
      </c>
      <c r="G14" s="157">
        <f t="shared" si="1"/>
        <v>46477</v>
      </c>
      <c r="H14" s="157">
        <f t="shared" si="1"/>
        <v>46843</v>
      </c>
      <c r="I14" s="157">
        <f t="shared" si="1"/>
        <v>47208</v>
      </c>
      <c r="J14" s="157">
        <f t="shared" si="1"/>
        <v>47573</v>
      </c>
      <c r="K14" s="157">
        <f t="shared" si="1"/>
        <v>47938</v>
      </c>
      <c r="L14" s="157">
        <f t="shared" si="1"/>
        <v>48304</v>
      </c>
      <c r="M14" s="157">
        <f t="shared" si="1"/>
        <v>48669</v>
      </c>
      <c r="N14" s="157">
        <f t="shared" si="1"/>
        <v>49034</v>
      </c>
      <c r="O14" s="157">
        <f t="shared" si="1"/>
        <v>49399</v>
      </c>
      <c r="P14" s="157">
        <f t="shared" si="1"/>
        <v>49765</v>
      </c>
    </row>
    <row r="15" spans="2:16" ht="20.25" customHeight="1" x14ac:dyDescent="0.25">
      <c r="B15" s="140" t="s">
        <v>124</v>
      </c>
      <c r="D15" s="142">
        <f>105374675/10^5</f>
        <v>1053.74675</v>
      </c>
      <c r="E15" s="142">
        <f>D18</f>
        <v>1053.74675</v>
      </c>
      <c r="F15" s="142">
        <f>E18</f>
        <v>1053.74675</v>
      </c>
      <c r="G15" s="142">
        <f>F18</f>
        <v>1053.74675</v>
      </c>
      <c r="H15" s="142">
        <f t="shared" ref="H15:P15" si="3">G18</f>
        <v>1053.74675</v>
      </c>
      <c r="I15" s="142">
        <f t="shared" si="3"/>
        <v>1053.74675</v>
      </c>
      <c r="J15" s="142">
        <f t="shared" si="3"/>
        <v>1053.74675</v>
      </c>
      <c r="K15" s="142">
        <f t="shared" si="3"/>
        <v>1053.74675</v>
      </c>
      <c r="L15" s="142">
        <f t="shared" si="3"/>
        <v>1053.74675</v>
      </c>
      <c r="M15" s="142">
        <f t="shared" si="3"/>
        <v>1053.74675</v>
      </c>
      <c r="N15" s="142">
        <f t="shared" si="3"/>
        <v>1053.74675</v>
      </c>
      <c r="O15" s="142">
        <f t="shared" si="3"/>
        <v>1053.74675</v>
      </c>
      <c r="P15" s="142">
        <f t="shared" si="3"/>
        <v>1053.74675</v>
      </c>
    </row>
    <row r="16" spans="2:16" ht="20.25" customHeight="1" x14ac:dyDescent="0.25">
      <c r="B16" s="158" t="s">
        <v>466</v>
      </c>
      <c r="C16" s="158"/>
      <c r="D16" s="142">
        <v>0</v>
      </c>
      <c r="E16" s="142">
        <v>0</v>
      </c>
      <c r="F16" s="142">
        <v>0</v>
      </c>
      <c r="G16" s="142">
        <v>0</v>
      </c>
      <c r="H16" s="142">
        <v>0</v>
      </c>
      <c r="I16" s="142">
        <v>0</v>
      </c>
      <c r="J16" s="142">
        <v>0</v>
      </c>
      <c r="K16" s="142">
        <v>0</v>
      </c>
      <c r="L16" s="142">
        <v>0</v>
      </c>
      <c r="M16" s="142">
        <v>0</v>
      </c>
      <c r="N16" s="142">
        <v>0</v>
      </c>
      <c r="O16" s="142">
        <v>0</v>
      </c>
      <c r="P16" s="142">
        <v>0</v>
      </c>
    </row>
    <row r="17" spans="1:16" ht="20.25" customHeight="1" x14ac:dyDescent="0.25">
      <c r="B17" s="158" t="s">
        <v>467</v>
      </c>
      <c r="C17" s="158"/>
      <c r="D17" s="142">
        <v>0</v>
      </c>
      <c r="E17" s="142">
        <v>0</v>
      </c>
      <c r="F17" s="142">
        <v>0</v>
      </c>
      <c r="G17" s="142">
        <v>0</v>
      </c>
      <c r="H17" s="142">
        <v>0</v>
      </c>
      <c r="I17" s="142">
        <v>0</v>
      </c>
      <c r="J17" s="142">
        <v>0</v>
      </c>
      <c r="K17" s="142">
        <v>0</v>
      </c>
      <c r="L17" s="142">
        <v>0</v>
      </c>
      <c r="M17" s="142">
        <v>0</v>
      </c>
      <c r="N17" s="142">
        <v>0</v>
      </c>
      <c r="O17" s="142">
        <v>0</v>
      </c>
      <c r="P17" s="142">
        <v>0</v>
      </c>
    </row>
    <row r="18" spans="1:16" ht="20.25" customHeight="1" x14ac:dyDescent="0.25">
      <c r="B18" s="140" t="s">
        <v>468</v>
      </c>
      <c r="D18" s="142">
        <f>D15+D16-D17</f>
        <v>1053.74675</v>
      </c>
      <c r="E18" s="142">
        <f t="shared" ref="E18:P18" si="4">E15+E16-E17</f>
        <v>1053.74675</v>
      </c>
      <c r="F18" s="142">
        <f t="shared" ref="F18" si="5">F15+F16-F17</f>
        <v>1053.74675</v>
      </c>
      <c r="G18" s="142">
        <f t="shared" si="4"/>
        <v>1053.74675</v>
      </c>
      <c r="H18" s="142">
        <f t="shared" si="4"/>
        <v>1053.74675</v>
      </c>
      <c r="I18" s="142">
        <f t="shared" si="4"/>
        <v>1053.74675</v>
      </c>
      <c r="J18" s="142">
        <f t="shared" si="4"/>
        <v>1053.74675</v>
      </c>
      <c r="K18" s="142">
        <f t="shared" si="4"/>
        <v>1053.74675</v>
      </c>
      <c r="L18" s="142">
        <f t="shared" si="4"/>
        <v>1053.74675</v>
      </c>
      <c r="M18" s="142">
        <f t="shared" si="4"/>
        <v>1053.74675</v>
      </c>
      <c r="N18" s="142">
        <f t="shared" si="4"/>
        <v>1053.74675</v>
      </c>
      <c r="O18" s="142">
        <f t="shared" si="4"/>
        <v>1053.74675</v>
      </c>
      <c r="P18" s="142">
        <f t="shared" si="4"/>
        <v>1053.74675</v>
      </c>
    </row>
    <row r="19" spans="1:16" ht="20.25" customHeight="1" x14ac:dyDescent="0.25">
      <c r="B19" s="159" t="s">
        <v>498</v>
      </c>
      <c r="C19" s="159"/>
      <c r="D19" s="160">
        <v>0</v>
      </c>
      <c r="E19" s="160">
        <v>0</v>
      </c>
      <c r="F19" s="160">
        <v>0</v>
      </c>
      <c r="G19" s="160">
        <v>0</v>
      </c>
      <c r="H19" s="160">
        <v>0</v>
      </c>
      <c r="I19" s="160">
        <v>0</v>
      </c>
      <c r="J19" s="160">
        <v>0</v>
      </c>
      <c r="K19" s="160">
        <v>0</v>
      </c>
      <c r="L19" s="160">
        <v>0</v>
      </c>
      <c r="M19" s="160">
        <v>0</v>
      </c>
      <c r="N19" s="160">
        <v>0</v>
      </c>
      <c r="O19" s="160">
        <v>0</v>
      </c>
      <c r="P19" s="160">
        <v>0</v>
      </c>
    </row>
    <row r="20" spans="1:16" ht="20.25" customHeight="1" x14ac:dyDescent="0.25">
      <c r="B20" s="140" t="s">
        <v>2</v>
      </c>
      <c r="D20" s="142">
        <f>3123.7668156</f>
        <v>3123.7668156</v>
      </c>
      <c r="E20" s="142">
        <f t="shared" ref="E20" si="6">D23</f>
        <v>3881.6945239000001</v>
      </c>
      <c r="F20" s="142">
        <f t="shared" ref="F20" si="7">E23</f>
        <v>2895.8296626000001</v>
      </c>
      <c r="G20" s="142">
        <f t="shared" ref="G20" si="8">F23</f>
        <v>2895.8296626000001</v>
      </c>
      <c r="H20" s="142">
        <f t="shared" ref="H20" si="9">G23</f>
        <v>2895.8296626000001</v>
      </c>
      <c r="I20" s="142">
        <f t="shared" ref="I20" si="10">H23</f>
        <v>2895.8296626000001</v>
      </c>
      <c r="J20" s="142">
        <f t="shared" ref="J20" si="11">I23</f>
        <v>2895.8296626000001</v>
      </c>
      <c r="K20" s="142">
        <f t="shared" ref="K20" si="12">J23</f>
        <v>2895.8296626000001</v>
      </c>
      <c r="L20" s="142">
        <f t="shared" ref="L20" si="13">K23</f>
        <v>2895.8296626000001</v>
      </c>
      <c r="M20" s="142">
        <f t="shared" ref="M20" si="14">L23</f>
        <v>2895.8296626000001</v>
      </c>
      <c r="N20" s="142">
        <f t="shared" ref="N20" si="15">M23</f>
        <v>2895.8296626000001</v>
      </c>
      <c r="O20" s="142">
        <f t="shared" ref="O20" si="16">N23</f>
        <v>2895.8296626000001</v>
      </c>
      <c r="P20" s="142">
        <f t="shared" ref="P20" si="17">O23</f>
        <v>2895.8296626000001</v>
      </c>
    </row>
    <row r="21" spans="1:16" ht="20.25" customHeight="1" x14ac:dyDescent="0.25">
      <c r="B21" s="158" t="s">
        <v>466</v>
      </c>
      <c r="C21" s="158"/>
      <c r="D21" s="142">
        <f>869.0317083</f>
        <v>869.03170829999999</v>
      </c>
      <c r="E21" s="142">
        <v>0</v>
      </c>
      <c r="F21" s="142">
        <v>0</v>
      </c>
      <c r="G21" s="142">
        <v>0</v>
      </c>
      <c r="H21" s="142">
        <v>0</v>
      </c>
      <c r="I21" s="142">
        <v>0</v>
      </c>
      <c r="J21" s="142">
        <v>0</v>
      </c>
      <c r="K21" s="142">
        <v>0</v>
      </c>
      <c r="L21" s="142">
        <v>0</v>
      </c>
      <c r="M21" s="142">
        <v>0</v>
      </c>
      <c r="N21" s="142">
        <v>0</v>
      </c>
      <c r="O21" s="142">
        <v>0</v>
      </c>
      <c r="P21" s="142">
        <v>0</v>
      </c>
    </row>
    <row r="22" spans="1:16" ht="20.25" customHeight="1" x14ac:dyDescent="0.25">
      <c r="B22" s="158" t="s">
        <v>467</v>
      </c>
      <c r="C22" s="158"/>
      <c r="D22" s="142">
        <f>111.104</f>
        <v>111.104</v>
      </c>
      <c r="E22" s="142">
        <f>985.8648613</f>
        <v>985.86486130000003</v>
      </c>
      <c r="F22" s="142">
        <v>0</v>
      </c>
      <c r="G22" s="142">
        <v>0</v>
      </c>
      <c r="H22" s="142">
        <v>0</v>
      </c>
      <c r="I22" s="142">
        <v>0</v>
      </c>
      <c r="J22" s="142">
        <v>0</v>
      </c>
      <c r="K22" s="142">
        <v>0</v>
      </c>
      <c r="L22" s="142">
        <v>0</v>
      </c>
      <c r="M22" s="142">
        <v>0</v>
      </c>
      <c r="N22" s="142">
        <v>0</v>
      </c>
      <c r="O22" s="142">
        <v>0</v>
      </c>
      <c r="P22" s="142">
        <v>0</v>
      </c>
    </row>
    <row r="23" spans="1:16" ht="20.25" customHeight="1" x14ac:dyDescent="0.25">
      <c r="B23" s="140" t="s">
        <v>468</v>
      </c>
      <c r="D23" s="142">
        <f>D20+D21-D22</f>
        <v>3881.6945239000001</v>
      </c>
      <c r="E23" s="142">
        <f t="shared" ref="E23:F23" si="18">E20+E21-E22</f>
        <v>2895.8296626000001</v>
      </c>
      <c r="F23" s="142">
        <f t="shared" si="18"/>
        <v>2895.8296626000001</v>
      </c>
      <c r="G23" s="142">
        <f t="shared" ref="G23" si="19">G20+G21-G22</f>
        <v>2895.8296626000001</v>
      </c>
      <c r="H23" s="142">
        <f t="shared" ref="H23" si="20">H20+H21-H22</f>
        <v>2895.8296626000001</v>
      </c>
      <c r="I23" s="142">
        <f t="shared" ref="I23" si="21">I20+I21-I22</f>
        <v>2895.8296626000001</v>
      </c>
      <c r="J23" s="142">
        <f t="shared" ref="J23" si="22">J20+J21-J22</f>
        <v>2895.8296626000001</v>
      </c>
      <c r="K23" s="142">
        <f t="shared" ref="K23" si="23">K20+K21-K22</f>
        <v>2895.8296626000001</v>
      </c>
      <c r="L23" s="142">
        <f t="shared" ref="L23" si="24">L20+L21-L22</f>
        <v>2895.8296626000001</v>
      </c>
      <c r="M23" s="142">
        <f t="shared" ref="M23" si="25">M20+M21-M22</f>
        <v>2895.8296626000001</v>
      </c>
      <c r="N23" s="142">
        <f t="shared" ref="N23" si="26">N20+N21-N22</f>
        <v>2895.8296626000001</v>
      </c>
      <c r="O23" s="142">
        <f t="shared" ref="O23" si="27">O20+O21-O22</f>
        <v>2895.8296626000001</v>
      </c>
      <c r="P23" s="142">
        <f t="shared" ref="P23" si="28">P20+P21-P22</f>
        <v>2895.8296626000001</v>
      </c>
    </row>
    <row r="24" spans="1:16" ht="20.25" customHeight="1" x14ac:dyDescent="0.25">
      <c r="A24" s="90">
        <f>D24/D23</f>
        <v>3.5734256687627343E-2</v>
      </c>
      <c r="B24" s="159" t="str">
        <f>" Depreciation " &amp; B20</f>
        <v xml:space="preserve"> Depreciation Building &amp; Civil Works</v>
      </c>
      <c r="C24" s="159"/>
      <c r="D24" s="161">
        <f>138.7094685</f>
        <v>138.70946850000001</v>
      </c>
      <c r="E24" s="161">
        <f>(E23-E23*5%)*'Assumptions on Steel Plant'!$D$133/365*E11</f>
        <v>131.22452116071901</v>
      </c>
      <c r="F24" s="161">
        <f>(F23-F23*5%)*'Assumptions on Steel Plant'!$D$133/365*F11</f>
        <v>131.22452116071901</v>
      </c>
      <c r="G24" s="161">
        <f>(G23-G23*5%)*'Assumptions on Steel Plant'!$D$133/365*G11</f>
        <v>131.22452116071901</v>
      </c>
      <c r="H24" s="161">
        <f>(H23-H23*5%)*'Assumptions on Steel Plant'!$D$133/365*H11</f>
        <v>131.58404039677578</v>
      </c>
      <c r="I24" s="161">
        <f>(I23-I23*5%)*'Assumptions on Steel Plant'!$D$133/365*I11</f>
        <v>131.22452116071901</v>
      </c>
      <c r="J24" s="161">
        <f>(J23-J23*5%)*'Assumptions on Steel Plant'!$D$133/365*J11</f>
        <v>131.22452116071901</v>
      </c>
      <c r="K24" s="161">
        <f>(K23-K23*5%)*'Assumptions on Steel Plant'!$D$133/365*K11</f>
        <v>131.22452116071901</v>
      </c>
      <c r="L24" s="161">
        <f>(L23-L23*5%)*'Assumptions on Steel Plant'!$D$133/365*L11</f>
        <v>131.58404039677578</v>
      </c>
      <c r="M24" s="161">
        <f>(M23-M23*5%)*'Assumptions on Steel Plant'!$D$133/365*M11</f>
        <v>131.22452116071901</v>
      </c>
      <c r="N24" s="161">
        <f>(N23-N23*5%)*'Assumptions on Steel Plant'!$D$133/365*N11</f>
        <v>131.22452116071901</v>
      </c>
      <c r="O24" s="161">
        <f>(O23-O23*5%)*'Assumptions on Steel Plant'!$D$133/365*O11</f>
        <v>131.22452116071901</v>
      </c>
      <c r="P24" s="161">
        <f>(P23-P23*5%)*'Assumptions on Steel Plant'!$D$133/365*P11</f>
        <v>131.58404039677578</v>
      </c>
    </row>
    <row r="25" spans="1:16" ht="20.25" customHeight="1" x14ac:dyDescent="0.25">
      <c r="A25" s="90"/>
      <c r="B25" s="140" t="s">
        <v>125</v>
      </c>
      <c r="D25" s="142">
        <f>11493.0091596</f>
        <v>11493.0091596</v>
      </c>
      <c r="E25" s="142">
        <f t="shared" ref="E25:P25" si="29">D28</f>
        <v>11719.010436</v>
      </c>
      <c r="F25" s="142">
        <f t="shared" si="29"/>
        <v>11719.722536000001</v>
      </c>
      <c r="G25" s="142">
        <f t="shared" si="29"/>
        <v>11719.722536000001</v>
      </c>
      <c r="H25" s="142">
        <f t="shared" si="29"/>
        <v>24753.162536000003</v>
      </c>
      <c r="I25" s="142">
        <f t="shared" si="29"/>
        <v>24753.162536000003</v>
      </c>
      <c r="J25" s="142">
        <f t="shared" si="29"/>
        <v>24753.162536000003</v>
      </c>
      <c r="K25" s="142">
        <f t="shared" si="29"/>
        <v>24753.162536000003</v>
      </c>
      <c r="L25" s="142">
        <f t="shared" si="29"/>
        <v>24753.162536000003</v>
      </c>
      <c r="M25" s="142">
        <f t="shared" si="29"/>
        <v>24753.162536000003</v>
      </c>
      <c r="N25" s="142">
        <f t="shared" si="29"/>
        <v>24753.162536000003</v>
      </c>
      <c r="O25" s="142">
        <f t="shared" si="29"/>
        <v>24753.162536000003</v>
      </c>
      <c r="P25" s="142">
        <f t="shared" si="29"/>
        <v>24753.162536000003</v>
      </c>
    </row>
    <row r="26" spans="1:16" ht="20.25" customHeight="1" x14ac:dyDescent="0.25">
      <c r="A26" s="90"/>
      <c r="B26" s="158" t="s">
        <v>466</v>
      </c>
      <c r="C26" s="158"/>
      <c r="D26" s="142">
        <f>226.0012764</f>
        <v>226.00127639999999</v>
      </c>
      <c r="E26" s="142">
        <f>0.7121</f>
        <v>0.71209999999999996</v>
      </c>
      <c r="F26" s="142">
        <v>0</v>
      </c>
      <c r="G26" s="142">
        <f>'COP &amp; MOF'!D19</f>
        <v>13033.44</v>
      </c>
      <c r="H26" s="142">
        <v>0</v>
      </c>
      <c r="I26" s="142">
        <v>0</v>
      </c>
      <c r="J26" s="142">
        <v>0</v>
      </c>
      <c r="K26" s="142">
        <v>0</v>
      </c>
      <c r="L26" s="142">
        <v>0</v>
      </c>
      <c r="M26" s="142">
        <v>0</v>
      </c>
      <c r="N26" s="142">
        <v>0</v>
      </c>
      <c r="O26" s="142">
        <v>0</v>
      </c>
      <c r="P26" s="142">
        <v>0</v>
      </c>
    </row>
    <row r="27" spans="1:16" ht="20.25" customHeight="1" x14ac:dyDescent="0.25">
      <c r="A27" s="90"/>
      <c r="B27" s="158" t="s">
        <v>467</v>
      </c>
      <c r="C27" s="158"/>
      <c r="D27" s="142">
        <v>0</v>
      </c>
      <c r="E27" s="142">
        <v>0</v>
      </c>
      <c r="F27" s="142">
        <v>0</v>
      </c>
      <c r="G27" s="142">
        <v>0</v>
      </c>
      <c r="H27" s="142">
        <v>0</v>
      </c>
      <c r="I27" s="142">
        <v>0</v>
      </c>
      <c r="J27" s="142">
        <v>0</v>
      </c>
      <c r="K27" s="142">
        <v>0</v>
      </c>
      <c r="L27" s="142">
        <v>0</v>
      </c>
      <c r="M27" s="142">
        <v>0</v>
      </c>
      <c r="N27" s="142">
        <v>0</v>
      </c>
      <c r="O27" s="142">
        <v>0</v>
      </c>
      <c r="P27" s="142">
        <v>0</v>
      </c>
    </row>
    <row r="28" spans="1:16" ht="20.25" customHeight="1" x14ac:dyDescent="0.25">
      <c r="A28" s="90"/>
      <c r="B28" s="140" t="s">
        <v>468</v>
      </c>
      <c r="D28" s="142">
        <f>D25+D26-D27</f>
        <v>11719.010436</v>
      </c>
      <c r="E28" s="142">
        <f t="shared" ref="E28:F28" si="30">E25+E26-E27</f>
        <v>11719.722536000001</v>
      </c>
      <c r="F28" s="142">
        <f t="shared" si="30"/>
        <v>11719.722536000001</v>
      </c>
      <c r="G28" s="142">
        <f t="shared" ref="G28" si="31">G25+G26-G27</f>
        <v>24753.162536000003</v>
      </c>
      <c r="H28" s="142">
        <f t="shared" ref="H28" si="32">H25+H26-H27</f>
        <v>24753.162536000003</v>
      </c>
      <c r="I28" s="142">
        <f t="shared" ref="I28" si="33">I25+I26-I27</f>
        <v>24753.162536000003</v>
      </c>
      <c r="J28" s="142">
        <f t="shared" ref="J28" si="34">J25+J26-J27</f>
        <v>24753.162536000003</v>
      </c>
      <c r="K28" s="142">
        <f t="shared" ref="K28" si="35">K25+K26-K27</f>
        <v>24753.162536000003</v>
      </c>
      <c r="L28" s="142">
        <f t="shared" ref="L28" si="36">L25+L26-L27</f>
        <v>24753.162536000003</v>
      </c>
      <c r="M28" s="142">
        <f t="shared" ref="M28" si="37">M25+M26-M27</f>
        <v>24753.162536000003</v>
      </c>
      <c r="N28" s="142">
        <f t="shared" ref="N28" si="38">N25+N26-N27</f>
        <v>24753.162536000003</v>
      </c>
      <c r="O28" s="142">
        <f t="shared" ref="O28" si="39">O25+O26-O27</f>
        <v>24753.162536000003</v>
      </c>
      <c r="P28" s="142">
        <f t="shared" ref="P28" si="40">P25+P26-P27</f>
        <v>24753.162536000003</v>
      </c>
    </row>
    <row r="29" spans="1:16" ht="20.25" customHeight="1" x14ac:dyDescent="0.25">
      <c r="A29" s="90">
        <f>D29/D28</f>
        <v>0.11996286308281942</v>
      </c>
      <c r="B29" s="159" t="str">
        <f>" Depreciation " &amp; B25</f>
        <v xml:space="preserve"> Depreciation Plant &amp; Machinery</v>
      </c>
      <c r="C29" s="159"/>
      <c r="D29" s="160">
        <f>1405.8460444</f>
        <v>1405.8460444</v>
      </c>
      <c r="E29" s="160">
        <f>(((E28-E28*5%)*'Assumptions on Steel Plant'!$D$134)/365)*E11</f>
        <v>1010.9432659553602</v>
      </c>
      <c r="F29" s="160">
        <f>(((F28-F28*5%)*'Assumptions on Steel Plant'!$D$134)/365)*F11</f>
        <v>1010.9432659553602</v>
      </c>
      <c r="G29" s="161">
        <f>(G25-G25*5%)*'Assumptions on Steel Plant'!$D$133/365*G$11+(G26-G26*5%)*'Assumptions on Steel Plant'!$D$133/365*335</f>
        <v>1073.1462452284291</v>
      </c>
      <c r="H29" s="160">
        <f>(((H28-H28*5%)*'Assumptions on Steel Plant'!$D$134)/365)*H11</f>
        <v>2141.0576847398952</v>
      </c>
      <c r="I29" s="160">
        <f>(((I28-I28*5%)*'Assumptions on Steel Plant'!$D$134)/365)*I11</f>
        <v>2135.2078003553602</v>
      </c>
      <c r="J29" s="160">
        <f>(((J28-J28*5%)*'Assumptions on Steel Plant'!$D$134)/365)*J11</f>
        <v>2135.2078003553602</v>
      </c>
      <c r="K29" s="160">
        <f>(((K28-K28*5%)*'Assumptions on Steel Plant'!$D$134)/365)*K11</f>
        <v>2135.2078003553602</v>
      </c>
      <c r="L29" s="160">
        <f>(((L28-L28*5%)*'Assumptions on Steel Plant'!$D$134)/365)*L11</f>
        <v>2141.0576847398952</v>
      </c>
      <c r="M29" s="160">
        <f>(((M28-M28*5%)*'Assumptions on Steel Plant'!$D$134)/365)*M11</f>
        <v>2135.2078003553602</v>
      </c>
      <c r="N29" s="160">
        <f>(((N28-N28*5%)*'Assumptions on Steel Plant'!$D$134)/365)*N11</f>
        <v>2135.2078003553602</v>
      </c>
      <c r="O29" s="160">
        <f>(((O28-O28*5%)*'Assumptions on Steel Plant'!$D$134)/365)*O11</f>
        <v>2135.2078003553602</v>
      </c>
      <c r="P29" s="160">
        <f>(((P28-P28*5%)*'Assumptions on Steel Plant'!$D$134)/365)*P11</f>
        <v>2141.0576847398952</v>
      </c>
    </row>
    <row r="30" spans="1:16" ht="20.25" customHeight="1" x14ac:dyDescent="0.25">
      <c r="A30" s="90"/>
      <c r="B30" s="140" t="s">
        <v>151</v>
      </c>
      <c r="D30" s="142">
        <f>437.5331623</f>
        <v>437.53316230000001</v>
      </c>
      <c r="E30" s="142">
        <f t="shared" ref="E30:P30" si="41">D33</f>
        <v>453.05797970000003</v>
      </c>
      <c r="F30" s="142">
        <f t="shared" si="41"/>
        <v>461.33018970000001</v>
      </c>
      <c r="G30" s="142">
        <f t="shared" si="41"/>
        <v>461.33018970000001</v>
      </c>
      <c r="H30" s="142">
        <f t="shared" si="41"/>
        <v>461.33018970000001</v>
      </c>
      <c r="I30" s="142">
        <f t="shared" si="41"/>
        <v>461.33018970000001</v>
      </c>
      <c r="J30" s="142">
        <f t="shared" si="41"/>
        <v>461.33018970000001</v>
      </c>
      <c r="K30" s="142">
        <f t="shared" si="41"/>
        <v>461.33018970000001</v>
      </c>
      <c r="L30" s="142">
        <f t="shared" si="41"/>
        <v>461.33018970000001</v>
      </c>
      <c r="M30" s="142">
        <f t="shared" si="41"/>
        <v>461.33018970000001</v>
      </c>
      <c r="N30" s="142">
        <f t="shared" si="41"/>
        <v>461.33018970000001</v>
      </c>
      <c r="O30" s="142">
        <f t="shared" si="41"/>
        <v>461.33018970000001</v>
      </c>
      <c r="P30" s="142">
        <f t="shared" si="41"/>
        <v>461.33018970000001</v>
      </c>
    </row>
    <row r="31" spans="1:16" ht="20.25" customHeight="1" x14ac:dyDescent="0.25">
      <c r="A31" s="90"/>
      <c r="B31" s="158" t="s">
        <v>466</v>
      </c>
      <c r="C31" s="158"/>
      <c r="D31" s="142">
        <f>15.5248174</f>
        <v>15.5248174</v>
      </c>
      <c r="E31" s="142">
        <f>8.27221</f>
        <v>8.2722099999999994</v>
      </c>
      <c r="F31" s="142">
        <v>0</v>
      </c>
      <c r="G31" s="142">
        <v>0</v>
      </c>
      <c r="H31" s="142">
        <v>0</v>
      </c>
      <c r="I31" s="142">
        <v>0</v>
      </c>
      <c r="J31" s="142">
        <v>0</v>
      </c>
      <c r="K31" s="142">
        <v>0</v>
      </c>
      <c r="L31" s="142">
        <v>0</v>
      </c>
      <c r="M31" s="142">
        <v>0</v>
      </c>
      <c r="N31" s="142">
        <v>0</v>
      </c>
      <c r="O31" s="142">
        <v>0</v>
      </c>
      <c r="P31" s="142">
        <v>0</v>
      </c>
    </row>
    <row r="32" spans="1:16" ht="20.25" customHeight="1" x14ac:dyDescent="0.25">
      <c r="A32" s="90"/>
      <c r="B32" s="158" t="s">
        <v>467</v>
      </c>
      <c r="C32" s="158"/>
      <c r="D32" s="142"/>
      <c r="E32" s="142">
        <v>0</v>
      </c>
      <c r="F32" s="142">
        <v>0</v>
      </c>
      <c r="G32" s="142">
        <v>0</v>
      </c>
      <c r="H32" s="142">
        <v>0</v>
      </c>
      <c r="I32" s="142">
        <v>0</v>
      </c>
      <c r="J32" s="142">
        <v>0</v>
      </c>
      <c r="K32" s="142">
        <v>0</v>
      </c>
      <c r="L32" s="142">
        <v>0</v>
      </c>
      <c r="M32" s="142">
        <v>0</v>
      </c>
      <c r="N32" s="142">
        <v>0</v>
      </c>
      <c r="O32" s="142">
        <v>0</v>
      </c>
      <c r="P32" s="142">
        <v>0</v>
      </c>
    </row>
    <row r="33" spans="1:16" ht="20.25" customHeight="1" x14ac:dyDescent="0.25">
      <c r="A33" s="90"/>
      <c r="B33" s="140" t="s">
        <v>468</v>
      </c>
      <c r="D33" s="142">
        <f>D30+D31-D32</f>
        <v>453.05797970000003</v>
      </c>
      <c r="E33" s="142">
        <f t="shared" ref="E33:F33" si="42">E30+E31-E32</f>
        <v>461.33018970000001</v>
      </c>
      <c r="F33" s="142">
        <f t="shared" si="42"/>
        <v>461.33018970000001</v>
      </c>
      <c r="G33" s="142">
        <f t="shared" ref="G33" si="43">G30+G31-G32</f>
        <v>461.33018970000001</v>
      </c>
      <c r="H33" s="142">
        <f t="shared" ref="H33" si="44">H30+H31-H32</f>
        <v>461.33018970000001</v>
      </c>
      <c r="I33" s="142">
        <f t="shared" ref="I33" si="45">I30+I31-I32</f>
        <v>461.33018970000001</v>
      </c>
      <c r="J33" s="142">
        <f t="shared" ref="J33" si="46">J30+J31-J32</f>
        <v>461.33018970000001</v>
      </c>
      <c r="K33" s="142">
        <f t="shared" ref="K33" si="47">K30+K31-K32</f>
        <v>461.33018970000001</v>
      </c>
      <c r="L33" s="142">
        <f t="shared" ref="L33" si="48">L30+L31-L32</f>
        <v>461.33018970000001</v>
      </c>
      <c r="M33" s="142">
        <f t="shared" ref="M33" si="49">M30+M31-M32</f>
        <v>461.33018970000001</v>
      </c>
      <c r="N33" s="142">
        <f t="shared" ref="N33" si="50">N30+N31-N32</f>
        <v>461.33018970000001</v>
      </c>
      <c r="O33" s="142">
        <f t="shared" ref="O33" si="51">O30+O31-O32</f>
        <v>461.33018970000001</v>
      </c>
      <c r="P33" s="142">
        <f t="shared" ref="P33" si="52">P30+P31-P32</f>
        <v>461.33018970000001</v>
      </c>
    </row>
    <row r="34" spans="1:16" ht="20.25" customHeight="1" x14ac:dyDescent="0.25">
      <c r="A34" s="90">
        <f>D34/D33</f>
        <v>0.19246362056736993</v>
      </c>
      <c r="B34" s="159" t="str">
        <f>" Depreciation " &amp; B30</f>
        <v xml:space="preserve"> Depreciation Electricity Connection &amp; Infrastructure</v>
      </c>
      <c r="C34" s="159"/>
      <c r="D34" s="160">
        <f>87.1971791</f>
        <v>87.1971791</v>
      </c>
      <c r="E34" s="160">
        <f>(E33-E33*5%)*'Assumptions on Steel Plant'!$D$135/365*E11</f>
        <v>56.930452059928498</v>
      </c>
      <c r="F34" s="160">
        <f>(F33-F33*5%)*'Assumptions on Steel Plant'!$D$135/365*F11</f>
        <v>56.930452059928498</v>
      </c>
      <c r="G34" s="160">
        <f>(G33-G33*5%)*'Assumptions on Steel Plant'!$D$135/365*G11</f>
        <v>56.930452059928498</v>
      </c>
      <c r="H34" s="160">
        <f>(H33-H33*5%)*'Assumptions on Steel Plant'!$D$135/365*H11</f>
        <v>57.086425901188576</v>
      </c>
      <c r="I34" s="160">
        <f>(I33-I33*5%)*'Assumptions on Steel Plant'!$D$135/365*I11</f>
        <v>56.930452059928498</v>
      </c>
      <c r="J34" s="160">
        <f>(J33-J33*5%)*'Assumptions on Steel Plant'!$D$135/365*J11</f>
        <v>56.930452059928498</v>
      </c>
      <c r="K34" s="160">
        <f>(K33-K33*5%)*'Assumptions on Steel Plant'!$D$135/365*K11</f>
        <v>56.930452059928498</v>
      </c>
      <c r="L34" s="160">
        <f>(L33-L33*5%)*'Assumptions on Steel Plant'!$D$135/365*L11</f>
        <v>57.086425901188576</v>
      </c>
      <c r="M34" s="160">
        <f>(M33-M33*5%)*'Assumptions on Steel Plant'!$D$135/365*M11</f>
        <v>56.930452059928498</v>
      </c>
      <c r="N34" s="160">
        <f>(N33-N33*5%)*'Assumptions on Steel Plant'!$D$135/365*N11</f>
        <v>56.930452059928498</v>
      </c>
      <c r="O34" s="160">
        <f>(O33-O33*5%)*'Assumptions on Steel Plant'!$D$135/365*O11</f>
        <v>56.930452059928498</v>
      </c>
      <c r="P34" s="160">
        <f>(P33-P33*5%)*'Assumptions on Steel Plant'!$D$135/365*P11</f>
        <v>57.086425901188576</v>
      </c>
    </row>
    <row r="35" spans="1:16" ht="20.25" customHeight="1" x14ac:dyDescent="0.25">
      <c r="A35" s="90"/>
      <c r="B35" s="140" t="s">
        <v>5</v>
      </c>
      <c r="D35" s="142">
        <f>123.0353674</f>
        <v>123.0353674</v>
      </c>
      <c r="E35" s="142">
        <f t="shared" ref="E35:P35" si="53">D38</f>
        <v>218.89877949999999</v>
      </c>
      <c r="F35" s="142">
        <f t="shared" si="53"/>
        <v>218.89877949999999</v>
      </c>
      <c r="G35" s="142">
        <f t="shared" ref="G35" si="54">F38</f>
        <v>218.89877949999999</v>
      </c>
      <c r="H35" s="142">
        <f t="shared" ref="H35" si="55">G38</f>
        <v>218.89877949999999</v>
      </c>
      <c r="I35" s="142">
        <f t="shared" si="53"/>
        <v>218.89877949999999</v>
      </c>
      <c r="J35" s="142">
        <f t="shared" si="53"/>
        <v>218.89877949999999</v>
      </c>
      <c r="K35" s="142">
        <f t="shared" si="53"/>
        <v>218.89877949999999</v>
      </c>
      <c r="L35" s="142">
        <f t="shared" si="53"/>
        <v>218.89877949999999</v>
      </c>
      <c r="M35" s="142">
        <f t="shared" si="53"/>
        <v>218.89877949999999</v>
      </c>
      <c r="N35" s="142">
        <f t="shared" si="53"/>
        <v>218.89877949999999</v>
      </c>
      <c r="O35" s="142">
        <f t="shared" si="53"/>
        <v>218.89877949999999</v>
      </c>
      <c r="P35" s="142">
        <f t="shared" si="53"/>
        <v>218.89877949999999</v>
      </c>
    </row>
    <row r="36" spans="1:16" ht="20.25" customHeight="1" x14ac:dyDescent="0.25">
      <c r="A36" s="90"/>
      <c r="B36" s="158" t="s">
        <v>466</v>
      </c>
      <c r="C36" s="158"/>
      <c r="D36" s="142">
        <f>95.8634121</f>
        <v>95.863412100000005</v>
      </c>
      <c r="E36" s="142">
        <v>0</v>
      </c>
      <c r="F36" s="142">
        <v>0</v>
      </c>
      <c r="G36" s="142">
        <v>0</v>
      </c>
      <c r="H36" s="142">
        <v>0</v>
      </c>
      <c r="I36" s="142">
        <v>0</v>
      </c>
      <c r="J36" s="142">
        <v>0</v>
      </c>
      <c r="K36" s="142">
        <v>0</v>
      </c>
      <c r="L36" s="142">
        <v>0</v>
      </c>
      <c r="M36" s="142">
        <v>0</v>
      </c>
      <c r="N36" s="142">
        <v>0</v>
      </c>
      <c r="O36" s="142">
        <v>0</v>
      </c>
      <c r="P36" s="142">
        <v>0</v>
      </c>
    </row>
    <row r="37" spans="1:16" ht="20.25" customHeight="1" x14ac:dyDescent="0.25">
      <c r="A37" s="90"/>
      <c r="B37" s="158" t="s">
        <v>467</v>
      </c>
      <c r="C37" s="158"/>
      <c r="D37" s="142">
        <v>0</v>
      </c>
      <c r="E37" s="142">
        <v>0</v>
      </c>
      <c r="F37" s="142">
        <v>0</v>
      </c>
      <c r="G37" s="142">
        <v>0</v>
      </c>
      <c r="H37" s="142">
        <v>0</v>
      </c>
      <c r="I37" s="142">
        <v>0</v>
      </c>
      <c r="J37" s="142">
        <v>0</v>
      </c>
      <c r="K37" s="142">
        <v>0</v>
      </c>
      <c r="L37" s="142">
        <v>0</v>
      </c>
      <c r="M37" s="142">
        <v>0</v>
      </c>
      <c r="N37" s="142">
        <v>0</v>
      </c>
      <c r="O37" s="142">
        <v>0</v>
      </c>
      <c r="P37" s="142">
        <v>0</v>
      </c>
    </row>
    <row r="38" spans="1:16" ht="20.25" customHeight="1" x14ac:dyDescent="0.25">
      <c r="A38" s="90"/>
      <c r="B38" s="140" t="s">
        <v>468</v>
      </c>
      <c r="D38" s="142">
        <f>D35+D36-D37</f>
        <v>218.89877949999999</v>
      </c>
      <c r="E38" s="142">
        <f t="shared" ref="E38:F38" si="56">E35+E36-E37</f>
        <v>218.89877949999999</v>
      </c>
      <c r="F38" s="142">
        <f t="shared" si="56"/>
        <v>218.89877949999999</v>
      </c>
      <c r="G38" s="142">
        <f t="shared" ref="G38" si="57">G35+G36-G37</f>
        <v>218.89877949999999</v>
      </c>
      <c r="H38" s="142">
        <f t="shared" ref="H38" si="58">H35+H36-H37</f>
        <v>218.89877949999999</v>
      </c>
      <c r="I38" s="142">
        <f t="shared" ref="I38" si="59">I35+I36-I37</f>
        <v>218.89877949999999</v>
      </c>
      <c r="J38" s="142">
        <f t="shared" ref="J38" si="60">J35+J36-J37</f>
        <v>218.89877949999999</v>
      </c>
      <c r="K38" s="142">
        <f t="shared" ref="K38" si="61">K35+K36-K37</f>
        <v>218.89877949999999</v>
      </c>
      <c r="L38" s="142">
        <f t="shared" ref="L38" si="62">L35+L36-L37</f>
        <v>218.89877949999999</v>
      </c>
      <c r="M38" s="142">
        <f t="shared" ref="M38" si="63">M35+M36-M37</f>
        <v>218.89877949999999</v>
      </c>
      <c r="N38" s="142">
        <f t="shared" ref="N38" si="64">N35+N36-N37</f>
        <v>218.89877949999999</v>
      </c>
      <c r="O38" s="142">
        <f t="shared" ref="O38" si="65">O35+O36-O37</f>
        <v>218.89877949999999</v>
      </c>
      <c r="P38" s="142">
        <f t="shared" ref="P38" si="66">P35+P36-P37</f>
        <v>218.89877949999999</v>
      </c>
    </row>
    <row r="39" spans="1:16" ht="20.25" customHeight="1" x14ac:dyDescent="0.25">
      <c r="A39" s="90">
        <f>D39/D38</f>
        <v>0.15156938689098537</v>
      </c>
      <c r="B39" s="159" t="str">
        <f>" Depreciation " &amp; B35</f>
        <v xml:space="preserve"> Depreciation Vehicles</v>
      </c>
      <c r="C39" s="159"/>
      <c r="D39" s="160">
        <f>33.1783538</f>
        <v>33.178353799999996</v>
      </c>
      <c r="E39" s="160">
        <f>(E38-E38*5%)*'Assumptions on Steel Plant'!$D$136/365*'Dep Schedule'!E11</f>
        <v>33.023069875369998</v>
      </c>
      <c r="F39" s="160">
        <f>(F38-F38*5%)*'Assumptions on Steel Plant'!$D$136/365*'Dep Schedule'!F11</f>
        <v>33.023069875369998</v>
      </c>
      <c r="G39" s="160">
        <f>(G38-G38*5%)*'Assumptions on Steel Plant'!$D$136/365*'Dep Schedule'!G11</f>
        <v>33.023069875369998</v>
      </c>
      <c r="H39" s="160">
        <f>(H38-H38*5%)*'Assumptions on Steel Plant'!$D$136/365*'Dep Schedule'!H11</f>
        <v>33.113544039412112</v>
      </c>
      <c r="I39" s="160">
        <f>(I38-I38*5%)*'Assumptions on Steel Plant'!$D$136/365*'Dep Schedule'!I11</f>
        <v>33.023069875369998</v>
      </c>
      <c r="J39" s="160">
        <f>(J38-J38*5%)*'Assumptions on Steel Plant'!$D$136/365*'Dep Schedule'!J11</f>
        <v>33.023069875369998</v>
      </c>
      <c r="K39" s="160">
        <f>(K38-K38*5%)*'Assumptions on Steel Plant'!$D$136/365*'Dep Schedule'!K11</f>
        <v>33.023069875369998</v>
      </c>
      <c r="L39" s="160">
        <f>(L38-L38*5%)*'Assumptions on Steel Plant'!$D$136/365*'Dep Schedule'!L11</f>
        <v>33.113544039412112</v>
      </c>
      <c r="M39" s="160">
        <f>(M38-M38*5%)*'Assumptions on Steel Plant'!$D$136/365*'Dep Schedule'!M11</f>
        <v>33.023069875369998</v>
      </c>
      <c r="N39" s="160">
        <f>(N38-N38*5%)*'Assumptions on Steel Plant'!$D$136/365*'Dep Schedule'!N11</f>
        <v>33.023069875369998</v>
      </c>
      <c r="O39" s="160">
        <f>(O38-O38*5%)*'Assumptions on Steel Plant'!$D$136/365*'Dep Schedule'!O11</f>
        <v>33.023069875369998</v>
      </c>
      <c r="P39" s="160">
        <f>(P38-P38*5%)*'Assumptions on Steel Plant'!$D$136/365*'Dep Schedule'!P11</f>
        <v>33.113544039412112</v>
      </c>
    </row>
    <row r="40" spans="1:16" ht="20.25" customHeight="1" x14ac:dyDescent="0.25">
      <c r="A40" s="90"/>
      <c r="B40" s="140" t="s">
        <v>152</v>
      </c>
      <c r="D40" s="142">
        <f>214.1824604</f>
        <v>214.1824604</v>
      </c>
      <c r="E40" s="142">
        <f t="shared" ref="E40:P40" si="67">D43</f>
        <v>245.9171365</v>
      </c>
      <c r="F40" s="142">
        <f t="shared" si="67"/>
        <v>247.2271365</v>
      </c>
      <c r="G40" s="142">
        <f t="shared" si="67"/>
        <v>247.2271365</v>
      </c>
      <c r="H40" s="142">
        <f t="shared" si="67"/>
        <v>247.2271365</v>
      </c>
      <c r="I40" s="142">
        <f t="shared" si="67"/>
        <v>247.2271365</v>
      </c>
      <c r="J40" s="142">
        <f t="shared" si="67"/>
        <v>247.2271365</v>
      </c>
      <c r="K40" s="142">
        <f t="shared" si="67"/>
        <v>247.2271365</v>
      </c>
      <c r="L40" s="142">
        <f t="shared" si="67"/>
        <v>247.2271365</v>
      </c>
      <c r="M40" s="142">
        <f t="shared" si="67"/>
        <v>247.2271365</v>
      </c>
      <c r="N40" s="142">
        <f t="shared" si="67"/>
        <v>247.2271365</v>
      </c>
      <c r="O40" s="142">
        <f t="shared" si="67"/>
        <v>247.2271365</v>
      </c>
      <c r="P40" s="142">
        <f t="shared" si="67"/>
        <v>247.2271365</v>
      </c>
    </row>
    <row r="41" spans="1:16" ht="20.25" customHeight="1" x14ac:dyDescent="0.25">
      <c r="A41" s="90"/>
      <c r="B41" s="158" t="s">
        <v>466</v>
      </c>
      <c r="C41" s="158"/>
      <c r="D41" s="142">
        <f>31.7346761</f>
        <v>31.734676100000001</v>
      </c>
      <c r="E41" s="142">
        <f>(0.07+1.24)</f>
        <v>1.31</v>
      </c>
      <c r="F41" s="142">
        <v>0</v>
      </c>
      <c r="G41" s="142">
        <v>0</v>
      </c>
      <c r="H41" s="142">
        <v>0</v>
      </c>
      <c r="I41" s="142">
        <v>0</v>
      </c>
      <c r="J41" s="142">
        <v>0</v>
      </c>
      <c r="K41" s="142">
        <v>0</v>
      </c>
      <c r="L41" s="142">
        <v>0</v>
      </c>
      <c r="M41" s="142">
        <v>0</v>
      </c>
      <c r="N41" s="142">
        <v>0</v>
      </c>
      <c r="O41" s="142">
        <v>0</v>
      </c>
      <c r="P41" s="142">
        <v>0</v>
      </c>
    </row>
    <row r="42" spans="1:16" ht="20.25" customHeight="1" x14ac:dyDescent="0.25">
      <c r="A42" s="90"/>
      <c r="B42" s="158" t="s">
        <v>467</v>
      </c>
      <c r="C42" s="158"/>
      <c r="D42" s="142">
        <v>0</v>
      </c>
      <c r="E42" s="142">
        <v>0</v>
      </c>
      <c r="F42" s="142">
        <v>0</v>
      </c>
      <c r="G42" s="142">
        <v>0</v>
      </c>
      <c r="H42" s="142">
        <v>0</v>
      </c>
      <c r="I42" s="142">
        <v>0</v>
      </c>
      <c r="J42" s="142">
        <v>0</v>
      </c>
      <c r="K42" s="142">
        <v>0</v>
      </c>
      <c r="L42" s="142">
        <v>0</v>
      </c>
      <c r="M42" s="142">
        <v>0</v>
      </c>
      <c r="N42" s="142">
        <v>0</v>
      </c>
      <c r="O42" s="142">
        <v>0</v>
      </c>
      <c r="P42" s="142">
        <v>0</v>
      </c>
    </row>
    <row r="43" spans="1:16" ht="20.25" customHeight="1" x14ac:dyDescent="0.25">
      <c r="A43" s="90"/>
      <c r="B43" s="140" t="s">
        <v>468</v>
      </c>
      <c r="D43" s="142">
        <f>D40+D41-D42</f>
        <v>245.9171365</v>
      </c>
      <c r="E43" s="142">
        <f t="shared" ref="E43:F43" si="68">E40+E41-E42</f>
        <v>247.2271365</v>
      </c>
      <c r="F43" s="142">
        <f t="shared" si="68"/>
        <v>247.2271365</v>
      </c>
      <c r="G43" s="142">
        <f t="shared" ref="G43" si="69">G40+G41-G42</f>
        <v>247.2271365</v>
      </c>
      <c r="H43" s="142">
        <f t="shared" ref="H43" si="70">H40+H41-H42</f>
        <v>247.2271365</v>
      </c>
      <c r="I43" s="142">
        <f t="shared" ref="I43" si="71">I40+I41-I42</f>
        <v>247.2271365</v>
      </c>
      <c r="J43" s="142">
        <f t="shared" ref="J43" si="72">J40+J41-J42</f>
        <v>247.2271365</v>
      </c>
      <c r="K43" s="142">
        <f t="shared" ref="K43" si="73">K40+K41-K42</f>
        <v>247.2271365</v>
      </c>
      <c r="L43" s="142">
        <f t="shared" ref="L43" si="74">L40+L41-L42</f>
        <v>247.2271365</v>
      </c>
      <c r="M43" s="142">
        <f t="shared" ref="M43" si="75">M40+M41-M42</f>
        <v>247.2271365</v>
      </c>
      <c r="N43" s="142">
        <f t="shared" ref="N43" si="76">N40+N41-N42</f>
        <v>247.2271365</v>
      </c>
      <c r="O43" s="142">
        <f t="shared" ref="O43" si="77">O40+O41-O42</f>
        <v>247.2271365</v>
      </c>
      <c r="P43" s="142">
        <f t="shared" ref="P43" si="78">P40+P41-P42</f>
        <v>247.2271365</v>
      </c>
    </row>
    <row r="44" spans="1:16" ht="20.25" customHeight="1" x14ac:dyDescent="0.25">
      <c r="A44" s="90">
        <f>D44/D43</f>
        <v>0.10762498529662246</v>
      </c>
      <c r="B44" s="159" t="str">
        <f>" Depreciation " &amp; B40</f>
        <v xml:space="preserve"> Depreciation Office equipment</v>
      </c>
      <c r="C44" s="159"/>
      <c r="D44" s="161">
        <f>26.4668282</f>
        <v>26.466828199999998</v>
      </c>
      <c r="E44" s="161">
        <f>(E43-E43*5%)*'Assumptions on Steel Plant'!$D$137/365*E11</f>
        <v>52.469015179394994</v>
      </c>
      <c r="F44" s="161">
        <f>(F43-F43*5%)*'Assumptions on Steel Plant'!$D$137/365*F11</f>
        <v>52.469015179394994</v>
      </c>
      <c r="G44" s="161">
        <f>(G43-G43*5%)*'Assumptions on Steel Plant'!$D$137/365*G11</f>
        <v>52.469015179394994</v>
      </c>
      <c r="H44" s="161">
        <f>(H43-H43*5%)*'Assumptions on Steel Plant'!$D$137/365*H11</f>
        <v>52.612765905913889</v>
      </c>
      <c r="I44" s="161">
        <f>(I43-I43*5%)*'Assumptions on Steel Plant'!$D$137/365*I11</f>
        <v>52.469015179394994</v>
      </c>
      <c r="J44" s="161">
        <f>(J43-J43*5%)*'Assumptions on Steel Plant'!$D$137/365*J11</f>
        <v>52.469015179394994</v>
      </c>
      <c r="K44" s="161">
        <f>(K43-K43*5%)*'Assumptions on Steel Plant'!$D$137/365*K11</f>
        <v>52.469015179394994</v>
      </c>
      <c r="L44" s="161">
        <f>(L43-L43*5%)*'Assumptions on Steel Plant'!$D$137/365*L11</f>
        <v>52.612765905913889</v>
      </c>
      <c r="M44" s="161">
        <f>(M43-M43*5%)*'Assumptions on Steel Plant'!$D$137/365*M11</f>
        <v>52.469015179394994</v>
      </c>
      <c r="N44" s="161">
        <f>(N43-N43*5%)*'Assumptions on Steel Plant'!$D$137/365*N11</f>
        <v>52.469015179394994</v>
      </c>
      <c r="O44" s="161">
        <f>(O43-O43*5%)*'Assumptions on Steel Plant'!$D$137/365*O11</f>
        <v>52.469015179394994</v>
      </c>
      <c r="P44" s="161">
        <f>(P43-P43*5%)*'Assumptions on Steel Plant'!$D$137/365*P11</f>
        <v>52.612765905913889</v>
      </c>
    </row>
    <row r="45" spans="1:16" ht="20.25" customHeight="1" x14ac:dyDescent="0.25">
      <c r="B45" s="63" t="s">
        <v>469</v>
      </c>
      <c r="C45" s="63"/>
      <c r="D45" s="64">
        <f>D18+D23+D28+D33+D38+D43</f>
        <v>17572.325605599999</v>
      </c>
      <c r="E45" s="64">
        <f t="shared" ref="E45:P45" si="79">E18+E23+E28+E33+E38+E43</f>
        <v>16596.7550543</v>
      </c>
      <c r="F45" s="64">
        <f t="shared" ref="F45:J46" si="80">F18+F23+F28+F33+F38+F43</f>
        <v>16596.7550543</v>
      </c>
      <c r="G45" s="64">
        <f t="shared" si="79"/>
        <v>29630.195054300002</v>
      </c>
      <c r="H45" s="64">
        <f t="shared" si="79"/>
        <v>29630.195054300002</v>
      </c>
      <c r="I45" s="64">
        <f t="shared" si="79"/>
        <v>29630.195054300002</v>
      </c>
      <c r="J45" s="64">
        <f t="shared" si="79"/>
        <v>29630.195054300002</v>
      </c>
      <c r="K45" s="64">
        <f t="shared" si="79"/>
        <v>29630.195054300002</v>
      </c>
      <c r="L45" s="64">
        <f t="shared" si="79"/>
        <v>29630.195054300002</v>
      </c>
      <c r="M45" s="64">
        <f t="shared" si="79"/>
        <v>29630.195054300002</v>
      </c>
      <c r="N45" s="64">
        <f t="shared" si="79"/>
        <v>29630.195054300002</v>
      </c>
      <c r="O45" s="64">
        <f t="shared" si="79"/>
        <v>29630.195054300002</v>
      </c>
      <c r="P45" s="64">
        <f t="shared" si="79"/>
        <v>29630.195054300002</v>
      </c>
    </row>
    <row r="46" spans="1:16" ht="20.25" customHeight="1" x14ac:dyDescent="0.25">
      <c r="B46" s="63" t="s">
        <v>154</v>
      </c>
      <c r="C46" s="63"/>
      <c r="D46" s="64">
        <f>D19+D24+D29+D34+D39+D44</f>
        <v>1691.397874</v>
      </c>
      <c r="E46" s="64">
        <f t="shared" ref="E46" si="81">E19+E24+E29+E34+E39+E44</f>
        <v>1284.5903242307727</v>
      </c>
      <c r="F46" s="64">
        <f t="shared" si="80"/>
        <v>1284.5903242307727</v>
      </c>
      <c r="G46" s="64">
        <f t="shared" si="80"/>
        <v>1346.7933035038416</v>
      </c>
      <c r="H46" s="64">
        <f t="shared" si="80"/>
        <v>2415.454460983186</v>
      </c>
      <c r="I46" s="64">
        <f t="shared" si="80"/>
        <v>2408.8548586307725</v>
      </c>
      <c r="J46" s="64">
        <f t="shared" si="80"/>
        <v>2408.8548586307725</v>
      </c>
      <c r="K46" s="64">
        <f t="shared" ref="K46:P46" si="82">K19+K24+K29+K34+K39+K44</f>
        <v>2408.8548586307725</v>
      </c>
      <c r="L46" s="64">
        <f t="shared" si="82"/>
        <v>2415.454460983186</v>
      </c>
      <c r="M46" s="64">
        <f t="shared" si="82"/>
        <v>2408.8548586307725</v>
      </c>
      <c r="N46" s="64">
        <f t="shared" si="82"/>
        <v>2408.8548586307725</v>
      </c>
      <c r="O46" s="64">
        <f t="shared" si="82"/>
        <v>2408.8548586307725</v>
      </c>
      <c r="P46" s="64">
        <f t="shared" si="82"/>
        <v>2415.454460983186</v>
      </c>
    </row>
    <row r="47" spans="1:16" ht="20.25" customHeight="1" x14ac:dyDescent="0.25">
      <c r="B47" s="63" t="s">
        <v>185</v>
      </c>
      <c r="C47" s="63"/>
      <c r="D47" s="64">
        <f>(D15+D20+D25+D30+D35+D40)-(D$46:$H46)</f>
        <v>14753.875841300001</v>
      </c>
      <c r="E47" s="64">
        <f>(E15+E20+E25+E30+E35+E40)-(E$46:$H46)</f>
        <v>16287.735281369227</v>
      </c>
      <c r="F47" s="64">
        <f>(F15+F20+F25+F30+F35+F40)-(F$46:$H46)</f>
        <v>15312.164730069228</v>
      </c>
      <c r="G47" s="64">
        <f>(G15+G20+G25+G30+G35+G40)-(G$46:$H46)</f>
        <v>15249.961750796158</v>
      </c>
      <c r="H47" s="64">
        <f>(H15+H20+H25+H30+H35+H40)-($H$46:H46)</f>
        <v>27214.740593316816</v>
      </c>
      <c r="I47" s="64">
        <f>(I15+I20+I25+I30+I35+I40)-(SUM($H$46:I46))</f>
        <v>24805.885734686046</v>
      </c>
      <c r="J47" s="64">
        <f>(J15+J20+J25+J30+J35+J40)-(SUM($H$46:J46))</f>
        <v>22397.030876055273</v>
      </c>
      <c r="K47" s="64">
        <f>(K15+K20+K25+K30+K35+K40)-(SUM($H$46:K46))</f>
        <v>19988.176017424499</v>
      </c>
      <c r="L47" s="64">
        <f>(L15+L20+L25+L30+L35+L40)-(SUM($H$46:L46))</f>
        <v>17572.721556441313</v>
      </c>
      <c r="M47" s="64">
        <f>(M15+M20+M25+M30+M35+M40)-(SUM($H$46:M46))</f>
        <v>15163.866697810539</v>
      </c>
      <c r="N47" s="64">
        <f>(N15+N20+N25+N30+N35+N40)-(SUM($H$46:N46))</f>
        <v>12755.011839179766</v>
      </c>
      <c r="O47" s="64">
        <f>(O15+O20+O25+O30+O35+O40)-(SUM($H$46:O46))</f>
        <v>10346.156980548993</v>
      </c>
      <c r="P47" s="64">
        <f>(P15+P20+P25+P30+P35+P40)-(SUM($H$46:P46))</f>
        <v>7930.7025195658061</v>
      </c>
    </row>
    <row r="48" spans="1:16" ht="20.25" customHeight="1" x14ac:dyDescent="0.25">
      <c r="D48" s="162">
        <f>D45-D15</f>
        <v>16518.578855600001</v>
      </c>
      <c r="E48" s="162">
        <f t="shared" ref="E48:P48" si="83">E45-E15</f>
        <v>15543.0083043</v>
      </c>
      <c r="F48" s="162">
        <f t="shared" ref="F48" si="84">F45-F15</f>
        <v>15543.0083043</v>
      </c>
      <c r="G48" s="162">
        <f t="shared" si="83"/>
        <v>28576.448304300004</v>
      </c>
      <c r="H48" s="162">
        <f t="shared" si="83"/>
        <v>28576.448304300004</v>
      </c>
      <c r="I48" s="162">
        <f t="shared" si="83"/>
        <v>28576.448304300004</v>
      </c>
      <c r="J48" s="162">
        <f t="shared" si="83"/>
        <v>28576.448304300004</v>
      </c>
      <c r="K48" s="162">
        <f t="shared" si="83"/>
        <v>28576.448304300004</v>
      </c>
      <c r="L48" s="162">
        <f t="shared" si="83"/>
        <v>28576.448304300004</v>
      </c>
      <c r="M48" s="162">
        <f t="shared" si="83"/>
        <v>28576.448304300004</v>
      </c>
      <c r="N48" s="162">
        <f t="shared" si="83"/>
        <v>28576.448304300004</v>
      </c>
      <c r="O48" s="162">
        <f t="shared" si="83"/>
        <v>28576.448304300004</v>
      </c>
      <c r="P48" s="162">
        <f t="shared" si="83"/>
        <v>28576.448304300004</v>
      </c>
    </row>
    <row r="49" spans="2:16" ht="20.25" customHeight="1" x14ac:dyDescent="0.25">
      <c r="B49" s="56" t="s">
        <v>197</v>
      </c>
      <c r="C49" s="56"/>
      <c r="D49" s="56"/>
      <c r="E49" s="56"/>
      <c r="F49" s="56"/>
      <c r="G49" s="56"/>
      <c r="H49" s="56"/>
      <c r="I49" s="56"/>
      <c r="J49" s="56"/>
      <c r="K49" s="56"/>
      <c r="L49" s="56"/>
      <c r="M49" s="56"/>
      <c r="N49" s="56"/>
      <c r="O49" s="56"/>
      <c r="P49" s="56"/>
    </row>
    <row r="50" spans="2:16" ht="20.25" customHeight="1" x14ac:dyDescent="0.25">
      <c r="B50" s="60" t="s">
        <v>0</v>
      </c>
      <c r="C50" s="60"/>
      <c r="D50" s="156">
        <f t="shared" ref="D50:P50" si="85">D8</f>
        <v>45382</v>
      </c>
      <c r="E50" s="156">
        <f t="shared" si="85"/>
        <v>45747</v>
      </c>
      <c r="F50" s="157">
        <f>F8</f>
        <v>46112</v>
      </c>
      <c r="G50" s="157">
        <f t="shared" si="85"/>
        <v>46477</v>
      </c>
      <c r="H50" s="157">
        <f t="shared" si="85"/>
        <v>46843</v>
      </c>
      <c r="I50" s="157">
        <f t="shared" si="85"/>
        <v>47208</v>
      </c>
      <c r="J50" s="157">
        <f t="shared" si="85"/>
        <v>47573</v>
      </c>
      <c r="K50" s="157">
        <f t="shared" si="85"/>
        <v>47938</v>
      </c>
      <c r="L50" s="157">
        <f t="shared" si="85"/>
        <v>48304</v>
      </c>
      <c r="M50" s="157">
        <f t="shared" si="85"/>
        <v>48669</v>
      </c>
      <c r="N50" s="157">
        <f t="shared" si="85"/>
        <v>49034</v>
      </c>
      <c r="O50" s="157">
        <f t="shared" si="85"/>
        <v>49399</v>
      </c>
      <c r="P50" s="157">
        <f t="shared" si="85"/>
        <v>49765</v>
      </c>
    </row>
    <row r="51" spans="2:16" ht="20.25" customHeight="1" x14ac:dyDescent="0.25">
      <c r="B51" s="140" t="s">
        <v>124</v>
      </c>
      <c r="E51" s="142">
        <f t="shared" ref="E51:F53" si="86">E15</f>
        <v>1053.74675</v>
      </c>
      <c r="F51" s="142">
        <f t="shared" si="86"/>
        <v>1053.74675</v>
      </c>
      <c r="G51" s="142">
        <f t="shared" ref="G51:P51" si="87">G15</f>
        <v>1053.74675</v>
      </c>
      <c r="H51" s="142">
        <f t="shared" si="87"/>
        <v>1053.74675</v>
      </c>
      <c r="I51" s="142">
        <f t="shared" si="87"/>
        <v>1053.74675</v>
      </c>
      <c r="J51" s="142">
        <f t="shared" si="87"/>
        <v>1053.74675</v>
      </c>
      <c r="K51" s="142">
        <f t="shared" si="87"/>
        <v>1053.74675</v>
      </c>
      <c r="L51" s="142">
        <f t="shared" si="87"/>
        <v>1053.74675</v>
      </c>
      <c r="M51" s="142">
        <f t="shared" si="87"/>
        <v>1053.74675</v>
      </c>
      <c r="N51" s="142">
        <f t="shared" si="87"/>
        <v>1053.74675</v>
      </c>
      <c r="O51" s="142">
        <f t="shared" si="87"/>
        <v>1053.74675</v>
      </c>
      <c r="P51" s="142">
        <f t="shared" si="87"/>
        <v>1053.74675</v>
      </c>
    </row>
    <row r="52" spans="2:16" ht="20.25" customHeight="1" x14ac:dyDescent="0.25">
      <c r="B52" s="158" t="s">
        <v>466</v>
      </c>
      <c r="C52" s="158"/>
      <c r="E52" s="142">
        <f t="shared" si="86"/>
        <v>0</v>
      </c>
      <c r="F52" s="142">
        <f t="shared" si="86"/>
        <v>0</v>
      </c>
      <c r="G52" s="142">
        <f t="shared" ref="G52:P52" si="88">G16</f>
        <v>0</v>
      </c>
      <c r="H52" s="142">
        <f t="shared" si="88"/>
        <v>0</v>
      </c>
      <c r="I52" s="142">
        <f t="shared" si="88"/>
        <v>0</v>
      </c>
      <c r="J52" s="142">
        <f t="shared" si="88"/>
        <v>0</v>
      </c>
      <c r="K52" s="142">
        <f t="shared" si="88"/>
        <v>0</v>
      </c>
      <c r="L52" s="142">
        <f t="shared" si="88"/>
        <v>0</v>
      </c>
      <c r="M52" s="142">
        <f t="shared" si="88"/>
        <v>0</v>
      </c>
      <c r="N52" s="142">
        <f t="shared" si="88"/>
        <v>0</v>
      </c>
      <c r="O52" s="142">
        <f t="shared" si="88"/>
        <v>0</v>
      </c>
      <c r="P52" s="142">
        <f t="shared" si="88"/>
        <v>0</v>
      </c>
    </row>
    <row r="53" spans="2:16" ht="20.25" customHeight="1" x14ac:dyDescent="0.25">
      <c r="B53" s="158" t="s">
        <v>467</v>
      </c>
      <c r="C53" s="158"/>
      <c r="E53" s="142">
        <f t="shared" si="86"/>
        <v>0</v>
      </c>
      <c r="F53" s="142">
        <f t="shared" si="86"/>
        <v>0</v>
      </c>
      <c r="G53" s="142">
        <f t="shared" ref="G53:P53" si="89">G17</f>
        <v>0</v>
      </c>
      <c r="H53" s="142">
        <f t="shared" si="89"/>
        <v>0</v>
      </c>
      <c r="I53" s="142">
        <f t="shared" si="89"/>
        <v>0</v>
      </c>
      <c r="J53" s="142">
        <f t="shared" si="89"/>
        <v>0</v>
      </c>
      <c r="K53" s="142">
        <f t="shared" si="89"/>
        <v>0</v>
      </c>
      <c r="L53" s="142">
        <f t="shared" si="89"/>
        <v>0</v>
      </c>
      <c r="M53" s="142">
        <f t="shared" si="89"/>
        <v>0</v>
      </c>
      <c r="N53" s="142">
        <f t="shared" si="89"/>
        <v>0</v>
      </c>
      <c r="O53" s="142">
        <f t="shared" si="89"/>
        <v>0</v>
      </c>
      <c r="P53" s="142">
        <f t="shared" si="89"/>
        <v>0</v>
      </c>
    </row>
    <row r="54" spans="2:16" ht="20.25" customHeight="1" x14ac:dyDescent="0.25">
      <c r="B54" s="140" t="s">
        <v>468</v>
      </c>
      <c r="E54" s="142">
        <f>E51+E52-E53</f>
        <v>1053.74675</v>
      </c>
      <c r="F54" s="142">
        <f>F51+F52-F53</f>
        <v>1053.74675</v>
      </c>
      <c r="G54" s="142">
        <f t="shared" ref="G54:P54" si="90">G51+G52-G53</f>
        <v>1053.74675</v>
      </c>
      <c r="H54" s="142">
        <f t="shared" si="90"/>
        <v>1053.74675</v>
      </c>
      <c r="I54" s="142">
        <f t="shared" si="90"/>
        <v>1053.74675</v>
      </c>
      <c r="J54" s="142">
        <f t="shared" si="90"/>
        <v>1053.74675</v>
      </c>
      <c r="K54" s="142">
        <f t="shared" si="90"/>
        <v>1053.74675</v>
      </c>
      <c r="L54" s="142">
        <f t="shared" si="90"/>
        <v>1053.74675</v>
      </c>
      <c r="M54" s="142">
        <f t="shared" si="90"/>
        <v>1053.74675</v>
      </c>
      <c r="N54" s="142">
        <f t="shared" si="90"/>
        <v>1053.74675</v>
      </c>
      <c r="O54" s="142">
        <f t="shared" si="90"/>
        <v>1053.74675</v>
      </c>
      <c r="P54" s="142">
        <f t="shared" si="90"/>
        <v>1053.74675</v>
      </c>
    </row>
    <row r="55" spans="2:16" ht="20.25" customHeight="1" x14ac:dyDescent="0.25">
      <c r="B55" s="163" t="str">
        <f>"Depreciation " &amp; B51</f>
        <v>Depreciation Land</v>
      </c>
      <c r="C55" s="163"/>
      <c r="D55" s="163"/>
      <c r="E55" s="164">
        <f>E54*'Assumptions on Steel Plant'!$E$132/365*E11</f>
        <v>1.05374675E-9</v>
      </c>
      <c r="F55" s="164">
        <f>F54*'Assumptions on Steel Plant'!$E$132/365*F11</f>
        <v>1.05374675E-9</v>
      </c>
      <c r="G55" s="164">
        <f>G54*'Assumptions on Steel Plant'!$E$132/365*G11</f>
        <v>1.05374675E-9</v>
      </c>
      <c r="H55" s="164">
        <f>H54*'Assumptions on Steel Plant'!$E$132/365*H11</f>
        <v>1.0566337273972602E-9</v>
      </c>
      <c r="I55" s="164">
        <f>I54*'Assumptions on Steel Plant'!$E$132/365*I11</f>
        <v>1.05374675E-9</v>
      </c>
      <c r="J55" s="164">
        <f>J54*'Assumptions on Steel Plant'!$E$132/365*J11</f>
        <v>1.05374675E-9</v>
      </c>
      <c r="K55" s="164">
        <f>K54*'Assumptions on Steel Plant'!$E$132/365*K11</f>
        <v>1.05374675E-9</v>
      </c>
      <c r="L55" s="164">
        <f>L54*'Assumptions on Steel Plant'!$E$132/365*L11</f>
        <v>1.0566337273972602E-9</v>
      </c>
      <c r="M55" s="164">
        <f>M54*'Assumptions on Steel Plant'!$E$132/365*M11</f>
        <v>1.05374675E-9</v>
      </c>
      <c r="N55" s="164">
        <f>N54*'Assumptions on Steel Plant'!$E$132/365*N11</f>
        <v>1.05374675E-9</v>
      </c>
      <c r="O55" s="164">
        <f>O54*'Assumptions on Steel Plant'!$E$132/365*O11</f>
        <v>1.05374675E-9</v>
      </c>
      <c r="P55" s="164">
        <f>P54*'Assumptions on Steel Plant'!$E$132/365*P11</f>
        <v>1.0566337273972602E-9</v>
      </c>
    </row>
    <row r="56" spans="2:16" s="67" customFormat="1" ht="20.25" customHeight="1" x14ac:dyDescent="0.25">
      <c r="B56" s="67" t="str">
        <f>"WDV " &amp; "of "&amp; B51</f>
        <v>WDV of Land</v>
      </c>
      <c r="E56" s="71">
        <f>E54-E55</f>
        <v>1053.7467499989464</v>
      </c>
      <c r="F56" s="71">
        <f>F54-F55</f>
        <v>1053.7467499989464</v>
      </c>
      <c r="G56" s="71">
        <f t="shared" ref="G56:P56" si="91">G54-G55</f>
        <v>1053.7467499989464</v>
      </c>
      <c r="H56" s="71">
        <f t="shared" si="91"/>
        <v>1053.7467499989434</v>
      </c>
      <c r="I56" s="71">
        <f t="shared" si="91"/>
        <v>1053.7467499989464</v>
      </c>
      <c r="J56" s="71">
        <f t="shared" si="91"/>
        <v>1053.7467499989464</v>
      </c>
      <c r="K56" s="71">
        <f t="shared" si="91"/>
        <v>1053.7467499989464</v>
      </c>
      <c r="L56" s="71">
        <f t="shared" si="91"/>
        <v>1053.7467499989434</v>
      </c>
      <c r="M56" s="71">
        <f t="shared" si="91"/>
        <v>1053.7467499989464</v>
      </c>
      <c r="N56" s="71">
        <f t="shared" si="91"/>
        <v>1053.7467499989464</v>
      </c>
      <c r="O56" s="71">
        <f t="shared" si="91"/>
        <v>1053.7467499989464</v>
      </c>
      <c r="P56" s="71">
        <f t="shared" si="91"/>
        <v>1053.7467499989434</v>
      </c>
    </row>
    <row r="57" spans="2:16" ht="20.25" customHeight="1" x14ac:dyDescent="0.25">
      <c r="B57" s="140" t="s">
        <v>2</v>
      </c>
      <c r="E57" s="142">
        <f>E20</f>
        <v>3881.6945239000001</v>
      </c>
      <c r="F57" s="142">
        <f>F20</f>
        <v>2895.8296626000001</v>
      </c>
      <c r="G57" s="142">
        <f>E62</f>
        <v>2606.2466963400002</v>
      </c>
      <c r="H57" s="142">
        <f t="shared" ref="H57:P57" si="92">G62</f>
        <v>2345.6220267060003</v>
      </c>
      <c r="I57" s="142">
        <f t="shared" si="92"/>
        <v>2110.4171878636998</v>
      </c>
      <c r="J57" s="142">
        <f t="shared" si="92"/>
        <v>1899.3754690773299</v>
      </c>
      <c r="K57" s="142">
        <f t="shared" si="92"/>
        <v>1709.4379221695967</v>
      </c>
      <c r="L57" s="142">
        <f t="shared" si="92"/>
        <v>1538.494129952637</v>
      </c>
      <c r="M57" s="142">
        <f t="shared" si="92"/>
        <v>1384.2232117162903</v>
      </c>
      <c r="N57" s="142">
        <f t="shared" si="92"/>
        <v>1245.8008905446613</v>
      </c>
      <c r="O57" s="142">
        <f t="shared" si="92"/>
        <v>1121.2208014901953</v>
      </c>
      <c r="P57" s="142">
        <f t="shared" si="92"/>
        <v>1009.0987213411757</v>
      </c>
    </row>
    <row r="58" spans="2:16" ht="20.25" customHeight="1" x14ac:dyDescent="0.25">
      <c r="B58" s="158" t="s">
        <v>466</v>
      </c>
      <c r="C58" s="158"/>
      <c r="E58" s="142">
        <f t="shared" ref="E58:P58" si="93">E21</f>
        <v>0</v>
      </c>
      <c r="F58" s="142">
        <f t="shared" ref="F58" si="94">F21</f>
        <v>0</v>
      </c>
      <c r="G58" s="142">
        <v>0</v>
      </c>
      <c r="H58" s="142">
        <f t="shared" si="93"/>
        <v>0</v>
      </c>
      <c r="I58" s="142">
        <f t="shared" si="93"/>
        <v>0</v>
      </c>
      <c r="J58" s="142">
        <f t="shared" si="93"/>
        <v>0</v>
      </c>
      <c r="K58" s="142">
        <f t="shared" si="93"/>
        <v>0</v>
      </c>
      <c r="L58" s="142">
        <f t="shared" si="93"/>
        <v>0</v>
      </c>
      <c r="M58" s="142">
        <f t="shared" si="93"/>
        <v>0</v>
      </c>
      <c r="N58" s="142">
        <f t="shared" si="93"/>
        <v>0</v>
      </c>
      <c r="O58" s="142">
        <f t="shared" si="93"/>
        <v>0</v>
      </c>
      <c r="P58" s="142">
        <f t="shared" si="93"/>
        <v>0</v>
      </c>
    </row>
    <row r="59" spans="2:16" ht="20.25" customHeight="1" x14ac:dyDescent="0.25">
      <c r="B59" s="158" t="s">
        <v>467</v>
      </c>
      <c r="C59" s="158"/>
      <c r="E59" s="142">
        <f t="shared" ref="E59:P59" si="95">E22</f>
        <v>985.86486130000003</v>
      </c>
      <c r="F59" s="142">
        <f t="shared" ref="F59" si="96">F22</f>
        <v>0</v>
      </c>
      <c r="G59" s="142">
        <f t="shared" si="95"/>
        <v>0</v>
      </c>
      <c r="H59" s="142">
        <f t="shared" si="95"/>
        <v>0</v>
      </c>
      <c r="I59" s="142">
        <f t="shared" si="95"/>
        <v>0</v>
      </c>
      <c r="J59" s="142">
        <f t="shared" si="95"/>
        <v>0</v>
      </c>
      <c r="K59" s="142">
        <f t="shared" si="95"/>
        <v>0</v>
      </c>
      <c r="L59" s="142">
        <f t="shared" si="95"/>
        <v>0</v>
      </c>
      <c r="M59" s="142">
        <f t="shared" si="95"/>
        <v>0</v>
      </c>
      <c r="N59" s="142">
        <f t="shared" si="95"/>
        <v>0</v>
      </c>
      <c r="O59" s="142">
        <f t="shared" si="95"/>
        <v>0</v>
      </c>
      <c r="P59" s="142">
        <f t="shared" si="95"/>
        <v>0</v>
      </c>
    </row>
    <row r="60" spans="2:16" ht="20.25" customHeight="1" x14ac:dyDescent="0.25">
      <c r="B60" s="140" t="s">
        <v>468</v>
      </c>
      <c r="E60" s="142">
        <f>E57+E58-E59</f>
        <v>2895.8296626000001</v>
      </c>
      <c r="F60" s="142">
        <f>F57+F58-F59</f>
        <v>2895.8296626000001</v>
      </c>
      <c r="G60" s="142">
        <f t="shared" ref="G60:P60" si="97">G57+G58-G59</f>
        <v>2606.2466963400002</v>
      </c>
      <c r="H60" s="142">
        <f t="shared" si="97"/>
        <v>2345.6220267060003</v>
      </c>
      <c r="I60" s="142">
        <f t="shared" si="97"/>
        <v>2110.4171878636998</v>
      </c>
      <c r="J60" s="142">
        <f t="shared" si="97"/>
        <v>1899.3754690773299</v>
      </c>
      <c r="K60" s="142">
        <f t="shared" si="97"/>
        <v>1709.4379221695967</v>
      </c>
      <c r="L60" s="142">
        <f t="shared" si="97"/>
        <v>1538.494129952637</v>
      </c>
      <c r="M60" s="142">
        <f t="shared" si="97"/>
        <v>1384.2232117162903</v>
      </c>
      <c r="N60" s="142">
        <f t="shared" si="97"/>
        <v>1245.8008905446613</v>
      </c>
      <c r="O60" s="142">
        <f t="shared" si="97"/>
        <v>1121.2208014901953</v>
      </c>
      <c r="P60" s="142">
        <f t="shared" si="97"/>
        <v>1009.0987213411757</v>
      </c>
    </row>
    <row r="61" spans="2:16" ht="20.25" customHeight="1" x14ac:dyDescent="0.25">
      <c r="B61" s="163" t="str">
        <f>"Depreciation " &amp; B57</f>
        <v>Depreciation Building &amp; Civil Works</v>
      </c>
      <c r="C61" s="163"/>
      <c r="D61" s="163"/>
      <c r="E61" s="164">
        <f>E60*'Assumptions on Steel Plant'!$E$133/365*E11</f>
        <v>289.58296626000003</v>
      </c>
      <c r="F61" s="164">
        <f>F60*'Assumptions on Steel Plant'!$E$133/365*F11</f>
        <v>289.58296626000003</v>
      </c>
      <c r="G61" s="164">
        <f>G57*'Assumptions on Steel Plant'!$E$133/365*G$11+G58/2*'Assumptions on Steel Plant'!$E$133/365*G$11</f>
        <v>260.62466963400004</v>
      </c>
      <c r="H61" s="164">
        <f>H60*'Assumptions on Steel Plant'!$E$133/365*H11</f>
        <v>235.20483884230032</v>
      </c>
      <c r="I61" s="164">
        <f>I60*'Assumptions on Steel Plant'!$E$133/365*I11</f>
        <v>211.04171878636998</v>
      </c>
      <c r="J61" s="164">
        <f>J60*'Assumptions on Steel Plant'!$E$133/365*J11</f>
        <v>189.93754690773301</v>
      </c>
      <c r="K61" s="164">
        <f>K60*'Assumptions on Steel Plant'!$E$133/365*K11</f>
        <v>170.94379221695968</v>
      </c>
      <c r="L61" s="164">
        <f>L60*'Assumptions on Steel Plant'!$E$133/365*L11</f>
        <v>154.27091823634663</v>
      </c>
      <c r="M61" s="164">
        <f>M60*'Assumptions on Steel Plant'!$E$133/365*M11</f>
        <v>138.42232117162902</v>
      </c>
      <c r="N61" s="164">
        <f>N60*'Assumptions on Steel Plant'!$E$133/365*N11</f>
        <v>124.58008905446613</v>
      </c>
      <c r="O61" s="164">
        <f>O60*'Assumptions on Steel Plant'!$E$133/365*O11</f>
        <v>112.12208014901954</v>
      </c>
      <c r="P61" s="164">
        <f>P60*'Assumptions on Steel Plant'!$E$133/365*P11</f>
        <v>101.18633753722474</v>
      </c>
    </row>
    <row r="62" spans="2:16" s="67" customFormat="1" ht="20.25" customHeight="1" x14ac:dyDescent="0.25">
      <c r="B62" s="67" t="str">
        <f>"WDV " &amp; "of "&amp; B57</f>
        <v>WDV of Building &amp; Civil Works</v>
      </c>
      <c r="E62" s="71">
        <f>E60-E61</f>
        <v>2606.2466963400002</v>
      </c>
      <c r="F62" s="71">
        <f>F60-F61</f>
        <v>2606.2466963400002</v>
      </c>
      <c r="G62" s="71">
        <f t="shared" ref="G62:P62" si="98">G60-G61</f>
        <v>2345.6220267060003</v>
      </c>
      <c r="H62" s="71">
        <f t="shared" si="98"/>
        <v>2110.4171878636998</v>
      </c>
      <c r="I62" s="71">
        <f t="shared" si="98"/>
        <v>1899.3754690773299</v>
      </c>
      <c r="J62" s="71">
        <f t="shared" si="98"/>
        <v>1709.4379221695967</v>
      </c>
      <c r="K62" s="71">
        <f t="shared" si="98"/>
        <v>1538.494129952637</v>
      </c>
      <c r="L62" s="71">
        <f t="shared" si="98"/>
        <v>1384.2232117162903</v>
      </c>
      <c r="M62" s="71">
        <f t="shared" si="98"/>
        <v>1245.8008905446613</v>
      </c>
      <c r="N62" s="71">
        <f t="shared" si="98"/>
        <v>1121.2208014901953</v>
      </c>
      <c r="O62" s="71">
        <f t="shared" si="98"/>
        <v>1009.0987213411757</v>
      </c>
      <c r="P62" s="71">
        <f t="shared" si="98"/>
        <v>907.912383803951</v>
      </c>
    </row>
    <row r="63" spans="2:16" ht="20.25" customHeight="1" x14ac:dyDescent="0.25">
      <c r="B63" s="140" t="s">
        <v>125</v>
      </c>
      <c r="E63" s="142">
        <f>E25</f>
        <v>11719.010436</v>
      </c>
      <c r="F63" s="142">
        <f>F25</f>
        <v>11719.722536000001</v>
      </c>
      <c r="G63" s="142">
        <f>E68</f>
        <v>9961.052055600001</v>
      </c>
      <c r="H63" s="142">
        <f t="shared" ref="H63:P63" si="99">G68</f>
        <v>7768.7270144235627</v>
      </c>
      <c r="I63" s="142">
        <f t="shared" si="99"/>
        <v>6600.2253347198548</v>
      </c>
      <c r="J63" s="142">
        <f t="shared" si="99"/>
        <v>5610.1915345118769</v>
      </c>
      <c r="K63" s="142">
        <f t="shared" si="99"/>
        <v>4768.6628043350956</v>
      </c>
      <c r="L63" s="142">
        <f t="shared" si="99"/>
        <v>4053.3633836848312</v>
      </c>
      <c r="M63" s="142">
        <f t="shared" si="99"/>
        <v>3443.6931103579896</v>
      </c>
      <c r="N63" s="142">
        <f t="shared" si="99"/>
        <v>2927.1391438042911</v>
      </c>
      <c r="O63" s="142">
        <f t="shared" si="99"/>
        <v>2488.0682722336473</v>
      </c>
      <c r="P63" s="142">
        <f t="shared" si="99"/>
        <v>2114.8580313986004</v>
      </c>
    </row>
    <row r="64" spans="2:16" ht="20.25" customHeight="1" x14ac:dyDescent="0.25">
      <c r="B64" s="158" t="s">
        <v>466</v>
      </c>
      <c r="C64" s="158"/>
      <c r="E64" s="142">
        <f t="shared" ref="E64:P64" si="100">E26</f>
        <v>0.71209999999999996</v>
      </c>
      <c r="F64" s="142">
        <f t="shared" ref="F64" si="101">F26</f>
        <v>0</v>
      </c>
      <c r="G64" s="142">
        <f t="shared" si="100"/>
        <v>13033.44</v>
      </c>
      <c r="H64" s="142">
        <f t="shared" si="100"/>
        <v>0</v>
      </c>
      <c r="I64" s="142">
        <f t="shared" si="100"/>
        <v>0</v>
      </c>
      <c r="J64" s="142">
        <f t="shared" si="100"/>
        <v>0</v>
      </c>
      <c r="K64" s="142">
        <f t="shared" si="100"/>
        <v>0</v>
      </c>
      <c r="L64" s="142">
        <f t="shared" si="100"/>
        <v>0</v>
      </c>
      <c r="M64" s="142">
        <f t="shared" si="100"/>
        <v>0</v>
      </c>
      <c r="N64" s="142">
        <f t="shared" si="100"/>
        <v>0</v>
      </c>
      <c r="O64" s="142">
        <f t="shared" si="100"/>
        <v>0</v>
      </c>
      <c r="P64" s="142">
        <f t="shared" si="100"/>
        <v>0</v>
      </c>
    </row>
    <row r="65" spans="2:16" ht="20.25" customHeight="1" x14ac:dyDescent="0.25">
      <c r="B65" s="158" t="s">
        <v>467</v>
      </c>
      <c r="C65" s="158"/>
      <c r="E65" s="142">
        <f t="shared" ref="E65:P65" si="102">E27</f>
        <v>0</v>
      </c>
      <c r="F65" s="142">
        <f t="shared" ref="F65" si="103">F27</f>
        <v>0</v>
      </c>
      <c r="G65" s="142">
        <f t="shared" si="102"/>
        <v>0</v>
      </c>
      <c r="H65" s="142">
        <f t="shared" si="102"/>
        <v>0</v>
      </c>
      <c r="I65" s="142">
        <f t="shared" si="102"/>
        <v>0</v>
      </c>
      <c r="J65" s="142">
        <f t="shared" si="102"/>
        <v>0</v>
      </c>
      <c r="K65" s="142">
        <f t="shared" si="102"/>
        <v>0</v>
      </c>
      <c r="L65" s="142">
        <f t="shared" si="102"/>
        <v>0</v>
      </c>
      <c r="M65" s="142">
        <f t="shared" si="102"/>
        <v>0</v>
      </c>
      <c r="N65" s="142">
        <f t="shared" si="102"/>
        <v>0</v>
      </c>
      <c r="O65" s="142">
        <f t="shared" si="102"/>
        <v>0</v>
      </c>
      <c r="P65" s="142">
        <f t="shared" si="102"/>
        <v>0</v>
      </c>
    </row>
    <row r="66" spans="2:16" ht="20.25" customHeight="1" x14ac:dyDescent="0.25">
      <c r="B66" s="140" t="s">
        <v>468</v>
      </c>
      <c r="E66" s="142">
        <f>E63+E64-E65</f>
        <v>11719.722536000001</v>
      </c>
      <c r="F66" s="142">
        <f>F63+F64-F65</f>
        <v>11719.722536000001</v>
      </c>
      <c r="G66" s="142">
        <f t="shared" ref="G66" si="104">G63+G64-G65</f>
        <v>22994.4920556</v>
      </c>
      <c r="H66" s="142">
        <f t="shared" ref="H66" si="105">H63+H64-H65</f>
        <v>7768.7270144235627</v>
      </c>
      <c r="I66" s="142">
        <f t="shared" ref="I66" si="106">I63+I64-I65</f>
        <v>6600.2253347198548</v>
      </c>
      <c r="J66" s="142">
        <f t="shared" ref="J66" si="107">J63+J64-J65</f>
        <v>5610.1915345118769</v>
      </c>
      <c r="K66" s="142">
        <f t="shared" ref="K66" si="108">K63+K64-K65</f>
        <v>4768.6628043350956</v>
      </c>
      <c r="L66" s="142">
        <f t="shared" ref="L66" si="109">L63+L64-L65</f>
        <v>4053.3633836848312</v>
      </c>
      <c r="M66" s="142">
        <f t="shared" ref="M66" si="110">M63+M64-M65</f>
        <v>3443.6931103579896</v>
      </c>
      <c r="N66" s="142">
        <f t="shared" ref="N66" si="111">N63+N64-N65</f>
        <v>2927.1391438042911</v>
      </c>
      <c r="O66" s="142">
        <f t="shared" ref="O66" si="112">O63+O64-O65</f>
        <v>2488.0682722336473</v>
      </c>
      <c r="P66" s="142">
        <f t="shared" ref="P66" si="113">P63+P64-P65</f>
        <v>2114.8580313986004</v>
      </c>
    </row>
    <row r="67" spans="2:16" ht="20.25" customHeight="1" x14ac:dyDescent="0.25">
      <c r="B67" s="163" t="str">
        <f>"Depreciation " &amp; B63</f>
        <v>Depreciation Plant &amp; Machinery</v>
      </c>
      <c r="C67" s="163"/>
      <c r="D67" s="163"/>
      <c r="E67" s="164">
        <f>E66*'Assumptions on Steel Plant'!$E$134/365*E11</f>
        <v>1757.9583804000001</v>
      </c>
      <c r="F67" s="164">
        <f>F66*'Assumptions on Steel Plant'!$E$134/365*F11</f>
        <v>1757.9583804000001</v>
      </c>
      <c r="G67" s="164">
        <f>G63*'Assumptions on Steel Plant'!$E$133/365*G$11+G64*'Assumptions on Steel Plant'!$E$133/365*335</f>
        <v>2192.3250411764384</v>
      </c>
      <c r="H67" s="164">
        <f>H66*'Assumptions on Steel Plant'!$E$134/365*H11</f>
        <v>1168.5016797037083</v>
      </c>
      <c r="I67" s="164">
        <f>I66*'Assumptions on Steel Plant'!$E$134/365*I11</f>
        <v>990.03380020797817</v>
      </c>
      <c r="J67" s="164">
        <f>J66*'Assumptions on Steel Plant'!$E$134/365*J11</f>
        <v>841.52873017678144</v>
      </c>
      <c r="K67" s="164">
        <f>K66*'Assumptions on Steel Plant'!$E$134/365*K11</f>
        <v>715.29942065026432</v>
      </c>
      <c r="L67" s="164">
        <f>L66*'Assumptions on Steel Plant'!$E$134/365*L11</f>
        <v>609.67027332684177</v>
      </c>
      <c r="M67" s="164">
        <f>M66*'Assumptions on Steel Plant'!$E$134/365*M11</f>
        <v>516.55396655369839</v>
      </c>
      <c r="N67" s="164">
        <f>N66*'Assumptions on Steel Plant'!$E$134/365*N11</f>
        <v>439.07087157064365</v>
      </c>
      <c r="O67" s="164">
        <f>O66*'Assumptions on Steel Plant'!$E$134/365*O11</f>
        <v>373.2102408350471</v>
      </c>
      <c r="P67" s="164">
        <f>P66*'Assumptions on Steel Plant'!$E$134/365*P11</f>
        <v>318.09782444872098</v>
      </c>
    </row>
    <row r="68" spans="2:16" s="67" customFormat="1" ht="20.25" customHeight="1" x14ac:dyDescent="0.25">
      <c r="B68" s="67" t="str">
        <f>"WDV " &amp; "of "&amp; B63</f>
        <v>WDV of Plant &amp; Machinery</v>
      </c>
      <c r="E68" s="71">
        <f>E63-E67</f>
        <v>9961.052055600001</v>
      </c>
      <c r="F68" s="71">
        <f>F63-F67</f>
        <v>9961.7641556000017</v>
      </c>
      <c r="G68" s="71">
        <f>G63-G67</f>
        <v>7768.7270144235627</v>
      </c>
      <c r="H68" s="71">
        <f>H63-H67</f>
        <v>6600.2253347198548</v>
      </c>
      <c r="I68" s="71">
        <f>I63-I67</f>
        <v>5610.1915345118769</v>
      </c>
      <c r="J68" s="71">
        <f t="shared" ref="J68:P68" si="114">J63-J67</f>
        <v>4768.6628043350956</v>
      </c>
      <c r="K68" s="71">
        <f t="shared" si="114"/>
        <v>4053.3633836848312</v>
      </c>
      <c r="L68" s="71">
        <f t="shared" si="114"/>
        <v>3443.6931103579896</v>
      </c>
      <c r="M68" s="71">
        <f t="shared" si="114"/>
        <v>2927.1391438042911</v>
      </c>
      <c r="N68" s="71">
        <f t="shared" si="114"/>
        <v>2488.0682722336473</v>
      </c>
      <c r="O68" s="71">
        <f t="shared" si="114"/>
        <v>2114.8580313986004</v>
      </c>
      <c r="P68" s="71">
        <f t="shared" si="114"/>
        <v>1796.7602069498794</v>
      </c>
    </row>
    <row r="69" spans="2:16" ht="20.25" customHeight="1" x14ac:dyDescent="0.25">
      <c r="B69" s="140" t="s">
        <v>151</v>
      </c>
      <c r="E69" s="142">
        <f>E30</f>
        <v>453.05797970000003</v>
      </c>
      <c r="F69" s="142">
        <f>F30</f>
        <v>461.33018970000001</v>
      </c>
      <c r="G69" s="142">
        <f>F74</f>
        <v>415.19717073000004</v>
      </c>
      <c r="H69" s="142">
        <f t="shared" ref="H69:P69" si="115">G74</f>
        <v>373.677453657</v>
      </c>
      <c r="I69" s="142">
        <f t="shared" si="115"/>
        <v>336.20733090673644</v>
      </c>
      <c r="J69" s="142">
        <f t="shared" si="115"/>
        <v>302.58659781606281</v>
      </c>
      <c r="K69" s="142">
        <f t="shared" si="115"/>
        <v>272.32793803445651</v>
      </c>
      <c r="L69" s="142">
        <f t="shared" si="115"/>
        <v>245.09514423101086</v>
      </c>
      <c r="M69" s="142">
        <f t="shared" si="115"/>
        <v>220.51848045332594</v>
      </c>
      <c r="N69" s="142">
        <f t="shared" si="115"/>
        <v>198.46663240799333</v>
      </c>
      <c r="O69" s="142">
        <f t="shared" si="115"/>
        <v>178.619969167194</v>
      </c>
      <c r="P69" s="142">
        <f t="shared" si="115"/>
        <v>160.75797225047461</v>
      </c>
    </row>
    <row r="70" spans="2:16" ht="20.25" customHeight="1" x14ac:dyDescent="0.25">
      <c r="B70" s="158" t="s">
        <v>466</v>
      </c>
      <c r="C70" s="158"/>
      <c r="E70" s="142">
        <f t="shared" ref="E70:P70" si="116">E31</f>
        <v>8.2722099999999994</v>
      </c>
      <c r="F70" s="142">
        <f t="shared" ref="F70:G70" si="117">F31</f>
        <v>0</v>
      </c>
      <c r="G70" s="142">
        <f t="shared" si="117"/>
        <v>0</v>
      </c>
      <c r="H70" s="142">
        <f t="shared" si="116"/>
        <v>0</v>
      </c>
      <c r="I70" s="142">
        <f t="shared" si="116"/>
        <v>0</v>
      </c>
      <c r="J70" s="142">
        <f t="shared" si="116"/>
        <v>0</v>
      </c>
      <c r="K70" s="142">
        <f t="shared" si="116"/>
        <v>0</v>
      </c>
      <c r="L70" s="142">
        <f t="shared" si="116"/>
        <v>0</v>
      </c>
      <c r="M70" s="142">
        <f t="shared" si="116"/>
        <v>0</v>
      </c>
      <c r="N70" s="142">
        <f t="shared" si="116"/>
        <v>0</v>
      </c>
      <c r="O70" s="142">
        <f t="shared" si="116"/>
        <v>0</v>
      </c>
      <c r="P70" s="142">
        <f t="shared" si="116"/>
        <v>0</v>
      </c>
    </row>
    <row r="71" spans="2:16" ht="20.25" customHeight="1" x14ac:dyDescent="0.25">
      <c r="B71" s="158" t="s">
        <v>467</v>
      </c>
      <c r="C71" s="158"/>
      <c r="E71" s="142">
        <f t="shared" ref="E71:P71" si="118">E32</f>
        <v>0</v>
      </c>
      <c r="F71" s="142">
        <f t="shared" ref="F71" si="119">F32</f>
        <v>0</v>
      </c>
      <c r="G71" s="142">
        <f t="shared" si="118"/>
        <v>0</v>
      </c>
      <c r="H71" s="142">
        <f t="shared" si="118"/>
        <v>0</v>
      </c>
      <c r="I71" s="142">
        <f t="shared" si="118"/>
        <v>0</v>
      </c>
      <c r="J71" s="142">
        <f t="shared" si="118"/>
        <v>0</v>
      </c>
      <c r="K71" s="142">
        <f t="shared" si="118"/>
        <v>0</v>
      </c>
      <c r="L71" s="142">
        <f t="shared" si="118"/>
        <v>0</v>
      </c>
      <c r="M71" s="142">
        <f t="shared" si="118"/>
        <v>0</v>
      </c>
      <c r="N71" s="142">
        <f t="shared" si="118"/>
        <v>0</v>
      </c>
      <c r="O71" s="142">
        <f t="shared" si="118"/>
        <v>0</v>
      </c>
      <c r="P71" s="142">
        <f t="shared" si="118"/>
        <v>0</v>
      </c>
    </row>
    <row r="72" spans="2:16" ht="20.25" customHeight="1" x14ac:dyDescent="0.25">
      <c r="B72" s="140" t="s">
        <v>468</v>
      </c>
      <c r="E72" s="142">
        <f>E69+E70-E71</f>
        <v>461.33018970000001</v>
      </c>
      <c r="F72" s="142">
        <f>F69+F70-F71</f>
        <v>461.33018970000001</v>
      </c>
      <c r="G72" s="142">
        <f t="shared" ref="G72" si="120">G69+G70-G71</f>
        <v>415.19717073000004</v>
      </c>
      <c r="H72" s="142">
        <f t="shared" ref="H72" si="121">H69+H70-H71</f>
        <v>373.677453657</v>
      </c>
      <c r="I72" s="142">
        <f t="shared" ref="I72" si="122">I69+I70-I71</f>
        <v>336.20733090673644</v>
      </c>
      <c r="J72" s="142">
        <f t="shared" ref="J72" si="123">J69+J70-J71</f>
        <v>302.58659781606281</v>
      </c>
      <c r="K72" s="142">
        <f t="shared" ref="K72" si="124">K69+K70-K71</f>
        <v>272.32793803445651</v>
      </c>
      <c r="L72" s="142">
        <f t="shared" ref="L72" si="125">L69+L70-L71</f>
        <v>245.09514423101086</v>
      </c>
      <c r="M72" s="142">
        <f t="shared" ref="M72" si="126">M69+M70-M71</f>
        <v>220.51848045332594</v>
      </c>
      <c r="N72" s="142">
        <f t="shared" ref="N72" si="127">N69+N70-N71</f>
        <v>198.46663240799333</v>
      </c>
      <c r="O72" s="142">
        <f t="shared" ref="O72" si="128">O69+O70-O71</f>
        <v>178.619969167194</v>
      </c>
      <c r="P72" s="142">
        <f t="shared" ref="P72" si="129">P69+P70-P71</f>
        <v>160.75797225047461</v>
      </c>
    </row>
    <row r="73" spans="2:16" ht="20.25" customHeight="1" x14ac:dyDescent="0.25">
      <c r="B73" s="163" t="str">
        <f>"Depreciation " &amp; B69</f>
        <v>Depreciation Electricity Connection &amp; Infrastructure</v>
      </c>
      <c r="C73" s="163"/>
      <c r="D73" s="163"/>
      <c r="E73" s="164">
        <f>E72*'Assumptions on Steel Plant'!$E$135/365*E11</f>
        <v>46.133018969999995</v>
      </c>
      <c r="F73" s="164">
        <f>F72*'Assumptions on Steel Plant'!$E$135/365*F11</f>
        <v>46.133018969999995</v>
      </c>
      <c r="G73" s="164">
        <f>G72*'Assumptions on Steel Plant'!$E$135/365*G11</f>
        <v>41.51971707300001</v>
      </c>
      <c r="H73" s="164">
        <f>H72*'Assumptions on Steel Plant'!$E$135/365*H11</f>
        <v>37.470122750263563</v>
      </c>
      <c r="I73" s="164">
        <f>I72*'Assumptions on Steel Plant'!$E$135/365*I11</f>
        <v>33.620733090673646</v>
      </c>
      <c r="J73" s="164">
        <f>J72*'Assumptions on Steel Plant'!$E$135/365*J11</f>
        <v>30.258659781606283</v>
      </c>
      <c r="K73" s="164">
        <f>K72*'Assumptions on Steel Plant'!$E$135/365*K11</f>
        <v>27.232793803445656</v>
      </c>
      <c r="L73" s="164">
        <f>L72*'Assumptions on Steel Plant'!$E$135/365*L11</f>
        <v>24.576663777684928</v>
      </c>
      <c r="M73" s="164">
        <f>M72*'Assumptions on Steel Plant'!$E$135/365*M11</f>
        <v>22.051848045332594</v>
      </c>
      <c r="N73" s="164">
        <f>N72*'Assumptions on Steel Plant'!$E$135/365*N11</f>
        <v>19.846663240799334</v>
      </c>
      <c r="O73" s="164">
        <f>O72*'Assumptions on Steel Plant'!$E$135/365*O11</f>
        <v>17.861996916719402</v>
      </c>
      <c r="P73" s="164">
        <f>P72*'Assumptions on Steel Plant'!$E$135/365*P11</f>
        <v>16.119840505116088</v>
      </c>
    </row>
    <row r="74" spans="2:16" s="67" customFormat="1" ht="20.25" customHeight="1" x14ac:dyDescent="0.25">
      <c r="B74" s="67" t="str">
        <f>"WDV " &amp; "of "&amp; B69</f>
        <v>WDV of Electricity Connection &amp; Infrastructure</v>
      </c>
      <c r="E74" s="71">
        <f>E69-E73</f>
        <v>406.92496073000007</v>
      </c>
      <c r="F74" s="71">
        <f>F69-F73</f>
        <v>415.19717073000004</v>
      </c>
      <c r="G74" s="71">
        <f>G69-G73</f>
        <v>373.677453657</v>
      </c>
      <c r="H74" s="71">
        <f>H69-H73</f>
        <v>336.20733090673644</v>
      </c>
      <c r="I74" s="71">
        <f t="shared" ref="I74:P74" si="130">I69-I73</f>
        <v>302.58659781606281</v>
      </c>
      <c r="J74" s="71">
        <f t="shared" si="130"/>
        <v>272.32793803445651</v>
      </c>
      <c r="K74" s="71">
        <f t="shared" si="130"/>
        <v>245.09514423101086</v>
      </c>
      <c r="L74" s="71">
        <f t="shared" si="130"/>
        <v>220.51848045332594</v>
      </c>
      <c r="M74" s="71">
        <f t="shared" si="130"/>
        <v>198.46663240799333</v>
      </c>
      <c r="N74" s="71">
        <f t="shared" si="130"/>
        <v>178.619969167194</v>
      </c>
      <c r="O74" s="71">
        <f t="shared" si="130"/>
        <v>160.75797225047461</v>
      </c>
      <c r="P74" s="71">
        <f t="shared" si="130"/>
        <v>144.63813174535852</v>
      </c>
    </row>
    <row r="75" spans="2:16" ht="20.25" customHeight="1" x14ac:dyDescent="0.25">
      <c r="B75" s="140" t="s">
        <v>5</v>
      </c>
      <c r="E75" s="142">
        <f>E35</f>
        <v>218.89877949999999</v>
      </c>
      <c r="F75" s="142">
        <f>F35</f>
        <v>218.89877949999999</v>
      </c>
      <c r="G75" s="142">
        <f>E80</f>
        <v>153.22914564999999</v>
      </c>
      <c r="H75" s="142">
        <f t="shared" ref="H75:P75" si="131">G80</f>
        <v>107.26040195499999</v>
      </c>
      <c r="I75" s="142">
        <f t="shared" si="131"/>
        <v>74.994122134016436</v>
      </c>
      <c r="J75" s="142">
        <f t="shared" si="131"/>
        <v>52.495885493811507</v>
      </c>
      <c r="K75" s="142">
        <f t="shared" si="131"/>
        <v>36.747119845668053</v>
      </c>
      <c r="L75" s="142">
        <f t="shared" si="131"/>
        <v>25.722983891967637</v>
      </c>
      <c r="M75" s="142">
        <f t="shared" si="131"/>
        <v>17.984946545836003</v>
      </c>
      <c r="N75" s="142">
        <f t="shared" si="131"/>
        <v>12.589462582085202</v>
      </c>
      <c r="O75" s="142">
        <f t="shared" si="131"/>
        <v>8.8126238074596408</v>
      </c>
      <c r="P75" s="142">
        <f t="shared" si="131"/>
        <v>6.1688366652217486</v>
      </c>
    </row>
    <row r="76" spans="2:16" ht="20.25" customHeight="1" x14ac:dyDescent="0.25">
      <c r="B76" s="158" t="s">
        <v>466</v>
      </c>
      <c r="C76" s="158"/>
      <c r="E76" s="142">
        <f t="shared" ref="E76:P76" si="132">E36</f>
        <v>0</v>
      </c>
      <c r="F76" s="142">
        <f t="shared" ref="F76" si="133">F36</f>
        <v>0</v>
      </c>
      <c r="G76" s="142">
        <f t="shared" si="132"/>
        <v>0</v>
      </c>
      <c r="H76" s="142">
        <f t="shared" si="132"/>
        <v>0</v>
      </c>
      <c r="I76" s="142">
        <f t="shared" si="132"/>
        <v>0</v>
      </c>
      <c r="J76" s="142">
        <f t="shared" si="132"/>
        <v>0</v>
      </c>
      <c r="K76" s="142">
        <f t="shared" si="132"/>
        <v>0</v>
      </c>
      <c r="L76" s="142">
        <f t="shared" si="132"/>
        <v>0</v>
      </c>
      <c r="M76" s="142">
        <f t="shared" si="132"/>
        <v>0</v>
      </c>
      <c r="N76" s="142">
        <f t="shared" si="132"/>
        <v>0</v>
      </c>
      <c r="O76" s="142">
        <f t="shared" si="132"/>
        <v>0</v>
      </c>
      <c r="P76" s="142">
        <f t="shared" si="132"/>
        <v>0</v>
      </c>
    </row>
    <row r="77" spans="2:16" ht="20.25" customHeight="1" x14ac:dyDescent="0.25">
      <c r="B77" s="158" t="s">
        <v>467</v>
      </c>
      <c r="C77" s="158"/>
      <c r="E77" s="142">
        <f t="shared" ref="E77:P77" si="134">E37</f>
        <v>0</v>
      </c>
      <c r="F77" s="142">
        <f t="shared" ref="F77" si="135">F37</f>
        <v>0</v>
      </c>
      <c r="G77" s="142">
        <f t="shared" si="134"/>
        <v>0</v>
      </c>
      <c r="H77" s="142">
        <f t="shared" si="134"/>
        <v>0</v>
      </c>
      <c r="I77" s="142">
        <f t="shared" si="134"/>
        <v>0</v>
      </c>
      <c r="J77" s="142">
        <f t="shared" si="134"/>
        <v>0</v>
      </c>
      <c r="K77" s="142">
        <f t="shared" si="134"/>
        <v>0</v>
      </c>
      <c r="L77" s="142">
        <f t="shared" si="134"/>
        <v>0</v>
      </c>
      <c r="M77" s="142">
        <f t="shared" si="134"/>
        <v>0</v>
      </c>
      <c r="N77" s="142">
        <f t="shared" si="134"/>
        <v>0</v>
      </c>
      <c r="O77" s="142">
        <f t="shared" si="134"/>
        <v>0</v>
      </c>
      <c r="P77" s="142">
        <f t="shared" si="134"/>
        <v>0</v>
      </c>
    </row>
    <row r="78" spans="2:16" ht="20.25" customHeight="1" x14ac:dyDescent="0.25">
      <c r="B78" s="140" t="s">
        <v>468</v>
      </c>
      <c r="E78" s="142">
        <f>E75+E76-E77</f>
        <v>218.89877949999999</v>
      </c>
      <c r="F78" s="142">
        <f>F75+F76-F77</f>
        <v>218.89877949999999</v>
      </c>
      <c r="G78" s="142">
        <f t="shared" ref="G78" si="136">G75+G76-G77</f>
        <v>153.22914564999999</v>
      </c>
      <c r="H78" s="142">
        <f t="shared" ref="H78" si="137">H75+H76-H77</f>
        <v>107.26040195499999</v>
      </c>
      <c r="I78" s="142">
        <f t="shared" ref="I78" si="138">I75+I76-I77</f>
        <v>74.994122134016436</v>
      </c>
      <c r="J78" s="142">
        <f t="shared" ref="J78" si="139">J75+J76-J77</f>
        <v>52.495885493811507</v>
      </c>
      <c r="K78" s="142">
        <f t="shared" ref="K78" si="140">K75+K76-K77</f>
        <v>36.747119845668053</v>
      </c>
      <c r="L78" s="142">
        <f t="shared" ref="L78" si="141">L75+L76-L77</f>
        <v>25.722983891967637</v>
      </c>
      <c r="M78" s="142">
        <f t="shared" ref="M78" si="142">M75+M76-M77</f>
        <v>17.984946545836003</v>
      </c>
      <c r="N78" s="142">
        <f t="shared" ref="N78" si="143">N75+N76-N77</f>
        <v>12.589462582085202</v>
      </c>
      <c r="O78" s="142">
        <f t="shared" ref="O78" si="144">O75+O76-O77</f>
        <v>8.8126238074596408</v>
      </c>
      <c r="P78" s="142">
        <f t="shared" ref="P78" si="145">P75+P76-P77</f>
        <v>6.1688366652217486</v>
      </c>
    </row>
    <row r="79" spans="2:16" ht="20.25" customHeight="1" x14ac:dyDescent="0.25">
      <c r="B79" s="163" t="str">
        <f>"Depreciation " &amp; B75</f>
        <v>Depreciation Vehicles</v>
      </c>
      <c r="C79" s="163"/>
      <c r="D79" s="163"/>
      <c r="E79" s="164">
        <f>E78*'Assumptions on Steel Plant'!$E$136/365*E11</f>
        <v>65.669633849999997</v>
      </c>
      <c r="F79" s="164">
        <f>F78*'Assumptions on Steel Plant'!$E$136/365*F11</f>
        <v>65.669633849999997</v>
      </c>
      <c r="G79" s="164">
        <f>G78*'Assumptions on Steel Plant'!$E$136/365*G11</f>
        <v>45.968743695000001</v>
      </c>
      <c r="H79" s="164">
        <f>H78*'Assumptions on Steel Plant'!$E$136/365*H11</f>
        <v>32.266279820983556</v>
      </c>
      <c r="I79" s="164">
        <f>I78*'Assumptions on Steel Plant'!$E$136/365*I11</f>
        <v>22.498236640204929</v>
      </c>
      <c r="J79" s="164">
        <f>J78*'Assumptions on Steel Plant'!$E$136/365*J11</f>
        <v>15.748765648143451</v>
      </c>
      <c r="K79" s="164">
        <f>K78*'Assumptions on Steel Plant'!$E$136/365*K11</f>
        <v>11.024135953700416</v>
      </c>
      <c r="L79" s="164">
        <f>L78*'Assumptions on Steel Plant'!$E$136/365*L11</f>
        <v>7.7380373461316339</v>
      </c>
      <c r="M79" s="164">
        <f>M78*'Assumptions on Steel Plant'!$E$136/365*M11</f>
        <v>5.3954839637508005</v>
      </c>
      <c r="N79" s="164">
        <f>N78*'Assumptions on Steel Plant'!$E$136/365*N11</f>
        <v>3.7768387746255607</v>
      </c>
      <c r="O79" s="164">
        <f>O78*'Assumptions on Steel Plant'!$E$136/365*O11</f>
        <v>2.6437871422378922</v>
      </c>
      <c r="P79" s="164">
        <f>P78*'Assumptions on Steel Plant'!$E$136/365*P11</f>
        <v>1.8557212762776658</v>
      </c>
    </row>
    <row r="80" spans="2:16" s="67" customFormat="1" ht="20.25" customHeight="1" x14ac:dyDescent="0.25">
      <c r="B80" s="67" t="str">
        <f>"WDV " &amp; "of "&amp; B75</f>
        <v>WDV of Vehicles</v>
      </c>
      <c r="E80" s="71">
        <f>E75-E79</f>
        <v>153.22914564999999</v>
      </c>
      <c r="F80" s="71">
        <f>F75-F79</f>
        <v>153.22914564999999</v>
      </c>
      <c r="G80" s="71">
        <f>G75-G79</f>
        <v>107.26040195499999</v>
      </c>
      <c r="H80" s="71">
        <f>H75-H79</f>
        <v>74.994122134016436</v>
      </c>
      <c r="I80" s="71">
        <f t="shared" ref="I80:P80" si="146">I75-I79</f>
        <v>52.495885493811507</v>
      </c>
      <c r="J80" s="71">
        <f t="shared" si="146"/>
        <v>36.747119845668053</v>
      </c>
      <c r="K80" s="71">
        <f t="shared" si="146"/>
        <v>25.722983891967637</v>
      </c>
      <c r="L80" s="71">
        <f t="shared" si="146"/>
        <v>17.984946545836003</v>
      </c>
      <c r="M80" s="71">
        <f t="shared" si="146"/>
        <v>12.589462582085202</v>
      </c>
      <c r="N80" s="71">
        <f t="shared" si="146"/>
        <v>8.8126238074596408</v>
      </c>
      <c r="O80" s="71">
        <f t="shared" si="146"/>
        <v>6.1688366652217486</v>
      </c>
      <c r="P80" s="71">
        <f t="shared" si="146"/>
        <v>4.313115388944083</v>
      </c>
    </row>
    <row r="81" spans="2:16" ht="20.25" customHeight="1" x14ac:dyDescent="0.25">
      <c r="B81" s="140" t="s">
        <v>152</v>
      </c>
      <c r="E81" s="142">
        <f>E40</f>
        <v>245.9171365</v>
      </c>
      <c r="F81" s="142">
        <f>F40</f>
        <v>247.2271365</v>
      </c>
      <c r="G81" s="142">
        <f>E86</f>
        <v>147.02628189999999</v>
      </c>
      <c r="H81" s="142">
        <f t="shared" ref="H81:P81" si="147">G86</f>
        <v>88.215769139999992</v>
      </c>
      <c r="I81" s="142">
        <f t="shared" si="147"/>
        <v>52.832786668504099</v>
      </c>
      <c r="J81" s="142">
        <f t="shared" si="147"/>
        <v>31.699672001102456</v>
      </c>
      <c r="K81" s="142">
        <f t="shared" si="147"/>
        <v>19.019803200661471</v>
      </c>
      <c r="L81" s="142">
        <f t="shared" si="147"/>
        <v>11.411881920396883</v>
      </c>
      <c r="M81" s="142">
        <f t="shared" si="147"/>
        <v>6.8346229802705709</v>
      </c>
      <c r="N81" s="142">
        <f t="shared" si="147"/>
        <v>4.1007737881623427</v>
      </c>
      <c r="O81" s="142">
        <f t="shared" si="147"/>
        <v>2.460464272897406</v>
      </c>
      <c r="P81" s="142">
        <f t="shared" si="147"/>
        <v>1.4762785637384437</v>
      </c>
    </row>
    <row r="82" spans="2:16" ht="20.25" customHeight="1" x14ac:dyDescent="0.25">
      <c r="B82" s="158" t="s">
        <v>466</v>
      </c>
      <c r="C82" s="158"/>
      <c r="E82" s="142">
        <f t="shared" ref="E82:P82" si="148">E41</f>
        <v>1.31</v>
      </c>
      <c r="F82" s="142">
        <f t="shared" ref="F82" si="149">F41</f>
        <v>0</v>
      </c>
      <c r="G82" s="142">
        <f t="shared" si="148"/>
        <v>0</v>
      </c>
      <c r="H82" s="142">
        <f t="shared" si="148"/>
        <v>0</v>
      </c>
      <c r="I82" s="142">
        <f t="shared" si="148"/>
        <v>0</v>
      </c>
      <c r="J82" s="142">
        <f t="shared" si="148"/>
        <v>0</v>
      </c>
      <c r="K82" s="142">
        <f t="shared" si="148"/>
        <v>0</v>
      </c>
      <c r="L82" s="142">
        <f t="shared" si="148"/>
        <v>0</v>
      </c>
      <c r="M82" s="142">
        <f t="shared" si="148"/>
        <v>0</v>
      </c>
      <c r="N82" s="142">
        <f t="shared" si="148"/>
        <v>0</v>
      </c>
      <c r="O82" s="142">
        <f t="shared" si="148"/>
        <v>0</v>
      </c>
      <c r="P82" s="142">
        <f t="shared" si="148"/>
        <v>0</v>
      </c>
    </row>
    <row r="83" spans="2:16" ht="20.25" customHeight="1" x14ac:dyDescent="0.25">
      <c r="B83" s="158" t="s">
        <v>467</v>
      </c>
      <c r="C83" s="158"/>
      <c r="E83" s="142">
        <f t="shared" ref="E83:P83" si="150">E42</f>
        <v>0</v>
      </c>
      <c r="F83" s="142">
        <f t="shared" ref="F83" si="151">F42</f>
        <v>0</v>
      </c>
      <c r="G83" s="142">
        <f t="shared" si="150"/>
        <v>0</v>
      </c>
      <c r="H83" s="142">
        <f t="shared" si="150"/>
        <v>0</v>
      </c>
      <c r="I83" s="142">
        <f t="shared" si="150"/>
        <v>0</v>
      </c>
      <c r="J83" s="142">
        <f t="shared" si="150"/>
        <v>0</v>
      </c>
      <c r="K83" s="142">
        <f t="shared" si="150"/>
        <v>0</v>
      </c>
      <c r="L83" s="142">
        <f t="shared" si="150"/>
        <v>0</v>
      </c>
      <c r="M83" s="142">
        <f t="shared" si="150"/>
        <v>0</v>
      </c>
      <c r="N83" s="142">
        <f t="shared" si="150"/>
        <v>0</v>
      </c>
      <c r="O83" s="142">
        <f t="shared" si="150"/>
        <v>0</v>
      </c>
      <c r="P83" s="142">
        <f t="shared" si="150"/>
        <v>0</v>
      </c>
    </row>
    <row r="84" spans="2:16" ht="20.25" customHeight="1" x14ac:dyDescent="0.25">
      <c r="B84" s="140" t="s">
        <v>468</v>
      </c>
      <c r="E84" s="142">
        <f>E81+E82-E83</f>
        <v>247.2271365</v>
      </c>
      <c r="F84" s="142">
        <f>F81+F82-F83</f>
        <v>247.2271365</v>
      </c>
      <c r="G84" s="142">
        <f t="shared" ref="G84" si="152">G81+G82-G83</f>
        <v>147.02628189999999</v>
      </c>
      <c r="H84" s="142">
        <f t="shared" ref="H84" si="153">H81+H82-H83</f>
        <v>88.215769139999992</v>
      </c>
      <c r="I84" s="142">
        <f t="shared" ref="I84" si="154">I81+I82-I83</f>
        <v>52.832786668504099</v>
      </c>
      <c r="J84" s="142">
        <f t="shared" ref="J84" si="155">J81+J82-J83</f>
        <v>31.699672001102456</v>
      </c>
      <c r="K84" s="142">
        <f t="shared" ref="K84" si="156">K81+K82-K83</f>
        <v>19.019803200661471</v>
      </c>
      <c r="L84" s="142">
        <f t="shared" ref="L84" si="157">L81+L82-L83</f>
        <v>11.411881920396883</v>
      </c>
      <c r="M84" s="142">
        <f t="shared" ref="M84" si="158">M81+M82-M83</f>
        <v>6.8346229802705709</v>
      </c>
      <c r="N84" s="142">
        <f t="shared" ref="N84" si="159">N81+N82-N83</f>
        <v>4.1007737881623427</v>
      </c>
      <c r="O84" s="142">
        <f t="shared" ref="O84" si="160">O81+O82-O83</f>
        <v>2.460464272897406</v>
      </c>
      <c r="P84" s="142">
        <f t="shared" ref="P84" si="161">P81+P82-P83</f>
        <v>1.4762785637384437</v>
      </c>
    </row>
    <row r="85" spans="2:16" ht="20.25" customHeight="1" x14ac:dyDescent="0.25">
      <c r="B85" s="163" t="str">
        <f>"Depreciation " &amp; B81</f>
        <v>Depreciation Office equipment</v>
      </c>
      <c r="C85" s="163"/>
      <c r="D85" s="163"/>
      <c r="E85" s="164">
        <f>E84*'Assumptions on Steel Plant'!$E$137/365*E11</f>
        <v>98.890854600000011</v>
      </c>
      <c r="F85" s="164">
        <f>F84*'Assumptions on Steel Plant'!$E$137/365*F11</f>
        <v>98.890854600000011</v>
      </c>
      <c r="G85" s="164">
        <f>G84*'Assumptions on Steel Plant'!$E$137/365*G11</f>
        <v>58.810512759999995</v>
      </c>
      <c r="H85" s="164">
        <f>H84*'Assumptions on Steel Plant'!$E$137/365*H11</f>
        <v>35.382982471495893</v>
      </c>
      <c r="I85" s="164">
        <f>I84*'Assumptions on Steel Plant'!$E$137/365*I11</f>
        <v>21.133114667401642</v>
      </c>
      <c r="J85" s="164">
        <f>J84*'Assumptions on Steel Plant'!$E$137/365*J11</f>
        <v>12.679868800440984</v>
      </c>
      <c r="K85" s="164">
        <f>K84*'Assumptions on Steel Plant'!$E$137/365*K11</f>
        <v>7.6079212802645886</v>
      </c>
      <c r="L85" s="164">
        <f>L84*'Assumptions on Steel Plant'!$E$137/365*L11</f>
        <v>4.5772589401263124</v>
      </c>
      <c r="M85" s="164">
        <f>M84*'Assumptions on Steel Plant'!$E$137/365*M11</f>
        <v>2.7338491921082286</v>
      </c>
      <c r="N85" s="164">
        <f>N84*'Assumptions on Steel Plant'!$E$137/365*N11</f>
        <v>1.640309515264937</v>
      </c>
      <c r="O85" s="164">
        <f>O84*'Assumptions on Steel Plant'!$E$137/365*O11</f>
        <v>0.98418570915896242</v>
      </c>
      <c r="P85" s="164">
        <f>P84*'Assumptions on Steel Plant'!$E$137/365*P11</f>
        <v>0.59212926501728269</v>
      </c>
    </row>
    <row r="86" spans="2:16" s="67" customFormat="1" ht="20.25" customHeight="1" x14ac:dyDescent="0.25">
      <c r="B86" s="67" t="str">
        <f>"WDV " &amp; "of "&amp; B81</f>
        <v>WDV of Office equipment</v>
      </c>
      <c r="E86" s="71">
        <f>E81-E85</f>
        <v>147.02628189999999</v>
      </c>
      <c r="F86" s="71">
        <f>F81-F85</f>
        <v>148.33628189999999</v>
      </c>
      <c r="G86" s="71">
        <f>G81-G85</f>
        <v>88.215769139999992</v>
      </c>
      <c r="H86" s="71">
        <f>H81-H85</f>
        <v>52.832786668504099</v>
      </c>
      <c r="I86" s="71">
        <f t="shared" ref="I86:P86" si="162">I81-I85</f>
        <v>31.699672001102456</v>
      </c>
      <c r="J86" s="71">
        <f t="shared" si="162"/>
        <v>19.019803200661471</v>
      </c>
      <c r="K86" s="71">
        <f t="shared" si="162"/>
        <v>11.411881920396883</v>
      </c>
      <c r="L86" s="71">
        <f t="shared" si="162"/>
        <v>6.8346229802705709</v>
      </c>
      <c r="M86" s="71">
        <f t="shared" si="162"/>
        <v>4.1007737881623427</v>
      </c>
      <c r="N86" s="71">
        <f t="shared" si="162"/>
        <v>2.460464272897406</v>
      </c>
      <c r="O86" s="71">
        <f t="shared" si="162"/>
        <v>1.4762785637384437</v>
      </c>
      <c r="P86" s="71">
        <f t="shared" si="162"/>
        <v>0.88414929872116099</v>
      </c>
    </row>
    <row r="87" spans="2:16" ht="20.25" customHeight="1" x14ac:dyDescent="0.25">
      <c r="B87" s="159" t="s">
        <v>153</v>
      </c>
      <c r="C87" s="159"/>
      <c r="D87" s="159"/>
      <c r="E87" s="160">
        <f>E56+E62+E68+E74+E80+E86</f>
        <v>14328.22589021895</v>
      </c>
      <c r="F87" s="160">
        <f>F56+F62+F68+F74+F80+F86</f>
        <v>14338.520200218949</v>
      </c>
      <c r="G87" s="160">
        <f>G56+G62+G68+G74+G80+G86</f>
        <v>11737.249415880509</v>
      </c>
      <c r="H87" s="160">
        <f>H56+H62+H68+H74+H80+H86</f>
        <v>10228.423512291756</v>
      </c>
      <c r="I87" s="160">
        <f t="shared" ref="I87:P87" si="163">I56+I62+I68+I74+I80+I86</f>
        <v>8950.0959088991331</v>
      </c>
      <c r="J87" s="160">
        <f t="shared" si="163"/>
        <v>7859.9423375844244</v>
      </c>
      <c r="K87" s="160">
        <f t="shared" si="163"/>
        <v>6927.8342736797895</v>
      </c>
      <c r="L87" s="160">
        <f t="shared" si="163"/>
        <v>6127.0011220526549</v>
      </c>
      <c r="M87" s="160">
        <f t="shared" si="163"/>
        <v>5441.8436531261405</v>
      </c>
      <c r="N87" s="160">
        <f t="shared" si="163"/>
        <v>4852.9288809703385</v>
      </c>
      <c r="O87" s="160">
        <f t="shared" si="163"/>
        <v>4346.1065902181572</v>
      </c>
      <c r="P87" s="160">
        <f t="shared" si="163"/>
        <v>3908.2547371857972</v>
      </c>
    </row>
    <row r="88" spans="2:16" ht="20.25" customHeight="1" x14ac:dyDescent="0.25">
      <c r="B88" s="63" t="s">
        <v>154</v>
      </c>
      <c r="C88" s="63"/>
      <c r="D88" s="63"/>
      <c r="E88" s="64">
        <f>E55+E61+E67+E73+E79+E85</f>
        <v>2258.2348540810544</v>
      </c>
      <c r="F88" s="64">
        <f>F55+F61+F67+F73+F79+F85</f>
        <v>2258.2348540810544</v>
      </c>
      <c r="G88" s="64">
        <f>G55+G61+G67+G73+G79+G85</f>
        <v>2599.2486843394918</v>
      </c>
      <c r="H88" s="64">
        <f>H55+H61+H67+H73+H79+H85</f>
        <v>1508.8259035898081</v>
      </c>
      <c r="I88" s="64">
        <f t="shared" ref="I88:P88" si="164">I55+I61+I67+I73+I79+I85</f>
        <v>1278.327603393682</v>
      </c>
      <c r="J88" s="64">
        <f t="shared" si="164"/>
        <v>1090.1535713157589</v>
      </c>
      <c r="K88" s="64">
        <f t="shared" si="164"/>
        <v>932.10806390568848</v>
      </c>
      <c r="L88" s="64">
        <f t="shared" si="164"/>
        <v>800.83315162818792</v>
      </c>
      <c r="M88" s="64">
        <f t="shared" si="164"/>
        <v>685.15746892757272</v>
      </c>
      <c r="N88" s="64">
        <f t="shared" si="164"/>
        <v>588.91477215685336</v>
      </c>
      <c r="O88" s="64">
        <f t="shared" si="164"/>
        <v>506.8222907532367</v>
      </c>
      <c r="P88" s="64">
        <f t="shared" si="164"/>
        <v>437.85185303341336</v>
      </c>
    </row>
    <row r="89" spans="2:16" x14ac:dyDescent="0.25">
      <c r="J89" s="140"/>
    </row>
    <row r="90" spans="2:16" x14ac:dyDescent="0.25">
      <c r="J90" s="140"/>
    </row>
    <row r="91" spans="2:16" x14ac:dyDescent="0.25">
      <c r="J91" s="140"/>
    </row>
    <row r="92" spans="2:16" x14ac:dyDescent="0.25">
      <c r="J92" s="140"/>
    </row>
    <row r="93" spans="2:16" x14ac:dyDescent="0.25">
      <c r="J93" s="140"/>
    </row>
    <row r="94" spans="2:16" x14ac:dyDescent="0.25">
      <c r="J94" s="140"/>
    </row>
    <row r="95" spans="2:16" x14ac:dyDescent="0.25">
      <c r="J95" s="140"/>
    </row>
    <row r="96" spans="2:16" x14ac:dyDescent="0.25">
      <c r="J96" s="140"/>
    </row>
    <row r="97" spans="2:16" x14ac:dyDescent="0.25">
      <c r="J97" s="140"/>
    </row>
    <row r="98" spans="2:16" x14ac:dyDescent="0.25">
      <c r="J98" s="140"/>
    </row>
    <row r="99" spans="2:16" x14ac:dyDescent="0.25">
      <c r="J99" s="140"/>
    </row>
    <row r="100" spans="2:16" x14ac:dyDescent="0.25">
      <c r="J100" s="140"/>
    </row>
    <row r="101" spans="2:16" x14ac:dyDescent="0.25">
      <c r="J101" s="140"/>
    </row>
    <row r="102" spans="2:16" x14ac:dyDescent="0.25">
      <c r="J102" s="140"/>
    </row>
    <row r="103" spans="2:16" x14ac:dyDescent="0.25">
      <c r="J103" s="140"/>
    </row>
    <row r="104" spans="2:16" x14ac:dyDescent="0.25">
      <c r="B104" s="56" t="s">
        <v>198</v>
      </c>
      <c r="C104" s="56"/>
      <c r="D104" s="56"/>
      <c r="E104" s="56"/>
      <c r="F104" s="56"/>
      <c r="G104" s="56"/>
      <c r="H104" s="56"/>
      <c r="I104" s="56"/>
      <c r="J104" s="56"/>
      <c r="K104" s="56"/>
      <c r="L104" s="56"/>
      <c r="M104" s="56"/>
      <c r="N104" s="56"/>
      <c r="O104" s="56"/>
      <c r="P104" s="56"/>
    </row>
    <row r="105" spans="2:16" x14ac:dyDescent="0.25">
      <c r="B105" s="60" t="s">
        <v>0</v>
      </c>
      <c r="C105" s="60"/>
      <c r="D105" s="156">
        <f>D8</f>
        <v>45382</v>
      </c>
      <c r="E105" s="156">
        <f t="shared" ref="E105:G105" si="165">E8</f>
        <v>45747</v>
      </c>
      <c r="F105" s="156"/>
      <c r="G105" s="156">
        <f t="shared" si="165"/>
        <v>46477</v>
      </c>
      <c r="H105" s="157">
        <f>H8</f>
        <v>46843</v>
      </c>
      <c r="I105" s="157">
        <f t="shared" ref="I105:P105" si="166">I8</f>
        <v>47208</v>
      </c>
      <c r="J105" s="157">
        <f t="shared" si="166"/>
        <v>47573</v>
      </c>
      <c r="K105" s="157">
        <f t="shared" si="166"/>
        <v>47938</v>
      </c>
      <c r="L105" s="157">
        <f t="shared" si="166"/>
        <v>48304</v>
      </c>
      <c r="M105" s="157">
        <f t="shared" si="166"/>
        <v>48669</v>
      </c>
      <c r="N105" s="157">
        <f t="shared" si="166"/>
        <v>49034</v>
      </c>
      <c r="O105" s="157">
        <f t="shared" si="166"/>
        <v>49399</v>
      </c>
      <c r="P105" s="157">
        <f t="shared" si="166"/>
        <v>49765</v>
      </c>
    </row>
    <row r="106" spans="2:16" x14ac:dyDescent="0.25">
      <c r="B106" s="140" t="s">
        <v>125</v>
      </c>
      <c r="D106" s="142"/>
      <c r="E106" s="142"/>
      <c r="F106" s="142"/>
      <c r="G106" s="142">
        <f t="shared" ref="G106" si="167">E109</f>
        <v>0</v>
      </c>
      <c r="H106" s="142">
        <f>G113</f>
        <v>11909.175465600001</v>
      </c>
      <c r="I106" s="142">
        <f t="shared" ref="I106:P106" si="168">H113</f>
        <v>10879.075509182105</v>
      </c>
      <c r="J106" s="142">
        <f t="shared" si="168"/>
        <v>9940.6464557600557</v>
      </c>
      <c r="K106" s="142">
        <f t="shared" si="168"/>
        <v>9083.1662924861939</v>
      </c>
      <c r="L106" s="142">
        <f t="shared" si="168"/>
        <v>8299.6523680963346</v>
      </c>
      <c r="M106" s="142">
        <f t="shared" si="168"/>
        <v>7581.7629082126405</v>
      </c>
      <c r="N106" s="142">
        <f t="shared" si="168"/>
        <v>6927.7600397502183</v>
      </c>
      <c r="O106" s="142">
        <f t="shared" si="168"/>
        <v>6330.1714587213646</v>
      </c>
      <c r="P106" s="142">
        <f t="shared" si="168"/>
        <v>5784.1308686920593</v>
      </c>
    </row>
    <row r="107" spans="2:16" x14ac:dyDescent="0.25">
      <c r="B107" s="158" t="s">
        <v>466</v>
      </c>
      <c r="C107" s="158"/>
      <c r="D107" s="142"/>
      <c r="E107" s="142"/>
      <c r="F107" s="142"/>
      <c r="G107" s="142">
        <f>'COP &amp; MOF'!D9</f>
        <v>13033.44</v>
      </c>
      <c r="H107" s="142">
        <v>0</v>
      </c>
      <c r="I107" s="142">
        <v>0</v>
      </c>
      <c r="J107" s="142">
        <v>0</v>
      </c>
      <c r="K107" s="142">
        <v>0</v>
      </c>
      <c r="L107" s="142">
        <v>0</v>
      </c>
      <c r="M107" s="142">
        <v>0</v>
      </c>
      <c r="N107" s="142">
        <v>0</v>
      </c>
      <c r="O107" s="142">
        <v>0</v>
      </c>
      <c r="P107" s="142">
        <v>0</v>
      </c>
    </row>
    <row r="108" spans="2:16" x14ac:dyDescent="0.25">
      <c r="B108" s="158" t="s">
        <v>467</v>
      </c>
      <c r="C108" s="158"/>
      <c r="D108" s="142"/>
      <c r="E108" s="142"/>
      <c r="F108" s="142"/>
      <c r="G108" s="142">
        <v>0</v>
      </c>
      <c r="H108" s="142">
        <v>0</v>
      </c>
      <c r="I108" s="142">
        <v>0</v>
      </c>
      <c r="J108" s="142">
        <v>0</v>
      </c>
      <c r="K108" s="142">
        <v>0</v>
      </c>
      <c r="L108" s="142">
        <v>0</v>
      </c>
      <c r="M108" s="142">
        <v>0</v>
      </c>
      <c r="N108" s="142">
        <v>0</v>
      </c>
      <c r="O108" s="142">
        <v>0</v>
      </c>
      <c r="P108" s="142">
        <v>0</v>
      </c>
    </row>
    <row r="109" spans="2:16" x14ac:dyDescent="0.25">
      <c r="B109" s="140" t="s">
        <v>468</v>
      </c>
      <c r="D109" s="142"/>
      <c r="E109" s="142"/>
      <c r="F109" s="142"/>
      <c r="G109" s="142">
        <f t="shared" ref="G109:P109" si="169">G106+G107-G108</f>
        <v>13033.44</v>
      </c>
      <c r="H109" s="142">
        <f t="shared" si="169"/>
        <v>11909.175465600001</v>
      </c>
      <c r="I109" s="142">
        <f t="shared" si="169"/>
        <v>10879.075509182105</v>
      </c>
      <c r="J109" s="142">
        <f t="shared" si="169"/>
        <v>9940.6464557600557</v>
      </c>
      <c r="K109" s="142">
        <f t="shared" si="169"/>
        <v>9083.1662924861939</v>
      </c>
      <c r="L109" s="142">
        <f t="shared" si="169"/>
        <v>8299.6523680963346</v>
      </c>
      <c r="M109" s="142">
        <f t="shared" si="169"/>
        <v>7581.7629082126405</v>
      </c>
      <c r="N109" s="142">
        <f t="shared" si="169"/>
        <v>6927.7600397502183</v>
      </c>
      <c r="O109" s="142">
        <f t="shared" si="169"/>
        <v>6330.1714587213646</v>
      </c>
      <c r="P109" s="142">
        <f t="shared" si="169"/>
        <v>5784.1308686920593</v>
      </c>
    </row>
    <row r="110" spans="2:16" x14ac:dyDescent="0.25">
      <c r="B110" s="159" t="str">
        <f>" Depreciation " &amp; B106</f>
        <v xml:space="preserve"> Depreciation Plant &amp; Machinery</v>
      </c>
      <c r="C110" s="159"/>
      <c r="D110" s="160"/>
      <c r="E110" s="160"/>
      <c r="F110" s="160"/>
      <c r="G110" s="161">
        <f>(G109-G109*5%)*'Assumptions on Steel Plant'!$D$134/365*G$11</f>
        <v>1124.2645344</v>
      </c>
      <c r="H110" s="161">
        <f>(H109-H109*5%)*'Assumptions on Steel Plant'!$D$134/365*H$11</f>
        <v>1030.0999564178965</v>
      </c>
      <c r="I110" s="161">
        <f>(I109-I109*5%)*'Assumptions on Steel Plant'!$D$134/365*I$11</f>
        <v>938.42905342204836</v>
      </c>
      <c r="J110" s="161">
        <f>(J109-J109*5%)*'Assumptions on Steel Plant'!$D$134/365*J$11</f>
        <v>857.48016327386244</v>
      </c>
      <c r="K110" s="161">
        <f>(K109-K109*5%)*'Assumptions on Steel Plant'!$D$134/365*K$11</f>
        <v>783.51392438985897</v>
      </c>
      <c r="L110" s="161">
        <f>(L109-L109*5%)*'Assumptions on Steel Plant'!$D$134/365*L$11</f>
        <v>717.88945988369392</v>
      </c>
      <c r="M110" s="161">
        <f>(M109-M109*5%)*'Assumptions on Steel Plant'!$D$134/365*M$11</f>
        <v>654.00286846242238</v>
      </c>
      <c r="N110" s="161">
        <f>(N109-N109*5%)*'Assumptions on Steel Plant'!$D$134/365*N$11</f>
        <v>597.58858102885381</v>
      </c>
      <c r="O110" s="161">
        <f>(O109-O109*5%)*'Assumptions on Steel Plant'!$D$134/365*O$11</f>
        <v>546.04059002930501</v>
      </c>
      <c r="P110" s="161">
        <f>(P109-P109*5%)*'Assumptions on Steel Plant'!$D$134/365*P$11</f>
        <v>500.30608525045477</v>
      </c>
    </row>
    <row r="111" spans="2:16" x14ac:dyDescent="0.25">
      <c r="B111" s="63" t="s">
        <v>469</v>
      </c>
      <c r="C111" s="63"/>
      <c r="D111" s="64"/>
      <c r="E111" s="64"/>
      <c r="F111" s="64"/>
      <c r="G111" s="64">
        <f>G109</f>
        <v>13033.44</v>
      </c>
      <c r="H111" s="64">
        <f t="shared" ref="H111:P111" si="170">H109</f>
        <v>11909.175465600001</v>
      </c>
      <c r="I111" s="64">
        <f t="shared" si="170"/>
        <v>10879.075509182105</v>
      </c>
      <c r="J111" s="64">
        <f t="shared" si="170"/>
        <v>9940.6464557600557</v>
      </c>
      <c r="K111" s="64">
        <f t="shared" si="170"/>
        <v>9083.1662924861939</v>
      </c>
      <c r="L111" s="64">
        <f t="shared" si="170"/>
        <v>8299.6523680963346</v>
      </c>
      <c r="M111" s="64">
        <f t="shared" si="170"/>
        <v>7581.7629082126405</v>
      </c>
      <c r="N111" s="64">
        <f t="shared" si="170"/>
        <v>6927.7600397502183</v>
      </c>
      <c r="O111" s="64">
        <f t="shared" si="170"/>
        <v>6330.1714587213646</v>
      </c>
      <c r="P111" s="64">
        <f t="shared" si="170"/>
        <v>5784.1308686920593</v>
      </c>
    </row>
    <row r="112" spans="2:16" x14ac:dyDescent="0.25">
      <c r="B112" s="63" t="s">
        <v>154</v>
      </c>
      <c r="C112" s="63"/>
      <c r="D112" s="64"/>
      <c r="E112" s="64"/>
      <c r="F112" s="64"/>
      <c r="G112" s="64">
        <f>G110</f>
        <v>1124.2645344</v>
      </c>
      <c r="H112" s="64">
        <f t="shared" ref="H112:P112" si="171">H110</f>
        <v>1030.0999564178965</v>
      </c>
      <c r="I112" s="64">
        <f t="shared" si="171"/>
        <v>938.42905342204836</v>
      </c>
      <c r="J112" s="64">
        <f t="shared" si="171"/>
        <v>857.48016327386244</v>
      </c>
      <c r="K112" s="64">
        <f t="shared" si="171"/>
        <v>783.51392438985897</v>
      </c>
      <c r="L112" s="64">
        <f t="shared" si="171"/>
        <v>717.88945988369392</v>
      </c>
      <c r="M112" s="64">
        <f t="shared" si="171"/>
        <v>654.00286846242238</v>
      </c>
      <c r="N112" s="64">
        <f t="shared" si="171"/>
        <v>597.58858102885381</v>
      </c>
      <c r="O112" s="64">
        <f t="shared" si="171"/>
        <v>546.04059002930501</v>
      </c>
      <c r="P112" s="64">
        <f t="shared" si="171"/>
        <v>500.30608525045477</v>
      </c>
    </row>
    <row r="113" spans="2:16" x14ac:dyDescent="0.25">
      <c r="B113" s="63" t="s">
        <v>185</v>
      </c>
      <c r="C113" s="63"/>
      <c r="D113" s="64"/>
      <c r="E113" s="64"/>
      <c r="F113" s="64"/>
      <c r="G113" s="64">
        <f>G111-G112</f>
        <v>11909.175465600001</v>
      </c>
      <c r="H113" s="64">
        <f t="shared" ref="H113:P113" si="172">H111-H112</f>
        <v>10879.075509182105</v>
      </c>
      <c r="I113" s="64">
        <f t="shared" si="172"/>
        <v>9940.6464557600557</v>
      </c>
      <c r="J113" s="64">
        <f t="shared" si="172"/>
        <v>9083.1662924861939</v>
      </c>
      <c r="K113" s="64">
        <f t="shared" si="172"/>
        <v>8299.6523680963346</v>
      </c>
      <c r="L113" s="64">
        <f t="shared" si="172"/>
        <v>7581.7629082126405</v>
      </c>
      <c r="M113" s="64">
        <f t="shared" si="172"/>
        <v>6927.7600397502183</v>
      </c>
      <c r="N113" s="64">
        <f t="shared" si="172"/>
        <v>6330.1714587213646</v>
      </c>
      <c r="O113" s="64">
        <f t="shared" si="172"/>
        <v>5784.1308686920593</v>
      </c>
      <c r="P113" s="64">
        <f t="shared" si="172"/>
        <v>5283.8247834416043</v>
      </c>
    </row>
    <row r="114" spans="2:16" x14ac:dyDescent="0.25">
      <c r="J114" s="140"/>
    </row>
    <row r="115" spans="2:16" x14ac:dyDescent="0.25">
      <c r="G115" s="162"/>
      <c r="I115" s="162">
        <f>I112+387.19</f>
        <v>1325.6190534220484</v>
      </c>
      <c r="J115" s="140"/>
    </row>
    <row r="116" spans="2:16" x14ac:dyDescent="0.25">
      <c r="I116" s="162">
        <f>I115/10^2</f>
        <v>13.256190534220485</v>
      </c>
      <c r="J116" s="140"/>
    </row>
    <row r="117" spans="2:16" x14ac:dyDescent="0.25">
      <c r="J117" s="140"/>
    </row>
    <row r="118" spans="2:16" x14ac:dyDescent="0.25">
      <c r="J118" s="140"/>
    </row>
    <row r="119" spans="2:16" x14ac:dyDescent="0.25">
      <c r="J119" s="140"/>
    </row>
    <row r="120" spans="2:16" x14ac:dyDescent="0.25">
      <c r="J120" s="140"/>
    </row>
    <row r="121" spans="2:16" x14ac:dyDescent="0.25">
      <c r="J121" s="140"/>
    </row>
    <row r="122" spans="2:16" x14ac:dyDescent="0.25">
      <c r="J122" s="140"/>
    </row>
    <row r="123" spans="2:16" x14ac:dyDescent="0.25">
      <c r="J123" s="140"/>
    </row>
    <row r="124" spans="2:16" x14ac:dyDescent="0.25">
      <c r="J124" s="140"/>
    </row>
    <row r="125" spans="2:16" x14ac:dyDescent="0.25">
      <c r="J125" s="140"/>
    </row>
    <row r="126" spans="2:16" x14ac:dyDescent="0.25">
      <c r="J126" s="140"/>
    </row>
    <row r="127" spans="2:16" x14ac:dyDescent="0.25">
      <c r="J127" s="140"/>
    </row>
    <row r="128" spans="2:16" x14ac:dyDescent="0.25">
      <c r="J128" s="140"/>
    </row>
    <row r="129" spans="10:10" x14ac:dyDescent="0.25">
      <c r="J129" s="140"/>
    </row>
    <row r="130" spans="10:10" x14ac:dyDescent="0.25">
      <c r="J130" s="140"/>
    </row>
    <row r="131" spans="10:10" x14ac:dyDescent="0.25">
      <c r="J131" s="140"/>
    </row>
    <row r="132" spans="10:10" x14ac:dyDescent="0.25">
      <c r="J132" s="140"/>
    </row>
    <row r="133" spans="10:10" x14ac:dyDescent="0.25">
      <c r="J133" s="140"/>
    </row>
    <row r="134" spans="10:10" x14ac:dyDescent="0.25">
      <c r="J134" s="140"/>
    </row>
    <row r="135" spans="10:10" x14ac:dyDescent="0.25">
      <c r="J135" s="140"/>
    </row>
    <row r="136" spans="10:10" x14ac:dyDescent="0.25">
      <c r="J136" s="140"/>
    </row>
    <row r="137" spans="10:10" x14ac:dyDescent="0.25">
      <c r="J137" s="140"/>
    </row>
    <row r="138" spans="10:10" x14ac:dyDescent="0.25">
      <c r="J138" s="140"/>
    </row>
    <row r="139" spans="10:10" x14ac:dyDescent="0.25">
      <c r="J139" s="140"/>
    </row>
    <row r="140" spans="10:10" x14ac:dyDescent="0.25">
      <c r="J140" s="140"/>
    </row>
    <row r="141" spans="10:10" x14ac:dyDescent="0.25">
      <c r="J141" s="140"/>
    </row>
    <row r="142" spans="10:10" x14ac:dyDescent="0.25">
      <c r="J142" s="140"/>
    </row>
    <row r="143" spans="10:10" x14ac:dyDescent="0.25">
      <c r="J143" s="140"/>
    </row>
    <row r="144" spans="10:10" x14ac:dyDescent="0.25">
      <c r="J144" s="140"/>
    </row>
    <row r="145" spans="10:10" x14ac:dyDescent="0.25">
      <c r="J145" s="140"/>
    </row>
    <row r="146" spans="10:10" x14ac:dyDescent="0.25">
      <c r="J146" s="140"/>
    </row>
    <row r="147" spans="10:10" x14ac:dyDescent="0.25">
      <c r="J147" s="140"/>
    </row>
    <row r="148" spans="10:10" x14ac:dyDescent="0.25">
      <c r="J148" s="140"/>
    </row>
    <row r="149" spans="10:10" x14ac:dyDescent="0.25">
      <c r="J149" s="140"/>
    </row>
    <row r="150" spans="10:10" x14ac:dyDescent="0.25">
      <c r="J150" s="140"/>
    </row>
    <row r="151" spans="10:10" x14ac:dyDescent="0.25">
      <c r="J151" s="140"/>
    </row>
    <row r="152" spans="10:10" x14ac:dyDescent="0.25">
      <c r="J152" s="140"/>
    </row>
    <row r="153" spans="10:10" x14ac:dyDescent="0.25">
      <c r="J153" s="140"/>
    </row>
    <row r="154" spans="10:10" x14ac:dyDescent="0.25">
      <c r="J154" s="140"/>
    </row>
    <row r="155" spans="10:10" x14ac:dyDescent="0.25">
      <c r="J155" s="140"/>
    </row>
    <row r="156" spans="10:10" x14ac:dyDescent="0.25">
      <c r="J156" s="140"/>
    </row>
    <row r="157" spans="10:10" x14ac:dyDescent="0.25">
      <c r="J157" s="140"/>
    </row>
    <row r="158" spans="10:10" x14ac:dyDescent="0.25">
      <c r="J158" s="140"/>
    </row>
    <row r="159" spans="10:10" x14ac:dyDescent="0.25">
      <c r="J159" s="140"/>
    </row>
    <row r="160" spans="10:10" x14ac:dyDescent="0.25">
      <c r="J160" s="140"/>
    </row>
    <row r="161" spans="10:10" x14ac:dyDescent="0.25">
      <c r="J161" s="140"/>
    </row>
    <row r="162" spans="10:10" x14ac:dyDescent="0.25">
      <c r="J162" s="140"/>
    </row>
    <row r="163" spans="10:10" x14ac:dyDescent="0.25">
      <c r="J163" s="140"/>
    </row>
    <row r="164" spans="10:10" x14ac:dyDescent="0.25">
      <c r="J164" s="140"/>
    </row>
    <row r="165" spans="10:10" x14ac:dyDescent="0.25">
      <c r="J165" s="140"/>
    </row>
    <row r="166" spans="10:10" x14ac:dyDescent="0.25">
      <c r="J166" s="140"/>
    </row>
    <row r="167" spans="10:10" x14ac:dyDescent="0.25">
      <c r="J167" s="140"/>
    </row>
    <row r="168" spans="10:10" x14ac:dyDescent="0.25">
      <c r="J168" s="140"/>
    </row>
    <row r="169" spans="10:10" x14ac:dyDescent="0.25">
      <c r="J169" s="140"/>
    </row>
    <row r="170" spans="10:10" x14ac:dyDescent="0.25">
      <c r="J170" s="140"/>
    </row>
    <row r="171" spans="10:10" x14ac:dyDescent="0.25">
      <c r="J171" s="140"/>
    </row>
    <row r="172" spans="10:10" x14ac:dyDescent="0.25">
      <c r="J172" s="140"/>
    </row>
    <row r="173" spans="10:10" x14ac:dyDescent="0.25">
      <c r="J173" s="140"/>
    </row>
    <row r="174" spans="10:10" x14ac:dyDescent="0.25">
      <c r="J174" s="140"/>
    </row>
    <row r="175" spans="10:10" x14ac:dyDescent="0.25">
      <c r="J175" s="140"/>
    </row>
  </sheetData>
  <pageMargins left="0.7" right="0.7" top="0.75" bottom="0.75" header="0.3" footer="0.3"/>
  <ignoredErrors>
    <ignoredError sqref="K46:P46" formula="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44"/>
  <sheetViews>
    <sheetView showGridLines="0" workbookViewId="0">
      <pane xSplit="2" ySplit="8" topLeftCell="C9" activePane="bottomRight" state="frozen"/>
      <selection activeCell="A9" sqref="A9"/>
      <selection pane="topRight" activeCell="A9" sqref="A9"/>
      <selection pane="bottomLeft" activeCell="A9" sqref="A9"/>
      <selection pane="bottomRight"/>
    </sheetView>
  </sheetViews>
  <sheetFormatPr defaultColWidth="13.7109375" defaultRowHeight="15" x14ac:dyDescent="0.25"/>
  <cols>
    <col min="1" max="1" width="4.5703125" style="140" customWidth="1"/>
    <col min="2" max="2" width="40.7109375" style="140" bestFit="1" customWidth="1"/>
    <col min="3" max="3" width="12.140625" style="140" customWidth="1"/>
    <col min="4" max="15" width="14.5703125" style="140" customWidth="1"/>
    <col min="16" max="16" width="0" style="140" hidden="1" customWidth="1"/>
    <col min="17" max="16384" width="13.7109375" style="140"/>
  </cols>
  <sheetData>
    <row r="1" spans="2:16" ht="16.5" customHeight="1" x14ac:dyDescent="0.25"/>
    <row r="2" spans="2:16" s="143" customFormat="1" ht="19.899999999999999" customHeight="1" x14ac:dyDescent="0.25">
      <c r="B2" s="153" t="str">
        <f>'Assumptions on Steel Plant'!B2</f>
        <v>M/s. Sai Infinium Limited</v>
      </c>
      <c r="C2" s="100"/>
      <c r="D2" s="100"/>
      <c r="E2" s="100"/>
      <c r="F2" s="100"/>
      <c r="G2" s="100"/>
      <c r="H2" s="100"/>
      <c r="I2" s="100"/>
      <c r="J2" s="100"/>
      <c r="K2" s="100"/>
      <c r="L2" s="100"/>
      <c r="M2" s="100"/>
      <c r="N2" s="100"/>
      <c r="O2" s="100"/>
      <c r="P2" s="100"/>
    </row>
    <row r="3" spans="2:16" s="143" customFormat="1" ht="9" customHeight="1" x14ac:dyDescent="0.25">
      <c r="B3" s="144"/>
      <c r="C3" s="144"/>
      <c r="D3" s="144"/>
      <c r="E3" s="144"/>
      <c r="F3" s="144"/>
      <c r="G3" s="144"/>
      <c r="H3" s="144"/>
      <c r="I3" s="144"/>
      <c r="J3" s="144"/>
      <c r="K3" s="144"/>
      <c r="L3" s="144"/>
      <c r="M3" s="144"/>
      <c r="N3" s="144"/>
      <c r="O3" s="144"/>
      <c r="P3" s="144"/>
    </row>
    <row r="4" spans="2:16" s="143" customFormat="1" ht="19.899999999999999" customHeight="1" x14ac:dyDescent="0.25">
      <c r="B4" s="130" t="str">
        <f>'Assumptions on Steel Plant'!B4</f>
        <v>Business Projections</v>
      </c>
      <c r="C4" s="103"/>
      <c r="D4" s="103"/>
      <c r="E4" s="103"/>
      <c r="F4" s="103"/>
      <c r="G4" s="103"/>
      <c r="H4" s="103"/>
      <c r="I4" s="103"/>
      <c r="J4" s="103"/>
      <c r="K4" s="103"/>
      <c r="L4" s="103"/>
      <c r="M4" s="103"/>
      <c r="N4" s="103"/>
      <c r="O4" s="103"/>
      <c r="P4" s="103"/>
    </row>
    <row r="5" spans="2:16" s="143" customFormat="1" ht="9" customHeight="1" x14ac:dyDescent="0.25">
      <c r="B5" s="144"/>
      <c r="C5" s="144"/>
      <c r="D5" s="144"/>
      <c r="E5" s="144"/>
      <c r="F5" s="144"/>
      <c r="G5" s="144"/>
      <c r="H5" s="135"/>
    </row>
    <row r="6" spans="2:16" s="141" customFormat="1" ht="15.75" x14ac:dyDescent="0.25">
      <c r="B6" s="145" t="s">
        <v>200</v>
      </c>
      <c r="C6" s="56"/>
      <c r="D6" s="56"/>
      <c r="E6" s="146"/>
      <c r="F6" s="146"/>
      <c r="G6" s="146"/>
      <c r="H6" s="146"/>
      <c r="I6" s="146"/>
      <c r="J6" s="146"/>
      <c r="K6" s="146"/>
      <c r="L6" s="146"/>
      <c r="M6" s="146"/>
      <c r="N6" s="146"/>
      <c r="O6" s="146"/>
      <c r="P6" s="146"/>
    </row>
    <row r="7" spans="2:16" s="141" customFormat="1" x14ac:dyDescent="0.25">
      <c r="B7" s="147" t="str">
        <f>'Expenses Modeling_Hybrid Plant'!B7</f>
        <v>(All Values in INR Lakhs, unless specified)</v>
      </c>
      <c r="C7" s="148"/>
      <c r="D7" s="148"/>
      <c r="E7" s="148"/>
      <c r="F7" s="140"/>
      <c r="G7" s="149"/>
      <c r="H7" s="149"/>
      <c r="I7" s="149"/>
      <c r="J7" s="149"/>
      <c r="K7" s="149"/>
      <c r="L7" s="149"/>
      <c r="M7" s="149"/>
      <c r="N7" s="149"/>
      <c r="O7" s="149"/>
      <c r="P7" s="149"/>
    </row>
    <row r="8" spans="2:16" ht="18.75" customHeight="1" x14ac:dyDescent="0.25">
      <c r="B8" s="56" t="s">
        <v>192</v>
      </c>
      <c r="C8" s="131" t="s">
        <v>64</v>
      </c>
      <c r="D8" s="150">
        <f>IS!D8</f>
        <v>45382</v>
      </c>
      <c r="E8" s="150">
        <f>IS!E8</f>
        <v>45747</v>
      </c>
      <c r="F8" s="150">
        <f>IS!F8</f>
        <v>46112</v>
      </c>
      <c r="G8" s="150">
        <f>IS!G8</f>
        <v>46477</v>
      </c>
      <c r="H8" s="150">
        <f>IS!H8</f>
        <v>46843</v>
      </c>
      <c r="I8" s="150">
        <f>IS!I8</f>
        <v>47208</v>
      </c>
      <c r="J8" s="150">
        <f>IS!J8</f>
        <v>47573</v>
      </c>
      <c r="K8" s="150">
        <f>IS!K8</f>
        <v>47938</v>
      </c>
      <c r="L8" s="150">
        <f>IS!L8</f>
        <v>48304</v>
      </c>
      <c r="M8" s="150">
        <f>IS!M8</f>
        <v>48669</v>
      </c>
      <c r="N8" s="150">
        <f>IS!N8</f>
        <v>49034</v>
      </c>
      <c r="O8" s="150">
        <f>IS!O8</f>
        <v>49399</v>
      </c>
      <c r="P8" s="150">
        <f>IS!P8</f>
        <v>49765</v>
      </c>
    </row>
    <row r="9" spans="2:16" s="152" customFormat="1" ht="18.75" customHeight="1" x14ac:dyDescent="0.25">
      <c r="B9" s="41" t="s">
        <v>65</v>
      </c>
      <c r="C9" s="42"/>
      <c r="D9" s="279" t="s">
        <v>463</v>
      </c>
      <c r="E9" s="180" t="s">
        <v>479</v>
      </c>
      <c r="F9" s="151" t="s">
        <v>464</v>
      </c>
      <c r="G9" s="151" t="s">
        <v>464</v>
      </c>
      <c r="H9" s="151" t="s">
        <v>464</v>
      </c>
      <c r="I9" s="151" t="s">
        <v>464</v>
      </c>
      <c r="J9" s="151" t="s">
        <v>464</v>
      </c>
      <c r="K9" s="151" t="s">
        <v>464</v>
      </c>
      <c r="L9" s="151" t="s">
        <v>464</v>
      </c>
      <c r="M9" s="151" t="s">
        <v>464</v>
      </c>
      <c r="N9" s="151" t="s">
        <v>464</v>
      </c>
      <c r="O9" s="151" t="s">
        <v>464</v>
      </c>
      <c r="P9" s="151" t="s">
        <v>464</v>
      </c>
    </row>
    <row r="10" spans="2:16" ht="18.75" customHeight="1" x14ac:dyDescent="0.25"/>
    <row r="11" spans="2:16" ht="18.75" customHeight="1" x14ac:dyDescent="0.25">
      <c r="B11" s="41" t="s">
        <v>67</v>
      </c>
      <c r="C11" s="41"/>
      <c r="D11" s="41"/>
      <c r="E11" s="42">
        <v>365</v>
      </c>
      <c r="F11" s="42">
        <f>F8-E8</f>
        <v>365</v>
      </c>
      <c r="G11" s="42">
        <f t="shared" ref="G11:P11" si="0">G8-F8</f>
        <v>365</v>
      </c>
      <c r="H11" s="42">
        <f t="shared" si="0"/>
        <v>366</v>
      </c>
      <c r="I11" s="42">
        <f t="shared" si="0"/>
        <v>365</v>
      </c>
      <c r="J11" s="42">
        <f t="shared" si="0"/>
        <v>365</v>
      </c>
      <c r="K11" s="42">
        <f t="shared" si="0"/>
        <v>365</v>
      </c>
      <c r="L11" s="42">
        <f t="shared" si="0"/>
        <v>366</v>
      </c>
      <c r="M11" s="42">
        <f t="shared" si="0"/>
        <v>365</v>
      </c>
      <c r="N11" s="42">
        <f t="shared" si="0"/>
        <v>365</v>
      </c>
      <c r="O11" s="42">
        <f t="shared" si="0"/>
        <v>365</v>
      </c>
      <c r="P11" s="42">
        <f t="shared" si="0"/>
        <v>366</v>
      </c>
    </row>
    <row r="12" spans="2:16" ht="18.75" customHeight="1" thickBot="1" x14ac:dyDescent="0.3"/>
    <row r="13" spans="2:16" ht="18.75" customHeight="1" x14ac:dyDescent="0.25">
      <c r="B13" s="68" t="s">
        <v>156</v>
      </c>
      <c r="C13" s="69">
        <f>'Assumptions Hybrid Plant'!D53</f>
        <v>0.17472000000000001</v>
      </c>
    </row>
    <row r="14" spans="2:16" ht="18.75" customHeight="1" thickBot="1" x14ac:dyDescent="0.3">
      <c r="B14" s="70" t="s">
        <v>157</v>
      </c>
      <c r="C14" s="165">
        <f>'Assumptions Hybrid Plant'!D58</f>
        <v>0.29120000000000001</v>
      </c>
    </row>
    <row r="15" spans="2:16" ht="18.75" customHeight="1" x14ac:dyDescent="0.25"/>
    <row r="16" spans="2:16" ht="18.75" customHeight="1" x14ac:dyDescent="0.25">
      <c r="B16" s="140" t="s">
        <v>158</v>
      </c>
      <c r="E16" s="142">
        <f>IS!E28</f>
        <v>2597.9780911210692</v>
      </c>
      <c r="F16" s="142">
        <f>IS!F28</f>
        <v>1326.2680189692182</v>
      </c>
      <c r="G16" s="142">
        <f>IS!G28</f>
        <v>4455.1798290612132</v>
      </c>
      <c r="H16" s="142">
        <f>IS!H28</f>
        <v>3718.5056206659137</v>
      </c>
      <c r="I16" s="142">
        <f>IS!I28</f>
        <v>3615.8684584890289</v>
      </c>
      <c r="J16" s="142">
        <f>IS!J28</f>
        <v>3655.8615861624567</v>
      </c>
      <c r="K16" s="142">
        <f>IS!K28</f>
        <v>3776.2696031964588</v>
      </c>
      <c r="L16" s="142">
        <f>IS!L28</f>
        <v>3723.2211046629236</v>
      </c>
      <c r="M16" s="142">
        <f>IS!M28</f>
        <v>3661.7576693213196</v>
      </c>
      <c r="N16" s="142">
        <f>IS!N28</f>
        <v>3600.9036383682324</v>
      </c>
      <c r="O16" s="142">
        <f>IS!O28</f>
        <v>3534.9119759392779</v>
      </c>
      <c r="P16" s="142">
        <f>IS!P28</f>
        <v>3142.7635064125061</v>
      </c>
    </row>
    <row r="17" spans="2:16" ht="18.75" customHeight="1" x14ac:dyDescent="0.25">
      <c r="B17" s="140" t="s">
        <v>159</v>
      </c>
      <c r="E17" s="55">
        <v>0</v>
      </c>
      <c r="F17" s="55">
        <v>0</v>
      </c>
      <c r="G17" s="55">
        <v>0</v>
      </c>
      <c r="H17" s="55">
        <v>0</v>
      </c>
      <c r="I17" s="55">
        <v>0</v>
      </c>
      <c r="J17" s="55">
        <v>0</v>
      </c>
      <c r="K17" s="55">
        <v>0</v>
      </c>
      <c r="L17" s="55">
        <v>0</v>
      </c>
      <c r="M17" s="55">
        <v>0</v>
      </c>
      <c r="N17" s="55">
        <v>0</v>
      </c>
      <c r="O17" s="55">
        <v>0</v>
      </c>
      <c r="P17" s="55">
        <v>0</v>
      </c>
    </row>
    <row r="18" spans="2:16" ht="18.75" customHeight="1" x14ac:dyDescent="0.25">
      <c r="B18" s="140" t="s">
        <v>160</v>
      </c>
      <c r="E18" s="55">
        <v>0</v>
      </c>
      <c r="F18" s="55">
        <v>0</v>
      </c>
      <c r="G18" s="55">
        <v>0</v>
      </c>
      <c r="H18" s="55">
        <v>0</v>
      </c>
      <c r="I18" s="55">
        <v>0</v>
      </c>
      <c r="J18" s="55">
        <v>0</v>
      </c>
      <c r="K18" s="55">
        <v>0</v>
      </c>
      <c r="L18" s="55">
        <v>0</v>
      </c>
      <c r="M18" s="55">
        <v>0</v>
      </c>
      <c r="N18" s="55">
        <v>0</v>
      </c>
      <c r="O18" s="55">
        <v>0</v>
      </c>
      <c r="P18" s="55">
        <v>0</v>
      </c>
    </row>
    <row r="19" spans="2:16" ht="18.75" customHeight="1" x14ac:dyDescent="0.25">
      <c r="B19" s="140" t="s">
        <v>161</v>
      </c>
      <c r="E19" s="142">
        <f>'Dep Schedule'!E46</f>
        <v>1284.5903242307727</v>
      </c>
      <c r="F19" s="142">
        <f>'Dep Schedule'!G46</f>
        <v>1346.7933035038416</v>
      </c>
      <c r="G19" s="142">
        <f>'Dep Schedule'!H46</f>
        <v>2415.454460983186</v>
      </c>
      <c r="H19" s="142">
        <f>'Dep Schedule'!I46</f>
        <v>2408.8548586307725</v>
      </c>
      <c r="I19" s="142">
        <f>'Dep Schedule'!J46</f>
        <v>2408.8548586307725</v>
      </c>
      <c r="J19" s="142">
        <f>'Dep Schedule'!K46</f>
        <v>2408.8548586307725</v>
      </c>
      <c r="K19" s="142">
        <f>'Dep Schedule'!L46</f>
        <v>2415.454460983186</v>
      </c>
      <c r="L19" s="142">
        <f>'Dep Schedule'!M46</f>
        <v>2408.8548586307725</v>
      </c>
      <c r="M19" s="142">
        <f>'Dep Schedule'!N46</f>
        <v>2408.8548586307725</v>
      </c>
      <c r="N19" s="142">
        <f>'Dep Schedule'!O46</f>
        <v>2408.8548586307725</v>
      </c>
      <c r="O19" s="142">
        <f>'Dep Schedule'!P46</f>
        <v>2415.454460983186</v>
      </c>
      <c r="P19" s="142">
        <f>'Dep Schedule'!Q46</f>
        <v>0</v>
      </c>
    </row>
    <row r="20" spans="2:16" ht="18.75" customHeight="1" x14ac:dyDescent="0.25">
      <c r="B20" s="140" t="s">
        <v>162</v>
      </c>
      <c r="E20" s="142">
        <f>'Dep Schedule'!E88</f>
        <v>2258.2348540810544</v>
      </c>
      <c r="F20" s="142">
        <f>'Dep Schedule'!G88</f>
        <v>2599.2486843394918</v>
      </c>
      <c r="G20" s="142">
        <f>'Dep Schedule'!H88</f>
        <v>1508.8259035898081</v>
      </c>
      <c r="H20" s="142">
        <f>'Dep Schedule'!I88</f>
        <v>1278.327603393682</v>
      </c>
      <c r="I20" s="142">
        <f>'Dep Schedule'!J88</f>
        <v>1090.1535713157589</v>
      </c>
      <c r="J20" s="142">
        <f>'Dep Schedule'!K88</f>
        <v>932.10806390568848</v>
      </c>
      <c r="K20" s="142">
        <f>'Dep Schedule'!L88</f>
        <v>800.83315162818792</v>
      </c>
      <c r="L20" s="142">
        <f>'Dep Schedule'!M88</f>
        <v>685.15746892757272</v>
      </c>
      <c r="M20" s="142">
        <f>'Dep Schedule'!N88</f>
        <v>588.91477215685336</v>
      </c>
      <c r="N20" s="142">
        <f>'Dep Schedule'!O88</f>
        <v>506.8222907532367</v>
      </c>
      <c r="O20" s="142">
        <f>'Dep Schedule'!P88</f>
        <v>437.85185303341336</v>
      </c>
      <c r="P20" s="142">
        <f>'Dep Schedule'!Q88</f>
        <v>0</v>
      </c>
    </row>
    <row r="21" spans="2:16" ht="18.75" customHeight="1" x14ac:dyDescent="0.25">
      <c r="B21" s="58" t="s">
        <v>163</v>
      </c>
      <c r="C21" s="58"/>
      <c r="D21" s="58"/>
      <c r="E21" s="59">
        <f>E16+E17+E18+E19-E20</f>
        <v>1624.3335612707874</v>
      </c>
      <c r="F21" s="59">
        <f>F16+F17+F18+F19-F20</f>
        <v>73.812638133567816</v>
      </c>
      <c r="G21" s="59">
        <f>G16+G17+G18+G19-G20</f>
        <v>5361.8083864545915</v>
      </c>
      <c r="H21" s="59">
        <f t="shared" ref="H21:O21" si="1">H16+H17+H18+H19-H20</f>
        <v>4849.0328759030044</v>
      </c>
      <c r="I21" s="59">
        <f t="shared" si="1"/>
        <v>4934.5697458040422</v>
      </c>
      <c r="J21" s="59">
        <f t="shared" si="1"/>
        <v>5132.608380887541</v>
      </c>
      <c r="K21" s="59">
        <f t="shared" si="1"/>
        <v>5390.8909125514574</v>
      </c>
      <c r="L21" s="59">
        <f t="shared" si="1"/>
        <v>5446.918494366123</v>
      </c>
      <c r="M21" s="59">
        <f t="shared" si="1"/>
        <v>5481.6977557952387</v>
      </c>
      <c r="N21" s="59">
        <f t="shared" si="1"/>
        <v>5502.9362062457685</v>
      </c>
      <c r="O21" s="59">
        <f t="shared" si="1"/>
        <v>5512.5145838890512</v>
      </c>
      <c r="P21" s="59">
        <f t="shared" ref="P21" si="2">P16+P17+P18+P19-P20</f>
        <v>3142.7635064125061</v>
      </c>
    </row>
    <row r="22" spans="2:16" ht="18.75" customHeight="1" x14ac:dyDescent="0.25">
      <c r="B22" s="140" t="s">
        <v>164</v>
      </c>
      <c r="E22" s="142">
        <f>C25</f>
        <v>0</v>
      </c>
      <c r="F22" s="142">
        <f>E25</f>
        <v>0</v>
      </c>
      <c r="G22" s="142">
        <f t="shared" ref="G22:G23" si="3">F25</f>
        <v>0</v>
      </c>
      <c r="H22" s="142">
        <f t="shared" ref="H22:P23" si="4">G25</f>
        <v>0</v>
      </c>
      <c r="I22" s="142">
        <f t="shared" si="4"/>
        <v>0</v>
      </c>
      <c r="J22" s="142">
        <f t="shared" si="4"/>
        <v>0</v>
      </c>
      <c r="K22" s="142">
        <f t="shared" si="4"/>
        <v>0</v>
      </c>
      <c r="L22" s="142">
        <f t="shared" si="4"/>
        <v>0</v>
      </c>
      <c r="M22" s="142">
        <f t="shared" si="4"/>
        <v>0</v>
      </c>
      <c r="N22" s="142">
        <f t="shared" si="4"/>
        <v>0</v>
      </c>
      <c r="O22" s="142">
        <f t="shared" si="4"/>
        <v>0</v>
      </c>
      <c r="P22" s="142">
        <f t="shared" si="4"/>
        <v>0</v>
      </c>
    </row>
    <row r="23" spans="2:16" ht="18.75" customHeight="1" x14ac:dyDescent="0.25">
      <c r="B23" s="140" t="s">
        <v>165</v>
      </c>
      <c r="E23" s="142">
        <f>C26</f>
        <v>0</v>
      </c>
      <c r="F23" s="142">
        <f>E26</f>
        <v>0</v>
      </c>
      <c r="G23" s="142">
        <f t="shared" si="3"/>
        <v>0</v>
      </c>
      <c r="H23" s="142">
        <f t="shared" si="4"/>
        <v>0</v>
      </c>
      <c r="I23" s="142">
        <f t="shared" si="4"/>
        <v>0</v>
      </c>
      <c r="J23" s="142">
        <f t="shared" si="4"/>
        <v>0</v>
      </c>
      <c r="K23" s="142">
        <f t="shared" si="4"/>
        <v>0</v>
      </c>
      <c r="L23" s="142">
        <f t="shared" si="4"/>
        <v>0</v>
      </c>
      <c r="M23" s="142">
        <f t="shared" si="4"/>
        <v>0</v>
      </c>
      <c r="N23" s="142">
        <f t="shared" si="4"/>
        <v>0</v>
      </c>
      <c r="O23" s="142">
        <f t="shared" si="4"/>
        <v>0</v>
      </c>
      <c r="P23" s="142">
        <f t="shared" si="4"/>
        <v>0</v>
      </c>
    </row>
    <row r="24" spans="2:16" ht="18.75" customHeight="1" x14ac:dyDescent="0.25">
      <c r="B24" s="58" t="s">
        <v>166</v>
      </c>
      <c r="C24" s="58"/>
      <c r="D24" s="58"/>
      <c r="E24" s="59">
        <f>IF((E21+E22+E23)&gt;0,(E21+E22+E23),0)</f>
        <v>1624.3335612707874</v>
      </c>
      <c r="F24" s="59">
        <f>IF((F21+F22+F23)&gt;0,(F21+F22+F23),0)</f>
        <v>73.812638133567816</v>
      </c>
      <c r="G24" s="59">
        <f>IF((G21+G22+G23)&gt;0,(G21+G22+G23),0)</f>
        <v>5361.8083864545915</v>
      </c>
      <c r="H24" s="59">
        <f>IF((H21+H22+H23)&gt;0,(H21+H22+H23),0)</f>
        <v>4849.0328759030044</v>
      </c>
      <c r="I24" s="59">
        <f t="shared" ref="I24:O24" si="5">IF((I21+I22+I23)&gt;0,(I21+I22+I23),0)</f>
        <v>4934.5697458040422</v>
      </c>
      <c r="J24" s="59">
        <f t="shared" si="5"/>
        <v>5132.608380887541</v>
      </c>
      <c r="K24" s="59">
        <f t="shared" si="5"/>
        <v>5390.8909125514574</v>
      </c>
      <c r="L24" s="59">
        <f t="shared" si="5"/>
        <v>5446.918494366123</v>
      </c>
      <c r="M24" s="59">
        <f t="shared" si="5"/>
        <v>5481.6977557952387</v>
      </c>
      <c r="N24" s="59">
        <f t="shared" si="5"/>
        <v>5502.9362062457685</v>
      </c>
      <c r="O24" s="59">
        <f t="shared" si="5"/>
        <v>5512.5145838890512</v>
      </c>
      <c r="P24" s="59">
        <f t="shared" ref="P24" si="6">IF((P21+P22+P23)&gt;0,(P21+P22+P23),0)</f>
        <v>3142.7635064125061</v>
      </c>
    </row>
    <row r="25" spans="2:16" ht="18.75" customHeight="1" x14ac:dyDescent="0.25">
      <c r="B25" s="140" t="s">
        <v>167</v>
      </c>
      <c r="E25" s="142">
        <f>IF((E21+E22)&lt;0,(E21+E22),0)</f>
        <v>0</v>
      </c>
      <c r="F25" s="142">
        <f>IF((F21+F22)&lt;0,(F21+F22),0)</f>
        <v>0</v>
      </c>
      <c r="G25" s="142">
        <f>IF((G21+G22)&lt;0,(G21+G22),0)</f>
        <v>0</v>
      </c>
      <c r="H25" s="142">
        <f t="shared" ref="H25:O25" si="7">IF(H21+H22&lt;0,H21+H22,0)</f>
        <v>0</v>
      </c>
      <c r="I25" s="142">
        <f t="shared" si="7"/>
        <v>0</v>
      </c>
      <c r="J25" s="142">
        <f t="shared" si="7"/>
        <v>0</v>
      </c>
      <c r="K25" s="142">
        <f t="shared" si="7"/>
        <v>0</v>
      </c>
      <c r="L25" s="142">
        <f t="shared" si="7"/>
        <v>0</v>
      </c>
      <c r="M25" s="142">
        <f t="shared" si="7"/>
        <v>0</v>
      </c>
      <c r="N25" s="142">
        <f t="shared" si="7"/>
        <v>0</v>
      </c>
      <c r="O25" s="142">
        <f t="shared" si="7"/>
        <v>0</v>
      </c>
      <c r="P25" s="142">
        <f t="shared" ref="P25" si="8">IF(P21+P22&lt;0,P21+P22,0)</f>
        <v>0</v>
      </c>
    </row>
    <row r="26" spans="2:16" ht="18.75" customHeight="1" x14ac:dyDescent="0.25">
      <c r="B26" s="140" t="s">
        <v>168</v>
      </c>
      <c r="E26" s="142">
        <f>IF(E21+E22&gt;0,IF(E21+E22+E23&lt;0,E21+E22+E23,0),E23)</f>
        <v>0</v>
      </c>
      <c r="F26" s="142">
        <f>IF(F21+F22&gt;0,IF(F21+F22+F23&lt;0,F21+F22+F23,0),F23)</f>
        <v>0</v>
      </c>
      <c r="G26" s="142">
        <f>IF(G21+G22&gt;0,IF(G21+G22+G23&lt;0,G21+G22+G23,0),G23)</f>
        <v>0</v>
      </c>
      <c r="H26" s="142">
        <f t="shared" ref="H26:O26" si="9">IF(H21+H22&gt;0,IF(H21+H22+H23&lt;0,H21+H22+H23,0),H23)</f>
        <v>0</v>
      </c>
      <c r="I26" s="142">
        <f t="shared" si="9"/>
        <v>0</v>
      </c>
      <c r="J26" s="142">
        <f t="shared" si="9"/>
        <v>0</v>
      </c>
      <c r="K26" s="142">
        <f t="shared" si="9"/>
        <v>0</v>
      </c>
      <c r="L26" s="142">
        <f t="shared" si="9"/>
        <v>0</v>
      </c>
      <c r="M26" s="142">
        <f t="shared" si="9"/>
        <v>0</v>
      </c>
      <c r="N26" s="142">
        <f t="shared" si="9"/>
        <v>0</v>
      </c>
      <c r="O26" s="142">
        <f t="shared" si="9"/>
        <v>0</v>
      </c>
      <c r="P26" s="142">
        <f t="shared" ref="P26" si="10">IF(P21+P22&gt;0,IF(P21+P22+P23&lt;0,P21+P22+P23,0),P23)</f>
        <v>0</v>
      </c>
    </row>
    <row r="27" spans="2:16" ht="18.75" customHeight="1" x14ac:dyDescent="0.25"/>
    <row r="28" spans="2:16" ht="18.75" customHeight="1" x14ac:dyDescent="0.25">
      <c r="B28" s="67" t="s">
        <v>169</v>
      </c>
      <c r="C28" s="67"/>
      <c r="D28" s="67"/>
      <c r="E28" s="71">
        <f>E24*$C$14</f>
        <v>473.0059330420533</v>
      </c>
      <c r="F28" s="71">
        <f>F24*$C$14</f>
        <v>21.494240224494948</v>
      </c>
      <c r="G28" s="71">
        <f>G24*$C$14</f>
        <v>1561.358602135577</v>
      </c>
      <c r="H28" s="71">
        <f t="shared" ref="H28:O28" si="11">H24*$C$14</f>
        <v>1412.038373462955</v>
      </c>
      <c r="I28" s="71">
        <f t="shared" si="11"/>
        <v>1436.9467099781371</v>
      </c>
      <c r="J28" s="71">
        <f t="shared" si="11"/>
        <v>1494.615560514452</v>
      </c>
      <c r="K28" s="71">
        <f t="shared" si="11"/>
        <v>1569.8274337349844</v>
      </c>
      <c r="L28" s="71">
        <f t="shared" si="11"/>
        <v>1586.142665559415</v>
      </c>
      <c r="M28" s="71">
        <f t="shared" si="11"/>
        <v>1596.2703864875737</v>
      </c>
      <c r="N28" s="71">
        <f t="shared" si="11"/>
        <v>1602.4550232587678</v>
      </c>
      <c r="O28" s="71">
        <f t="shared" si="11"/>
        <v>1605.2442468284919</v>
      </c>
      <c r="P28" s="71">
        <f t="shared" ref="P28" si="12">P24*$C$14</f>
        <v>915.17273306732181</v>
      </c>
    </row>
    <row r="29" spans="2:16" ht="18.75" customHeight="1" x14ac:dyDescent="0.25"/>
    <row r="30" spans="2:16" ht="18.75" customHeight="1" x14ac:dyDescent="0.25">
      <c r="B30" s="67" t="s">
        <v>170</v>
      </c>
    </row>
    <row r="31" spans="2:16" ht="18.75" customHeight="1" x14ac:dyDescent="0.25"/>
    <row r="32" spans="2:16" ht="18.75" customHeight="1" x14ac:dyDescent="0.25">
      <c r="B32" s="140" t="s">
        <v>171</v>
      </c>
      <c r="E32" s="142">
        <f>IF(E16&gt;0,E16*$C$13,0)</f>
        <v>453.91873208067324</v>
      </c>
      <c r="F32" s="142">
        <f>IF(F16&gt;0,F16*$C$13,0)</f>
        <v>231.72554827430184</v>
      </c>
      <c r="G32" s="142">
        <f>IF(G16&gt;0,G16*$C$13,0)</f>
        <v>778.40901973357529</v>
      </c>
      <c r="H32" s="142">
        <f t="shared" ref="H32:O32" si="13">IF(H16&gt;0,H16*$C$13,0)</f>
        <v>649.69730204274845</v>
      </c>
      <c r="I32" s="142">
        <f t="shared" si="13"/>
        <v>631.76453706720315</v>
      </c>
      <c r="J32" s="142">
        <f t="shared" si="13"/>
        <v>638.75213633430451</v>
      </c>
      <c r="K32" s="142">
        <f t="shared" si="13"/>
        <v>659.78982507048534</v>
      </c>
      <c r="L32" s="142">
        <f t="shared" si="13"/>
        <v>650.52119140670607</v>
      </c>
      <c r="M32" s="142">
        <f t="shared" si="13"/>
        <v>639.78229998382096</v>
      </c>
      <c r="N32" s="142">
        <f t="shared" si="13"/>
        <v>629.14988369569755</v>
      </c>
      <c r="O32" s="142">
        <f t="shared" si="13"/>
        <v>617.61982043611067</v>
      </c>
      <c r="P32" s="142">
        <f t="shared" ref="P32" si="14">IF(P16&gt;0,P16*$C$13,0)</f>
        <v>549.10363984039316</v>
      </c>
    </row>
    <row r="33" spans="2:16" ht="18.75" customHeight="1" x14ac:dyDescent="0.25">
      <c r="B33" s="140" t="s">
        <v>169</v>
      </c>
      <c r="E33" s="142">
        <f t="shared" ref="E33:F33" si="15">E28</f>
        <v>473.0059330420533</v>
      </c>
      <c r="F33" s="142">
        <f t="shared" si="15"/>
        <v>21.494240224494948</v>
      </c>
      <c r="G33" s="142">
        <f t="shared" ref="G33:O33" si="16">G28</f>
        <v>1561.358602135577</v>
      </c>
      <c r="H33" s="142">
        <f t="shared" si="16"/>
        <v>1412.038373462955</v>
      </c>
      <c r="I33" s="142">
        <f t="shared" si="16"/>
        <v>1436.9467099781371</v>
      </c>
      <c r="J33" s="142">
        <f t="shared" si="16"/>
        <v>1494.615560514452</v>
      </c>
      <c r="K33" s="142">
        <f t="shared" si="16"/>
        <v>1569.8274337349844</v>
      </c>
      <c r="L33" s="142">
        <f t="shared" si="16"/>
        <v>1586.142665559415</v>
      </c>
      <c r="M33" s="142">
        <f t="shared" si="16"/>
        <v>1596.2703864875737</v>
      </c>
      <c r="N33" s="142">
        <f t="shared" si="16"/>
        <v>1602.4550232587678</v>
      </c>
      <c r="O33" s="142">
        <f t="shared" si="16"/>
        <v>1605.2442468284919</v>
      </c>
      <c r="P33" s="142">
        <f t="shared" ref="P33" si="17">P28</f>
        <v>915.17273306732181</v>
      </c>
    </row>
    <row r="34" spans="2:16" ht="18.75" customHeight="1" x14ac:dyDescent="0.25"/>
    <row r="35" spans="2:16" ht="18.75" customHeight="1" x14ac:dyDescent="0.25">
      <c r="B35" s="140" t="s">
        <v>172</v>
      </c>
      <c r="E35" s="142">
        <f>MAX(E32,E33)</f>
        <v>473.0059330420533</v>
      </c>
      <c r="F35" s="142">
        <f>MAX(F32,F33)</f>
        <v>231.72554827430184</v>
      </c>
      <c r="G35" s="142">
        <f>MAX(G32,G33)</f>
        <v>1561.358602135577</v>
      </c>
      <c r="H35" s="142">
        <f t="shared" ref="H35:O35" si="18">MAX(H32,H33)</f>
        <v>1412.038373462955</v>
      </c>
      <c r="I35" s="142">
        <f t="shared" si="18"/>
        <v>1436.9467099781371</v>
      </c>
      <c r="J35" s="142">
        <f t="shared" si="18"/>
        <v>1494.615560514452</v>
      </c>
      <c r="K35" s="142">
        <f t="shared" si="18"/>
        <v>1569.8274337349844</v>
      </c>
      <c r="L35" s="142">
        <f t="shared" si="18"/>
        <v>1586.142665559415</v>
      </c>
      <c r="M35" s="142">
        <f t="shared" si="18"/>
        <v>1596.2703864875737</v>
      </c>
      <c r="N35" s="142">
        <f t="shared" si="18"/>
        <v>1602.4550232587678</v>
      </c>
      <c r="O35" s="142">
        <f t="shared" si="18"/>
        <v>1605.2442468284919</v>
      </c>
      <c r="P35" s="142">
        <f t="shared" ref="P35" si="19">MAX(P32,P33)</f>
        <v>915.17273306732181</v>
      </c>
    </row>
    <row r="36" spans="2:16" ht="18.75" customHeight="1" x14ac:dyDescent="0.25">
      <c r="B36" s="140" t="s">
        <v>173</v>
      </c>
      <c r="E36" s="142">
        <f>IF((E33-E32)&lt;0,0,MIN((E33-E32),C42))</f>
        <v>19.087200961380063</v>
      </c>
      <c r="F36" s="142">
        <f>IF((F33-F32)&lt;0,0,MIN((F33-F32),E42))</f>
        <v>0</v>
      </c>
      <c r="G36" s="142">
        <f>IF((G33-G32)&lt;0,0,MIN((G33-G32),F42))</f>
        <v>212.63834731292178</v>
      </c>
      <c r="H36" s="142">
        <f t="shared" ref="H36:P36" si="20">IF((H33-H32)&lt;0,0,MIN((H33-H32),G42))</f>
        <v>0</v>
      </c>
      <c r="I36" s="142">
        <f t="shared" si="20"/>
        <v>0</v>
      </c>
      <c r="J36" s="142">
        <f t="shared" si="20"/>
        <v>0</v>
      </c>
      <c r="K36" s="142">
        <f t="shared" si="20"/>
        <v>0</v>
      </c>
      <c r="L36" s="142">
        <f t="shared" si="20"/>
        <v>0</v>
      </c>
      <c r="M36" s="142">
        <f t="shared" si="20"/>
        <v>0</v>
      </c>
      <c r="N36" s="142">
        <f t="shared" si="20"/>
        <v>0</v>
      </c>
      <c r="O36" s="142">
        <f t="shared" si="20"/>
        <v>0</v>
      </c>
      <c r="P36" s="142">
        <f t="shared" si="20"/>
        <v>0</v>
      </c>
    </row>
    <row r="37" spans="2:16" ht="18.75" customHeight="1" x14ac:dyDescent="0.25">
      <c r="B37" s="63" t="s">
        <v>174</v>
      </c>
      <c r="C37" s="63"/>
      <c r="D37" s="63"/>
      <c r="E37" s="64">
        <f>E35-E36</f>
        <v>453.91873208067324</v>
      </c>
      <c r="F37" s="64">
        <f>F35-F36</f>
        <v>231.72554827430184</v>
      </c>
      <c r="G37" s="64">
        <f>G35-G36</f>
        <v>1348.7202548226553</v>
      </c>
      <c r="H37" s="64">
        <f t="shared" ref="H37:O37" si="21">H35-H36</f>
        <v>1412.038373462955</v>
      </c>
      <c r="I37" s="64">
        <f t="shared" si="21"/>
        <v>1436.9467099781371</v>
      </c>
      <c r="J37" s="64">
        <f t="shared" si="21"/>
        <v>1494.615560514452</v>
      </c>
      <c r="K37" s="64">
        <f t="shared" si="21"/>
        <v>1569.8274337349844</v>
      </c>
      <c r="L37" s="64">
        <f t="shared" si="21"/>
        <v>1586.142665559415</v>
      </c>
      <c r="M37" s="64">
        <f t="shared" si="21"/>
        <v>1596.2703864875737</v>
      </c>
      <c r="N37" s="64">
        <f t="shared" si="21"/>
        <v>1602.4550232587678</v>
      </c>
      <c r="O37" s="64">
        <f t="shared" si="21"/>
        <v>1605.2442468284919</v>
      </c>
      <c r="P37" s="64">
        <f t="shared" ref="P37" si="22">P35-P36</f>
        <v>915.17273306732181</v>
      </c>
    </row>
    <row r="38" spans="2:16" ht="18.75" customHeight="1" x14ac:dyDescent="0.25"/>
    <row r="39" spans="2:16" ht="18.75" customHeight="1" x14ac:dyDescent="0.25">
      <c r="B39" s="140" t="s">
        <v>175</v>
      </c>
      <c r="E39" s="142">
        <f>C42</f>
        <v>0</v>
      </c>
      <c r="F39" s="142">
        <f>E42</f>
        <v>-19.087200961380063</v>
      </c>
      <c r="G39" s="142">
        <f>F42</f>
        <v>212.63834731292178</v>
      </c>
      <c r="H39" s="142">
        <f t="shared" ref="H39:P39" si="23">G42</f>
        <v>0</v>
      </c>
      <c r="I39" s="142">
        <f t="shared" si="23"/>
        <v>0</v>
      </c>
      <c r="J39" s="142">
        <f t="shared" si="23"/>
        <v>0</v>
      </c>
      <c r="K39" s="142">
        <f t="shared" si="23"/>
        <v>0</v>
      </c>
      <c r="L39" s="142">
        <f t="shared" si="23"/>
        <v>0</v>
      </c>
      <c r="M39" s="142">
        <f t="shared" si="23"/>
        <v>0</v>
      </c>
      <c r="N39" s="142">
        <f t="shared" si="23"/>
        <v>0</v>
      </c>
      <c r="O39" s="142">
        <f t="shared" si="23"/>
        <v>0</v>
      </c>
      <c r="P39" s="142">
        <f t="shared" si="23"/>
        <v>0</v>
      </c>
    </row>
    <row r="40" spans="2:16" ht="18.75" customHeight="1" x14ac:dyDescent="0.25">
      <c r="B40" s="140" t="s">
        <v>176</v>
      </c>
      <c r="E40" s="142">
        <f>IF(E32&gt;E33,E32,0)</f>
        <v>0</v>
      </c>
      <c r="F40" s="142">
        <f>IF(F32&gt;F33,F32,0)</f>
        <v>231.72554827430184</v>
      </c>
      <c r="G40" s="142">
        <f>IF(G32&gt;G33,G32,0)</f>
        <v>0</v>
      </c>
      <c r="H40" s="142">
        <f t="shared" ref="H40:O40" si="24">IF(H32&gt;H33,H32,0)</f>
        <v>0</v>
      </c>
      <c r="I40" s="142">
        <f t="shared" si="24"/>
        <v>0</v>
      </c>
      <c r="J40" s="142">
        <f t="shared" si="24"/>
        <v>0</v>
      </c>
      <c r="K40" s="142">
        <f t="shared" si="24"/>
        <v>0</v>
      </c>
      <c r="L40" s="142">
        <f t="shared" si="24"/>
        <v>0</v>
      </c>
      <c r="M40" s="142">
        <f t="shared" si="24"/>
        <v>0</v>
      </c>
      <c r="N40" s="142">
        <f t="shared" si="24"/>
        <v>0</v>
      </c>
      <c r="O40" s="142">
        <f t="shared" si="24"/>
        <v>0</v>
      </c>
      <c r="P40" s="142">
        <f t="shared" ref="P40" si="25">IF(P32&gt;P33,P32,0)</f>
        <v>0</v>
      </c>
    </row>
    <row r="41" spans="2:16" ht="18.75" customHeight="1" x14ac:dyDescent="0.25">
      <c r="B41" s="140" t="s">
        <v>177</v>
      </c>
      <c r="E41" s="142">
        <f>-E36</f>
        <v>-19.087200961380063</v>
      </c>
      <c r="F41" s="142">
        <f>-F36</f>
        <v>0</v>
      </c>
      <c r="G41" s="142">
        <f>-G36</f>
        <v>-212.63834731292178</v>
      </c>
      <c r="H41" s="142">
        <f t="shared" ref="H41:O41" si="26">-H36</f>
        <v>0</v>
      </c>
      <c r="I41" s="142">
        <f t="shared" si="26"/>
        <v>0</v>
      </c>
      <c r="J41" s="142">
        <f t="shared" si="26"/>
        <v>0</v>
      </c>
      <c r="K41" s="142">
        <f t="shared" si="26"/>
        <v>0</v>
      </c>
      <c r="L41" s="142">
        <f t="shared" si="26"/>
        <v>0</v>
      </c>
      <c r="M41" s="142">
        <f t="shared" si="26"/>
        <v>0</v>
      </c>
      <c r="N41" s="142">
        <f t="shared" si="26"/>
        <v>0</v>
      </c>
      <c r="O41" s="142">
        <f t="shared" si="26"/>
        <v>0</v>
      </c>
      <c r="P41" s="142">
        <f t="shared" ref="P41" si="27">-P36</f>
        <v>0</v>
      </c>
    </row>
    <row r="42" spans="2:16" ht="18.75" customHeight="1" x14ac:dyDescent="0.25">
      <c r="B42" s="58" t="s">
        <v>178</v>
      </c>
      <c r="C42" s="58"/>
      <c r="D42" s="58"/>
      <c r="E42" s="59">
        <f>SUM(E39:E41)</f>
        <v>-19.087200961380063</v>
      </c>
      <c r="F42" s="59">
        <f>SUM(F39:F41)</f>
        <v>212.63834731292178</v>
      </c>
      <c r="G42" s="59">
        <f>SUM(G39:G41)</f>
        <v>0</v>
      </c>
      <c r="H42" s="59">
        <f t="shared" ref="H42:O42" si="28">SUM(H39:H41)</f>
        <v>0</v>
      </c>
      <c r="I42" s="59">
        <f t="shared" si="28"/>
        <v>0</v>
      </c>
      <c r="J42" s="59">
        <f t="shared" si="28"/>
        <v>0</v>
      </c>
      <c r="K42" s="59">
        <f t="shared" si="28"/>
        <v>0</v>
      </c>
      <c r="L42" s="59">
        <f t="shared" si="28"/>
        <v>0</v>
      </c>
      <c r="M42" s="59">
        <f t="shared" si="28"/>
        <v>0</v>
      </c>
      <c r="N42" s="59">
        <f t="shared" si="28"/>
        <v>0</v>
      </c>
      <c r="O42" s="59">
        <f t="shared" si="28"/>
        <v>0</v>
      </c>
      <c r="P42" s="59">
        <f t="shared" ref="P42" si="29">SUM(P39:P41)</f>
        <v>0</v>
      </c>
    </row>
    <row r="43" spans="2:16" x14ac:dyDescent="0.25">
      <c r="E43" s="142"/>
      <c r="F43" s="142"/>
      <c r="G43" s="142"/>
      <c r="H43" s="142"/>
      <c r="I43" s="142"/>
      <c r="J43" s="142"/>
      <c r="K43" s="142"/>
      <c r="L43" s="142"/>
      <c r="M43" s="142"/>
      <c r="N43" s="142"/>
      <c r="O43" s="142"/>
    </row>
    <row r="44" spans="2:16" x14ac:dyDescent="0.25">
      <c r="E44" s="142"/>
      <c r="F44" s="142"/>
      <c r="G44" s="142"/>
      <c r="H44" s="142"/>
      <c r="I44" s="142"/>
      <c r="J44" s="142"/>
      <c r="K44" s="142"/>
      <c r="L44" s="142"/>
      <c r="M44" s="142"/>
      <c r="N44" s="142"/>
      <c r="O44" s="142"/>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70"/>
  <sheetViews>
    <sheetView showGridLines="0" zoomScaleNormal="100" workbookViewId="0"/>
  </sheetViews>
  <sheetFormatPr defaultColWidth="13.7109375" defaultRowHeight="15" x14ac:dyDescent="0.25"/>
  <cols>
    <col min="1" max="1" width="4.5703125" style="35" customWidth="1"/>
    <col min="2" max="2" width="64.7109375" style="35" customWidth="1"/>
    <col min="3" max="3" width="7.42578125" style="35" customWidth="1"/>
    <col min="4" max="4" width="18.85546875" style="35" customWidth="1"/>
    <col min="5" max="15" width="14.42578125" style="35" customWidth="1"/>
    <col min="16" max="16384" width="13.7109375" style="35"/>
  </cols>
  <sheetData>
    <row r="1" spans="2:15" ht="18.75" customHeight="1" x14ac:dyDescent="0.25"/>
    <row r="2" spans="2:15" s="1" customFormat="1" ht="19.899999999999999" customHeight="1" x14ac:dyDescent="0.25">
      <c r="B2" s="138" t="str">
        <f>Company</f>
        <v>M/s. Sai Infinium Limited</v>
      </c>
      <c r="C2" s="138"/>
      <c r="D2" s="138"/>
      <c r="E2" s="138"/>
      <c r="F2" s="138"/>
      <c r="G2" s="138"/>
      <c r="H2" s="138"/>
      <c r="I2" s="138"/>
      <c r="J2" s="138"/>
      <c r="K2" s="138"/>
      <c r="L2" s="138"/>
      <c r="M2" s="138"/>
      <c r="N2" s="138"/>
      <c r="O2" s="138"/>
    </row>
    <row r="3" spans="2:15" s="1" customFormat="1" ht="4.5" customHeight="1" x14ac:dyDescent="0.25">
      <c r="B3" s="2"/>
      <c r="C3" s="2"/>
      <c r="D3" s="2"/>
      <c r="E3" s="2"/>
      <c r="F3" s="2"/>
      <c r="G3" s="2"/>
      <c r="H3" s="2"/>
      <c r="I3" s="2"/>
      <c r="J3" s="2"/>
      <c r="K3" s="2"/>
      <c r="L3" s="2"/>
      <c r="M3" s="2"/>
      <c r="N3" s="2"/>
      <c r="O3" s="2"/>
    </row>
    <row r="4" spans="2:15" s="1" customFormat="1" ht="8.25" customHeight="1" x14ac:dyDescent="0.25">
      <c r="B4" s="2"/>
      <c r="C4" s="2"/>
      <c r="D4" s="2"/>
      <c r="E4" s="2"/>
      <c r="F4" s="2"/>
      <c r="G4" s="76"/>
    </row>
    <row r="5" spans="2:15" customFormat="1" ht="15.75" x14ac:dyDescent="0.25">
      <c r="B5" s="36" t="s">
        <v>521</v>
      </c>
      <c r="C5" s="36"/>
      <c r="D5" s="37"/>
      <c r="E5" s="37"/>
      <c r="F5" s="37"/>
      <c r="G5" s="37"/>
      <c r="H5" s="37"/>
      <c r="I5" s="37"/>
      <c r="J5" s="37"/>
      <c r="K5" s="37"/>
      <c r="L5" s="37"/>
      <c r="M5" s="37"/>
      <c r="N5" s="37"/>
      <c r="O5" s="37"/>
    </row>
    <row r="6" spans="2:15" customFormat="1" ht="12" customHeight="1" x14ac:dyDescent="0.25">
      <c r="B6" s="77"/>
      <c r="C6" s="33"/>
      <c r="D6" s="33"/>
      <c r="E6" s="4"/>
      <c r="F6" s="3"/>
      <c r="G6" s="3"/>
      <c r="H6" s="3"/>
      <c r="I6" s="3"/>
      <c r="J6" s="3"/>
      <c r="K6" s="3"/>
      <c r="L6" s="3"/>
      <c r="M6" s="3"/>
      <c r="N6" s="3"/>
    </row>
    <row r="7" spans="2:15" s="4" customFormat="1" x14ac:dyDescent="0.25">
      <c r="B7" s="77" t="str">
        <f>'Expenses Modeling_Hybrid Plant'!B7</f>
        <v>(All Values in INR Lakhs, unless specified)</v>
      </c>
      <c r="C7" s="33"/>
      <c r="D7" s="33"/>
      <c r="E7" s="33"/>
      <c r="G7" s="3"/>
      <c r="H7" s="3"/>
      <c r="I7" s="3"/>
      <c r="J7" s="3"/>
      <c r="K7" s="3"/>
      <c r="L7" s="3"/>
      <c r="M7" s="3"/>
      <c r="N7" s="3"/>
      <c r="O7" s="3"/>
    </row>
    <row r="8" spans="2:15" s="4" customFormat="1" x14ac:dyDescent="0.25">
      <c r="B8" s="38" t="s">
        <v>519</v>
      </c>
      <c r="C8" s="39" t="s">
        <v>64</v>
      </c>
      <c r="D8" s="175">
        <v>45382</v>
      </c>
      <c r="E8" s="175">
        <f>'Assumptions on Steel Plant'!E8</f>
        <v>45747</v>
      </c>
      <c r="F8" s="40">
        <f>'Assumptions on Steel Plant'!F8</f>
        <v>46112</v>
      </c>
      <c r="G8" s="40">
        <f>'Assumptions on Steel Plant'!G8</f>
        <v>46477</v>
      </c>
      <c r="H8" s="40">
        <f>'Assumptions on Steel Plant'!H8</f>
        <v>46843</v>
      </c>
      <c r="I8" s="40">
        <f>'Assumptions on Steel Plant'!I8</f>
        <v>47208</v>
      </c>
      <c r="J8" s="40">
        <f>'Assumptions on Steel Plant'!J8</f>
        <v>47573</v>
      </c>
      <c r="K8" s="40">
        <f>'Assumptions on Steel Plant'!K8</f>
        <v>47938</v>
      </c>
      <c r="L8" s="40">
        <f>'Assumptions on Steel Plant'!L8</f>
        <v>48304</v>
      </c>
      <c r="M8" s="40">
        <f>'Assumptions on Steel Plant'!M8</f>
        <v>48669</v>
      </c>
      <c r="N8" s="40">
        <f>'Assumptions on Steel Plant'!N8</f>
        <v>49034</v>
      </c>
      <c r="O8" s="40">
        <f>'Assumptions on Steel Plant'!O8</f>
        <v>49399</v>
      </c>
    </row>
    <row r="9" spans="2:15" s="234" customFormat="1" x14ac:dyDescent="0.25">
      <c r="B9" s="38"/>
      <c r="C9" s="39"/>
      <c r="D9" s="175" t="s">
        <v>463</v>
      </c>
      <c r="E9" s="175" t="s">
        <v>479</v>
      </c>
      <c r="F9" s="40" t="s">
        <v>464</v>
      </c>
      <c r="G9" s="40" t="s">
        <v>464</v>
      </c>
      <c r="H9" s="40" t="s">
        <v>464</v>
      </c>
      <c r="I9" s="40" t="s">
        <v>464</v>
      </c>
      <c r="J9" s="40" t="s">
        <v>464</v>
      </c>
      <c r="K9" s="40" t="s">
        <v>464</v>
      </c>
      <c r="L9" s="40" t="s">
        <v>464</v>
      </c>
      <c r="M9" s="40" t="s">
        <v>464</v>
      </c>
      <c r="N9" s="40" t="s">
        <v>464</v>
      </c>
      <c r="O9" s="40" t="s">
        <v>464</v>
      </c>
    </row>
    <row r="10" spans="2:15" s="234" customFormat="1" ht="12.75" x14ac:dyDescent="0.25">
      <c r="B10" s="232" t="s">
        <v>66</v>
      </c>
      <c r="C10" s="233"/>
      <c r="D10" s="233"/>
      <c r="E10" s="233"/>
      <c r="F10" s="233">
        <f>'Expenses Modeling_Hybrid Plant'!G10</f>
        <v>11</v>
      </c>
      <c r="G10" s="233">
        <f>'Expenses Modeling_Hybrid Plant'!H10</f>
        <v>12</v>
      </c>
      <c r="H10" s="233">
        <f>'Expenses Modeling_Hybrid Plant'!I10</f>
        <v>12</v>
      </c>
      <c r="I10" s="233">
        <f>'Expenses Modeling_Hybrid Plant'!J10</f>
        <v>12</v>
      </c>
      <c r="J10" s="233">
        <f>'Expenses Modeling_Hybrid Plant'!K10</f>
        <v>12</v>
      </c>
      <c r="K10" s="233">
        <f>'Expenses Modeling_Hybrid Plant'!L10</f>
        <v>12</v>
      </c>
      <c r="L10" s="233">
        <f>'Expenses Modeling_Hybrid Plant'!M10</f>
        <v>12</v>
      </c>
      <c r="M10" s="233">
        <f>'Expenses Modeling_Hybrid Plant'!N10</f>
        <v>12</v>
      </c>
      <c r="N10" s="233">
        <f>'Expenses Modeling_Hybrid Plant'!O10</f>
        <v>12</v>
      </c>
      <c r="O10" s="233">
        <f>'Expenses Modeling_Hybrid Plant'!P10</f>
        <v>12</v>
      </c>
    </row>
    <row r="11" spans="2:15" ht="15" customHeight="1" x14ac:dyDescent="0.25"/>
    <row r="12" spans="2:15" x14ac:dyDescent="0.25">
      <c r="B12" s="4" t="s">
        <v>108</v>
      </c>
      <c r="C12" s="4"/>
      <c r="D12" s="43"/>
      <c r="E12" s="43"/>
      <c r="F12" s="43">
        <f>IS!F25</f>
        <v>1326.2680189692182</v>
      </c>
      <c r="G12" s="43">
        <f>IS!G25</f>
        <v>4455.1798290612132</v>
      </c>
      <c r="H12" s="43">
        <f>IS!H25</f>
        <v>3718.5056206659137</v>
      </c>
      <c r="I12" s="43">
        <f>IS!I25</f>
        <v>3615.8684584890289</v>
      </c>
      <c r="J12" s="43">
        <f>IS!J25</f>
        <v>3655.8615861624567</v>
      </c>
      <c r="K12" s="43">
        <f>IS!K25</f>
        <v>3776.2696031964588</v>
      </c>
      <c r="L12" s="43">
        <f>IS!L25</f>
        <v>3723.2211046629236</v>
      </c>
      <c r="M12" s="43">
        <f>IS!M25</f>
        <v>3661.7576693213196</v>
      </c>
      <c r="N12" s="43">
        <f>IS!N25</f>
        <v>3600.9036383682324</v>
      </c>
      <c r="O12" s="43">
        <f>IS!O25</f>
        <v>3534.9119759392779</v>
      </c>
    </row>
    <row r="13" spans="2:15" x14ac:dyDescent="0.25">
      <c r="B13" s="4" t="s">
        <v>522</v>
      </c>
      <c r="C13" s="4"/>
      <c r="D13" s="43"/>
      <c r="E13" s="43"/>
      <c r="F13" s="43">
        <f>F12*'Assumptions Hybrid Plant'!$D$58</f>
        <v>386.20924712383635</v>
      </c>
      <c r="G13" s="43">
        <f>G12*'Assumptions Hybrid Plant'!$D$58</f>
        <v>1297.3483662226254</v>
      </c>
      <c r="H13" s="43">
        <f>H12*'Assumptions Hybrid Plant'!$D$58</f>
        <v>1082.8288367379141</v>
      </c>
      <c r="I13" s="43">
        <f>I12*'Assumptions Hybrid Plant'!$D$58</f>
        <v>1052.9408951120054</v>
      </c>
      <c r="J13" s="43">
        <f>J12*'Assumptions Hybrid Plant'!$D$58</f>
        <v>1064.5868938905073</v>
      </c>
      <c r="K13" s="43">
        <f>K12*'Assumptions Hybrid Plant'!$D$58</f>
        <v>1099.6497084508089</v>
      </c>
      <c r="L13" s="43">
        <f>L12*'Assumptions Hybrid Plant'!$D$58</f>
        <v>1084.2019856778434</v>
      </c>
      <c r="M13" s="43">
        <f>M12*'Assumptions Hybrid Plant'!$D$58</f>
        <v>1066.3038333063682</v>
      </c>
      <c r="N13" s="43">
        <f>N12*'Assumptions Hybrid Plant'!$D$58</f>
        <v>1048.5831394928293</v>
      </c>
      <c r="O13" s="43">
        <f>O12*'Assumptions Hybrid Plant'!$D$58</f>
        <v>1029.3663673935177</v>
      </c>
    </row>
    <row r="14" spans="2:15" x14ac:dyDescent="0.25">
      <c r="B14" s="4" t="s">
        <v>523</v>
      </c>
      <c r="C14" s="4"/>
      <c r="D14" s="43"/>
      <c r="E14" s="43"/>
      <c r="F14" s="43">
        <f>IS!F23</f>
        <v>1284.5903242307727</v>
      </c>
      <c r="G14" s="43">
        <f>IS!G23</f>
        <v>1346.7933035038416</v>
      </c>
      <c r="H14" s="43">
        <f>IS!H23</f>
        <v>2415.454460983186</v>
      </c>
      <c r="I14" s="43">
        <f>IS!I23</f>
        <v>2408.8548586307725</v>
      </c>
      <c r="J14" s="43">
        <f>IS!J23</f>
        <v>2408.8548586307725</v>
      </c>
      <c r="K14" s="43">
        <f>IS!K23</f>
        <v>2408.8548586307725</v>
      </c>
      <c r="L14" s="43">
        <f>IS!L23</f>
        <v>2415.454460983186</v>
      </c>
      <c r="M14" s="43">
        <f>IS!M23</f>
        <v>2408.8548586307725</v>
      </c>
      <c r="N14" s="43">
        <f>IS!N23</f>
        <v>2408.8548586307725</v>
      </c>
      <c r="O14" s="43">
        <f>IS!O23</f>
        <v>2408.8548586307725</v>
      </c>
    </row>
    <row r="15" spans="2:15" x14ac:dyDescent="0.25">
      <c r="B15" s="29" t="s">
        <v>524</v>
      </c>
      <c r="C15" s="29"/>
      <c r="D15" s="48"/>
      <c r="E15" s="48"/>
      <c r="F15" s="48">
        <f t="shared" ref="F15:N15" si="0">F12-F13+F14</f>
        <v>2224.6490960761548</v>
      </c>
      <c r="G15" s="48">
        <f t="shared" si="0"/>
        <v>4504.6247663424292</v>
      </c>
      <c r="H15" s="48">
        <f t="shared" si="0"/>
        <v>5051.1312449111856</v>
      </c>
      <c r="I15" s="48">
        <f t="shared" si="0"/>
        <v>4971.7824220077964</v>
      </c>
      <c r="J15" s="48">
        <f t="shared" si="0"/>
        <v>5000.1295509027223</v>
      </c>
      <c r="K15" s="48">
        <f t="shared" si="0"/>
        <v>5085.4747533764221</v>
      </c>
      <c r="L15" s="48">
        <f t="shared" si="0"/>
        <v>5054.4735799682658</v>
      </c>
      <c r="M15" s="48">
        <f t="shared" si="0"/>
        <v>5004.3086946457242</v>
      </c>
      <c r="N15" s="48">
        <f t="shared" si="0"/>
        <v>4961.1753575061757</v>
      </c>
      <c r="O15" s="48">
        <f t="shared" ref="O15" si="1">O12-O13+O14</f>
        <v>4914.4004671765324</v>
      </c>
    </row>
    <row r="16" spans="2:15" x14ac:dyDescent="0.25">
      <c r="B16" s="4" t="s">
        <v>559</v>
      </c>
      <c r="C16" s="4"/>
      <c r="D16" s="43"/>
      <c r="E16" s="43"/>
      <c r="F16" s="43">
        <f>WC!G22</f>
        <v>-321.62694742943131</v>
      </c>
      <c r="G16" s="43">
        <f>WC!H22</f>
        <v>97.610548151142211</v>
      </c>
      <c r="H16" s="43">
        <f>WC!I22</f>
        <v>97.823462060183374</v>
      </c>
      <c r="I16" s="43">
        <f>WC!J22</f>
        <v>98.039434870714103</v>
      </c>
      <c r="J16" s="43">
        <f>WC!K22</f>
        <v>99.85345296318701</v>
      </c>
      <c r="K16" s="43">
        <f>WC!L22</f>
        <v>10.563771341456231</v>
      </c>
      <c r="L16" s="43">
        <f>WC!M22</f>
        <v>10.762939262969667</v>
      </c>
      <c r="M16" s="43">
        <f>WC!N22</f>
        <v>10.964879792383726</v>
      </c>
      <c r="N16" s="43">
        <f>WC!O22</f>
        <v>11.169527306799864</v>
      </c>
      <c r="O16" s="43">
        <f>WC!P22</f>
        <v>11.376802763361411</v>
      </c>
    </row>
    <row r="17" spans="2:15" x14ac:dyDescent="0.25">
      <c r="B17" s="4" t="s">
        <v>180</v>
      </c>
      <c r="C17" s="4"/>
      <c r="D17" s="43"/>
      <c r="E17" s="43"/>
      <c r="F17" s="43">
        <f>CFS!G19</f>
        <v>13033.440000000002</v>
      </c>
      <c r="G17" s="43">
        <f>CFS!H19</f>
        <v>0</v>
      </c>
      <c r="H17" s="43">
        <f>CFS!I19</f>
        <v>0</v>
      </c>
      <c r="I17" s="43">
        <f>CFS!J19</f>
        <v>0</v>
      </c>
      <c r="J17" s="43">
        <f>CFS!K19</f>
        <v>0</v>
      </c>
      <c r="K17" s="43">
        <f>CFS!L19</f>
        <v>0</v>
      </c>
      <c r="L17" s="43">
        <f>CFS!M19</f>
        <v>0</v>
      </c>
      <c r="M17" s="43">
        <f>CFS!N19</f>
        <v>0</v>
      </c>
      <c r="N17" s="43">
        <f>CFS!O19</f>
        <v>0</v>
      </c>
      <c r="O17" s="43">
        <f>CFS!P19</f>
        <v>0</v>
      </c>
    </row>
    <row r="18" spans="2:15" x14ac:dyDescent="0.25">
      <c r="B18" s="235" t="s">
        <v>525</v>
      </c>
      <c r="C18" s="235"/>
      <c r="D18" s="236"/>
      <c r="E18" s="236"/>
      <c r="F18" s="236">
        <f>F15-F17-F16</f>
        <v>-10487.163956494416</v>
      </c>
      <c r="G18" s="236">
        <f t="shared" ref="G18:O18" si="2">G15-G17-G16</f>
        <v>4407.014218191287</v>
      </c>
      <c r="H18" s="236">
        <f t="shared" si="2"/>
        <v>4953.3077828510022</v>
      </c>
      <c r="I18" s="236">
        <f t="shared" si="2"/>
        <v>4873.7429871370823</v>
      </c>
      <c r="J18" s="236">
        <f t="shared" si="2"/>
        <v>4900.2760979395352</v>
      </c>
      <c r="K18" s="236">
        <f t="shared" si="2"/>
        <v>5074.9109820349659</v>
      </c>
      <c r="L18" s="236">
        <f t="shared" si="2"/>
        <v>5043.7106407052961</v>
      </c>
      <c r="M18" s="236">
        <f t="shared" si="2"/>
        <v>4993.3438148533405</v>
      </c>
      <c r="N18" s="236">
        <f t="shared" si="2"/>
        <v>4950.0058301993759</v>
      </c>
      <c r="O18" s="236">
        <f t="shared" si="2"/>
        <v>4903.023664413171</v>
      </c>
    </row>
    <row r="20" spans="2:15" x14ac:dyDescent="0.25">
      <c r="B20" s="29" t="s">
        <v>526</v>
      </c>
      <c r="C20" s="29"/>
      <c r="D20" s="30">
        <f>C33</f>
        <v>0.18</v>
      </c>
    </row>
    <row r="21" spans="2:15" x14ac:dyDescent="0.25">
      <c r="E21" s="237"/>
      <c r="F21" s="237"/>
      <c r="G21" s="237"/>
      <c r="H21" s="237"/>
      <c r="I21" s="237"/>
      <c r="J21" s="237"/>
      <c r="K21" s="237"/>
      <c r="L21" s="237"/>
      <c r="M21" s="237"/>
      <c r="N21" s="237"/>
    </row>
    <row r="22" spans="2:15" x14ac:dyDescent="0.25">
      <c r="B22" s="38" t="s">
        <v>527</v>
      </c>
      <c r="C22" s="38"/>
      <c r="D22" s="266">
        <f>XNPV(D20,F18:O18,F8:O8)</f>
        <v>10364.863410532442</v>
      </c>
      <c r="E22" s="238"/>
      <c r="F22" s="239"/>
      <c r="G22" s="238"/>
      <c r="H22" s="239"/>
      <c r="I22" s="238"/>
      <c r="J22" s="238"/>
      <c r="K22" s="238"/>
      <c r="L22" s="238"/>
      <c r="M22" s="238"/>
      <c r="N22" s="238"/>
      <c r="O22" s="238"/>
    </row>
    <row r="23" spans="2:15" x14ac:dyDescent="0.25">
      <c r="B23" s="4"/>
      <c r="C23" s="4"/>
      <c r="D23" s="33"/>
      <c r="E23" s="4"/>
      <c r="F23" s="4"/>
      <c r="G23" s="4"/>
      <c r="H23" s="4"/>
      <c r="I23" s="4"/>
      <c r="J23" s="4"/>
      <c r="K23" s="4"/>
      <c r="L23" s="4"/>
      <c r="M23" s="4"/>
      <c r="N23" s="4"/>
      <c r="O23" s="4"/>
    </row>
    <row r="24" spans="2:15" x14ac:dyDescent="0.25">
      <c r="B24" s="38" t="s">
        <v>528</v>
      </c>
      <c r="C24" s="38"/>
      <c r="D24" s="240">
        <f>XIRR(F18:O18,F8:O8)</f>
        <v>0.43776428103446963</v>
      </c>
      <c r="E24" s="241"/>
      <c r="F24" s="241"/>
      <c r="G24" s="241"/>
      <c r="H24" s="241"/>
      <c r="I24" s="241"/>
      <c r="J24" s="241"/>
      <c r="K24" s="241"/>
      <c r="L24" s="241"/>
      <c r="M24" s="241"/>
      <c r="N24" s="241"/>
      <c r="O24" s="241"/>
    </row>
    <row r="25" spans="2:15" x14ac:dyDescent="0.25">
      <c r="B25" s="4"/>
      <c r="C25" s="4"/>
      <c r="D25" s="242"/>
      <c r="E25" s="4"/>
      <c r="F25" s="4"/>
      <c r="G25" s="4"/>
      <c r="H25" s="4"/>
      <c r="I25" s="4"/>
      <c r="J25" s="4"/>
      <c r="K25" s="4"/>
      <c r="L25" s="4"/>
      <c r="M25" s="4"/>
      <c r="N25" s="4"/>
    </row>
    <row r="26" spans="2:15" x14ac:dyDescent="0.25">
      <c r="B26" s="243" t="s">
        <v>526</v>
      </c>
      <c r="C26" s="244"/>
      <c r="D26" s="4"/>
      <c r="E26" s="4"/>
      <c r="F26" s="4"/>
      <c r="G26" s="4"/>
      <c r="H26" s="4"/>
      <c r="I26" s="4"/>
      <c r="J26" s="4"/>
      <c r="K26" s="4"/>
      <c r="L26" s="4"/>
      <c r="M26" s="4"/>
    </row>
    <row r="27" spans="2:15" x14ac:dyDescent="0.25">
      <c r="B27" s="245" t="s">
        <v>529</v>
      </c>
      <c r="C27" s="246">
        <v>0</v>
      </c>
      <c r="D27" s="4"/>
      <c r="E27" s="4"/>
      <c r="F27" s="4"/>
      <c r="G27" s="4"/>
      <c r="H27" s="4"/>
      <c r="I27" s="4"/>
      <c r="J27" s="4"/>
      <c r="K27" s="4"/>
      <c r="L27" s="4"/>
      <c r="M27" s="4"/>
    </row>
    <row r="28" spans="2:15" x14ac:dyDescent="0.25">
      <c r="B28" s="245" t="s">
        <v>530</v>
      </c>
      <c r="C28" s="247">
        <v>0</v>
      </c>
      <c r="D28" s="4"/>
      <c r="E28" s="4"/>
      <c r="F28" s="4"/>
      <c r="G28" s="4"/>
      <c r="H28" s="4"/>
      <c r="I28" s="4"/>
      <c r="J28" s="4"/>
      <c r="K28" s="4"/>
      <c r="L28" s="4"/>
      <c r="M28" s="4"/>
    </row>
    <row r="29" spans="2:15" x14ac:dyDescent="0.25">
      <c r="B29" s="245" t="s">
        <v>112</v>
      </c>
      <c r="C29" s="247">
        <f>[1]Assumptions!D77</f>
        <v>0.29120000000000001</v>
      </c>
      <c r="D29" s="4"/>
      <c r="E29" s="4"/>
      <c r="F29" s="4"/>
      <c r="G29" s="4"/>
      <c r="H29" s="4"/>
      <c r="I29" s="4"/>
      <c r="J29" s="4"/>
      <c r="K29" s="4"/>
      <c r="L29" s="4"/>
      <c r="M29" s="4"/>
    </row>
    <row r="30" spans="2:15" x14ac:dyDescent="0.25">
      <c r="B30" s="245" t="s">
        <v>531</v>
      </c>
      <c r="C30" s="247">
        <f>C28*(1-C29)</f>
        <v>0</v>
      </c>
      <c r="D30" s="4"/>
      <c r="E30" s="4"/>
      <c r="F30" s="4"/>
      <c r="G30" s="4"/>
      <c r="H30" s="4"/>
      <c r="I30" s="4"/>
      <c r="J30" s="4"/>
      <c r="K30" s="4"/>
      <c r="L30" s="4"/>
      <c r="M30" s="4"/>
    </row>
    <row r="31" spans="2:15" x14ac:dyDescent="0.25">
      <c r="B31" s="245" t="s">
        <v>532</v>
      </c>
      <c r="C31" s="246">
        <f>1-C27</f>
        <v>1</v>
      </c>
      <c r="D31" s="4"/>
      <c r="E31" s="4"/>
      <c r="F31" s="4"/>
      <c r="G31" s="4"/>
      <c r="H31" s="4"/>
      <c r="I31" s="4"/>
      <c r="J31" s="4"/>
      <c r="K31" s="4"/>
      <c r="L31" s="4"/>
      <c r="M31" s="4"/>
    </row>
    <row r="32" spans="2:15" x14ac:dyDescent="0.25">
      <c r="B32" s="245" t="s">
        <v>533</v>
      </c>
      <c r="C32" s="247">
        <v>0.18</v>
      </c>
      <c r="D32" s="4"/>
      <c r="E32" s="4"/>
      <c r="F32" s="4"/>
      <c r="G32" s="4"/>
      <c r="H32" s="4"/>
      <c r="I32" s="4"/>
      <c r="J32" s="4"/>
      <c r="K32" s="4"/>
      <c r="L32" s="4"/>
      <c r="M32" s="4"/>
    </row>
    <row r="33" spans="2:15" x14ac:dyDescent="0.25">
      <c r="B33" s="243" t="s">
        <v>526</v>
      </c>
      <c r="C33" s="248">
        <f>C27*C30+C31*C32</f>
        <v>0.18</v>
      </c>
      <c r="D33" s="4"/>
      <c r="E33" s="4"/>
      <c r="F33" s="4"/>
      <c r="G33" s="4"/>
      <c r="H33" s="4"/>
      <c r="I33" s="4"/>
      <c r="J33" s="4"/>
      <c r="K33" s="4"/>
      <c r="L33" s="4"/>
      <c r="M33" s="4"/>
    </row>
    <row r="35" spans="2:15" x14ac:dyDescent="0.25">
      <c r="B35" s="249" t="s">
        <v>534</v>
      </c>
      <c r="C35" s="249"/>
      <c r="D35" s="249"/>
      <c r="E35" s="249"/>
      <c r="F35" s="249"/>
      <c r="G35" s="249"/>
      <c r="H35" s="249"/>
      <c r="I35" s="249"/>
      <c r="J35" s="249"/>
      <c r="K35" s="249"/>
      <c r="L35" s="249"/>
      <c r="M35" s="249"/>
      <c r="N35" s="249"/>
      <c r="O35" s="249"/>
    </row>
    <row r="36" spans="2:15" x14ac:dyDescent="0.25">
      <c r="B36" s="56" t="s">
        <v>0</v>
      </c>
      <c r="C36" s="56"/>
      <c r="D36" s="56"/>
      <c r="E36" s="195">
        <f>E8</f>
        <v>45747</v>
      </c>
      <c r="F36" s="195">
        <f>F8</f>
        <v>46112</v>
      </c>
      <c r="G36" s="195">
        <f t="shared" ref="G36:O36" si="3">G8</f>
        <v>46477</v>
      </c>
      <c r="H36" s="195">
        <f t="shared" si="3"/>
        <v>46843</v>
      </c>
      <c r="I36" s="195">
        <f t="shared" si="3"/>
        <v>47208</v>
      </c>
      <c r="J36" s="195">
        <f t="shared" si="3"/>
        <v>47573</v>
      </c>
      <c r="K36" s="195">
        <f t="shared" si="3"/>
        <v>47938</v>
      </c>
      <c r="L36" s="195">
        <f t="shared" si="3"/>
        <v>48304</v>
      </c>
      <c r="M36" s="195">
        <f t="shared" si="3"/>
        <v>48669</v>
      </c>
      <c r="N36" s="195">
        <f t="shared" si="3"/>
        <v>49034</v>
      </c>
      <c r="O36" s="195">
        <f t="shared" si="3"/>
        <v>49399</v>
      </c>
    </row>
    <row r="37" spans="2:15" x14ac:dyDescent="0.25">
      <c r="B37" s="4" t="s">
        <v>535</v>
      </c>
      <c r="C37" s="4"/>
      <c r="D37" s="44"/>
      <c r="E37" s="44"/>
      <c r="F37" s="43">
        <v>1</v>
      </c>
      <c r="G37" s="43">
        <f>F37+1</f>
        <v>2</v>
      </c>
      <c r="H37" s="43">
        <f t="shared" ref="H37:O37" si="4">G37+1</f>
        <v>3</v>
      </c>
      <c r="I37" s="43">
        <f t="shared" si="4"/>
        <v>4</v>
      </c>
      <c r="J37" s="43">
        <f t="shared" si="4"/>
        <v>5</v>
      </c>
      <c r="K37" s="43">
        <f t="shared" si="4"/>
        <v>6</v>
      </c>
      <c r="L37" s="43">
        <f t="shared" si="4"/>
        <v>7</v>
      </c>
      <c r="M37" s="43">
        <f t="shared" si="4"/>
        <v>8</v>
      </c>
      <c r="N37" s="43">
        <f t="shared" si="4"/>
        <v>9</v>
      </c>
      <c r="O37" s="43">
        <f t="shared" si="4"/>
        <v>10</v>
      </c>
    </row>
    <row r="38" spans="2:15" x14ac:dyDescent="0.25">
      <c r="B38" s="4" t="s">
        <v>536</v>
      </c>
      <c r="C38" s="4"/>
      <c r="D38" s="43"/>
      <c r="E38" s="43"/>
      <c r="F38" s="43">
        <f>IS!F35</f>
        <v>2379.1327949256893</v>
      </c>
      <c r="G38" s="43">
        <f>IS!G35</f>
        <v>4453.2528777423995</v>
      </c>
      <c r="H38" s="43">
        <f>IS!H35</f>
        <v>4721.9217081861443</v>
      </c>
      <c r="I38" s="43">
        <f>IS!I35</f>
        <v>4587.7766071416645</v>
      </c>
      <c r="J38" s="43">
        <f>IS!J35</f>
        <v>4570.1008842787769</v>
      </c>
      <c r="K38" s="43">
        <f>IS!K35</f>
        <v>4615.2970280922473</v>
      </c>
      <c r="L38" s="43">
        <f>IS!L35</f>
        <v>4552.532900086695</v>
      </c>
      <c r="M38" s="43">
        <f>IS!M35</f>
        <v>4474.3421414645181</v>
      </c>
      <c r="N38" s="43">
        <f>IS!N35</f>
        <v>4407.3034737402368</v>
      </c>
      <c r="O38" s="43">
        <f>IS!O35</f>
        <v>4338.5225877415587</v>
      </c>
    </row>
    <row r="39" spans="2:15" x14ac:dyDescent="0.25">
      <c r="B39" s="4" t="s">
        <v>537</v>
      </c>
      <c r="C39" s="4"/>
      <c r="D39" s="43"/>
      <c r="E39" s="43"/>
      <c r="F39" s="43">
        <f t="shared" ref="F39" si="5">E39+F38</f>
        <v>2379.1327949256893</v>
      </c>
      <c r="G39" s="43">
        <f t="shared" ref="G39" si="6">F39+G38</f>
        <v>6832.3856726680888</v>
      </c>
      <c r="H39" s="43">
        <f t="shared" ref="H39" si="7">G39+H38</f>
        <v>11554.307380854232</v>
      </c>
      <c r="I39" s="43">
        <f t="shared" ref="I39" si="8">H39+I38</f>
        <v>16142.083987995897</v>
      </c>
      <c r="J39" s="43">
        <f t="shared" ref="J39" si="9">I39+J38</f>
        <v>20712.184872274673</v>
      </c>
      <c r="K39" s="43">
        <f t="shared" ref="K39" si="10">J39+K38</f>
        <v>25327.481900366918</v>
      </c>
      <c r="L39" s="43">
        <f t="shared" ref="L39" si="11">K39+L38</f>
        <v>29880.014800453613</v>
      </c>
      <c r="M39" s="43">
        <f t="shared" ref="M39" si="12">L39+M38</f>
        <v>34354.356941918129</v>
      </c>
      <c r="N39" s="43">
        <f t="shared" ref="N39" si="13">M39+N38</f>
        <v>38761.660415658363</v>
      </c>
      <c r="O39" s="43">
        <f t="shared" ref="O39" si="14">N39+O38</f>
        <v>43100.183003399921</v>
      </c>
    </row>
    <row r="40" spans="2:15" x14ac:dyDescent="0.25">
      <c r="B40" s="4" t="s">
        <v>538</v>
      </c>
      <c r="C40" s="4"/>
      <c r="E40" s="4"/>
      <c r="F40" s="43">
        <f>'COP &amp; MOF'!D19</f>
        <v>13033.44</v>
      </c>
      <c r="G40" s="4"/>
      <c r="H40" s="4"/>
      <c r="I40" s="4"/>
      <c r="J40" s="4"/>
      <c r="K40" s="4"/>
      <c r="L40" s="4"/>
      <c r="M40" s="4"/>
      <c r="N40" s="4"/>
      <c r="O40" s="4"/>
    </row>
    <row r="41" spans="2:15" x14ac:dyDescent="0.25">
      <c r="B41" s="38" t="s">
        <v>539</v>
      </c>
      <c r="C41" s="38"/>
      <c r="D41" s="38"/>
      <c r="E41" s="250"/>
      <c r="F41" s="250">
        <f>H37+(F40-H39)/I38</f>
        <v>3.3224072891524936</v>
      </c>
      <c r="G41" s="250"/>
      <c r="H41" s="250"/>
      <c r="I41" s="250"/>
      <c r="J41" s="250"/>
      <c r="K41" s="250"/>
      <c r="L41" s="250"/>
      <c r="M41" s="250"/>
      <c r="N41" s="250"/>
      <c r="O41" s="250"/>
    </row>
    <row r="42" spans="2:15" ht="11.25" customHeight="1" x14ac:dyDescent="0.25"/>
    <row r="44" spans="2:15" x14ac:dyDescent="0.25">
      <c r="B44" s="252" t="s">
        <v>540</v>
      </c>
    </row>
    <row r="45" spans="2:15" x14ac:dyDescent="0.25">
      <c r="B45" s="4" t="s">
        <v>541</v>
      </c>
      <c r="E45" s="237">
        <f>IS!E11</f>
        <v>52118.977599999998</v>
      </c>
      <c r="F45" s="237">
        <f>IS!F11</f>
        <v>52118.977599999998</v>
      </c>
      <c r="G45" s="237">
        <f>IS!G11</f>
        <v>52779.577151999998</v>
      </c>
      <c r="H45" s="237">
        <f>IS!H11</f>
        <v>53442.480695040002</v>
      </c>
      <c r="I45" s="237">
        <f>IS!I11</f>
        <v>54107.734308940795</v>
      </c>
      <c r="J45" s="237">
        <f>IS!J11</f>
        <v>54775.384995119617</v>
      </c>
      <c r="K45" s="237">
        <f>IS!K11</f>
        <v>55445.480695022008</v>
      </c>
      <c r="L45" s="237">
        <f>IS!L11</f>
        <v>55572.670308922447</v>
      </c>
      <c r="M45" s="237">
        <f>IS!M11</f>
        <v>55702.403715100903</v>
      </c>
      <c r="N45" s="237">
        <f>IS!N11</f>
        <v>55834.731789402918</v>
      </c>
      <c r="O45" s="237">
        <f>IS!O11</f>
        <v>55969.706425190976</v>
      </c>
    </row>
    <row r="46" spans="2:15" x14ac:dyDescent="0.25">
      <c r="B46" s="4" t="s">
        <v>542</v>
      </c>
      <c r="E46" s="237">
        <f>IS!E13+IS!E14+IS!E15+IS!E17+IS!E18</f>
        <v>47089.714445641155</v>
      </c>
      <c r="F46" s="237">
        <f>IS!F13+IS!F14+IS!F15+IS!F17+IS!F18</f>
        <v>49448.119256800004</v>
      </c>
      <c r="G46" s="237">
        <f>IS!G13+IS!G14+IS!G15+IS!G17+IS!G18</f>
        <v>46685.499607384219</v>
      </c>
      <c r="H46" s="237">
        <f>IS!H13+IS!H14+IS!H15+IS!H17+IS!H18</f>
        <v>46995.237017135987</v>
      </c>
      <c r="I46" s="237">
        <f>IS!I13+IS!I14+IS!I15+IS!I17+IS!I18</f>
        <v>47620.239593362356</v>
      </c>
      <c r="J46" s="237">
        <f>IS!J13+IS!J14+IS!J15+IS!J17+IS!J18</f>
        <v>48238.483704897837</v>
      </c>
      <c r="K46" s="237">
        <f>IS!K13+IS!K14+IS!K15+IS!K17+IS!K18</f>
        <v>48776.334188951558</v>
      </c>
      <c r="L46" s="237">
        <f>IS!L13+IS!L14+IS!L15+IS!L17+IS!L18</f>
        <v>48938.265689285225</v>
      </c>
      <c r="M46" s="237">
        <f>IS!M13+IS!M14+IS!M15+IS!M17+IS!M18</f>
        <v>49123.005517323065</v>
      </c>
      <c r="N46" s="237">
        <f>IS!N13+IS!N14+IS!N15+IS!N17+IS!N18</f>
        <v>49303.248232846046</v>
      </c>
      <c r="O46" s="237">
        <f>IS!O13+IS!O14+IS!O15+IS!O17+IS!O18</f>
        <v>49488.374393379621</v>
      </c>
    </row>
    <row r="47" spans="2:15" x14ac:dyDescent="0.25">
      <c r="B47" s="253" t="s">
        <v>543</v>
      </c>
      <c r="E47" s="237">
        <f>E45-E46</f>
        <v>5029.2631543588432</v>
      </c>
      <c r="F47" s="237">
        <f>F45-F46</f>
        <v>2670.8583431999941</v>
      </c>
      <c r="G47" s="237">
        <f t="shared" ref="G47:O47" si="15">G45-G46</f>
        <v>6094.0775446157786</v>
      </c>
      <c r="H47" s="237">
        <f t="shared" si="15"/>
        <v>6447.2436779040145</v>
      </c>
      <c r="I47" s="237">
        <f t="shared" si="15"/>
        <v>6487.4947155784394</v>
      </c>
      <c r="J47" s="237">
        <f t="shared" si="15"/>
        <v>6536.9012902217801</v>
      </c>
      <c r="K47" s="237">
        <f t="shared" si="15"/>
        <v>6669.1465060704504</v>
      </c>
      <c r="L47" s="237">
        <f t="shared" si="15"/>
        <v>6634.4046196372219</v>
      </c>
      <c r="M47" s="237">
        <f t="shared" si="15"/>
        <v>6579.3981977778385</v>
      </c>
      <c r="N47" s="237">
        <f t="shared" si="15"/>
        <v>6531.4835565568719</v>
      </c>
      <c r="O47" s="237">
        <f t="shared" si="15"/>
        <v>6481.3320318113547</v>
      </c>
    </row>
    <row r="48" spans="2:15" x14ac:dyDescent="0.25">
      <c r="B48" s="4" t="s">
        <v>544</v>
      </c>
      <c r="E48" s="237">
        <f>IS!E16+IS!E19+IS!E20+IS!E21+IS!E22+IS!E23</f>
        <v>2030.5231409377675</v>
      </c>
      <c r="F48" s="237">
        <f>IS!F16+IS!F19+IS!F20+IS!F21+IS!F22+IS!F23</f>
        <v>1344.5903242307727</v>
      </c>
      <c r="G48" s="237">
        <f>IS!G16+IS!G19+IS!G20+IS!G21+IS!G22+IS!G23</f>
        <v>1638.8977155545599</v>
      </c>
      <c r="H48" s="237">
        <f>IS!H16+IS!H19+IS!H20+IS!H21+IS!H22+IS!H23</f>
        <v>2728.738057238103</v>
      </c>
      <c r="I48" s="237">
        <f>IS!I16+IS!I19+IS!I20+IS!I21+IS!I22+IS!I23</f>
        <v>2871.6262570894078</v>
      </c>
      <c r="J48" s="237">
        <f>IS!J16+IS!J19+IS!J20+IS!J21+IS!J22+IS!J23</f>
        <v>2881.0397040593275</v>
      </c>
      <c r="K48" s="237">
        <f>IS!K16+IS!K19+IS!K20+IS!K21+IS!K22+IS!K23</f>
        <v>2892.8769028739903</v>
      </c>
      <c r="L48" s="237">
        <f>IS!L16+IS!L19+IS!L20+IS!L21+IS!L22+IS!L23</f>
        <v>2911.1835149742906</v>
      </c>
      <c r="M48" s="237">
        <f>IS!M16+IS!M19+IS!M20+IS!M21+IS!M22+IS!M23</f>
        <v>2917.6405284565162</v>
      </c>
      <c r="N48" s="237">
        <f>IS!N16+IS!N19+IS!N20+IS!N21+IS!N22+IS!N23</f>
        <v>2930.5799181886405</v>
      </c>
      <c r="O48" s="237">
        <f>IS!O16+IS!O19+IS!O20+IS!O21+IS!O22+IS!O23</f>
        <v>2946.4200558720768</v>
      </c>
    </row>
    <row r="49" spans="2:15" x14ac:dyDescent="0.25">
      <c r="B49" s="4" t="s">
        <v>545</v>
      </c>
      <c r="E49" s="237">
        <f>E47-E48</f>
        <v>2998.7400134210757</v>
      </c>
      <c r="F49" s="237">
        <f>F47-F48</f>
        <v>1326.2680189692214</v>
      </c>
      <c r="G49" s="237">
        <f t="shared" ref="G49:O49" si="16">G47-G48</f>
        <v>4455.1798290612187</v>
      </c>
      <c r="H49" s="237">
        <f t="shared" si="16"/>
        <v>3718.5056206659115</v>
      </c>
      <c r="I49" s="237">
        <f t="shared" si="16"/>
        <v>3615.8684584890316</v>
      </c>
      <c r="J49" s="237">
        <f t="shared" si="16"/>
        <v>3655.8615861624526</v>
      </c>
      <c r="K49" s="237">
        <f t="shared" si="16"/>
        <v>3776.2696031964601</v>
      </c>
      <c r="L49" s="237">
        <f t="shared" si="16"/>
        <v>3723.2211046629313</v>
      </c>
      <c r="M49" s="237">
        <f t="shared" si="16"/>
        <v>3661.7576693213223</v>
      </c>
      <c r="N49" s="237">
        <f t="shared" si="16"/>
        <v>3600.9036383682314</v>
      </c>
      <c r="O49" s="237">
        <f t="shared" si="16"/>
        <v>3534.9119759392779</v>
      </c>
    </row>
    <row r="50" spans="2:15" x14ac:dyDescent="0.25">
      <c r="B50" s="253" t="s">
        <v>546</v>
      </c>
      <c r="E50" s="254">
        <f>E47/E45</f>
        <v>9.649581373136612E-2</v>
      </c>
      <c r="F50" s="254">
        <f>F47/F45</f>
        <v>5.1245409372727112E-2</v>
      </c>
      <c r="G50" s="254">
        <f t="shared" ref="G50:O50" si="17">G47/G45</f>
        <v>0.11546279590428385</v>
      </c>
      <c r="H50" s="254">
        <f t="shared" si="17"/>
        <v>0.12063892981865984</v>
      </c>
      <c r="I50" s="254">
        <f t="shared" si="17"/>
        <v>0.11989958179613597</v>
      </c>
      <c r="J50" s="254">
        <f t="shared" si="17"/>
        <v>0.11934012496314185</v>
      </c>
      <c r="K50" s="254">
        <f t="shared" si="17"/>
        <v>0.12028295944901453</v>
      </c>
      <c r="L50" s="254">
        <f t="shared" si="17"/>
        <v>0.11938250551498221</v>
      </c>
      <c r="M50" s="254">
        <f t="shared" si="17"/>
        <v>0.11811695293131785</v>
      </c>
      <c r="N50" s="254">
        <f t="shared" si="17"/>
        <v>0.11697886507617301</v>
      </c>
      <c r="O50" s="254">
        <f t="shared" si="17"/>
        <v>0.11580071516855807</v>
      </c>
    </row>
    <row r="51" spans="2:15" x14ac:dyDescent="0.25">
      <c r="B51" s="255" t="s">
        <v>547</v>
      </c>
      <c r="E51" s="256">
        <f>(E48/E47)*E45</f>
        <v>21042.60342931066</v>
      </c>
      <c r="F51" s="256">
        <f>(F48/F47)*F45</f>
        <v>26238.259010696202</v>
      </c>
      <c r="G51" s="256">
        <f t="shared" ref="G51:O51" si="18">(G48/G47)*G45</f>
        <v>14194.162740638731</v>
      </c>
      <c r="H51" s="256">
        <f t="shared" si="18"/>
        <v>22619.050594529021</v>
      </c>
      <c r="I51" s="256">
        <f t="shared" si="18"/>
        <v>23950.260827197915</v>
      </c>
      <c r="J51" s="256">
        <f t="shared" si="18"/>
        <v>24141.416853293355</v>
      </c>
      <c r="K51" s="256">
        <f t="shared" si="18"/>
        <v>24050.596328237341</v>
      </c>
      <c r="L51" s="256">
        <f t="shared" si="18"/>
        <v>24385.344422252423</v>
      </c>
      <c r="M51" s="256">
        <f t="shared" si="18"/>
        <v>24701.28509116768</v>
      </c>
      <c r="N51" s="256">
        <f t="shared" si="18"/>
        <v>25052.21705032219</v>
      </c>
      <c r="O51" s="256">
        <f t="shared" si="18"/>
        <v>25443.884794522251</v>
      </c>
    </row>
    <row r="52" spans="2:15" x14ac:dyDescent="0.25">
      <c r="B52" s="257" t="s">
        <v>548</v>
      </c>
      <c r="C52" s="258"/>
      <c r="D52" s="258"/>
      <c r="E52" s="259">
        <f>E51/E45</f>
        <v>0.40374167718345</v>
      </c>
      <c r="F52" s="259">
        <f>F51/F45</f>
        <v>0.50343004062873642</v>
      </c>
      <c r="G52" s="259">
        <f t="shared" ref="G52:O52" si="19">G51/G45</f>
        <v>0.26893286203792305</v>
      </c>
      <c r="H52" s="259">
        <f t="shared" si="19"/>
        <v>0.4232410303631039</v>
      </c>
      <c r="I52" s="259">
        <f t="shared" si="19"/>
        <v>0.44264024604039576</v>
      </c>
      <c r="J52" s="259">
        <f t="shared" si="19"/>
        <v>0.44073477266192301</v>
      </c>
      <c r="K52" s="259">
        <f t="shared" si="19"/>
        <v>0.43377018337216156</v>
      </c>
      <c r="L52" s="259">
        <f t="shared" si="19"/>
        <v>0.43880102011828725</v>
      </c>
      <c r="M52" s="259">
        <f t="shared" si="19"/>
        <v>0.44345097237646081</v>
      </c>
      <c r="N52" s="259">
        <f t="shared" si="19"/>
        <v>0.44868518657551681</v>
      </c>
      <c r="O52" s="259">
        <f t="shared" si="19"/>
        <v>0.45460100507281576</v>
      </c>
    </row>
    <row r="53" spans="2:15" x14ac:dyDescent="0.25">
      <c r="B53" s="251"/>
    </row>
    <row r="54" spans="2:15" x14ac:dyDescent="0.25">
      <c r="B54" s="251"/>
    </row>
    <row r="55" spans="2:15" x14ac:dyDescent="0.25">
      <c r="B55" s="260" t="s">
        <v>549</v>
      </c>
      <c r="C55" s="260"/>
      <c r="D55" s="260"/>
      <c r="E55" s="260"/>
      <c r="F55" s="260"/>
      <c r="G55" s="260"/>
      <c r="H55" s="260"/>
      <c r="I55" s="260"/>
      <c r="J55" s="260"/>
      <c r="K55" s="260"/>
      <c r="L55" s="260"/>
      <c r="M55" s="260"/>
      <c r="N55" s="260"/>
      <c r="O55" s="260"/>
    </row>
    <row r="57" spans="2:15" x14ac:dyDescent="0.25">
      <c r="B57" s="4" t="s">
        <v>515</v>
      </c>
      <c r="C57" s="4"/>
      <c r="D57" s="4"/>
      <c r="E57" s="267">
        <f>IS!E45</f>
        <v>8.2183698431794294E-2</v>
      </c>
      <c r="F57" s="267">
        <f>IS!F45</f>
        <v>5.0094197227690651E-2</v>
      </c>
      <c r="G57" s="267">
        <f>IS!G45</f>
        <v>0.10992837467901537</v>
      </c>
      <c r="H57" s="267">
        <f>IS!H45</f>
        <v>0.11477685919281051</v>
      </c>
      <c r="I57" s="267">
        <f>IS!I45</f>
        <v>0.11134680455700161</v>
      </c>
      <c r="J57" s="267">
        <f>IS!J45</f>
        <v>0.11071974109052056</v>
      </c>
      <c r="K57" s="267">
        <f>IS!K45</f>
        <v>0.11155326609662783</v>
      </c>
      <c r="L57" s="267">
        <f>IS!L45</f>
        <v>0.11046213060344011</v>
      </c>
      <c r="M57" s="267">
        <f>IS!M45</f>
        <v>0.10898295446999447</v>
      </c>
      <c r="N57" s="267">
        <f>IS!N45</f>
        <v>0.10763476969257367</v>
      </c>
      <c r="O57" s="267">
        <f>IS!O45</f>
        <v>0.1061961409877052</v>
      </c>
    </row>
    <row r="58" spans="2:15" x14ac:dyDescent="0.25">
      <c r="B58" s="261" t="s">
        <v>550</v>
      </c>
      <c r="C58" s="261"/>
      <c r="D58" s="261"/>
      <c r="E58" s="406">
        <f>AVERAGE(E57:O57)</f>
        <v>0.10217081245719767</v>
      </c>
      <c r="F58" s="406"/>
      <c r="G58" s="406"/>
      <c r="H58" s="406"/>
      <c r="I58" s="406"/>
      <c r="J58" s="406"/>
      <c r="K58" s="406"/>
      <c r="L58" s="406"/>
      <c r="M58" s="406"/>
      <c r="N58" s="406"/>
      <c r="O58" s="406"/>
    </row>
    <row r="59" spans="2:15" x14ac:dyDescent="0.25">
      <c r="B59" s="4" t="s">
        <v>516</v>
      </c>
      <c r="C59" s="4"/>
      <c r="D59" s="4"/>
      <c r="E59" s="267">
        <f>IS!E46</f>
        <v>5.7536432054282459E-2</v>
      </c>
      <c r="F59" s="267">
        <f>IS!F46</f>
        <v>2.5446930850178809E-2</v>
      </c>
      <c r="G59" s="267">
        <f>IS!G46</f>
        <v>8.4411055742844104E-2</v>
      </c>
      <c r="H59" s="267">
        <f>IS!H46</f>
        <v>6.9579584860308116E-2</v>
      </c>
      <c r="I59" s="267">
        <f>IS!I46</f>
        <v>6.6827201409753734E-2</v>
      </c>
      <c r="J59" s="267">
        <f>IS!J46</f>
        <v>6.6742782118066113E-2</v>
      </c>
      <c r="K59" s="267">
        <f>IS!K46</f>
        <v>6.8107798072269188E-2</v>
      </c>
      <c r="L59" s="267">
        <f>IS!L46</f>
        <v>6.6997340310730819E-2</v>
      </c>
      <c r="M59" s="267">
        <f>IS!M46</f>
        <v>6.5737875299780257E-2</v>
      </c>
      <c r="N59" s="267">
        <f>IS!N46</f>
        <v>6.4492181174078123E-2</v>
      </c>
      <c r="O59" s="267">
        <f>IS!O46</f>
        <v>6.3157593664780715E-2</v>
      </c>
    </row>
    <row r="60" spans="2:15" x14ac:dyDescent="0.25">
      <c r="B60" s="261" t="s">
        <v>550</v>
      </c>
      <c r="C60" s="261"/>
      <c r="D60" s="261"/>
      <c r="E60" s="406">
        <f>AVERAGE(E59:O59)</f>
        <v>6.354879777791568E-2</v>
      </c>
      <c r="F60" s="406"/>
      <c r="G60" s="406"/>
      <c r="H60" s="406"/>
      <c r="I60" s="406"/>
      <c r="J60" s="406"/>
      <c r="K60" s="406"/>
      <c r="L60" s="406"/>
      <c r="M60" s="406"/>
      <c r="N60" s="406"/>
      <c r="O60" s="406"/>
    </row>
    <row r="61" spans="2:15" x14ac:dyDescent="0.25">
      <c r="B61" s="4" t="s">
        <v>517</v>
      </c>
      <c r="C61" s="4"/>
      <c r="D61" s="4"/>
      <c r="E61" s="267">
        <f>IS!E47</f>
        <v>4.1137786230104327E-2</v>
      </c>
      <c r="F61" s="267">
        <f>IS!F47</f>
        <v>2.1000843092035565E-2</v>
      </c>
      <c r="G61" s="267">
        <f>IS!G47</f>
        <v>5.8857227394836072E-2</v>
      </c>
      <c r="H61" s="267">
        <f>IS!H47</f>
        <v>4.315793760331605E-2</v>
      </c>
      <c r="I61" s="267">
        <f>IS!I47</f>
        <v>4.0270060765616747E-2</v>
      </c>
      <c r="J61" s="267">
        <f>IS!J47</f>
        <v>3.9456519125161189E-2</v>
      </c>
      <c r="K61" s="267">
        <f>IS!K47</f>
        <v>3.9794806390046726E-2</v>
      </c>
      <c r="L61" s="267">
        <f>IS!L47</f>
        <v>3.8455565068651935E-2</v>
      </c>
      <c r="M61" s="267">
        <f>IS!M47</f>
        <v>3.7080756755094806E-2</v>
      </c>
      <c r="N61" s="267">
        <f>IS!N47</f>
        <v>3.5792213037705634E-2</v>
      </c>
      <c r="O61" s="267">
        <f>IS!O47</f>
        <v>3.4477002871008029E-2</v>
      </c>
    </row>
    <row r="62" spans="2:15" x14ac:dyDescent="0.25">
      <c r="B62" s="261" t="s">
        <v>550</v>
      </c>
      <c r="C62" s="261"/>
      <c r="D62" s="261"/>
      <c r="E62" s="406">
        <f>AVERAGE(E61:O61)</f>
        <v>3.9043701666688829E-2</v>
      </c>
      <c r="F62" s="406"/>
      <c r="G62" s="406"/>
      <c r="H62" s="406"/>
      <c r="I62" s="406"/>
      <c r="J62" s="406"/>
      <c r="K62" s="406"/>
      <c r="L62" s="406"/>
      <c r="M62" s="406"/>
      <c r="N62" s="406"/>
      <c r="O62" s="406"/>
    </row>
    <row r="63" spans="2:15" x14ac:dyDescent="0.25">
      <c r="B63" s="4" t="s">
        <v>551</v>
      </c>
      <c r="C63" s="4"/>
      <c r="D63" s="4"/>
      <c r="E63" s="267">
        <f>IS!E48</f>
        <v>9.5426620610834956E-2</v>
      </c>
      <c r="F63" s="267">
        <f>IS!F48</f>
        <v>0</v>
      </c>
      <c r="G63" s="267">
        <f>IS!G48</f>
        <v>1.2674837121133375E-2</v>
      </c>
      <c r="H63" s="267">
        <f>IS!H48</f>
        <v>1.2559849449549576E-2</v>
      </c>
      <c r="I63" s="267">
        <f>IS!I48</f>
        <v>1.24480302046035E-2</v>
      </c>
      <c r="J63" s="267">
        <f>IS!J48</f>
        <v>1.2339283740226747E-2</v>
      </c>
      <c r="K63" s="267">
        <f>IS!K48</f>
        <v>1.2233518759605211E-2</v>
      </c>
      <c r="L63" s="267">
        <f>IS!L48</f>
        <v>2.2939581784859886E-3</v>
      </c>
      <c r="M63" s="267">
        <f>IS!M48</f>
        <v>2.3344821376638514E-3</v>
      </c>
      <c r="N63" s="267">
        <f>IS!N48</f>
        <v>2.3756259241312083E-3</v>
      </c>
      <c r="O63" s="267">
        <f>IS!O48</f>
        <v>2.4173956149222686E-3</v>
      </c>
    </row>
    <row r="64" spans="2:15" x14ac:dyDescent="0.25">
      <c r="B64" s="261" t="s">
        <v>550</v>
      </c>
      <c r="C64" s="261"/>
      <c r="D64" s="261"/>
      <c r="E64" s="406">
        <f>AVERAGE(E63:O63)</f>
        <v>1.5191236521923335E-2</v>
      </c>
      <c r="F64" s="406"/>
      <c r="G64" s="406"/>
      <c r="H64" s="406"/>
      <c r="I64" s="406"/>
      <c r="J64" s="406"/>
      <c r="K64" s="406"/>
      <c r="L64" s="406"/>
      <c r="M64" s="406"/>
      <c r="N64" s="406"/>
      <c r="O64" s="406"/>
    </row>
    <row r="65" spans="2:15" x14ac:dyDescent="0.25">
      <c r="B65" s="4" t="s">
        <v>552</v>
      </c>
      <c r="C65" s="4"/>
      <c r="D65" s="4"/>
      <c r="E65" s="267">
        <f>IS!E42/(BS!E11+BS!E12+BS!E13)</f>
        <v>0.11239027099744517</v>
      </c>
      <c r="F65" s="267">
        <f>IS!F42/(BS!G11+BS!G12+BS!G13)</f>
        <v>3.0223169296835928E-2</v>
      </c>
      <c r="G65" s="267">
        <f>IS!G42/(BS!H11+BS!H12+BS!H13)</f>
        <v>9.6455512158935386E-2</v>
      </c>
      <c r="H65" s="267">
        <f>IS!H42/(BS!I11+BS!I12+BS!I13)</f>
        <v>7.6879645281325168E-2</v>
      </c>
      <c r="I65" s="267">
        <f>IS!I42/(BS!J11+BS!J12+BS!J13)</f>
        <v>7.15600801148569E-2</v>
      </c>
      <c r="J65" s="267">
        <f>IS!J42/(BS!K11+BS!K12+BS!K13)</f>
        <v>6.9324396495059906E-2</v>
      </c>
      <c r="K65" s="267">
        <f>IS!K42/(BS!L11+BS!L12+BS!L13)</f>
        <v>6.8818795678486644E-2</v>
      </c>
      <c r="L65" s="267">
        <f>IS!L42/(BS!M11+BS!M12+BS!M13)</f>
        <v>6.5390639096608347E-2</v>
      </c>
      <c r="M65" s="267">
        <f>IS!M42/(BS!N11+BS!N12+BS!N13)</f>
        <v>6.2130469397127693E-2</v>
      </c>
      <c r="N65" s="267">
        <f>IS!N42/(BS!O11+BS!O12+BS!O13)</f>
        <v>5.916092246986563E-2</v>
      </c>
      <c r="O65" s="267">
        <f>IS!O42/(BS!P11+BS!P12+BS!P13)</f>
        <v>5.6026258649028236E-2</v>
      </c>
    </row>
    <row r="66" spans="2:15" x14ac:dyDescent="0.25">
      <c r="B66" s="261" t="s">
        <v>550</v>
      </c>
      <c r="C66" s="261"/>
      <c r="D66" s="261"/>
      <c r="E66" s="406">
        <f>AVERAGE(E65:O65)</f>
        <v>6.9850923603234097E-2</v>
      </c>
      <c r="F66" s="406"/>
      <c r="G66" s="406"/>
      <c r="H66" s="406"/>
      <c r="I66" s="406"/>
      <c r="J66" s="406"/>
      <c r="K66" s="406"/>
      <c r="L66" s="406"/>
      <c r="M66" s="406"/>
      <c r="N66" s="406"/>
      <c r="O66" s="406"/>
    </row>
    <row r="67" spans="2:15" x14ac:dyDescent="0.25">
      <c r="B67" s="4" t="s">
        <v>553</v>
      </c>
      <c r="C67" s="4"/>
      <c r="D67" s="4"/>
      <c r="E67" s="267">
        <f>IS!E30/BS!E11</f>
        <v>0.40666362629035779</v>
      </c>
      <c r="F67" s="267">
        <f>IS!F30/BS!G11</f>
        <v>5.9901680714531509E-2</v>
      </c>
      <c r="G67" s="267">
        <f>IS!G30/BS!H11</f>
        <v>0.17000907187319605</v>
      </c>
      <c r="H67" s="267">
        <f>IS!H30/BS!I11</f>
        <v>0.1262274131151426</v>
      </c>
      <c r="I67" s="267">
        <f>IS!I30/BS!J11</f>
        <v>0.11924715429121849</v>
      </c>
      <c r="J67" s="267">
        <f>IS!J30/BS!K11</f>
        <v>0.11827980442981109</v>
      </c>
      <c r="K67" s="267">
        <f>IS!K30/BS!L11</f>
        <v>0.12075328083545817</v>
      </c>
      <c r="L67" s="267">
        <f>IS!L30/BS!M11</f>
        <v>0.11695717046028584</v>
      </c>
      <c r="M67" s="267">
        <f>IS!M30/BS!N11</f>
        <v>0.1130391584144556</v>
      </c>
      <c r="N67" s="267">
        <f>IS!N30/BS!O11</f>
        <v>0.10937029313324097</v>
      </c>
      <c r="O67" s="267">
        <f>IS!O30/BS!P11</f>
        <v>0.10560608043006499</v>
      </c>
    </row>
    <row r="68" spans="2:15" x14ac:dyDescent="0.25">
      <c r="B68" s="261" t="s">
        <v>550</v>
      </c>
      <c r="C68" s="261"/>
      <c r="D68" s="261"/>
      <c r="E68" s="406">
        <f>AVERAGE(E67:O67)</f>
        <v>0.14236861218070573</v>
      </c>
      <c r="F68" s="406"/>
      <c r="G68" s="406"/>
      <c r="H68" s="406"/>
      <c r="I68" s="406"/>
      <c r="J68" s="406"/>
      <c r="K68" s="406"/>
      <c r="L68" s="406"/>
      <c r="M68" s="406"/>
      <c r="N68" s="406"/>
      <c r="O68" s="406"/>
    </row>
    <row r="69" spans="2:15" x14ac:dyDescent="0.25">
      <c r="B69" s="4" t="s">
        <v>554</v>
      </c>
      <c r="C69" s="4"/>
      <c r="D69" s="4"/>
      <c r="E69" s="267">
        <f>IS!E30/(BS!E11+BS!E12)</f>
        <v>8.0357553945548596E-2</v>
      </c>
      <c r="F69" s="267">
        <f>IS!F30/(BS!G11+BS!G12)</f>
        <v>2.4942577157292752E-2</v>
      </c>
      <c r="G69" s="267">
        <f>IS!G30/(BS!H11+BS!H12)</f>
        <v>6.725545561139494E-2</v>
      </c>
      <c r="H69" s="267">
        <f>IS!H30/(BS!I11+BS!I12)</f>
        <v>4.7685925989323447E-2</v>
      </c>
      <c r="I69" s="267">
        <f>IS!I30/(BS!J11+BS!J12)</f>
        <v>4.3122092708151157E-2</v>
      </c>
      <c r="J69" s="267">
        <f>IS!J30/(BS!K11+BS!K12)</f>
        <v>4.0982699392256683E-2</v>
      </c>
      <c r="K69" s="267">
        <f>IS!K30/(BS!L11+BS!L12)</f>
        <v>4.0210236236320529E-2</v>
      </c>
      <c r="L69" s="267">
        <f>IS!L30/(BS!M11+BS!M12)</f>
        <v>3.7533340353476601E-2</v>
      </c>
      <c r="M69" s="267">
        <f>IS!M30/(BS!N11+BS!N12)</f>
        <v>3.5045927667857787E-2</v>
      </c>
      <c r="N69" s="267">
        <f>IS!N30/(BS!O11+BS!O12)</f>
        <v>3.2833442783289229E-2</v>
      </c>
      <c r="O69" s="267">
        <f>IS!O30/(BS!P11+BS!P12)</f>
        <v>3.0584089231561952E-2</v>
      </c>
    </row>
    <row r="70" spans="2:15" x14ac:dyDescent="0.25">
      <c r="B70" s="261" t="s">
        <v>550</v>
      </c>
      <c r="C70" s="261"/>
      <c r="D70" s="261"/>
      <c r="E70" s="406">
        <f>AVERAGE(E69:O69)</f>
        <v>4.3686667370588524E-2</v>
      </c>
      <c r="F70" s="406"/>
      <c r="G70" s="406"/>
      <c r="H70" s="406"/>
      <c r="I70" s="406"/>
      <c r="J70" s="406"/>
      <c r="K70" s="406"/>
      <c r="L70" s="406"/>
      <c r="M70" s="406"/>
      <c r="N70" s="406"/>
      <c r="O70" s="406"/>
    </row>
  </sheetData>
  <mergeCells count="7">
    <mergeCell ref="E70:O70"/>
    <mergeCell ref="E58:O58"/>
    <mergeCell ref="E60:O60"/>
    <mergeCell ref="E62:O62"/>
    <mergeCell ref="E64:O64"/>
    <mergeCell ref="E66:O66"/>
    <mergeCell ref="E68:O68"/>
  </mergeCells>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F3:L67"/>
  <sheetViews>
    <sheetView topLeftCell="A61" workbookViewId="0">
      <selection activeCell="K63" sqref="K63"/>
    </sheetView>
  </sheetViews>
  <sheetFormatPr defaultRowHeight="15" x14ac:dyDescent="0.25"/>
  <sheetData>
    <row r="3" spans="6:6" x14ac:dyDescent="0.25">
      <c r="F3" t="s">
        <v>210</v>
      </c>
    </row>
    <row r="4" spans="6:6" x14ac:dyDescent="0.25">
      <c r="F4" t="s">
        <v>228</v>
      </c>
    </row>
    <row r="5" spans="6:6" x14ac:dyDescent="0.25">
      <c r="F5" t="s">
        <v>224</v>
      </c>
    </row>
    <row r="6" spans="6:6" x14ac:dyDescent="0.25">
      <c r="F6" t="s">
        <v>225</v>
      </c>
    </row>
    <row r="7" spans="6:6" x14ac:dyDescent="0.25">
      <c r="F7" t="s">
        <v>214</v>
      </c>
    </row>
    <row r="8" spans="6:6" x14ac:dyDescent="0.25">
      <c r="F8" t="s">
        <v>211</v>
      </c>
    </row>
    <row r="9" spans="6:6" x14ac:dyDescent="0.25">
      <c r="F9" t="s">
        <v>212</v>
      </c>
    </row>
    <row r="10" spans="6:6" x14ac:dyDescent="0.25">
      <c r="F10" t="s">
        <v>226</v>
      </c>
    </row>
    <row r="11" spans="6:6" x14ac:dyDescent="0.25">
      <c r="F11" t="s">
        <v>213</v>
      </c>
    </row>
    <row r="12" spans="6:6" x14ac:dyDescent="0.25">
      <c r="F12" t="s">
        <v>230</v>
      </c>
    </row>
    <row r="13" spans="6:6" x14ac:dyDescent="0.25">
      <c r="F13" t="s">
        <v>217</v>
      </c>
    </row>
    <row r="14" spans="6:6" x14ac:dyDescent="0.25">
      <c r="F14" t="s">
        <v>229</v>
      </c>
    </row>
    <row r="15" spans="6:6" x14ac:dyDescent="0.25">
      <c r="F15" t="s">
        <v>216</v>
      </c>
    </row>
    <row r="16" spans="6:6" x14ac:dyDescent="0.25">
      <c r="F16" t="s">
        <v>220</v>
      </c>
    </row>
    <row r="17" spans="6:12" x14ac:dyDescent="0.25">
      <c r="F17" t="s">
        <v>219</v>
      </c>
    </row>
    <row r="18" spans="6:12" x14ac:dyDescent="0.25">
      <c r="F18" t="s">
        <v>215</v>
      </c>
    </row>
    <row r="19" spans="6:12" x14ac:dyDescent="0.25">
      <c r="F19" t="s">
        <v>221</v>
      </c>
    </row>
    <row r="20" spans="6:12" x14ac:dyDescent="0.25">
      <c r="F20" t="s">
        <v>222</v>
      </c>
    </row>
    <row r="21" spans="6:12" x14ac:dyDescent="0.25">
      <c r="J21">
        <v>137.77000000000001</v>
      </c>
      <c r="K21">
        <v>66.2</v>
      </c>
      <c r="L21">
        <f>J21/K21</f>
        <v>2.0811178247734139</v>
      </c>
    </row>
    <row r="22" spans="6:12" x14ac:dyDescent="0.25">
      <c r="F22" t="s">
        <v>223</v>
      </c>
    </row>
    <row r="25" spans="6:12" x14ac:dyDescent="0.25">
      <c r="F25" t="s">
        <v>227</v>
      </c>
    </row>
    <row r="28" spans="6:12" x14ac:dyDescent="0.25">
      <c r="F28" t="s">
        <v>231</v>
      </c>
    </row>
    <row r="34" spans="6:6" x14ac:dyDescent="0.25">
      <c r="F34" t="s">
        <v>232</v>
      </c>
    </row>
    <row r="37" spans="6:6" x14ac:dyDescent="0.25">
      <c r="F37">
        <f>137.77/66.2</f>
        <v>2.0811178247734139</v>
      </c>
    </row>
    <row r="41" spans="6:6" x14ac:dyDescent="0.25">
      <c r="F41" t="s">
        <v>233</v>
      </c>
    </row>
    <row r="45" spans="6:6" ht="75" x14ac:dyDescent="0.25">
      <c r="F45" s="82" t="s">
        <v>234</v>
      </c>
    </row>
    <row r="51" spans="6:11" x14ac:dyDescent="0.25">
      <c r="F51" t="s">
        <v>0</v>
      </c>
      <c r="G51" t="s">
        <v>180</v>
      </c>
      <c r="H51" t="s">
        <v>32</v>
      </c>
      <c r="I51" t="s">
        <v>237</v>
      </c>
    </row>
    <row r="52" spans="6:11" x14ac:dyDescent="0.25">
      <c r="F52" t="s">
        <v>235</v>
      </c>
      <c r="G52" s="80">
        <v>149.30600000000001</v>
      </c>
      <c r="H52" s="80">
        <v>41</v>
      </c>
      <c r="I52" s="80">
        <f>G52/H52</f>
        <v>3.6416097560975613</v>
      </c>
    </row>
    <row r="53" spans="6:11" x14ac:dyDescent="0.25">
      <c r="F53" t="s">
        <v>236</v>
      </c>
      <c r="G53" s="80">
        <v>284.04500000000002</v>
      </c>
      <c r="H53" s="80">
        <v>25.2</v>
      </c>
      <c r="I53" s="80">
        <f>G53/H53</f>
        <v>11.271626984126986</v>
      </c>
    </row>
    <row r="54" spans="6:11" x14ac:dyDescent="0.25">
      <c r="G54" s="80"/>
      <c r="H54" s="80"/>
      <c r="I54" s="80"/>
    </row>
    <row r="56" spans="6:11" x14ac:dyDescent="0.25">
      <c r="F56" t="s">
        <v>238</v>
      </c>
    </row>
    <row r="63" spans="6:11" x14ac:dyDescent="0.25">
      <c r="K63" t="s">
        <v>242</v>
      </c>
    </row>
    <row r="65" spans="6:10" ht="409.5" x14ac:dyDescent="0.25">
      <c r="F65" s="82" t="s">
        <v>240</v>
      </c>
      <c r="J65" s="82" t="s">
        <v>241</v>
      </c>
    </row>
    <row r="67" spans="6:10" ht="409.5" x14ac:dyDescent="0.25">
      <c r="F67" s="82" t="s">
        <v>239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3"/>
  <sheetViews>
    <sheetView workbookViewId="0">
      <selection activeCell="C4" sqref="C4"/>
    </sheetView>
  </sheetViews>
  <sheetFormatPr defaultRowHeight="15" x14ac:dyDescent="0.25"/>
  <cols>
    <col min="1" max="1" width="4.7109375" customWidth="1"/>
    <col min="2" max="2" width="9.42578125" customWidth="1"/>
    <col min="3" max="3" width="58" customWidth="1"/>
  </cols>
  <sheetData>
    <row r="1" spans="2:3" ht="17.25" customHeight="1" x14ac:dyDescent="0.25"/>
    <row r="2" spans="2:3" x14ac:dyDescent="0.25">
      <c r="B2" s="270">
        <v>1</v>
      </c>
      <c r="C2" t="s">
        <v>594</v>
      </c>
    </row>
    <row r="3" spans="2:3" x14ac:dyDescent="0.25">
      <c r="B3">
        <v>2</v>
      </c>
      <c r="C3" t="s">
        <v>603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J47"/>
  <sheetViews>
    <sheetView showGridLines="0" tabSelected="1" workbookViewId="0"/>
  </sheetViews>
  <sheetFormatPr defaultColWidth="9.28515625" defaultRowHeight="15" x14ac:dyDescent="0.25"/>
  <cols>
    <col min="1" max="1" width="7" style="105" customWidth="1"/>
    <col min="2" max="2" width="8.140625" style="105" customWidth="1"/>
    <col min="3" max="3" width="61" style="105" customWidth="1"/>
    <col min="4" max="4" width="28.42578125" style="105" customWidth="1"/>
    <col min="5" max="5" width="11.140625" style="105" customWidth="1"/>
    <col min="6" max="6" width="17.28515625" style="105" customWidth="1"/>
    <col min="7" max="7" width="16.5703125" style="105" customWidth="1"/>
    <col min="8" max="8" width="11.140625" style="105" customWidth="1"/>
    <col min="9" max="248" width="9.28515625" style="105"/>
    <col min="249" max="249" width="3.7109375" style="105" customWidth="1"/>
    <col min="250" max="250" width="8.7109375" style="105" customWidth="1"/>
    <col min="251" max="251" width="60.28515625" style="105" bestFit="1" customWidth="1"/>
    <col min="252" max="252" width="22.7109375" style="105" bestFit="1" customWidth="1"/>
    <col min="253" max="253" width="21.5703125" style="105" bestFit="1" customWidth="1"/>
    <col min="254" max="254" width="18.7109375" style="105" bestFit="1" customWidth="1"/>
    <col min="255" max="256" width="11.7109375" style="105" bestFit="1" customWidth="1"/>
    <col min="257" max="257" width="13.42578125" style="105" bestFit="1" customWidth="1"/>
    <col min="258" max="258" width="12.7109375" style="105" bestFit="1" customWidth="1"/>
    <col min="259" max="504" width="9.28515625" style="105"/>
    <col min="505" max="505" width="3.7109375" style="105" customWidth="1"/>
    <col min="506" max="506" width="8.7109375" style="105" customWidth="1"/>
    <col min="507" max="507" width="60.28515625" style="105" bestFit="1" customWidth="1"/>
    <col min="508" max="508" width="22.7109375" style="105" bestFit="1" customWidth="1"/>
    <col min="509" max="509" width="21.5703125" style="105" bestFit="1" customWidth="1"/>
    <col min="510" max="510" width="18.7109375" style="105" bestFit="1" customWidth="1"/>
    <col min="511" max="512" width="11.7109375" style="105" bestFit="1" customWidth="1"/>
    <col min="513" max="513" width="13.42578125" style="105" bestFit="1" customWidth="1"/>
    <col min="514" max="514" width="12.7109375" style="105" bestFit="1" customWidth="1"/>
    <col min="515" max="760" width="9.28515625" style="105"/>
    <col min="761" max="761" width="3.7109375" style="105" customWidth="1"/>
    <col min="762" max="762" width="8.7109375" style="105" customWidth="1"/>
    <col min="763" max="763" width="60.28515625" style="105" bestFit="1" customWidth="1"/>
    <col min="764" max="764" width="22.7109375" style="105" bestFit="1" customWidth="1"/>
    <col min="765" max="765" width="21.5703125" style="105" bestFit="1" customWidth="1"/>
    <col min="766" max="766" width="18.7109375" style="105" bestFit="1" customWidth="1"/>
    <col min="767" max="768" width="11.7109375" style="105" bestFit="1" customWidth="1"/>
    <col min="769" max="769" width="13.42578125" style="105" bestFit="1" customWidth="1"/>
    <col min="770" max="770" width="12.7109375" style="105" bestFit="1" customWidth="1"/>
    <col min="771" max="1016" width="9.28515625" style="105"/>
    <col min="1017" max="1017" width="3.7109375" style="105" customWidth="1"/>
    <col min="1018" max="1018" width="8.7109375" style="105" customWidth="1"/>
    <col min="1019" max="1019" width="60.28515625" style="105" bestFit="1" customWidth="1"/>
    <col min="1020" max="1020" width="22.7109375" style="105" bestFit="1" customWidth="1"/>
    <col min="1021" max="1021" width="21.5703125" style="105" bestFit="1" customWidth="1"/>
    <col min="1022" max="1022" width="18.7109375" style="105" bestFit="1" customWidth="1"/>
    <col min="1023" max="1024" width="11.7109375" style="105" bestFit="1" customWidth="1"/>
    <col min="1025" max="1025" width="13.42578125" style="105" bestFit="1" customWidth="1"/>
    <col min="1026" max="1026" width="12.7109375" style="105" bestFit="1" customWidth="1"/>
    <col min="1027" max="1272" width="9.28515625" style="105"/>
    <col min="1273" max="1273" width="3.7109375" style="105" customWidth="1"/>
    <col min="1274" max="1274" width="8.7109375" style="105" customWidth="1"/>
    <col min="1275" max="1275" width="60.28515625" style="105" bestFit="1" customWidth="1"/>
    <col min="1276" max="1276" width="22.7109375" style="105" bestFit="1" customWidth="1"/>
    <col min="1277" max="1277" width="21.5703125" style="105" bestFit="1" customWidth="1"/>
    <col min="1278" max="1278" width="18.7109375" style="105" bestFit="1" customWidth="1"/>
    <col min="1279" max="1280" width="11.7109375" style="105" bestFit="1" customWidth="1"/>
    <col min="1281" max="1281" width="13.42578125" style="105" bestFit="1" customWidth="1"/>
    <col min="1282" max="1282" width="12.7109375" style="105" bestFit="1" customWidth="1"/>
    <col min="1283" max="1528" width="9.28515625" style="105"/>
    <col min="1529" max="1529" width="3.7109375" style="105" customWidth="1"/>
    <col min="1530" max="1530" width="8.7109375" style="105" customWidth="1"/>
    <col min="1531" max="1531" width="60.28515625" style="105" bestFit="1" customWidth="1"/>
    <col min="1532" max="1532" width="22.7109375" style="105" bestFit="1" customWidth="1"/>
    <col min="1533" max="1533" width="21.5703125" style="105" bestFit="1" customWidth="1"/>
    <col min="1534" max="1534" width="18.7109375" style="105" bestFit="1" customWidth="1"/>
    <col min="1535" max="1536" width="11.7109375" style="105" bestFit="1" customWidth="1"/>
    <col min="1537" max="1537" width="13.42578125" style="105" bestFit="1" customWidth="1"/>
    <col min="1538" max="1538" width="12.7109375" style="105" bestFit="1" customWidth="1"/>
    <col min="1539" max="1784" width="9.28515625" style="105"/>
    <col min="1785" max="1785" width="3.7109375" style="105" customWidth="1"/>
    <col min="1786" max="1786" width="8.7109375" style="105" customWidth="1"/>
    <col min="1787" max="1787" width="60.28515625" style="105" bestFit="1" customWidth="1"/>
    <col min="1788" max="1788" width="22.7109375" style="105" bestFit="1" customWidth="1"/>
    <col min="1789" max="1789" width="21.5703125" style="105" bestFit="1" customWidth="1"/>
    <col min="1790" max="1790" width="18.7109375" style="105" bestFit="1" customWidth="1"/>
    <col min="1791" max="1792" width="11.7109375" style="105" bestFit="1" customWidth="1"/>
    <col min="1793" max="1793" width="13.42578125" style="105" bestFit="1" customWidth="1"/>
    <col min="1794" max="1794" width="12.7109375" style="105" bestFit="1" customWidth="1"/>
    <col min="1795" max="2040" width="9.28515625" style="105"/>
    <col min="2041" max="2041" width="3.7109375" style="105" customWidth="1"/>
    <col min="2042" max="2042" width="8.7109375" style="105" customWidth="1"/>
    <col min="2043" max="2043" width="60.28515625" style="105" bestFit="1" customWidth="1"/>
    <col min="2044" max="2044" width="22.7109375" style="105" bestFit="1" customWidth="1"/>
    <col min="2045" max="2045" width="21.5703125" style="105" bestFit="1" customWidth="1"/>
    <col min="2046" max="2046" width="18.7109375" style="105" bestFit="1" customWidth="1"/>
    <col min="2047" max="2048" width="11.7109375" style="105" bestFit="1" customWidth="1"/>
    <col min="2049" max="2049" width="13.42578125" style="105" bestFit="1" customWidth="1"/>
    <col min="2050" max="2050" width="12.7109375" style="105" bestFit="1" customWidth="1"/>
    <col min="2051" max="2296" width="9.28515625" style="105"/>
    <col min="2297" max="2297" width="3.7109375" style="105" customWidth="1"/>
    <col min="2298" max="2298" width="8.7109375" style="105" customWidth="1"/>
    <col min="2299" max="2299" width="60.28515625" style="105" bestFit="1" customWidth="1"/>
    <col min="2300" max="2300" width="22.7109375" style="105" bestFit="1" customWidth="1"/>
    <col min="2301" max="2301" width="21.5703125" style="105" bestFit="1" customWidth="1"/>
    <col min="2302" max="2302" width="18.7109375" style="105" bestFit="1" customWidth="1"/>
    <col min="2303" max="2304" width="11.7109375" style="105" bestFit="1" customWidth="1"/>
    <col min="2305" max="2305" width="13.42578125" style="105" bestFit="1" customWidth="1"/>
    <col min="2306" max="2306" width="12.7109375" style="105" bestFit="1" customWidth="1"/>
    <col min="2307" max="2552" width="9.28515625" style="105"/>
    <col min="2553" max="2553" width="3.7109375" style="105" customWidth="1"/>
    <col min="2554" max="2554" width="8.7109375" style="105" customWidth="1"/>
    <col min="2555" max="2555" width="60.28515625" style="105" bestFit="1" customWidth="1"/>
    <col min="2556" max="2556" width="22.7109375" style="105" bestFit="1" customWidth="1"/>
    <col min="2557" max="2557" width="21.5703125" style="105" bestFit="1" customWidth="1"/>
    <col min="2558" max="2558" width="18.7109375" style="105" bestFit="1" customWidth="1"/>
    <col min="2559" max="2560" width="11.7109375" style="105" bestFit="1" customWidth="1"/>
    <col min="2561" max="2561" width="13.42578125" style="105" bestFit="1" customWidth="1"/>
    <col min="2562" max="2562" width="12.7109375" style="105" bestFit="1" customWidth="1"/>
    <col min="2563" max="2808" width="9.28515625" style="105"/>
    <col min="2809" max="2809" width="3.7109375" style="105" customWidth="1"/>
    <col min="2810" max="2810" width="8.7109375" style="105" customWidth="1"/>
    <col min="2811" max="2811" width="60.28515625" style="105" bestFit="1" customWidth="1"/>
    <col min="2812" max="2812" width="22.7109375" style="105" bestFit="1" customWidth="1"/>
    <col min="2813" max="2813" width="21.5703125" style="105" bestFit="1" customWidth="1"/>
    <col min="2814" max="2814" width="18.7109375" style="105" bestFit="1" customWidth="1"/>
    <col min="2815" max="2816" width="11.7109375" style="105" bestFit="1" customWidth="1"/>
    <col min="2817" max="2817" width="13.42578125" style="105" bestFit="1" customWidth="1"/>
    <col min="2818" max="2818" width="12.7109375" style="105" bestFit="1" customWidth="1"/>
    <col min="2819" max="3064" width="9.28515625" style="105"/>
    <col min="3065" max="3065" width="3.7109375" style="105" customWidth="1"/>
    <col min="3066" max="3066" width="8.7109375" style="105" customWidth="1"/>
    <col min="3067" max="3067" width="60.28515625" style="105" bestFit="1" customWidth="1"/>
    <col min="3068" max="3068" width="22.7109375" style="105" bestFit="1" customWidth="1"/>
    <col min="3069" max="3069" width="21.5703125" style="105" bestFit="1" customWidth="1"/>
    <col min="3070" max="3070" width="18.7109375" style="105" bestFit="1" customWidth="1"/>
    <col min="3071" max="3072" width="11.7109375" style="105" bestFit="1" customWidth="1"/>
    <col min="3073" max="3073" width="13.42578125" style="105" bestFit="1" customWidth="1"/>
    <col min="3074" max="3074" width="12.7109375" style="105" bestFit="1" customWidth="1"/>
    <col min="3075" max="3320" width="9.28515625" style="105"/>
    <col min="3321" max="3321" width="3.7109375" style="105" customWidth="1"/>
    <col min="3322" max="3322" width="8.7109375" style="105" customWidth="1"/>
    <col min="3323" max="3323" width="60.28515625" style="105" bestFit="1" customWidth="1"/>
    <col min="3324" max="3324" width="22.7109375" style="105" bestFit="1" customWidth="1"/>
    <col min="3325" max="3325" width="21.5703125" style="105" bestFit="1" customWidth="1"/>
    <col min="3326" max="3326" width="18.7109375" style="105" bestFit="1" customWidth="1"/>
    <col min="3327" max="3328" width="11.7109375" style="105" bestFit="1" customWidth="1"/>
    <col min="3329" max="3329" width="13.42578125" style="105" bestFit="1" customWidth="1"/>
    <col min="3330" max="3330" width="12.7109375" style="105" bestFit="1" customWidth="1"/>
    <col min="3331" max="3576" width="9.28515625" style="105"/>
    <col min="3577" max="3577" width="3.7109375" style="105" customWidth="1"/>
    <col min="3578" max="3578" width="8.7109375" style="105" customWidth="1"/>
    <col min="3579" max="3579" width="60.28515625" style="105" bestFit="1" customWidth="1"/>
    <col min="3580" max="3580" width="22.7109375" style="105" bestFit="1" customWidth="1"/>
    <col min="3581" max="3581" width="21.5703125" style="105" bestFit="1" customWidth="1"/>
    <col min="3582" max="3582" width="18.7109375" style="105" bestFit="1" customWidth="1"/>
    <col min="3583" max="3584" width="11.7109375" style="105" bestFit="1" customWidth="1"/>
    <col min="3585" max="3585" width="13.42578125" style="105" bestFit="1" customWidth="1"/>
    <col min="3586" max="3586" width="12.7109375" style="105" bestFit="1" customWidth="1"/>
    <col min="3587" max="3832" width="9.28515625" style="105"/>
    <col min="3833" max="3833" width="3.7109375" style="105" customWidth="1"/>
    <col min="3834" max="3834" width="8.7109375" style="105" customWidth="1"/>
    <col min="3835" max="3835" width="60.28515625" style="105" bestFit="1" customWidth="1"/>
    <col min="3836" max="3836" width="22.7109375" style="105" bestFit="1" customWidth="1"/>
    <col min="3837" max="3837" width="21.5703125" style="105" bestFit="1" customWidth="1"/>
    <col min="3838" max="3838" width="18.7109375" style="105" bestFit="1" customWidth="1"/>
    <col min="3839" max="3840" width="11.7109375" style="105" bestFit="1" customWidth="1"/>
    <col min="3841" max="3841" width="13.42578125" style="105" bestFit="1" customWidth="1"/>
    <col min="3842" max="3842" width="12.7109375" style="105" bestFit="1" customWidth="1"/>
    <col min="3843" max="4088" width="9.28515625" style="105"/>
    <col min="4089" max="4089" width="3.7109375" style="105" customWidth="1"/>
    <col min="4090" max="4090" width="8.7109375" style="105" customWidth="1"/>
    <col min="4091" max="4091" width="60.28515625" style="105" bestFit="1" customWidth="1"/>
    <col min="4092" max="4092" width="22.7109375" style="105" bestFit="1" customWidth="1"/>
    <col min="4093" max="4093" width="21.5703125" style="105" bestFit="1" customWidth="1"/>
    <col min="4094" max="4094" width="18.7109375" style="105" bestFit="1" customWidth="1"/>
    <col min="4095" max="4096" width="11.7109375" style="105" bestFit="1" customWidth="1"/>
    <col min="4097" max="4097" width="13.42578125" style="105" bestFit="1" customWidth="1"/>
    <col min="4098" max="4098" width="12.7109375" style="105" bestFit="1" customWidth="1"/>
    <col min="4099" max="4344" width="9.28515625" style="105"/>
    <col min="4345" max="4345" width="3.7109375" style="105" customWidth="1"/>
    <col min="4346" max="4346" width="8.7109375" style="105" customWidth="1"/>
    <col min="4347" max="4347" width="60.28515625" style="105" bestFit="1" customWidth="1"/>
    <col min="4348" max="4348" width="22.7109375" style="105" bestFit="1" customWidth="1"/>
    <col min="4349" max="4349" width="21.5703125" style="105" bestFit="1" customWidth="1"/>
    <col min="4350" max="4350" width="18.7109375" style="105" bestFit="1" customWidth="1"/>
    <col min="4351" max="4352" width="11.7109375" style="105" bestFit="1" customWidth="1"/>
    <col min="4353" max="4353" width="13.42578125" style="105" bestFit="1" customWidth="1"/>
    <col min="4354" max="4354" width="12.7109375" style="105" bestFit="1" customWidth="1"/>
    <col min="4355" max="4600" width="9.28515625" style="105"/>
    <col min="4601" max="4601" width="3.7109375" style="105" customWidth="1"/>
    <col min="4602" max="4602" width="8.7109375" style="105" customWidth="1"/>
    <col min="4603" max="4603" width="60.28515625" style="105" bestFit="1" customWidth="1"/>
    <col min="4604" max="4604" width="22.7109375" style="105" bestFit="1" customWidth="1"/>
    <col min="4605" max="4605" width="21.5703125" style="105" bestFit="1" customWidth="1"/>
    <col min="4606" max="4606" width="18.7109375" style="105" bestFit="1" customWidth="1"/>
    <col min="4607" max="4608" width="11.7109375" style="105" bestFit="1" customWidth="1"/>
    <col min="4609" max="4609" width="13.42578125" style="105" bestFit="1" customWidth="1"/>
    <col min="4610" max="4610" width="12.7109375" style="105" bestFit="1" customWidth="1"/>
    <col min="4611" max="4856" width="9.28515625" style="105"/>
    <col min="4857" max="4857" width="3.7109375" style="105" customWidth="1"/>
    <col min="4858" max="4858" width="8.7109375" style="105" customWidth="1"/>
    <col min="4859" max="4859" width="60.28515625" style="105" bestFit="1" customWidth="1"/>
    <col min="4860" max="4860" width="22.7109375" style="105" bestFit="1" customWidth="1"/>
    <col min="4861" max="4861" width="21.5703125" style="105" bestFit="1" customWidth="1"/>
    <col min="4862" max="4862" width="18.7109375" style="105" bestFit="1" customWidth="1"/>
    <col min="4863" max="4864" width="11.7109375" style="105" bestFit="1" customWidth="1"/>
    <col min="4865" max="4865" width="13.42578125" style="105" bestFit="1" customWidth="1"/>
    <col min="4866" max="4866" width="12.7109375" style="105" bestFit="1" customWidth="1"/>
    <col min="4867" max="5112" width="9.28515625" style="105"/>
    <col min="5113" max="5113" width="3.7109375" style="105" customWidth="1"/>
    <col min="5114" max="5114" width="8.7109375" style="105" customWidth="1"/>
    <col min="5115" max="5115" width="60.28515625" style="105" bestFit="1" customWidth="1"/>
    <col min="5116" max="5116" width="22.7109375" style="105" bestFit="1" customWidth="1"/>
    <col min="5117" max="5117" width="21.5703125" style="105" bestFit="1" customWidth="1"/>
    <col min="5118" max="5118" width="18.7109375" style="105" bestFit="1" customWidth="1"/>
    <col min="5119" max="5120" width="11.7109375" style="105" bestFit="1" customWidth="1"/>
    <col min="5121" max="5121" width="13.42578125" style="105" bestFit="1" customWidth="1"/>
    <col min="5122" max="5122" width="12.7109375" style="105" bestFit="1" customWidth="1"/>
    <col min="5123" max="5368" width="9.28515625" style="105"/>
    <col min="5369" max="5369" width="3.7109375" style="105" customWidth="1"/>
    <col min="5370" max="5370" width="8.7109375" style="105" customWidth="1"/>
    <col min="5371" max="5371" width="60.28515625" style="105" bestFit="1" customWidth="1"/>
    <col min="5372" max="5372" width="22.7109375" style="105" bestFit="1" customWidth="1"/>
    <col min="5373" max="5373" width="21.5703125" style="105" bestFit="1" customWidth="1"/>
    <col min="5374" max="5374" width="18.7109375" style="105" bestFit="1" customWidth="1"/>
    <col min="5375" max="5376" width="11.7109375" style="105" bestFit="1" customWidth="1"/>
    <col min="5377" max="5377" width="13.42578125" style="105" bestFit="1" customWidth="1"/>
    <col min="5378" max="5378" width="12.7109375" style="105" bestFit="1" customWidth="1"/>
    <col min="5379" max="5624" width="9.28515625" style="105"/>
    <col min="5625" max="5625" width="3.7109375" style="105" customWidth="1"/>
    <col min="5626" max="5626" width="8.7109375" style="105" customWidth="1"/>
    <col min="5627" max="5627" width="60.28515625" style="105" bestFit="1" customWidth="1"/>
    <col min="5628" max="5628" width="22.7109375" style="105" bestFit="1" customWidth="1"/>
    <col min="5629" max="5629" width="21.5703125" style="105" bestFit="1" customWidth="1"/>
    <col min="5630" max="5630" width="18.7109375" style="105" bestFit="1" customWidth="1"/>
    <col min="5631" max="5632" width="11.7109375" style="105" bestFit="1" customWidth="1"/>
    <col min="5633" max="5633" width="13.42578125" style="105" bestFit="1" customWidth="1"/>
    <col min="5634" max="5634" width="12.7109375" style="105" bestFit="1" customWidth="1"/>
    <col min="5635" max="5880" width="9.28515625" style="105"/>
    <col min="5881" max="5881" width="3.7109375" style="105" customWidth="1"/>
    <col min="5882" max="5882" width="8.7109375" style="105" customWidth="1"/>
    <col min="5883" max="5883" width="60.28515625" style="105" bestFit="1" customWidth="1"/>
    <col min="5884" max="5884" width="22.7109375" style="105" bestFit="1" customWidth="1"/>
    <col min="5885" max="5885" width="21.5703125" style="105" bestFit="1" customWidth="1"/>
    <col min="5886" max="5886" width="18.7109375" style="105" bestFit="1" customWidth="1"/>
    <col min="5887" max="5888" width="11.7109375" style="105" bestFit="1" customWidth="1"/>
    <col min="5889" max="5889" width="13.42578125" style="105" bestFit="1" customWidth="1"/>
    <col min="5890" max="5890" width="12.7109375" style="105" bestFit="1" customWidth="1"/>
    <col min="5891" max="6136" width="9.28515625" style="105"/>
    <col min="6137" max="6137" width="3.7109375" style="105" customWidth="1"/>
    <col min="6138" max="6138" width="8.7109375" style="105" customWidth="1"/>
    <col min="6139" max="6139" width="60.28515625" style="105" bestFit="1" customWidth="1"/>
    <col min="6140" max="6140" width="22.7109375" style="105" bestFit="1" customWidth="1"/>
    <col min="6141" max="6141" width="21.5703125" style="105" bestFit="1" customWidth="1"/>
    <col min="6142" max="6142" width="18.7109375" style="105" bestFit="1" customWidth="1"/>
    <col min="6143" max="6144" width="11.7109375" style="105" bestFit="1" customWidth="1"/>
    <col min="6145" max="6145" width="13.42578125" style="105" bestFit="1" customWidth="1"/>
    <col min="6146" max="6146" width="12.7109375" style="105" bestFit="1" customWidth="1"/>
    <col min="6147" max="6392" width="9.28515625" style="105"/>
    <col min="6393" max="6393" width="3.7109375" style="105" customWidth="1"/>
    <col min="6394" max="6394" width="8.7109375" style="105" customWidth="1"/>
    <col min="6395" max="6395" width="60.28515625" style="105" bestFit="1" customWidth="1"/>
    <col min="6396" max="6396" width="22.7109375" style="105" bestFit="1" customWidth="1"/>
    <col min="6397" max="6397" width="21.5703125" style="105" bestFit="1" customWidth="1"/>
    <col min="6398" max="6398" width="18.7109375" style="105" bestFit="1" customWidth="1"/>
    <col min="6399" max="6400" width="11.7109375" style="105" bestFit="1" customWidth="1"/>
    <col min="6401" max="6401" width="13.42578125" style="105" bestFit="1" customWidth="1"/>
    <col min="6402" max="6402" width="12.7109375" style="105" bestFit="1" customWidth="1"/>
    <col min="6403" max="6648" width="9.28515625" style="105"/>
    <col min="6649" max="6649" width="3.7109375" style="105" customWidth="1"/>
    <col min="6650" max="6650" width="8.7109375" style="105" customWidth="1"/>
    <col min="6651" max="6651" width="60.28515625" style="105" bestFit="1" customWidth="1"/>
    <col min="6652" max="6652" width="22.7109375" style="105" bestFit="1" customWidth="1"/>
    <col min="6653" max="6653" width="21.5703125" style="105" bestFit="1" customWidth="1"/>
    <col min="6654" max="6654" width="18.7109375" style="105" bestFit="1" customWidth="1"/>
    <col min="6655" max="6656" width="11.7109375" style="105" bestFit="1" customWidth="1"/>
    <col min="6657" max="6657" width="13.42578125" style="105" bestFit="1" customWidth="1"/>
    <col min="6658" max="6658" width="12.7109375" style="105" bestFit="1" customWidth="1"/>
    <col min="6659" max="6904" width="9.28515625" style="105"/>
    <col min="6905" max="6905" width="3.7109375" style="105" customWidth="1"/>
    <col min="6906" max="6906" width="8.7109375" style="105" customWidth="1"/>
    <col min="6907" max="6907" width="60.28515625" style="105" bestFit="1" customWidth="1"/>
    <col min="6908" max="6908" width="22.7109375" style="105" bestFit="1" customWidth="1"/>
    <col min="6909" max="6909" width="21.5703125" style="105" bestFit="1" customWidth="1"/>
    <col min="6910" max="6910" width="18.7109375" style="105" bestFit="1" customWidth="1"/>
    <col min="6911" max="6912" width="11.7109375" style="105" bestFit="1" customWidth="1"/>
    <col min="6913" max="6913" width="13.42578125" style="105" bestFit="1" customWidth="1"/>
    <col min="6914" max="6914" width="12.7109375" style="105" bestFit="1" customWidth="1"/>
    <col min="6915" max="7160" width="9.28515625" style="105"/>
    <col min="7161" max="7161" width="3.7109375" style="105" customWidth="1"/>
    <col min="7162" max="7162" width="8.7109375" style="105" customWidth="1"/>
    <col min="7163" max="7163" width="60.28515625" style="105" bestFit="1" customWidth="1"/>
    <col min="7164" max="7164" width="22.7109375" style="105" bestFit="1" customWidth="1"/>
    <col min="7165" max="7165" width="21.5703125" style="105" bestFit="1" customWidth="1"/>
    <col min="7166" max="7166" width="18.7109375" style="105" bestFit="1" customWidth="1"/>
    <col min="7167" max="7168" width="11.7109375" style="105" bestFit="1" customWidth="1"/>
    <col min="7169" max="7169" width="13.42578125" style="105" bestFit="1" customWidth="1"/>
    <col min="7170" max="7170" width="12.7109375" style="105" bestFit="1" customWidth="1"/>
    <col min="7171" max="7416" width="9.28515625" style="105"/>
    <col min="7417" max="7417" width="3.7109375" style="105" customWidth="1"/>
    <col min="7418" max="7418" width="8.7109375" style="105" customWidth="1"/>
    <col min="7419" max="7419" width="60.28515625" style="105" bestFit="1" customWidth="1"/>
    <col min="7420" max="7420" width="22.7109375" style="105" bestFit="1" customWidth="1"/>
    <col min="7421" max="7421" width="21.5703125" style="105" bestFit="1" customWidth="1"/>
    <col min="7422" max="7422" width="18.7109375" style="105" bestFit="1" customWidth="1"/>
    <col min="7423" max="7424" width="11.7109375" style="105" bestFit="1" customWidth="1"/>
    <col min="7425" max="7425" width="13.42578125" style="105" bestFit="1" customWidth="1"/>
    <col min="7426" max="7426" width="12.7109375" style="105" bestFit="1" customWidth="1"/>
    <col min="7427" max="7672" width="9.28515625" style="105"/>
    <col min="7673" max="7673" width="3.7109375" style="105" customWidth="1"/>
    <col min="7674" max="7674" width="8.7109375" style="105" customWidth="1"/>
    <col min="7675" max="7675" width="60.28515625" style="105" bestFit="1" customWidth="1"/>
    <col min="7676" max="7676" width="22.7109375" style="105" bestFit="1" customWidth="1"/>
    <col min="7677" max="7677" width="21.5703125" style="105" bestFit="1" customWidth="1"/>
    <col min="7678" max="7678" width="18.7109375" style="105" bestFit="1" customWidth="1"/>
    <col min="7679" max="7680" width="11.7109375" style="105" bestFit="1" customWidth="1"/>
    <col min="7681" max="7681" width="13.42578125" style="105" bestFit="1" customWidth="1"/>
    <col min="7682" max="7682" width="12.7109375" style="105" bestFit="1" customWidth="1"/>
    <col min="7683" max="7928" width="9.28515625" style="105"/>
    <col min="7929" max="7929" width="3.7109375" style="105" customWidth="1"/>
    <col min="7930" max="7930" width="8.7109375" style="105" customWidth="1"/>
    <col min="7931" max="7931" width="60.28515625" style="105" bestFit="1" customWidth="1"/>
    <col min="7932" max="7932" width="22.7109375" style="105" bestFit="1" customWidth="1"/>
    <col min="7933" max="7933" width="21.5703125" style="105" bestFit="1" customWidth="1"/>
    <col min="7934" max="7934" width="18.7109375" style="105" bestFit="1" customWidth="1"/>
    <col min="7935" max="7936" width="11.7109375" style="105" bestFit="1" customWidth="1"/>
    <col min="7937" max="7937" width="13.42578125" style="105" bestFit="1" customWidth="1"/>
    <col min="7938" max="7938" width="12.7109375" style="105" bestFit="1" customWidth="1"/>
    <col min="7939" max="8184" width="9.28515625" style="105"/>
    <col min="8185" max="8185" width="3.7109375" style="105" customWidth="1"/>
    <col min="8186" max="8186" width="8.7109375" style="105" customWidth="1"/>
    <col min="8187" max="8187" width="60.28515625" style="105" bestFit="1" customWidth="1"/>
    <col min="8188" max="8188" width="22.7109375" style="105" bestFit="1" customWidth="1"/>
    <col min="8189" max="8189" width="21.5703125" style="105" bestFit="1" customWidth="1"/>
    <col min="8190" max="8190" width="18.7109375" style="105" bestFit="1" customWidth="1"/>
    <col min="8191" max="8192" width="11.7109375" style="105" bestFit="1" customWidth="1"/>
    <col min="8193" max="8193" width="13.42578125" style="105" bestFit="1" customWidth="1"/>
    <col min="8194" max="8194" width="12.7109375" style="105" bestFit="1" customWidth="1"/>
    <col min="8195" max="8440" width="9.28515625" style="105"/>
    <col min="8441" max="8441" width="3.7109375" style="105" customWidth="1"/>
    <col min="8442" max="8442" width="8.7109375" style="105" customWidth="1"/>
    <col min="8443" max="8443" width="60.28515625" style="105" bestFit="1" customWidth="1"/>
    <col min="8444" max="8444" width="22.7109375" style="105" bestFit="1" customWidth="1"/>
    <col min="8445" max="8445" width="21.5703125" style="105" bestFit="1" customWidth="1"/>
    <col min="8446" max="8446" width="18.7109375" style="105" bestFit="1" customWidth="1"/>
    <col min="8447" max="8448" width="11.7109375" style="105" bestFit="1" customWidth="1"/>
    <col min="8449" max="8449" width="13.42578125" style="105" bestFit="1" customWidth="1"/>
    <col min="8450" max="8450" width="12.7109375" style="105" bestFit="1" customWidth="1"/>
    <col min="8451" max="8696" width="9.28515625" style="105"/>
    <col min="8697" max="8697" width="3.7109375" style="105" customWidth="1"/>
    <col min="8698" max="8698" width="8.7109375" style="105" customWidth="1"/>
    <col min="8699" max="8699" width="60.28515625" style="105" bestFit="1" customWidth="1"/>
    <col min="8700" max="8700" width="22.7109375" style="105" bestFit="1" customWidth="1"/>
    <col min="8701" max="8701" width="21.5703125" style="105" bestFit="1" customWidth="1"/>
    <col min="8702" max="8702" width="18.7109375" style="105" bestFit="1" customWidth="1"/>
    <col min="8703" max="8704" width="11.7109375" style="105" bestFit="1" customWidth="1"/>
    <col min="8705" max="8705" width="13.42578125" style="105" bestFit="1" customWidth="1"/>
    <col min="8706" max="8706" width="12.7109375" style="105" bestFit="1" customWidth="1"/>
    <col min="8707" max="8952" width="9.28515625" style="105"/>
    <col min="8953" max="8953" width="3.7109375" style="105" customWidth="1"/>
    <col min="8954" max="8954" width="8.7109375" style="105" customWidth="1"/>
    <col min="8955" max="8955" width="60.28515625" style="105" bestFit="1" customWidth="1"/>
    <col min="8956" max="8956" width="22.7109375" style="105" bestFit="1" customWidth="1"/>
    <col min="8957" max="8957" width="21.5703125" style="105" bestFit="1" customWidth="1"/>
    <col min="8958" max="8958" width="18.7109375" style="105" bestFit="1" customWidth="1"/>
    <col min="8959" max="8960" width="11.7109375" style="105" bestFit="1" customWidth="1"/>
    <col min="8961" max="8961" width="13.42578125" style="105" bestFit="1" customWidth="1"/>
    <col min="8962" max="8962" width="12.7109375" style="105" bestFit="1" customWidth="1"/>
    <col min="8963" max="9208" width="9.28515625" style="105"/>
    <col min="9209" max="9209" width="3.7109375" style="105" customWidth="1"/>
    <col min="9210" max="9210" width="8.7109375" style="105" customWidth="1"/>
    <col min="9211" max="9211" width="60.28515625" style="105" bestFit="1" customWidth="1"/>
    <col min="9212" max="9212" width="22.7109375" style="105" bestFit="1" customWidth="1"/>
    <col min="9213" max="9213" width="21.5703125" style="105" bestFit="1" customWidth="1"/>
    <col min="9214" max="9214" width="18.7109375" style="105" bestFit="1" customWidth="1"/>
    <col min="9215" max="9216" width="11.7109375" style="105" bestFit="1" customWidth="1"/>
    <col min="9217" max="9217" width="13.42578125" style="105" bestFit="1" customWidth="1"/>
    <col min="9218" max="9218" width="12.7109375" style="105" bestFit="1" customWidth="1"/>
    <col min="9219" max="9464" width="9.28515625" style="105"/>
    <col min="9465" max="9465" width="3.7109375" style="105" customWidth="1"/>
    <col min="9466" max="9466" width="8.7109375" style="105" customWidth="1"/>
    <col min="9467" max="9467" width="60.28515625" style="105" bestFit="1" customWidth="1"/>
    <col min="9468" max="9468" width="22.7109375" style="105" bestFit="1" customWidth="1"/>
    <col min="9469" max="9469" width="21.5703125" style="105" bestFit="1" customWidth="1"/>
    <col min="9470" max="9470" width="18.7109375" style="105" bestFit="1" customWidth="1"/>
    <col min="9471" max="9472" width="11.7109375" style="105" bestFit="1" customWidth="1"/>
    <col min="9473" max="9473" width="13.42578125" style="105" bestFit="1" customWidth="1"/>
    <col min="9474" max="9474" width="12.7109375" style="105" bestFit="1" customWidth="1"/>
    <col min="9475" max="9720" width="9.28515625" style="105"/>
    <col min="9721" max="9721" width="3.7109375" style="105" customWidth="1"/>
    <col min="9722" max="9722" width="8.7109375" style="105" customWidth="1"/>
    <col min="9723" max="9723" width="60.28515625" style="105" bestFit="1" customWidth="1"/>
    <col min="9724" max="9724" width="22.7109375" style="105" bestFit="1" customWidth="1"/>
    <col min="9725" max="9725" width="21.5703125" style="105" bestFit="1" customWidth="1"/>
    <col min="9726" max="9726" width="18.7109375" style="105" bestFit="1" customWidth="1"/>
    <col min="9727" max="9728" width="11.7109375" style="105" bestFit="1" customWidth="1"/>
    <col min="9729" max="9729" width="13.42578125" style="105" bestFit="1" customWidth="1"/>
    <col min="9730" max="9730" width="12.7109375" style="105" bestFit="1" customWidth="1"/>
    <col min="9731" max="9976" width="9.28515625" style="105"/>
    <col min="9977" max="9977" width="3.7109375" style="105" customWidth="1"/>
    <col min="9978" max="9978" width="8.7109375" style="105" customWidth="1"/>
    <col min="9979" max="9979" width="60.28515625" style="105" bestFit="1" customWidth="1"/>
    <col min="9980" max="9980" width="22.7109375" style="105" bestFit="1" customWidth="1"/>
    <col min="9981" max="9981" width="21.5703125" style="105" bestFit="1" customWidth="1"/>
    <col min="9982" max="9982" width="18.7109375" style="105" bestFit="1" customWidth="1"/>
    <col min="9983" max="9984" width="11.7109375" style="105" bestFit="1" customWidth="1"/>
    <col min="9985" max="9985" width="13.42578125" style="105" bestFit="1" customWidth="1"/>
    <col min="9986" max="9986" width="12.7109375" style="105" bestFit="1" customWidth="1"/>
    <col min="9987" max="10232" width="9.28515625" style="105"/>
    <col min="10233" max="10233" width="3.7109375" style="105" customWidth="1"/>
    <col min="10234" max="10234" width="8.7109375" style="105" customWidth="1"/>
    <col min="10235" max="10235" width="60.28515625" style="105" bestFit="1" customWidth="1"/>
    <col min="10236" max="10236" width="22.7109375" style="105" bestFit="1" customWidth="1"/>
    <col min="10237" max="10237" width="21.5703125" style="105" bestFit="1" customWidth="1"/>
    <col min="10238" max="10238" width="18.7109375" style="105" bestFit="1" customWidth="1"/>
    <col min="10239" max="10240" width="11.7109375" style="105" bestFit="1" customWidth="1"/>
    <col min="10241" max="10241" width="13.42578125" style="105" bestFit="1" customWidth="1"/>
    <col min="10242" max="10242" width="12.7109375" style="105" bestFit="1" customWidth="1"/>
    <col min="10243" max="10488" width="9.28515625" style="105"/>
    <col min="10489" max="10489" width="3.7109375" style="105" customWidth="1"/>
    <col min="10490" max="10490" width="8.7109375" style="105" customWidth="1"/>
    <col min="10491" max="10491" width="60.28515625" style="105" bestFit="1" customWidth="1"/>
    <col min="10492" max="10492" width="22.7109375" style="105" bestFit="1" customWidth="1"/>
    <col min="10493" max="10493" width="21.5703125" style="105" bestFit="1" customWidth="1"/>
    <col min="10494" max="10494" width="18.7109375" style="105" bestFit="1" customWidth="1"/>
    <col min="10495" max="10496" width="11.7109375" style="105" bestFit="1" customWidth="1"/>
    <col min="10497" max="10497" width="13.42578125" style="105" bestFit="1" customWidth="1"/>
    <col min="10498" max="10498" width="12.7109375" style="105" bestFit="1" customWidth="1"/>
    <col min="10499" max="10744" width="9.28515625" style="105"/>
    <col min="10745" max="10745" width="3.7109375" style="105" customWidth="1"/>
    <col min="10746" max="10746" width="8.7109375" style="105" customWidth="1"/>
    <col min="10747" max="10747" width="60.28515625" style="105" bestFit="1" customWidth="1"/>
    <col min="10748" max="10748" width="22.7109375" style="105" bestFit="1" customWidth="1"/>
    <col min="10749" max="10749" width="21.5703125" style="105" bestFit="1" customWidth="1"/>
    <col min="10750" max="10750" width="18.7109375" style="105" bestFit="1" customWidth="1"/>
    <col min="10751" max="10752" width="11.7109375" style="105" bestFit="1" customWidth="1"/>
    <col min="10753" max="10753" width="13.42578125" style="105" bestFit="1" customWidth="1"/>
    <col min="10754" max="10754" width="12.7109375" style="105" bestFit="1" customWidth="1"/>
    <col min="10755" max="11000" width="9.28515625" style="105"/>
    <col min="11001" max="11001" width="3.7109375" style="105" customWidth="1"/>
    <col min="11002" max="11002" width="8.7109375" style="105" customWidth="1"/>
    <col min="11003" max="11003" width="60.28515625" style="105" bestFit="1" customWidth="1"/>
    <col min="11004" max="11004" width="22.7109375" style="105" bestFit="1" customWidth="1"/>
    <col min="11005" max="11005" width="21.5703125" style="105" bestFit="1" customWidth="1"/>
    <col min="11006" max="11006" width="18.7109375" style="105" bestFit="1" customWidth="1"/>
    <col min="11007" max="11008" width="11.7109375" style="105" bestFit="1" customWidth="1"/>
    <col min="11009" max="11009" width="13.42578125" style="105" bestFit="1" customWidth="1"/>
    <col min="11010" max="11010" width="12.7109375" style="105" bestFit="1" customWidth="1"/>
    <col min="11011" max="11256" width="9.28515625" style="105"/>
    <col min="11257" max="11257" width="3.7109375" style="105" customWidth="1"/>
    <col min="11258" max="11258" width="8.7109375" style="105" customWidth="1"/>
    <col min="11259" max="11259" width="60.28515625" style="105" bestFit="1" customWidth="1"/>
    <col min="11260" max="11260" width="22.7109375" style="105" bestFit="1" customWidth="1"/>
    <col min="11261" max="11261" width="21.5703125" style="105" bestFit="1" customWidth="1"/>
    <col min="11262" max="11262" width="18.7109375" style="105" bestFit="1" customWidth="1"/>
    <col min="11263" max="11264" width="11.7109375" style="105" bestFit="1" customWidth="1"/>
    <col min="11265" max="11265" width="13.42578125" style="105" bestFit="1" customWidth="1"/>
    <col min="11266" max="11266" width="12.7109375" style="105" bestFit="1" customWidth="1"/>
    <col min="11267" max="11512" width="9.28515625" style="105"/>
    <col min="11513" max="11513" width="3.7109375" style="105" customWidth="1"/>
    <col min="11514" max="11514" width="8.7109375" style="105" customWidth="1"/>
    <col min="11515" max="11515" width="60.28515625" style="105" bestFit="1" customWidth="1"/>
    <col min="11516" max="11516" width="22.7109375" style="105" bestFit="1" customWidth="1"/>
    <col min="11517" max="11517" width="21.5703125" style="105" bestFit="1" customWidth="1"/>
    <col min="11518" max="11518" width="18.7109375" style="105" bestFit="1" customWidth="1"/>
    <col min="11519" max="11520" width="11.7109375" style="105" bestFit="1" customWidth="1"/>
    <col min="11521" max="11521" width="13.42578125" style="105" bestFit="1" customWidth="1"/>
    <col min="11522" max="11522" width="12.7109375" style="105" bestFit="1" customWidth="1"/>
    <col min="11523" max="11768" width="9.28515625" style="105"/>
    <col min="11769" max="11769" width="3.7109375" style="105" customWidth="1"/>
    <col min="11770" max="11770" width="8.7109375" style="105" customWidth="1"/>
    <col min="11771" max="11771" width="60.28515625" style="105" bestFit="1" customWidth="1"/>
    <col min="11772" max="11772" width="22.7109375" style="105" bestFit="1" customWidth="1"/>
    <col min="11773" max="11773" width="21.5703125" style="105" bestFit="1" customWidth="1"/>
    <col min="11774" max="11774" width="18.7109375" style="105" bestFit="1" customWidth="1"/>
    <col min="11775" max="11776" width="11.7109375" style="105" bestFit="1" customWidth="1"/>
    <col min="11777" max="11777" width="13.42578125" style="105" bestFit="1" customWidth="1"/>
    <col min="11778" max="11778" width="12.7109375" style="105" bestFit="1" customWidth="1"/>
    <col min="11779" max="12024" width="9.28515625" style="105"/>
    <col min="12025" max="12025" width="3.7109375" style="105" customWidth="1"/>
    <col min="12026" max="12026" width="8.7109375" style="105" customWidth="1"/>
    <col min="12027" max="12027" width="60.28515625" style="105" bestFit="1" customWidth="1"/>
    <col min="12028" max="12028" width="22.7109375" style="105" bestFit="1" customWidth="1"/>
    <col min="12029" max="12029" width="21.5703125" style="105" bestFit="1" customWidth="1"/>
    <col min="12030" max="12030" width="18.7109375" style="105" bestFit="1" customWidth="1"/>
    <col min="12031" max="12032" width="11.7109375" style="105" bestFit="1" customWidth="1"/>
    <col min="12033" max="12033" width="13.42578125" style="105" bestFit="1" customWidth="1"/>
    <col min="12034" max="12034" width="12.7109375" style="105" bestFit="1" customWidth="1"/>
    <col min="12035" max="12280" width="9.28515625" style="105"/>
    <col min="12281" max="12281" width="3.7109375" style="105" customWidth="1"/>
    <col min="12282" max="12282" width="8.7109375" style="105" customWidth="1"/>
    <col min="12283" max="12283" width="60.28515625" style="105" bestFit="1" customWidth="1"/>
    <col min="12284" max="12284" width="22.7109375" style="105" bestFit="1" customWidth="1"/>
    <col min="12285" max="12285" width="21.5703125" style="105" bestFit="1" customWidth="1"/>
    <col min="12286" max="12286" width="18.7109375" style="105" bestFit="1" customWidth="1"/>
    <col min="12287" max="12288" width="11.7109375" style="105" bestFit="1" customWidth="1"/>
    <col min="12289" max="12289" width="13.42578125" style="105" bestFit="1" customWidth="1"/>
    <col min="12290" max="12290" width="12.7109375" style="105" bestFit="1" customWidth="1"/>
    <col min="12291" max="12536" width="9.28515625" style="105"/>
    <col min="12537" max="12537" width="3.7109375" style="105" customWidth="1"/>
    <col min="12538" max="12538" width="8.7109375" style="105" customWidth="1"/>
    <col min="12539" max="12539" width="60.28515625" style="105" bestFit="1" customWidth="1"/>
    <col min="12540" max="12540" width="22.7109375" style="105" bestFit="1" customWidth="1"/>
    <col min="12541" max="12541" width="21.5703125" style="105" bestFit="1" customWidth="1"/>
    <col min="12542" max="12542" width="18.7109375" style="105" bestFit="1" customWidth="1"/>
    <col min="12543" max="12544" width="11.7109375" style="105" bestFit="1" customWidth="1"/>
    <col min="12545" max="12545" width="13.42578125" style="105" bestFit="1" customWidth="1"/>
    <col min="12546" max="12546" width="12.7109375" style="105" bestFit="1" customWidth="1"/>
    <col min="12547" max="12792" width="9.28515625" style="105"/>
    <col min="12793" max="12793" width="3.7109375" style="105" customWidth="1"/>
    <col min="12794" max="12794" width="8.7109375" style="105" customWidth="1"/>
    <col min="12795" max="12795" width="60.28515625" style="105" bestFit="1" customWidth="1"/>
    <col min="12796" max="12796" width="22.7109375" style="105" bestFit="1" customWidth="1"/>
    <col min="12797" max="12797" width="21.5703125" style="105" bestFit="1" customWidth="1"/>
    <col min="12798" max="12798" width="18.7109375" style="105" bestFit="1" customWidth="1"/>
    <col min="12799" max="12800" width="11.7109375" style="105" bestFit="1" customWidth="1"/>
    <col min="12801" max="12801" width="13.42578125" style="105" bestFit="1" customWidth="1"/>
    <col min="12802" max="12802" width="12.7109375" style="105" bestFit="1" customWidth="1"/>
    <col min="12803" max="13048" width="9.28515625" style="105"/>
    <col min="13049" max="13049" width="3.7109375" style="105" customWidth="1"/>
    <col min="13050" max="13050" width="8.7109375" style="105" customWidth="1"/>
    <col min="13051" max="13051" width="60.28515625" style="105" bestFit="1" customWidth="1"/>
    <col min="13052" max="13052" width="22.7109375" style="105" bestFit="1" customWidth="1"/>
    <col min="13053" max="13053" width="21.5703125" style="105" bestFit="1" customWidth="1"/>
    <col min="13054" max="13054" width="18.7109375" style="105" bestFit="1" customWidth="1"/>
    <col min="13055" max="13056" width="11.7109375" style="105" bestFit="1" customWidth="1"/>
    <col min="13057" max="13057" width="13.42578125" style="105" bestFit="1" customWidth="1"/>
    <col min="13058" max="13058" width="12.7109375" style="105" bestFit="1" customWidth="1"/>
    <col min="13059" max="13304" width="9.28515625" style="105"/>
    <col min="13305" max="13305" width="3.7109375" style="105" customWidth="1"/>
    <col min="13306" max="13306" width="8.7109375" style="105" customWidth="1"/>
    <col min="13307" max="13307" width="60.28515625" style="105" bestFit="1" customWidth="1"/>
    <col min="13308" max="13308" width="22.7109375" style="105" bestFit="1" customWidth="1"/>
    <col min="13309" max="13309" width="21.5703125" style="105" bestFit="1" customWidth="1"/>
    <col min="13310" max="13310" width="18.7109375" style="105" bestFit="1" customWidth="1"/>
    <col min="13311" max="13312" width="11.7109375" style="105" bestFit="1" customWidth="1"/>
    <col min="13313" max="13313" width="13.42578125" style="105" bestFit="1" customWidth="1"/>
    <col min="13314" max="13314" width="12.7109375" style="105" bestFit="1" customWidth="1"/>
    <col min="13315" max="13560" width="9.28515625" style="105"/>
    <col min="13561" max="13561" width="3.7109375" style="105" customWidth="1"/>
    <col min="13562" max="13562" width="8.7109375" style="105" customWidth="1"/>
    <col min="13563" max="13563" width="60.28515625" style="105" bestFit="1" customWidth="1"/>
    <col min="13564" max="13564" width="22.7109375" style="105" bestFit="1" customWidth="1"/>
    <col min="13565" max="13565" width="21.5703125" style="105" bestFit="1" customWidth="1"/>
    <col min="13566" max="13566" width="18.7109375" style="105" bestFit="1" customWidth="1"/>
    <col min="13567" max="13568" width="11.7109375" style="105" bestFit="1" customWidth="1"/>
    <col min="13569" max="13569" width="13.42578125" style="105" bestFit="1" customWidth="1"/>
    <col min="13570" max="13570" width="12.7109375" style="105" bestFit="1" customWidth="1"/>
    <col min="13571" max="13816" width="9.28515625" style="105"/>
    <col min="13817" max="13817" width="3.7109375" style="105" customWidth="1"/>
    <col min="13818" max="13818" width="8.7109375" style="105" customWidth="1"/>
    <col min="13819" max="13819" width="60.28515625" style="105" bestFit="1" customWidth="1"/>
    <col min="13820" max="13820" width="22.7109375" style="105" bestFit="1" customWidth="1"/>
    <col min="13821" max="13821" width="21.5703125" style="105" bestFit="1" customWidth="1"/>
    <col min="13822" max="13822" width="18.7109375" style="105" bestFit="1" customWidth="1"/>
    <col min="13823" max="13824" width="11.7109375" style="105" bestFit="1" customWidth="1"/>
    <col min="13825" max="13825" width="13.42578125" style="105" bestFit="1" customWidth="1"/>
    <col min="13826" max="13826" width="12.7109375" style="105" bestFit="1" customWidth="1"/>
    <col min="13827" max="14072" width="9.28515625" style="105"/>
    <col min="14073" max="14073" width="3.7109375" style="105" customWidth="1"/>
    <col min="14074" max="14074" width="8.7109375" style="105" customWidth="1"/>
    <col min="14075" max="14075" width="60.28515625" style="105" bestFit="1" customWidth="1"/>
    <col min="14076" max="14076" width="22.7109375" style="105" bestFit="1" customWidth="1"/>
    <col min="14077" max="14077" width="21.5703125" style="105" bestFit="1" customWidth="1"/>
    <col min="14078" max="14078" width="18.7109375" style="105" bestFit="1" customWidth="1"/>
    <col min="14079" max="14080" width="11.7109375" style="105" bestFit="1" customWidth="1"/>
    <col min="14081" max="14081" width="13.42578125" style="105" bestFit="1" customWidth="1"/>
    <col min="14082" max="14082" width="12.7109375" style="105" bestFit="1" customWidth="1"/>
    <col min="14083" max="14328" width="9.28515625" style="105"/>
    <col min="14329" max="14329" width="3.7109375" style="105" customWidth="1"/>
    <col min="14330" max="14330" width="8.7109375" style="105" customWidth="1"/>
    <col min="14331" max="14331" width="60.28515625" style="105" bestFit="1" customWidth="1"/>
    <col min="14332" max="14332" width="22.7109375" style="105" bestFit="1" customWidth="1"/>
    <col min="14333" max="14333" width="21.5703125" style="105" bestFit="1" customWidth="1"/>
    <col min="14334" max="14334" width="18.7109375" style="105" bestFit="1" customWidth="1"/>
    <col min="14335" max="14336" width="11.7109375" style="105" bestFit="1" customWidth="1"/>
    <col min="14337" max="14337" width="13.42578125" style="105" bestFit="1" customWidth="1"/>
    <col min="14338" max="14338" width="12.7109375" style="105" bestFit="1" customWidth="1"/>
    <col min="14339" max="14584" width="9.28515625" style="105"/>
    <col min="14585" max="14585" width="3.7109375" style="105" customWidth="1"/>
    <col min="14586" max="14586" width="8.7109375" style="105" customWidth="1"/>
    <col min="14587" max="14587" width="60.28515625" style="105" bestFit="1" customWidth="1"/>
    <col min="14588" max="14588" width="22.7109375" style="105" bestFit="1" customWidth="1"/>
    <col min="14589" max="14589" width="21.5703125" style="105" bestFit="1" customWidth="1"/>
    <col min="14590" max="14590" width="18.7109375" style="105" bestFit="1" customWidth="1"/>
    <col min="14591" max="14592" width="11.7109375" style="105" bestFit="1" customWidth="1"/>
    <col min="14593" max="14593" width="13.42578125" style="105" bestFit="1" customWidth="1"/>
    <col min="14594" max="14594" width="12.7109375" style="105" bestFit="1" customWidth="1"/>
    <col min="14595" max="14840" width="9.28515625" style="105"/>
    <col min="14841" max="14841" width="3.7109375" style="105" customWidth="1"/>
    <col min="14842" max="14842" width="8.7109375" style="105" customWidth="1"/>
    <col min="14843" max="14843" width="60.28515625" style="105" bestFit="1" customWidth="1"/>
    <col min="14844" max="14844" width="22.7109375" style="105" bestFit="1" customWidth="1"/>
    <col min="14845" max="14845" width="21.5703125" style="105" bestFit="1" customWidth="1"/>
    <col min="14846" max="14846" width="18.7109375" style="105" bestFit="1" customWidth="1"/>
    <col min="14847" max="14848" width="11.7109375" style="105" bestFit="1" customWidth="1"/>
    <col min="14849" max="14849" width="13.42578125" style="105" bestFit="1" customWidth="1"/>
    <col min="14850" max="14850" width="12.7109375" style="105" bestFit="1" customWidth="1"/>
    <col min="14851" max="15096" width="9.28515625" style="105"/>
    <col min="15097" max="15097" width="3.7109375" style="105" customWidth="1"/>
    <col min="15098" max="15098" width="8.7109375" style="105" customWidth="1"/>
    <col min="15099" max="15099" width="60.28515625" style="105" bestFit="1" customWidth="1"/>
    <col min="15100" max="15100" width="22.7109375" style="105" bestFit="1" customWidth="1"/>
    <col min="15101" max="15101" width="21.5703125" style="105" bestFit="1" customWidth="1"/>
    <col min="15102" max="15102" width="18.7109375" style="105" bestFit="1" customWidth="1"/>
    <col min="15103" max="15104" width="11.7109375" style="105" bestFit="1" customWidth="1"/>
    <col min="15105" max="15105" width="13.42578125" style="105" bestFit="1" customWidth="1"/>
    <col min="15106" max="15106" width="12.7109375" style="105" bestFit="1" customWidth="1"/>
    <col min="15107" max="15352" width="9.28515625" style="105"/>
    <col min="15353" max="15353" width="3.7109375" style="105" customWidth="1"/>
    <col min="15354" max="15354" width="8.7109375" style="105" customWidth="1"/>
    <col min="15355" max="15355" width="60.28515625" style="105" bestFit="1" customWidth="1"/>
    <col min="15356" max="15356" width="22.7109375" style="105" bestFit="1" customWidth="1"/>
    <col min="15357" max="15357" width="21.5703125" style="105" bestFit="1" customWidth="1"/>
    <col min="15358" max="15358" width="18.7109375" style="105" bestFit="1" customWidth="1"/>
    <col min="15359" max="15360" width="11.7109375" style="105" bestFit="1" customWidth="1"/>
    <col min="15361" max="15361" width="13.42578125" style="105" bestFit="1" customWidth="1"/>
    <col min="15362" max="15362" width="12.7109375" style="105" bestFit="1" customWidth="1"/>
    <col min="15363" max="15608" width="9.28515625" style="105"/>
    <col min="15609" max="15609" width="3.7109375" style="105" customWidth="1"/>
    <col min="15610" max="15610" width="8.7109375" style="105" customWidth="1"/>
    <col min="15611" max="15611" width="60.28515625" style="105" bestFit="1" customWidth="1"/>
    <col min="15612" max="15612" width="22.7109375" style="105" bestFit="1" customWidth="1"/>
    <col min="15613" max="15613" width="21.5703125" style="105" bestFit="1" customWidth="1"/>
    <col min="15614" max="15614" width="18.7109375" style="105" bestFit="1" customWidth="1"/>
    <col min="15615" max="15616" width="11.7109375" style="105" bestFit="1" customWidth="1"/>
    <col min="15617" max="15617" width="13.42578125" style="105" bestFit="1" customWidth="1"/>
    <col min="15618" max="15618" width="12.7109375" style="105" bestFit="1" customWidth="1"/>
    <col min="15619" max="15864" width="9.28515625" style="105"/>
    <col min="15865" max="15865" width="3.7109375" style="105" customWidth="1"/>
    <col min="15866" max="15866" width="8.7109375" style="105" customWidth="1"/>
    <col min="15867" max="15867" width="60.28515625" style="105" bestFit="1" customWidth="1"/>
    <col min="15868" max="15868" width="22.7109375" style="105" bestFit="1" customWidth="1"/>
    <col min="15869" max="15869" width="21.5703125" style="105" bestFit="1" customWidth="1"/>
    <col min="15870" max="15870" width="18.7109375" style="105" bestFit="1" customWidth="1"/>
    <col min="15871" max="15872" width="11.7109375" style="105" bestFit="1" customWidth="1"/>
    <col min="15873" max="15873" width="13.42578125" style="105" bestFit="1" customWidth="1"/>
    <col min="15874" max="15874" width="12.7109375" style="105" bestFit="1" customWidth="1"/>
    <col min="15875" max="16120" width="9.28515625" style="105"/>
    <col min="16121" max="16121" width="3.7109375" style="105" customWidth="1"/>
    <col min="16122" max="16122" width="8.7109375" style="105" customWidth="1"/>
    <col min="16123" max="16123" width="60.28515625" style="105" bestFit="1" customWidth="1"/>
    <col min="16124" max="16124" width="22.7109375" style="105" bestFit="1" customWidth="1"/>
    <col min="16125" max="16125" width="21.5703125" style="105" bestFit="1" customWidth="1"/>
    <col min="16126" max="16126" width="18.7109375" style="105" bestFit="1" customWidth="1"/>
    <col min="16127" max="16128" width="11.7109375" style="105" bestFit="1" customWidth="1"/>
    <col min="16129" max="16129" width="13.42578125" style="105" bestFit="1" customWidth="1"/>
    <col min="16130" max="16130" width="12.7109375" style="105" bestFit="1" customWidth="1"/>
    <col min="16131" max="16384" width="9.28515625" style="105"/>
  </cols>
  <sheetData>
    <row r="1" spans="2:10" ht="19.5" customHeight="1" x14ac:dyDescent="0.25"/>
    <row r="2" spans="2:10" s="99" customFormat="1" ht="19.899999999999999" customHeight="1" x14ac:dyDescent="0.25">
      <c r="B2" s="153" t="s">
        <v>243</v>
      </c>
      <c r="C2" s="101"/>
      <c r="D2" s="101"/>
      <c r="E2" s="105"/>
      <c r="F2" s="105"/>
      <c r="G2" s="105"/>
      <c r="H2" s="105"/>
    </row>
    <row r="3" spans="2:10" s="99" customFormat="1" ht="12" customHeight="1" x14ac:dyDescent="0.25">
      <c r="B3" s="102"/>
      <c r="C3" s="102"/>
      <c r="D3" s="102"/>
      <c r="E3" s="105"/>
      <c r="F3" s="105"/>
      <c r="G3" s="105"/>
      <c r="H3" s="105"/>
    </row>
    <row r="4" spans="2:10" s="99" customFormat="1" ht="19.899999999999999" customHeight="1" x14ac:dyDescent="0.25">
      <c r="B4" s="130" t="s">
        <v>474</v>
      </c>
      <c r="C4" s="104"/>
      <c r="D4" s="104"/>
      <c r="E4" s="105"/>
      <c r="F4" s="105"/>
      <c r="G4" s="105"/>
      <c r="H4" s="105"/>
    </row>
    <row r="5" spans="2:10" ht="15.75" thickBot="1" x14ac:dyDescent="0.3">
      <c r="B5" s="106"/>
      <c r="C5" s="106"/>
      <c r="D5" s="106"/>
    </row>
    <row r="6" spans="2:10" ht="15.75" thickBot="1" x14ac:dyDescent="0.3">
      <c r="B6" s="396" t="s">
        <v>500</v>
      </c>
      <c r="C6" s="397"/>
      <c r="D6" s="397"/>
    </row>
    <row r="7" spans="2:10" ht="18" customHeight="1" thickBot="1" x14ac:dyDescent="0.3">
      <c r="B7" s="107"/>
      <c r="C7" s="108" t="s">
        <v>480</v>
      </c>
      <c r="D7" s="109" t="s">
        <v>503</v>
      </c>
      <c r="I7" s="105">
        <v>2.5</v>
      </c>
      <c r="J7" s="105">
        <v>2.5</v>
      </c>
    </row>
    <row r="8" spans="2:10" x14ac:dyDescent="0.25">
      <c r="B8" s="110">
        <v>1</v>
      </c>
      <c r="C8" s="111" t="s">
        <v>502</v>
      </c>
      <c r="D8" s="112">
        <v>0</v>
      </c>
      <c r="I8" s="105">
        <v>9</v>
      </c>
      <c r="J8" s="105">
        <v>4</v>
      </c>
    </row>
    <row r="9" spans="2:10" x14ac:dyDescent="0.25">
      <c r="B9" s="110">
        <f>+B8+1</f>
        <v>2</v>
      </c>
      <c r="C9" s="111" t="s">
        <v>496</v>
      </c>
      <c r="D9" s="112">
        <f>1303344000/10^5</f>
        <v>13033.44</v>
      </c>
      <c r="I9" s="105">
        <f>I7*I8</f>
        <v>22.5</v>
      </c>
      <c r="J9" s="105">
        <f>J7*J8</f>
        <v>10</v>
      </c>
    </row>
    <row r="10" spans="2:10" ht="15.75" thickBot="1" x14ac:dyDescent="0.3">
      <c r="B10" s="110">
        <f>+B9+1</f>
        <v>3</v>
      </c>
      <c r="C10" s="113" t="s">
        <v>481</v>
      </c>
      <c r="D10" s="114">
        <v>0</v>
      </c>
      <c r="F10" s="115"/>
      <c r="G10" s="116"/>
      <c r="J10" s="105">
        <f>J9+I9</f>
        <v>32.5</v>
      </c>
    </row>
    <row r="11" spans="2:10" ht="15.75" hidden="1" thickBot="1" x14ac:dyDescent="0.3">
      <c r="B11" s="110">
        <f>+B10+1</f>
        <v>4</v>
      </c>
      <c r="C11" s="111" t="s">
        <v>482</v>
      </c>
      <c r="D11" s="112">
        <v>0</v>
      </c>
      <c r="F11" s="115"/>
      <c r="G11" s="115"/>
    </row>
    <row r="12" spans="2:10" ht="15.75" hidden="1" thickBot="1" x14ac:dyDescent="0.3">
      <c r="B12" s="110">
        <f>+B11+1</f>
        <v>5</v>
      </c>
      <c r="C12" s="111" t="s">
        <v>483</v>
      </c>
      <c r="D12" s="112">
        <v>0</v>
      </c>
      <c r="F12" s="115"/>
      <c r="G12" s="115"/>
    </row>
    <row r="13" spans="2:10" ht="15.75" thickBot="1" x14ac:dyDescent="0.3">
      <c r="B13" s="107"/>
      <c r="C13" s="108" t="s">
        <v>484</v>
      </c>
      <c r="D13" s="117">
        <f>SUM(D8:D11)</f>
        <v>13033.44</v>
      </c>
      <c r="F13" s="115"/>
    </row>
    <row r="14" spans="2:10" x14ac:dyDescent="0.25">
      <c r="B14" s="118">
        <v>4</v>
      </c>
      <c r="C14" s="119" t="s">
        <v>485</v>
      </c>
      <c r="D14" s="120">
        <f>+D13-D8</f>
        <v>13033.44</v>
      </c>
      <c r="G14" s="115"/>
    </row>
    <row r="15" spans="2:10" x14ac:dyDescent="0.25">
      <c r="B15" s="110">
        <f>+B14+1</f>
        <v>5</v>
      </c>
      <c r="C15" s="111" t="s">
        <v>486</v>
      </c>
      <c r="D15" s="112">
        <v>0</v>
      </c>
      <c r="F15" s="115"/>
      <c r="G15" s="115"/>
      <c r="I15" s="105">
        <v>36</v>
      </c>
      <c r="J15" s="105">
        <v>89</v>
      </c>
    </row>
    <row r="16" spans="2:10" x14ac:dyDescent="0.25">
      <c r="B16" s="110">
        <f>+B15+1</f>
        <v>6</v>
      </c>
      <c r="C16" s="111" t="s">
        <v>487</v>
      </c>
      <c r="D16" s="112">
        <v>0</v>
      </c>
      <c r="G16" s="115"/>
      <c r="I16" s="105">
        <v>1</v>
      </c>
      <c r="J16" s="105">
        <f>J15/I15</f>
        <v>2.4722222222222223</v>
      </c>
    </row>
    <row r="17" spans="2:10" x14ac:dyDescent="0.25">
      <c r="B17" s="110">
        <f>+B16+1</f>
        <v>7</v>
      </c>
      <c r="C17" s="111" t="s">
        <v>488</v>
      </c>
      <c r="D17" s="112">
        <v>0</v>
      </c>
      <c r="F17" s="115"/>
      <c r="G17" s="115"/>
      <c r="I17" s="105">
        <v>9</v>
      </c>
      <c r="J17" s="105">
        <f>J16*I17</f>
        <v>22.25</v>
      </c>
    </row>
    <row r="18" spans="2:10" ht="15.75" thickBot="1" x14ac:dyDescent="0.3">
      <c r="B18" s="110">
        <f>+B17+1</f>
        <v>8</v>
      </c>
      <c r="C18" s="111" t="s">
        <v>489</v>
      </c>
      <c r="D18" s="114">
        <v>0</v>
      </c>
      <c r="E18" s="121"/>
      <c r="F18" s="115"/>
      <c r="G18" s="115"/>
    </row>
    <row r="19" spans="2:10" ht="15.75" thickBot="1" x14ac:dyDescent="0.3">
      <c r="B19" s="107"/>
      <c r="C19" s="108" t="s">
        <v>490</v>
      </c>
      <c r="D19" s="117">
        <f>D13+D15+D16+D17+D18</f>
        <v>13033.44</v>
      </c>
      <c r="F19" s="271">
        <f>D19*10^5</f>
        <v>1303344000</v>
      </c>
      <c r="G19" s="272">
        <f>F19/17.4</f>
        <v>74904827.586206898</v>
      </c>
    </row>
    <row r="20" spans="2:10" x14ac:dyDescent="0.25">
      <c r="F20" s="105">
        <v>327744000</v>
      </c>
      <c r="G20" s="272">
        <f>F20/9</f>
        <v>36416000</v>
      </c>
      <c r="H20" s="115"/>
    </row>
    <row r="21" spans="2:10" ht="15.75" thickBot="1" x14ac:dyDescent="0.3">
      <c r="F21" s="273">
        <v>975600000</v>
      </c>
      <c r="G21" s="272">
        <f>F21/8.4</f>
        <v>116142857.14285713</v>
      </c>
      <c r="H21" s="115"/>
    </row>
    <row r="22" spans="2:10" ht="15.75" thickBot="1" x14ac:dyDescent="0.3">
      <c r="B22" s="398" t="s">
        <v>491</v>
      </c>
      <c r="C22" s="399"/>
      <c r="D22" s="400"/>
      <c r="F22" s="105">
        <f>F20+F21</f>
        <v>1303344000</v>
      </c>
    </row>
    <row r="23" spans="2:10" x14ac:dyDescent="0.25">
      <c r="B23" s="122">
        <v>1</v>
      </c>
      <c r="C23" s="123" t="s">
        <v>492</v>
      </c>
      <c r="D23" s="124">
        <v>0</v>
      </c>
      <c r="G23" s="115"/>
    </row>
    <row r="24" spans="2:10" x14ac:dyDescent="0.25">
      <c r="B24" s="110"/>
      <c r="C24" s="125"/>
      <c r="D24" s="112"/>
    </row>
    <row r="25" spans="2:10" x14ac:dyDescent="0.25">
      <c r="B25" s="110"/>
      <c r="C25" s="126" t="s">
        <v>493</v>
      </c>
      <c r="D25" s="127"/>
      <c r="E25" s="121"/>
      <c r="F25" s="121"/>
      <c r="G25" s="121"/>
    </row>
    <row r="26" spans="2:10" x14ac:dyDescent="0.25">
      <c r="B26" s="110">
        <v>2</v>
      </c>
      <c r="C26" s="125" t="s">
        <v>497</v>
      </c>
      <c r="D26" s="112">
        <f>130*10^2</f>
        <v>13000</v>
      </c>
      <c r="E26" s="115"/>
    </row>
    <row r="27" spans="2:10" ht="15.75" thickBot="1" x14ac:dyDescent="0.3">
      <c r="B27" s="110">
        <v>3</v>
      </c>
      <c r="C27" s="125" t="s">
        <v>494</v>
      </c>
      <c r="D27" s="112">
        <f>D19-D23-D26</f>
        <v>33.440000000000509</v>
      </c>
      <c r="F27" s="115"/>
      <c r="G27" s="115"/>
    </row>
    <row r="28" spans="2:10" ht="15.75" thickBot="1" x14ac:dyDescent="0.3">
      <c r="B28" s="128"/>
      <c r="C28" s="129" t="s">
        <v>495</v>
      </c>
      <c r="D28" s="117">
        <f>SUM(D23:D27)</f>
        <v>13033.44</v>
      </c>
      <c r="E28" s="115"/>
    </row>
    <row r="30" spans="2:10" x14ac:dyDescent="0.25">
      <c r="B30" s="105" t="s">
        <v>501</v>
      </c>
    </row>
    <row r="47" spans="3:3" x14ac:dyDescent="0.25">
      <c r="C47" s="394"/>
    </row>
  </sheetData>
  <mergeCells count="2">
    <mergeCell ref="B6:D6"/>
    <mergeCell ref="B22:D22"/>
  </mergeCells>
  <pageMargins left="0.7" right="0.7" top="0.75" bottom="0.75" header="0.3" footer="0.3"/>
  <pageSetup scale="72" orientation="portrait" r:id="rId1"/>
  <colBreaks count="1" manualBreakCount="1">
    <brk id="1"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38"/>
  <sheetViews>
    <sheetView showGridLines="0" workbookViewId="0"/>
  </sheetViews>
  <sheetFormatPr defaultColWidth="9.28515625" defaultRowHeight="15" x14ac:dyDescent="0.25"/>
  <cols>
    <col min="1" max="1" width="4.85546875" style="298" customWidth="1"/>
    <col min="2" max="2" width="46.42578125" style="298" bestFit="1" customWidth="1"/>
    <col min="3" max="15" width="13.7109375" style="299" customWidth="1"/>
    <col min="16" max="16" width="13.7109375" style="299" hidden="1" customWidth="1"/>
    <col min="17" max="257" width="9.28515625" style="298"/>
    <col min="258" max="258" width="7.7109375" style="298" bestFit="1" customWidth="1"/>
    <col min="259" max="259" width="57.7109375" style="298" bestFit="1" customWidth="1"/>
    <col min="260" max="261" width="16.42578125" style="298" customWidth="1"/>
    <col min="262" max="262" width="15.42578125" style="298" bestFit="1" customWidth="1"/>
    <col min="263" max="263" width="14.28515625" style="298" bestFit="1" customWidth="1"/>
    <col min="264" max="267" width="14" style="298" bestFit="1" customWidth="1"/>
    <col min="268" max="268" width="14.7109375" style="298" bestFit="1" customWidth="1"/>
    <col min="269" max="269" width="16.28515625" style="298" bestFit="1" customWidth="1"/>
    <col min="270" max="270" width="16.28515625" style="298" customWidth="1"/>
    <col min="271" max="271" width="13.5703125" style="298" customWidth="1"/>
    <col min="272" max="272" width="3.28515625" style="298" bestFit="1" customWidth="1"/>
    <col min="273" max="273" width="10.7109375" style="298" bestFit="1" customWidth="1"/>
    <col min="274" max="513" width="9.28515625" style="298"/>
    <col min="514" max="514" width="7.7109375" style="298" bestFit="1" customWidth="1"/>
    <col min="515" max="515" width="57.7109375" style="298" bestFit="1" customWidth="1"/>
    <col min="516" max="517" width="16.42578125" style="298" customWidth="1"/>
    <col min="518" max="518" width="15.42578125" style="298" bestFit="1" customWidth="1"/>
    <col min="519" max="519" width="14.28515625" style="298" bestFit="1" customWidth="1"/>
    <col min="520" max="523" width="14" style="298" bestFit="1" customWidth="1"/>
    <col min="524" max="524" width="14.7109375" style="298" bestFit="1" customWidth="1"/>
    <col min="525" max="525" width="16.28515625" style="298" bestFit="1" customWidth="1"/>
    <col min="526" max="526" width="16.28515625" style="298" customWidth="1"/>
    <col min="527" max="527" width="13.5703125" style="298" customWidth="1"/>
    <col min="528" max="528" width="3.28515625" style="298" bestFit="1" customWidth="1"/>
    <col min="529" max="529" width="10.7109375" style="298" bestFit="1" customWidth="1"/>
    <col min="530" max="769" width="9.28515625" style="298"/>
    <col min="770" max="770" width="7.7109375" style="298" bestFit="1" customWidth="1"/>
    <col min="771" max="771" width="57.7109375" style="298" bestFit="1" customWidth="1"/>
    <col min="772" max="773" width="16.42578125" style="298" customWidth="1"/>
    <col min="774" max="774" width="15.42578125" style="298" bestFit="1" customWidth="1"/>
    <col min="775" max="775" width="14.28515625" style="298" bestFit="1" customWidth="1"/>
    <col min="776" max="779" width="14" style="298" bestFit="1" customWidth="1"/>
    <col min="780" max="780" width="14.7109375" style="298" bestFit="1" customWidth="1"/>
    <col min="781" max="781" width="16.28515625" style="298" bestFit="1" customWidth="1"/>
    <col min="782" max="782" width="16.28515625" style="298" customWidth="1"/>
    <col min="783" max="783" width="13.5703125" style="298" customWidth="1"/>
    <col min="784" max="784" width="3.28515625" style="298" bestFit="1" customWidth="1"/>
    <col min="785" max="785" width="10.7109375" style="298" bestFit="1" customWidth="1"/>
    <col min="786" max="1025" width="9.28515625" style="298"/>
    <col min="1026" max="1026" width="7.7109375" style="298" bestFit="1" customWidth="1"/>
    <col min="1027" max="1027" width="57.7109375" style="298" bestFit="1" customWidth="1"/>
    <col min="1028" max="1029" width="16.42578125" style="298" customWidth="1"/>
    <col min="1030" max="1030" width="15.42578125" style="298" bestFit="1" customWidth="1"/>
    <col min="1031" max="1031" width="14.28515625" style="298" bestFit="1" customWidth="1"/>
    <col min="1032" max="1035" width="14" style="298" bestFit="1" customWidth="1"/>
    <col min="1036" max="1036" width="14.7109375" style="298" bestFit="1" customWidth="1"/>
    <col min="1037" max="1037" width="16.28515625" style="298" bestFit="1" customWidth="1"/>
    <col min="1038" max="1038" width="16.28515625" style="298" customWidth="1"/>
    <col min="1039" max="1039" width="13.5703125" style="298" customWidth="1"/>
    <col min="1040" max="1040" width="3.28515625" style="298" bestFit="1" customWidth="1"/>
    <col min="1041" max="1041" width="10.7109375" style="298" bestFit="1" customWidth="1"/>
    <col min="1042" max="1281" width="9.28515625" style="298"/>
    <col min="1282" max="1282" width="7.7109375" style="298" bestFit="1" customWidth="1"/>
    <col min="1283" max="1283" width="57.7109375" style="298" bestFit="1" customWidth="1"/>
    <col min="1284" max="1285" width="16.42578125" style="298" customWidth="1"/>
    <col min="1286" max="1286" width="15.42578125" style="298" bestFit="1" customWidth="1"/>
    <col min="1287" max="1287" width="14.28515625" style="298" bestFit="1" customWidth="1"/>
    <col min="1288" max="1291" width="14" style="298" bestFit="1" customWidth="1"/>
    <col min="1292" max="1292" width="14.7109375" style="298" bestFit="1" customWidth="1"/>
    <col min="1293" max="1293" width="16.28515625" style="298" bestFit="1" customWidth="1"/>
    <col min="1294" max="1294" width="16.28515625" style="298" customWidth="1"/>
    <col min="1295" max="1295" width="13.5703125" style="298" customWidth="1"/>
    <col min="1296" max="1296" width="3.28515625" style="298" bestFit="1" customWidth="1"/>
    <col min="1297" max="1297" width="10.7109375" style="298" bestFit="1" customWidth="1"/>
    <col min="1298" max="1537" width="9.28515625" style="298"/>
    <col min="1538" max="1538" width="7.7109375" style="298" bestFit="1" customWidth="1"/>
    <col min="1539" max="1539" width="57.7109375" style="298" bestFit="1" customWidth="1"/>
    <col min="1540" max="1541" width="16.42578125" style="298" customWidth="1"/>
    <col min="1542" max="1542" width="15.42578125" style="298" bestFit="1" customWidth="1"/>
    <col min="1543" max="1543" width="14.28515625" style="298" bestFit="1" customWidth="1"/>
    <col min="1544" max="1547" width="14" style="298" bestFit="1" customWidth="1"/>
    <col min="1548" max="1548" width="14.7109375" style="298" bestFit="1" customWidth="1"/>
    <col min="1549" max="1549" width="16.28515625" style="298" bestFit="1" customWidth="1"/>
    <col min="1550" max="1550" width="16.28515625" style="298" customWidth="1"/>
    <col min="1551" max="1551" width="13.5703125" style="298" customWidth="1"/>
    <col min="1552" max="1552" width="3.28515625" style="298" bestFit="1" customWidth="1"/>
    <col min="1553" max="1553" width="10.7109375" style="298" bestFit="1" customWidth="1"/>
    <col min="1554" max="1793" width="9.28515625" style="298"/>
    <col min="1794" max="1794" width="7.7109375" style="298" bestFit="1" customWidth="1"/>
    <col min="1795" max="1795" width="57.7109375" style="298" bestFit="1" customWidth="1"/>
    <col min="1796" max="1797" width="16.42578125" style="298" customWidth="1"/>
    <col min="1798" max="1798" width="15.42578125" style="298" bestFit="1" customWidth="1"/>
    <col min="1799" max="1799" width="14.28515625" style="298" bestFit="1" customWidth="1"/>
    <col min="1800" max="1803" width="14" style="298" bestFit="1" customWidth="1"/>
    <col min="1804" max="1804" width="14.7109375" style="298" bestFit="1" customWidth="1"/>
    <col min="1805" max="1805" width="16.28515625" style="298" bestFit="1" customWidth="1"/>
    <col min="1806" max="1806" width="16.28515625" style="298" customWidth="1"/>
    <col min="1807" max="1807" width="13.5703125" style="298" customWidth="1"/>
    <col min="1808" max="1808" width="3.28515625" style="298" bestFit="1" customWidth="1"/>
    <col min="1809" max="1809" width="10.7109375" style="298" bestFit="1" customWidth="1"/>
    <col min="1810" max="2049" width="9.28515625" style="298"/>
    <col min="2050" max="2050" width="7.7109375" style="298" bestFit="1" customWidth="1"/>
    <col min="2051" max="2051" width="57.7109375" style="298" bestFit="1" customWidth="1"/>
    <col min="2052" max="2053" width="16.42578125" style="298" customWidth="1"/>
    <col min="2054" max="2054" width="15.42578125" style="298" bestFit="1" customWidth="1"/>
    <col min="2055" max="2055" width="14.28515625" style="298" bestFit="1" customWidth="1"/>
    <col min="2056" max="2059" width="14" style="298" bestFit="1" customWidth="1"/>
    <col min="2060" max="2060" width="14.7109375" style="298" bestFit="1" customWidth="1"/>
    <col min="2061" max="2061" width="16.28515625" style="298" bestFit="1" customWidth="1"/>
    <col min="2062" max="2062" width="16.28515625" style="298" customWidth="1"/>
    <col min="2063" max="2063" width="13.5703125" style="298" customWidth="1"/>
    <col min="2064" max="2064" width="3.28515625" style="298" bestFit="1" customWidth="1"/>
    <col min="2065" max="2065" width="10.7109375" style="298" bestFit="1" customWidth="1"/>
    <col min="2066" max="2305" width="9.28515625" style="298"/>
    <col min="2306" max="2306" width="7.7109375" style="298" bestFit="1" customWidth="1"/>
    <col min="2307" max="2307" width="57.7109375" style="298" bestFit="1" customWidth="1"/>
    <col min="2308" max="2309" width="16.42578125" style="298" customWidth="1"/>
    <col min="2310" max="2310" width="15.42578125" style="298" bestFit="1" customWidth="1"/>
    <col min="2311" max="2311" width="14.28515625" style="298" bestFit="1" customWidth="1"/>
    <col min="2312" max="2315" width="14" style="298" bestFit="1" customWidth="1"/>
    <col min="2316" max="2316" width="14.7109375" style="298" bestFit="1" customWidth="1"/>
    <col min="2317" max="2317" width="16.28515625" style="298" bestFit="1" customWidth="1"/>
    <col min="2318" max="2318" width="16.28515625" style="298" customWidth="1"/>
    <col min="2319" max="2319" width="13.5703125" style="298" customWidth="1"/>
    <col min="2320" max="2320" width="3.28515625" style="298" bestFit="1" customWidth="1"/>
    <col min="2321" max="2321" width="10.7109375" style="298" bestFit="1" customWidth="1"/>
    <col min="2322" max="2561" width="9.28515625" style="298"/>
    <col min="2562" max="2562" width="7.7109375" style="298" bestFit="1" customWidth="1"/>
    <col min="2563" max="2563" width="57.7109375" style="298" bestFit="1" customWidth="1"/>
    <col min="2564" max="2565" width="16.42578125" style="298" customWidth="1"/>
    <col min="2566" max="2566" width="15.42578125" style="298" bestFit="1" customWidth="1"/>
    <col min="2567" max="2567" width="14.28515625" style="298" bestFit="1" customWidth="1"/>
    <col min="2568" max="2571" width="14" style="298" bestFit="1" customWidth="1"/>
    <col min="2572" max="2572" width="14.7109375" style="298" bestFit="1" customWidth="1"/>
    <col min="2573" max="2573" width="16.28515625" style="298" bestFit="1" customWidth="1"/>
    <col min="2574" max="2574" width="16.28515625" style="298" customWidth="1"/>
    <col min="2575" max="2575" width="13.5703125" style="298" customWidth="1"/>
    <col min="2576" max="2576" width="3.28515625" style="298" bestFit="1" customWidth="1"/>
    <col min="2577" max="2577" width="10.7109375" style="298" bestFit="1" customWidth="1"/>
    <col min="2578" max="2817" width="9.28515625" style="298"/>
    <col min="2818" max="2818" width="7.7109375" style="298" bestFit="1" customWidth="1"/>
    <col min="2819" max="2819" width="57.7109375" style="298" bestFit="1" customWidth="1"/>
    <col min="2820" max="2821" width="16.42578125" style="298" customWidth="1"/>
    <col min="2822" max="2822" width="15.42578125" style="298" bestFit="1" customWidth="1"/>
    <col min="2823" max="2823" width="14.28515625" style="298" bestFit="1" customWidth="1"/>
    <col min="2824" max="2827" width="14" style="298" bestFit="1" customWidth="1"/>
    <col min="2828" max="2828" width="14.7109375" style="298" bestFit="1" customWidth="1"/>
    <col min="2829" max="2829" width="16.28515625" style="298" bestFit="1" customWidth="1"/>
    <col min="2830" max="2830" width="16.28515625" style="298" customWidth="1"/>
    <col min="2831" max="2831" width="13.5703125" style="298" customWidth="1"/>
    <col min="2832" max="2832" width="3.28515625" style="298" bestFit="1" customWidth="1"/>
    <col min="2833" max="2833" width="10.7109375" style="298" bestFit="1" customWidth="1"/>
    <col min="2834" max="3073" width="9.28515625" style="298"/>
    <col min="3074" max="3074" width="7.7109375" style="298" bestFit="1" customWidth="1"/>
    <col min="3075" max="3075" width="57.7109375" style="298" bestFit="1" customWidth="1"/>
    <col min="3076" max="3077" width="16.42578125" style="298" customWidth="1"/>
    <col min="3078" max="3078" width="15.42578125" style="298" bestFit="1" customWidth="1"/>
    <col min="3079" max="3079" width="14.28515625" style="298" bestFit="1" customWidth="1"/>
    <col min="3080" max="3083" width="14" style="298" bestFit="1" customWidth="1"/>
    <col min="3084" max="3084" width="14.7109375" style="298" bestFit="1" customWidth="1"/>
    <col min="3085" max="3085" width="16.28515625" style="298" bestFit="1" customWidth="1"/>
    <col min="3086" max="3086" width="16.28515625" style="298" customWidth="1"/>
    <col min="3087" max="3087" width="13.5703125" style="298" customWidth="1"/>
    <col min="3088" max="3088" width="3.28515625" style="298" bestFit="1" customWidth="1"/>
    <col min="3089" max="3089" width="10.7109375" style="298" bestFit="1" customWidth="1"/>
    <col min="3090" max="3329" width="9.28515625" style="298"/>
    <col min="3330" max="3330" width="7.7109375" style="298" bestFit="1" customWidth="1"/>
    <col min="3331" max="3331" width="57.7109375" style="298" bestFit="1" customWidth="1"/>
    <col min="3332" max="3333" width="16.42578125" style="298" customWidth="1"/>
    <col min="3334" max="3334" width="15.42578125" style="298" bestFit="1" customWidth="1"/>
    <col min="3335" max="3335" width="14.28515625" style="298" bestFit="1" customWidth="1"/>
    <col min="3336" max="3339" width="14" style="298" bestFit="1" customWidth="1"/>
    <col min="3340" max="3340" width="14.7109375" style="298" bestFit="1" customWidth="1"/>
    <col min="3341" max="3341" width="16.28515625" style="298" bestFit="1" customWidth="1"/>
    <col min="3342" max="3342" width="16.28515625" style="298" customWidth="1"/>
    <col min="3343" max="3343" width="13.5703125" style="298" customWidth="1"/>
    <col min="3344" max="3344" width="3.28515625" style="298" bestFit="1" customWidth="1"/>
    <col min="3345" max="3345" width="10.7109375" style="298" bestFit="1" customWidth="1"/>
    <col min="3346" max="3585" width="9.28515625" style="298"/>
    <col min="3586" max="3586" width="7.7109375" style="298" bestFit="1" customWidth="1"/>
    <col min="3587" max="3587" width="57.7109375" style="298" bestFit="1" customWidth="1"/>
    <col min="3588" max="3589" width="16.42578125" style="298" customWidth="1"/>
    <col min="3590" max="3590" width="15.42578125" style="298" bestFit="1" customWidth="1"/>
    <col min="3591" max="3591" width="14.28515625" style="298" bestFit="1" customWidth="1"/>
    <col min="3592" max="3595" width="14" style="298" bestFit="1" customWidth="1"/>
    <col min="3596" max="3596" width="14.7109375" style="298" bestFit="1" customWidth="1"/>
    <col min="3597" max="3597" width="16.28515625" style="298" bestFit="1" customWidth="1"/>
    <col min="3598" max="3598" width="16.28515625" style="298" customWidth="1"/>
    <col min="3599" max="3599" width="13.5703125" style="298" customWidth="1"/>
    <col min="3600" max="3600" width="3.28515625" style="298" bestFit="1" customWidth="1"/>
    <col min="3601" max="3601" width="10.7109375" style="298" bestFit="1" customWidth="1"/>
    <col min="3602" max="3841" width="9.28515625" style="298"/>
    <col min="3842" max="3842" width="7.7109375" style="298" bestFit="1" customWidth="1"/>
    <col min="3843" max="3843" width="57.7109375" style="298" bestFit="1" customWidth="1"/>
    <col min="3844" max="3845" width="16.42578125" style="298" customWidth="1"/>
    <col min="3846" max="3846" width="15.42578125" style="298" bestFit="1" customWidth="1"/>
    <col min="3847" max="3847" width="14.28515625" style="298" bestFit="1" customWidth="1"/>
    <col min="3848" max="3851" width="14" style="298" bestFit="1" customWidth="1"/>
    <col min="3852" max="3852" width="14.7109375" style="298" bestFit="1" customWidth="1"/>
    <col min="3853" max="3853" width="16.28515625" style="298" bestFit="1" customWidth="1"/>
    <col min="3854" max="3854" width="16.28515625" style="298" customWidth="1"/>
    <col min="3855" max="3855" width="13.5703125" style="298" customWidth="1"/>
    <col min="3856" max="3856" width="3.28515625" style="298" bestFit="1" customWidth="1"/>
    <col min="3857" max="3857" width="10.7109375" style="298" bestFit="1" customWidth="1"/>
    <col min="3858" max="4097" width="9.28515625" style="298"/>
    <col min="4098" max="4098" width="7.7109375" style="298" bestFit="1" customWidth="1"/>
    <col min="4099" max="4099" width="57.7109375" style="298" bestFit="1" customWidth="1"/>
    <col min="4100" max="4101" width="16.42578125" style="298" customWidth="1"/>
    <col min="4102" max="4102" width="15.42578125" style="298" bestFit="1" customWidth="1"/>
    <col min="4103" max="4103" width="14.28515625" style="298" bestFit="1" customWidth="1"/>
    <col min="4104" max="4107" width="14" style="298" bestFit="1" customWidth="1"/>
    <col min="4108" max="4108" width="14.7109375" style="298" bestFit="1" customWidth="1"/>
    <col min="4109" max="4109" width="16.28515625" style="298" bestFit="1" customWidth="1"/>
    <col min="4110" max="4110" width="16.28515625" style="298" customWidth="1"/>
    <col min="4111" max="4111" width="13.5703125" style="298" customWidth="1"/>
    <col min="4112" max="4112" width="3.28515625" style="298" bestFit="1" customWidth="1"/>
    <col min="4113" max="4113" width="10.7109375" style="298" bestFit="1" customWidth="1"/>
    <col min="4114" max="4353" width="9.28515625" style="298"/>
    <col min="4354" max="4354" width="7.7109375" style="298" bestFit="1" customWidth="1"/>
    <col min="4355" max="4355" width="57.7109375" style="298" bestFit="1" customWidth="1"/>
    <col min="4356" max="4357" width="16.42578125" style="298" customWidth="1"/>
    <col min="4358" max="4358" width="15.42578125" style="298" bestFit="1" customWidth="1"/>
    <col min="4359" max="4359" width="14.28515625" style="298" bestFit="1" customWidth="1"/>
    <col min="4360" max="4363" width="14" style="298" bestFit="1" customWidth="1"/>
    <col min="4364" max="4364" width="14.7109375" style="298" bestFit="1" customWidth="1"/>
    <col min="4365" max="4365" width="16.28515625" style="298" bestFit="1" customWidth="1"/>
    <col min="4366" max="4366" width="16.28515625" style="298" customWidth="1"/>
    <col min="4367" max="4367" width="13.5703125" style="298" customWidth="1"/>
    <col min="4368" max="4368" width="3.28515625" style="298" bestFit="1" customWidth="1"/>
    <col min="4369" max="4369" width="10.7109375" style="298" bestFit="1" customWidth="1"/>
    <col min="4370" max="4609" width="9.28515625" style="298"/>
    <col min="4610" max="4610" width="7.7109375" style="298" bestFit="1" customWidth="1"/>
    <col min="4611" max="4611" width="57.7109375" style="298" bestFit="1" customWidth="1"/>
    <col min="4612" max="4613" width="16.42578125" style="298" customWidth="1"/>
    <col min="4614" max="4614" width="15.42578125" style="298" bestFit="1" customWidth="1"/>
    <col min="4615" max="4615" width="14.28515625" style="298" bestFit="1" customWidth="1"/>
    <col min="4616" max="4619" width="14" style="298" bestFit="1" customWidth="1"/>
    <col min="4620" max="4620" width="14.7109375" style="298" bestFit="1" customWidth="1"/>
    <col min="4621" max="4621" width="16.28515625" style="298" bestFit="1" customWidth="1"/>
    <col min="4622" max="4622" width="16.28515625" style="298" customWidth="1"/>
    <col min="4623" max="4623" width="13.5703125" style="298" customWidth="1"/>
    <col min="4624" max="4624" width="3.28515625" style="298" bestFit="1" customWidth="1"/>
    <col min="4625" max="4625" width="10.7109375" style="298" bestFit="1" customWidth="1"/>
    <col min="4626" max="4865" width="9.28515625" style="298"/>
    <col min="4866" max="4866" width="7.7109375" style="298" bestFit="1" customWidth="1"/>
    <col min="4867" max="4867" width="57.7109375" style="298" bestFit="1" customWidth="1"/>
    <col min="4868" max="4869" width="16.42578125" style="298" customWidth="1"/>
    <col min="4870" max="4870" width="15.42578125" style="298" bestFit="1" customWidth="1"/>
    <col min="4871" max="4871" width="14.28515625" style="298" bestFit="1" customWidth="1"/>
    <col min="4872" max="4875" width="14" style="298" bestFit="1" customWidth="1"/>
    <col min="4876" max="4876" width="14.7109375" style="298" bestFit="1" customWidth="1"/>
    <col min="4877" max="4877" width="16.28515625" style="298" bestFit="1" customWidth="1"/>
    <col min="4878" max="4878" width="16.28515625" style="298" customWidth="1"/>
    <col min="4879" max="4879" width="13.5703125" style="298" customWidth="1"/>
    <col min="4880" max="4880" width="3.28515625" style="298" bestFit="1" customWidth="1"/>
    <col min="4881" max="4881" width="10.7109375" style="298" bestFit="1" customWidth="1"/>
    <col min="4882" max="5121" width="9.28515625" style="298"/>
    <col min="5122" max="5122" width="7.7109375" style="298" bestFit="1" customWidth="1"/>
    <col min="5123" max="5123" width="57.7109375" style="298" bestFit="1" customWidth="1"/>
    <col min="5124" max="5125" width="16.42578125" style="298" customWidth="1"/>
    <col min="5126" max="5126" width="15.42578125" style="298" bestFit="1" customWidth="1"/>
    <col min="5127" max="5127" width="14.28515625" style="298" bestFit="1" customWidth="1"/>
    <col min="5128" max="5131" width="14" style="298" bestFit="1" customWidth="1"/>
    <col min="5132" max="5132" width="14.7109375" style="298" bestFit="1" customWidth="1"/>
    <col min="5133" max="5133" width="16.28515625" style="298" bestFit="1" customWidth="1"/>
    <col min="5134" max="5134" width="16.28515625" style="298" customWidth="1"/>
    <col min="5135" max="5135" width="13.5703125" style="298" customWidth="1"/>
    <col min="5136" max="5136" width="3.28515625" style="298" bestFit="1" customWidth="1"/>
    <col min="5137" max="5137" width="10.7109375" style="298" bestFit="1" customWidth="1"/>
    <col min="5138" max="5377" width="9.28515625" style="298"/>
    <col min="5378" max="5378" width="7.7109375" style="298" bestFit="1" customWidth="1"/>
    <col min="5379" max="5379" width="57.7109375" style="298" bestFit="1" customWidth="1"/>
    <col min="5380" max="5381" width="16.42578125" style="298" customWidth="1"/>
    <col min="5382" max="5382" width="15.42578125" style="298" bestFit="1" customWidth="1"/>
    <col min="5383" max="5383" width="14.28515625" style="298" bestFit="1" customWidth="1"/>
    <col min="5384" max="5387" width="14" style="298" bestFit="1" customWidth="1"/>
    <col min="5388" max="5388" width="14.7109375" style="298" bestFit="1" customWidth="1"/>
    <col min="5389" max="5389" width="16.28515625" style="298" bestFit="1" customWidth="1"/>
    <col min="5390" max="5390" width="16.28515625" style="298" customWidth="1"/>
    <col min="5391" max="5391" width="13.5703125" style="298" customWidth="1"/>
    <col min="5392" max="5392" width="3.28515625" style="298" bestFit="1" customWidth="1"/>
    <col min="5393" max="5393" width="10.7109375" style="298" bestFit="1" customWidth="1"/>
    <col min="5394" max="5633" width="9.28515625" style="298"/>
    <col min="5634" max="5634" width="7.7109375" style="298" bestFit="1" customWidth="1"/>
    <col min="5635" max="5635" width="57.7109375" style="298" bestFit="1" customWidth="1"/>
    <col min="5636" max="5637" width="16.42578125" style="298" customWidth="1"/>
    <col min="5638" max="5638" width="15.42578125" style="298" bestFit="1" customWidth="1"/>
    <col min="5639" max="5639" width="14.28515625" style="298" bestFit="1" customWidth="1"/>
    <col min="5640" max="5643" width="14" style="298" bestFit="1" customWidth="1"/>
    <col min="5644" max="5644" width="14.7109375" style="298" bestFit="1" customWidth="1"/>
    <col min="5645" max="5645" width="16.28515625" style="298" bestFit="1" customWidth="1"/>
    <col min="5646" max="5646" width="16.28515625" style="298" customWidth="1"/>
    <col min="5647" max="5647" width="13.5703125" style="298" customWidth="1"/>
    <col min="5648" max="5648" width="3.28515625" style="298" bestFit="1" customWidth="1"/>
    <col min="5649" max="5649" width="10.7109375" style="298" bestFit="1" customWidth="1"/>
    <col min="5650" max="5889" width="9.28515625" style="298"/>
    <col min="5890" max="5890" width="7.7109375" style="298" bestFit="1" customWidth="1"/>
    <col min="5891" max="5891" width="57.7109375" style="298" bestFit="1" customWidth="1"/>
    <col min="5892" max="5893" width="16.42578125" style="298" customWidth="1"/>
    <col min="5894" max="5894" width="15.42578125" style="298" bestFit="1" customWidth="1"/>
    <col min="5895" max="5895" width="14.28515625" style="298" bestFit="1" customWidth="1"/>
    <col min="5896" max="5899" width="14" style="298" bestFit="1" customWidth="1"/>
    <col min="5900" max="5900" width="14.7109375" style="298" bestFit="1" customWidth="1"/>
    <col min="5901" max="5901" width="16.28515625" style="298" bestFit="1" customWidth="1"/>
    <col min="5902" max="5902" width="16.28515625" style="298" customWidth="1"/>
    <col min="5903" max="5903" width="13.5703125" style="298" customWidth="1"/>
    <col min="5904" max="5904" width="3.28515625" style="298" bestFit="1" customWidth="1"/>
    <col min="5905" max="5905" width="10.7109375" style="298" bestFit="1" customWidth="1"/>
    <col min="5906" max="6145" width="9.28515625" style="298"/>
    <col min="6146" max="6146" width="7.7109375" style="298" bestFit="1" customWidth="1"/>
    <col min="6147" max="6147" width="57.7109375" style="298" bestFit="1" customWidth="1"/>
    <col min="6148" max="6149" width="16.42578125" style="298" customWidth="1"/>
    <col min="6150" max="6150" width="15.42578125" style="298" bestFit="1" customWidth="1"/>
    <col min="6151" max="6151" width="14.28515625" style="298" bestFit="1" customWidth="1"/>
    <col min="6152" max="6155" width="14" style="298" bestFit="1" customWidth="1"/>
    <col min="6156" max="6156" width="14.7109375" style="298" bestFit="1" customWidth="1"/>
    <col min="6157" max="6157" width="16.28515625" style="298" bestFit="1" customWidth="1"/>
    <col min="6158" max="6158" width="16.28515625" style="298" customWidth="1"/>
    <col min="6159" max="6159" width="13.5703125" style="298" customWidth="1"/>
    <col min="6160" max="6160" width="3.28515625" style="298" bestFit="1" customWidth="1"/>
    <col min="6161" max="6161" width="10.7109375" style="298" bestFit="1" customWidth="1"/>
    <col min="6162" max="6401" width="9.28515625" style="298"/>
    <col min="6402" max="6402" width="7.7109375" style="298" bestFit="1" customWidth="1"/>
    <col min="6403" max="6403" width="57.7109375" style="298" bestFit="1" customWidth="1"/>
    <col min="6404" max="6405" width="16.42578125" style="298" customWidth="1"/>
    <col min="6406" max="6406" width="15.42578125" style="298" bestFit="1" customWidth="1"/>
    <col min="6407" max="6407" width="14.28515625" style="298" bestFit="1" customWidth="1"/>
    <col min="6408" max="6411" width="14" style="298" bestFit="1" customWidth="1"/>
    <col min="6412" max="6412" width="14.7109375" style="298" bestFit="1" customWidth="1"/>
    <col min="6413" max="6413" width="16.28515625" style="298" bestFit="1" customWidth="1"/>
    <col min="6414" max="6414" width="16.28515625" style="298" customWidth="1"/>
    <col min="6415" max="6415" width="13.5703125" style="298" customWidth="1"/>
    <col min="6416" max="6416" width="3.28515625" style="298" bestFit="1" customWidth="1"/>
    <col min="6417" max="6417" width="10.7109375" style="298" bestFit="1" customWidth="1"/>
    <col min="6418" max="6657" width="9.28515625" style="298"/>
    <col min="6658" max="6658" width="7.7109375" style="298" bestFit="1" customWidth="1"/>
    <col min="6659" max="6659" width="57.7109375" style="298" bestFit="1" customWidth="1"/>
    <col min="6660" max="6661" width="16.42578125" style="298" customWidth="1"/>
    <col min="6662" max="6662" width="15.42578125" style="298" bestFit="1" customWidth="1"/>
    <col min="6663" max="6663" width="14.28515625" style="298" bestFit="1" customWidth="1"/>
    <col min="6664" max="6667" width="14" style="298" bestFit="1" customWidth="1"/>
    <col min="6668" max="6668" width="14.7109375" style="298" bestFit="1" customWidth="1"/>
    <col min="6669" max="6669" width="16.28515625" style="298" bestFit="1" customWidth="1"/>
    <col min="6670" max="6670" width="16.28515625" style="298" customWidth="1"/>
    <col min="6671" max="6671" width="13.5703125" style="298" customWidth="1"/>
    <col min="6672" max="6672" width="3.28515625" style="298" bestFit="1" customWidth="1"/>
    <col min="6673" max="6673" width="10.7109375" style="298" bestFit="1" customWidth="1"/>
    <col min="6674" max="6913" width="9.28515625" style="298"/>
    <col min="6914" max="6914" width="7.7109375" style="298" bestFit="1" customWidth="1"/>
    <col min="6915" max="6915" width="57.7109375" style="298" bestFit="1" customWidth="1"/>
    <col min="6916" max="6917" width="16.42578125" style="298" customWidth="1"/>
    <col min="6918" max="6918" width="15.42578125" style="298" bestFit="1" customWidth="1"/>
    <col min="6919" max="6919" width="14.28515625" style="298" bestFit="1" customWidth="1"/>
    <col min="6920" max="6923" width="14" style="298" bestFit="1" customWidth="1"/>
    <col min="6924" max="6924" width="14.7109375" style="298" bestFit="1" customWidth="1"/>
    <col min="6925" max="6925" width="16.28515625" style="298" bestFit="1" customWidth="1"/>
    <col min="6926" max="6926" width="16.28515625" style="298" customWidth="1"/>
    <col min="6927" max="6927" width="13.5703125" style="298" customWidth="1"/>
    <col min="6928" max="6928" width="3.28515625" style="298" bestFit="1" customWidth="1"/>
    <col min="6929" max="6929" width="10.7109375" style="298" bestFit="1" customWidth="1"/>
    <col min="6930" max="7169" width="9.28515625" style="298"/>
    <col min="7170" max="7170" width="7.7109375" style="298" bestFit="1" customWidth="1"/>
    <col min="7171" max="7171" width="57.7109375" style="298" bestFit="1" customWidth="1"/>
    <col min="7172" max="7173" width="16.42578125" style="298" customWidth="1"/>
    <col min="7174" max="7174" width="15.42578125" style="298" bestFit="1" customWidth="1"/>
    <col min="7175" max="7175" width="14.28515625" style="298" bestFit="1" customWidth="1"/>
    <col min="7176" max="7179" width="14" style="298" bestFit="1" customWidth="1"/>
    <col min="7180" max="7180" width="14.7109375" style="298" bestFit="1" customWidth="1"/>
    <col min="7181" max="7181" width="16.28515625" style="298" bestFit="1" customWidth="1"/>
    <col min="7182" max="7182" width="16.28515625" style="298" customWidth="1"/>
    <col min="7183" max="7183" width="13.5703125" style="298" customWidth="1"/>
    <col min="7184" max="7184" width="3.28515625" style="298" bestFit="1" customWidth="1"/>
    <col min="7185" max="7185" width="10.7109375" style="298" bestFit="1" customWidth="1"/>
    <col min="7186" max="7425" width="9.28515625" style="298"/>
    <col min="7426" max="7426" width="7.7109375" style="298" bestFit="1" customWidth="1"/>
    <col min="7427" max="7427" width="57.7109375" style="298" bestFit="1" customWidth="1"/>
    <col min="7428" max="7429" width="16.42578125" style="298" customWidth="1"/>
    <col min="7430" max="7430" width="15.42578125" style="298" bestFit="1" customWidth="1"/>
    <col min="7431" max="7431" width="14.28515625" style="298" bestFit="1" customWidth="1"/>
    <col min="7432" max="7435" width="14" style="298" bestFit="1" customWidth="1"/>
    <col min="7436" max="7436" width="14.7109375" style="298" bestFit="1" customWidth="1"/>
    <col min="7437" max="7437" width="16.28515625" style="298" bestFit="1" customWidth="1"/>
    <col min="7438" max="7438" width="16.28515625" style="298" customWidth="1"/>
    <col min="7439" max="7439" width="13.5703125" style="298" customWidth="1"/>
    <col min="7440" max="7440" width="3.28515625" style="298" bestFit="1" customWidth="1"/>
    <col min="7441" max="7441" width="10.7109375" style="298" bestFit="1" customWidth="1"/>
    <col min="7442" max="7681" width="9.28515625" style="298"/>
    <col min="7682" max="7682" width="7.7109375" style="298" bestFit="1" customWidth="1"/>
    <col min="7683" max="7683" width="57.7109375" style="298" bestFit="1" customWidth="1"/>
    <col min="7684" max="7685" width="16.42578125" style="298" customWidth="1"/>
    <col min="7686" max="7686" width="15.42578125" style="298" bestFit="1" customWidth="1"/>
    <col min="7687" max="7687" width="14.28515625" style="298" bestFit="1" customWidth="1"/>
    <col min="7688" max="7691" width="14" style="298" bestFit="1" customWidth="1"/>
    <col min="7692" max="7692" width="14.7109375" style="298" bestFit="1" customWidth="1"/>
    <col min="7693" max="7693" width="16.28515625" style="298" bestFit="1" customWidth="1"/>
    <col min="7694" max="7694" width="16.28515625" style="298" customWidth="1"/>
    <col min="7695" max="7695" width="13.5703125" style="298" customWidth="1"/>
    <col min="7696" max="7696" width="3.28515625" style="298" bestFit="1" customWidth="1"/>
    <col min="7697" max="7697" width="10.7109375" style="298" bestFit="1" customWidth="1"/>
    <col min="7698" max="7937" width="9.28515625" style="298"/>
    <col min="7938" max="7938" width="7.7109375" style="298" bestFit="1" customWidth="1"/>
    <col min="7939" max="7939" width="57.7109375" style="298" bestFit="1" customWidth="1"/>
    <col min="7940" max="7941" width="16.42578125" style="298" customWidth="1"/>
    <col min="7942" max="7942" width="15.42578125" style="298" bestFit="1" customWidth="1"/>
    <col min="7943" max="7943" width="14.28515625" style="298" bestFit="1" customWidth="1"/>
    <col min="7944" max="7947" width="14" style="298" bestFit="1" customWidth="1"/>
    <col min="7948" max="7948" width="14.7109375" style="298" bestFit="1" customWidth="1"/>
    <col min="7949" max="7949" width="16.28515625" style="298" bestFit="1" customWidth="1"/>
    <col min="7950" max="7950" width="16.28515625" style="298" customWidth="1"/>
    <col min="7951" max="7951" width="13.5703125" style="298" customWidth="1"/>
    <col min="7952" max="7952" width="3.28515625" style="298" bestFit="1" customWidth="1"/>
    <col min="7953" max="7953" width="10.7109375" style="298" bestFit="1" customWidth="1"/>
    <col min="7954" max="8193" width="9.28515625" style="298"/>
    <col min="8194" max="8194" width="7.7109375" style="298" bestFit="1" customWidth="1"/>
    <col min="8195" max="8195" width="57.7109375" style="298" bestFit="1" customWidth="1"/>
    <col min="8196" max="8197" width="16.42578125" style="298" customWidth="1"/>
    <col min="8198" max="8198" width="15.42578125" style="298" bestFit="1" customWidth="1"/>
    <col min="8199" max="8199" width="14.28515625" style="298" bestFit="1" customWidth="1"/>
    <col min="8200" max="8203" width="14" style="298" bestFit="1" customWidth="1"/>
    <col min="8204" max="8204" width="14.7109375" style="298" bestFit="1" customWidth="1"/>
    <col min="8205" max="8205" width="16.28515625" style="298" bestFit="1" customWidth="1"/>
    <col min="8206" max="8206" width="16.28515625" style="298" customWidth="1"/>
    <col min="8207" max="8207" width="13.5703125" style="298" customWidth="1"/>
    <col min="8208" max="8208" width="3.28515625" style="298" bestFit="1" customWidth="1"/>
    <col min="8209" max="8209" width="10.7109375" style="298" bestFit="1" customWidth="1"/>
    <col min="8210" max="8449" width="9.28515625" style="298"/>
    <col min="8450" max="8450" width="7.7109375" style="298" bestFit="1" customWidth="1"/>
    <col min="8451" max="8451" width="57.7109375" style="298" bestFit="1" customWidth="1"/>
    <col min="8452" max="8453" width="16.42578125" style="298" customWidth="1"/>
    <col min="8454" max="8454" width="15.42578125" style="298" bestFit="1" customWidth="1"/>
    <col min="8455" max="8455" width="14.28515625" style="298" bestFit="1" customWidth="1"/>
    <col min="8456" max="8459" width="14" style="298" bestFit="1" customWidth="1"/>
    <col min="8460" max="8460" width="14.7109375" style="298" bestFit="1" customWidth="1"/>
    <col min="8461" max="8461" width="16.28515625" style="298" bestFit="1" customWidth="1"/>
    <col min="8462" max="8462" width="16.28515625" style="298" customWidth="1"/>
    <col min="8463" max="8463" width="13.5703125" style="298" customWidth="1"/>
    <col min="8464" max="8464" width="3.28515625" style="298" bestFit="1" customWidth="1"/>
    <col min="8465" max="8465" width="10.7109375" style="298" bestFit="1" customWidth="1"/>
    <col min="8466" max="8705" width="9.28515625" style="298"/>
    <col min="8706" max="8706" width="7.7109375" style="298" bestFit="1" customWidth="1"/>
    <col min="8707" max="8707" width="57.7109375" style="298" bestFit="1" customWidth="1"/>
    <col min="8708" max="8709" width="16.42578125" style="298" customWidth="1"/>
    <col min="8710" max="8710" width="15.42578125" style="298" bestFit="1" customWidth="1"/>
    <col min="8711" max="8711" width="14.28515625" style="298" bestFit="1" customWidth="1"/>
    <col min="8712" max="8715" width="14" style="298" bestFit="1" customWidth="1"/>
    <col min="8716" max="8716" width="14.7109375" style="298" bestFit="1" customWidth="1"/>
    <col min="8717" max="8717" width="16.28515625" style="298" bestFit="1" customWidth="1"/>
    <col min="8718" max="8718" width="16.28515625" style="298" customWidth="1"/>
    <col min="8719" max="8719" width="13.5703125" style="298" customWidth="1"/>
    <col min="8720" max="8720" width="3.28515625" style="298" bestFit="1" customWidth="1"/>
    <col min="8721" max="8721" width="10.7109375" style="298" bestFit="1" customWidth="1"/>
    <col min="8722" max="8961" width="9.28515625" style="298"/>
    <col min="8962" max="8962" width="7.7109375" style="298" bestFit="1" customWidth="1"/>
    <col min="8963" max="8963" width="57.7109375" style="298" bestFit="1" customWidth="1"/>
    <col min="8964" max="8965" width="16.42578125" style="298" customWidth="1"/>
    <col min="8966" max="8966" width="15.42578125" style="298" bestFit="1" customWidth="1"/>
    <col min="8967" max="8967" width="14.28515625" style="298" bestFit="1" customWidth="1"/>
    <col min="8968" max="8971" width="14" style="298" bestFit="1" customWidth="1"/>
    <col min="8972" max="8972" width="14.7109375" style="298" bestFit="1" customWidth="1"/>
    <col min="8973" max="8973" width="16.28515625" style="298" bestFit="1" customWidth="1"/>
    <col min="8974" max="8974" width="16.28515625" style="298" customWidth="1"/>
    <col min="8975" max="8975" width="13.5703125" style="298" customWidth="1"/>
    <col min="8976" max="8976" width="3.28515625" style="298" bestFit="1" customWidth="1"/>
    <col min="8977" max="8977" width="10.7109375" style="298" bestFit="1" customWidth="1"/>
    <col min="8978" max="9217" width="9.28515625" style="298"/>
    <col min="9218" max="9218" width="7.7109375" style="298" bestFit="1" customWidth="1"/>
    <col min="9219" max="9219" width="57.7109375" style="298" bestFit="1" customWidth="1"/>
    <col min="9220" max="9221" width="16.42578125" style="298" customWidth="1"/>
    <col min="9222" max="9222" width="15.42578125" style="298" bestFit="1" customWidth="1"/>
    <col min="9223" max="9223" width="14.28515625" style="298" bestFit="1" customWidth="1"/>
    <col min="9224" max="9227" width="14" style="298" bestFit="1" customWidth="1"/>
    <col min="9228" max="9228" width="14.7109375" style="298" bestFit="1" customWidth="1"/>
    <col min="9229" max="9229" width="16.28515625" style="298" bestFit="1" customWidth="1"/>
    <col min="9230" max="9230" width="16.28515625" style="298" customWidth="1"/>
    <col min="9231" max="9231" width="13.5703125" style="298" customWidth="1"/>
    <col min="9232" max="9232" width="3.28515625" style="298" bestFit="1" customWidth="1"/>
    <col min="9233" max="9233" width="10.7109375" style="298" bestFit="1" customWidth="1"/>
    <col min="9234" max="9473" width="9.28515625" style="298"/>
    <col min="9474" max="9474" width="7.7109375" style="298" bestFit="1" customWidth="1"/>
    <col min="9475" max="9475" width="57.7109375" style="298" bestFit="1" customWidth="1"/>
    <col min="9476" max="9477" width="16.42578125" style="298" customWidth="1"/>
    <col min="9478" max="9478" width="15.42578125" style="298" bestFit="1" customWidth="1"/>
    <col min="9479" max="9479" width="14.28515625" style="298" bestFit="1" customWidth="1"/>
    <col min="9480" max="9483" width="14" style="298" bestFit="1" customWidth="1"/>
    <col min="9484" max="9484" width="14.7109375" style="298" bestFit="1" customWidth="1"/>
    <col min="9485" max="9485" width="16.28515625" style="298" bestFit="1" customWidth="1"/>
    <col min="9486" max="9486" width="16.28515625" style="298" customWidth="1"/>
    <col min="9487" max="9487" width="13.5703125" style="298" customWidth="1"/>
    <col min="9488" max="9488" width="3.28515625" style="298" bestFit="1" customWidth="1"/>
    <col min="9489" max="9489" width="10.7109375" style="298" bestFit="1" customWidth="1"/>
    <col min="9490" max="9729" width="9.28515625" style="298"/>
    <col min="9730" max="9730" width="7.7109375" style="298" bestFit="1" customWidth="1"/>
    <col min="9731" max="9731" width="57.7109375" style="298" bestFit="1" customWidth="1"/>
    <col min="9732" max="9733" width="16.42578125" style="298" customWidth="1"/>
    <col min="9734" max="9734" width="15.42578125" style="298" bestFit="1" customWidth="1"/>
    <col min="9735" max="9735" width="14.28515625" style="298" bestFit="1" customWidth="1"/>
    <col min="9736" max="9739" width="14" style="298" bestFit="1" customWidth="1"/>
    <col min="9740" max="9740" width="14.7109375" style="298" bestFit="1" customWidth="1"/>
    <col min="9741" max="9741" width="16.28515625" style="298" bestFit="1" customWidth="1"/>
    <col min="9742" max="9742" width="16.28515625" style="298" customWidth="1"/>
    <col min="9743" max="9743" width="13.5703125" style="298" customWidth="1"/>
    <col min="9744" max="9744" width="3.28515625" style="298" bestFit="1" customWidth="1"/>
    <col min="9745" max="9745" width="10.7109375" style="298" bestFit="1" customWidth="1"/>
    <col min="9746" max="9985" width="9.28515625" style="298"/>
    <col min="9986" max="9986" width="7.7109375" style="298" bestFit="1" customWidth="1"/>
    <col min="9987" max="9987" width="57.7109375" style="298" bestFit="1" customWidth="1"/>
    <col min="9988" max="9989" width="16.42578125" style="298" customWidth="1"/>
    <col min="9990" max="9990" width="15.42578125" style="298" bestFit="1" customWidth="1"/>
    <col min="9991" max="9991" width="14.28515625" style="298" bestFit="1" customWidth="1"/>
    <col min="9992" max="9995" width="14" style="298" bestFit="1" customWidth="1"/>
    <col min="9996" max="9996" width="14.7109375" style="298" bestFit="1" customWidth="1"/>
    <col min="9997" max="9997" width="16.28515625" style="298" bestFit="1" customWidth="1"/>
    <col min="9998" max="9998" width="16.28515625" style="298" customWidth="1"/>
    <col min="9999" max="9999" width="13.5703125" style="298" customWidth="1"/>
    <col min="10000" max="10000" width="3.28515625" style="298" bestFit="1" customWidth="1"/>
    <col min="10001" max="10001" width="10.7109375" style="298" bestFit="1" customWidth="1"/>
    <col min="10002" max="10241" width="9.28515625" style="298"/>
    <col min="10242" max="10242" width="7.7109375" style="298" bestFit="1" customWidth="1"/>
    <col min="10243" max="10243" width="57.7109375" style="298" bestFit="1" customWidth="1"/>
    <col min="10244" max="10245" width="16.42578125" style="298" customWidth="1"/>
    <col min="10246" max="10246" width="15.42578125" style="298" bestFit="1" customWidth="1"/>
    <col min="10247" max="10247" width="14.28515625" style="298" bestFit="1" customWidth="1"/>
    <col min="10248" max="10251" width="14" style="298" bestFit="1" customWidth="1"/>
    <col min="10252" max="10252" width="14.7109375" style="298" bestFit="1" customWidth="1"/>
    <col min="10253" max="10253" width="16.28515625" style="298" bestFit="1" customWidth="1"/>
    <col min="10254" max="10254" width="16.28515625" style="298" customWidth="1"/>
    <col min="10255" max="10255" width="13.5703125" style="298" customWidth="1"/>
    <col min="10256" max="10256" width="3.28515625" style="298" bestFit="1" customWidth="1"/>
    <col min="10257" max="10257" width="10.7109375" style="298" bestFit="1" customWidth="1"/>
    <col min="10258" max="10497" width="9.28515625" style="298"/>
    <col min="10498" max="10498" width="7.7109375" style="298" bestFit="1" customWidth="1"/>
    <col min="10499" max="10499" width="57.7109375" style="298" bestFit="1" customWidth="1"/>
    <col min="10500" max="10501" width="16.42578125" style="298" customWidth="1"/>
    <col min="10502" max="10502" width="15.42578125" style="298" bestFit="1" customWidth="1"/>
    <col min="10503" max="10503" width="14.28515625" style="298" bestFit="1" customWidth="1"/>
    <col min="10504" max="10507" width="14" style="298" bestFit="1" customWidth="1"/>
    <col min="10508" max="10508" width="14.7109375" style="298" bestFit="1" customWidth="1"/>
    <col min="10509" max="10509" width="16.28515625" style="298" bestFit="1" customWidth="1"/>
    <col min="10510" max="10510" width="16.28515625" style="298" customWidth="1"/>
    <col min="10511" max="10511" width="13.5703125" style="298" customWidth="1"/>
    <col min="10512" max="10512" width="3.28515625" style="298" bestFit="1" customWidth="1"/>
    <col min="10513" max="10513" width="10.7109375" style="298" bestFit="1" customWidth="1"/>
    <col min="10514" max="10753" width="9.28515625" style="298"/>
    <col min="10754" max="10754" width="7.7109375" style="298" bestFit="1" customWidth="1"/>
    <col min="10755" max="10755" width="57.7109375" style="298" bestFit="1" customWidth="1"/>
    <col min="10756" max="10757" width="16.42578125" style="298" customWidth="1"/>
    <col min="10758" max="10758" width="15.42578125" style="298" bestFit="1" customWidth="1"/>
    <col min="10759" max="10759" width="14.28515625" style="298" bestFit="1" customWidth="1"/>
    <col min="10760" max="10763" width="14" style="298" bestFit="1" customWidth="1"/>
    <col min="10764" max="10764" width="14.7109375" style="298" bestFit="1" customWidth="1"/>
    <col min="10765" max="10765" width="16.28515625" style="298" bestFit="1" customWidth="1"/>
    <col min="10766" max="10766" width="16.28515625" style="298" customWidth="1"/>
    <col min="10767" max="10767" width="13.5703125" style="298" customWidth="1"/>
    <col min="10768" max="10768" width="3.28515625" style="298" bestFit="1" customWidth="1"/>
    <col min="10769" max="10769" width="10.7109375" style="298" bestFit="1" customWidth="1"/>
    <col min="10770" max="11009" width="9.28515625" style="298"/>
    <col min="11010" max="11010" width="7.7109375" style="298" bestFit="1" customWidth="1"/>
    <col min="11011" max="11011" width="57.7109375" style="298" bestFit="1" customWidth="1"/>
    <col min="11012" max="11013" width="16.42578125" style="298" customWidth="1"/>
    <col min="11014" max="11014" width="15.42578125" style="298" bestFit="1" customWidth="1"/>
    <col min="11015" max="11015" width="14.28515625" style="298" bestFit="1" customWidth="1"/>
    <col min="11016" max="11019" width="14" style="298" bestFit="1" customWidth="1"/>
    <col min="11020" max="11020" width="14.7109375" style="298" bestFit="1" customWidth="1"/>
    <col min="11021" max="11021" width="16.28515625" style="298" bestFit="1" customWidth="1"/>
    <col min="11022" max="11022" width="16.28515625" style="298" customWidth="1"/>
    <col min="11023" max="11023" width="13.5703125" style="298" customWidth="1"/>
    <col min="11024" max="11024" width="3.28515625" style="298" bestFit="1" customWidth="1"/>
    <col min="11025" max="11025" width="10.7109375" style="298" bestFit="1" customWidth="1"/>
    <col min="11026" max="11265" width="9.28515625" style="298"/>
    <col min="11266" max="11266" width="7.7109375" style="298" bestFit="1" customWidth="1"/>
    <col min="11267" max="11267" width="57.7109375" style="298" bestFit="1" customWidth="1"/>
    <col min="11268" max="11269" width="16.42578125" style="298" customWidth="1"/>
    <col min="11270" max="11270" width="15.42578125" style="298" bestFit="1" customWidth="1"/>
    <col min="11271" max="11271" width="14.28515625" style="298" bestFit="1" customWidth="1"/>
    <col min="11272" max="11275" width="14" style="298" bestFit="1" customWidth="1"/>
    <col min="11276" max="11276" width="14.7109375" style="298" bestFit="1" customWidth="1"/>
    <col min="11277" max="11277" width="16.28515625" style="298" bestFit="1" customWidth="1"/>
    <col min="11278" max="11278" width="16.28515625" style="298" customWidth="1"/>
    <col min="11279" max="11279" width="13.5703125" style="298" customWidth="1"/>
    <col min="11280" max="11280" width="3.28515625" style="298" bestFit="1" customWidth="1"/>
    <col min="11281" max="11281" width="10.7109375" style="298" bestFit="1" customWidth="1"/>
    <col min="11282" max="11521" width="9.28515625" style="298"/>
    <col min="11522" max="11522" width="7.7109375" style="298" bestFit="1" customWidth="1"/>
    <col min="11523" max="11523" width="57.7109375" style="298" bestFit="1" customWidth="1"/>
    <col min="11524" max="11525" width="16.42578125" style="298" customWidth="1"/>
    <col min="11526" max="11526" width="15.42578125" style="298" bestFit="1" customWidth="1"/>
    <col min="11527" max="11527" width="14.28515625" style="298" bestFit="1" customWidth="1"/>
    <col min="11528" max="11531" width="14" style="298" bestFit="1" customWidth="1"/>
    <col min="11532" max="11532" width="14.7109375" style="298" bestFit="1" customWidth="1"/>
    <col min="11533" max="11533" width="16.28515625" style="298" bestFit="1" customWidth="1"/>
    <col min="11534" max="11534" width="16.28515625" style="298" customWidth="1"/>
    <col min="11535" max="11535" width="13.5703125" style="298" customWidth="1"/>
    <col min="11536" max="11536" width="3.28515625" style="298" bestFit="1" customWidth="1"/>
    <col min="11537" max="11537" width="10.7109375" style="298" bestFit="1" customWidth="1"/>
    <col min="11538" max="11777" width="9.28515625" style="298"/>
    <col min="11778" max="11778" width="7.7109375" style="298" bestFit="1" customWidth="1"/>
    <col min="11779" max="11779" width="57.7109375" style="298" bestFit="1" customWidth="1"/>
    <col min="11780" max="11781" width="16.42578125" style="298" customWidth="1"/>
    <col min="11782" max="11782" width="15.42578125" style="298" bestFit="1" customWidth="1"/>
    <col min="11783" max="11783" width="14.28515625" style="298" bestFit="1" customWidth="1"/>
    <col min="11784" max="11787" width="14" style="298" bestFit="1" customWidth="1"/>
    <col min="11788" max="11788" width="14.7109375" style="298" bestFit="1" customWidth="1"/>
    <col min="11789" max="11789" width="16.28515625" style="298" bestFit="1" customWidth="1"/>
    <col min="11790" max="11790" width="16.28515625" style="298" customWidth="1"/>
    <col min="11791" max="11791" width="13.5703125" style="298" customWidth="1"/>
    <col min="11792" max="11792" width="3.28515625" style="298" bestFit="1" customWidth="1"/>
    <col min="11793" max="11793" width="10.7109375" style="298" bestFit="1" customWidth="1"/>
    <col min="11794" max="12033" width="9.28515625" style="298"/>
    <col min="12034" max="12034" width="7.7109375" style="298" bestFit="1" customWidth="1"/>
    <col min="12035" max="12035" width="57.7109375" style="298" bestFit="1" customWidth="1"/>
    <col min="12036" max="12037" width="16.42578125" style="298" customWidth="1"/>
    <col min="12038" max="12038" width="15.42578125" style="298" bestFit="1" customWidth="1"/>
    <col min="12039" max="12039" width="14.28515625" style="298" bestFit="1" customWidth="1"/>
    <col min="12040" max="12043" width="14" style="298" bestFit="1" customWidth="1"/>
    <col min="12044" max="12044" width="14.7109375" style="298" bestFit="1" customWidth="1"/>
    <col min="12045" max="12045" width="16.28515625" style="298" bestFit="1" customWidth="1"/>
    <col min="12046" max="12046" width="16.28515625" style="298" customWidth="1"/>
    <col min="12047" max="12047" width="13.5703125" style="298" customWidth="1"/>
    <col min="12048" max="12048" width="3.28515625" style="298" bestFit="1" customWidth="1"/>
    <col min="12049" max="12049" width="10.7109375" style="298" bestFit="1" customWidth="1"/>
    <col min="12050" max="12289" width="9.28515625" style="298"/>
    <col min="12290" max="12290" width="7.7109375" style="298" bestFit="1" customWidth="1"/>
    <col min="12291" max="12291" width="57.7109375" style="298" bestFit="1" customWidth="1"/>
    <col min="12292" max="12293" width="16.42578125" style="298" customWidth="1"/>
    <col min="12294" max="12294" width="15.42578125" style="298" bestFit="1" customWidth="1"/>
    <col min="12295" max="12295" width="14.28515625" style="298" bestFit="1" customWidth="1"/>
    <col min="12296" max="12299" width="14" style="298" bestFit="1" customWidth="1"/>
    <col min="12300" max="12300" width="14.7109375" style="298" bestFit="1" customWidth="1"/>
    <col min="12301" max="12301" width="16.28515625" style="298" bestFit="1" customWidth="1"/>
    <col min="12302" max="12302" width="16.28515625" style="298" customWidth="1"/>
    <col min="12303" max="12303" width="13.5703125" style="298" customWidth="1"/>
    <col min="12304" max="12304" width="3.28515625" style="298" bestFit="1" customWidth="1"/>
    <col min="12305" max="12305" width="10.7109375" style="298" bestFit="1" customWidth="1"/>
    <col min="12306" max="12545" width="9.28515625" style="298"/>
    <col min="12546" max="12546" width="7.7109375" style="298" bestFit="1" customWidth="1"/>
    <col min="12547" max="12547" width="57.7109375" style="298" bestFit="1" customWidth="1"/>
    <col min="12548" max="12549" width="16.42578125" style="298" customWidth="1"/>
    <col min="12550" max="12550" width="15.42578125" style="298" bestFit="1" customWidth="1"/>
    <col min="12551" max="12551" width="14.28515625" style="298" bestFit="1" customWidth="1"/>
    <col min="12552" max="12555" width="14" style="298" bestFit="1" customWidth="1"/>
    <col min="12556" max="12556" width="14.7109375" style="298" bestFit="1" customWidth="1"/>
    <col min="12557" max="12557" width="16.28515625" style="298" bestFit="1" customWidth="1"/>
    <col min="12558" max="12558" width="16.28515625" style="298" customWidth="1"/>
    <col min="12559" max="12559" width="13.5703125" style="298" customWidth="1"/>
    <col min="12560" max="12560" width="3.28515625" style="298" bestFit="1" customWidth="1"/>
    <col min="12561" max="12561" width="10.7109375" style="298" bestFit="1" customWidth="1"/>
    <col min="12562" max="12801" width="9.28515625" style="298"/>
    <col min="12802" max="12802" width="7.7109375" style="298" bestFit="1" customWidth="1"/>
    <col min="12803" max="12803" width="57.7109375" style="298" bestFit="1" customWidth="1"/>
    <col min="12804" max="12805" width="16.42578125" style="298" customWidth="1"/>
    <col min="12806" max="12806" width="15.42578125" style="298" bestFit="1" customWidth="1"/>
    <col min="12807" max="12807" width="14.28515625" style="298" bestFit="1" customWidth="1"/>
    <col min="12808" max="12811" width="14" style="298" bestFit="1" customWidth="1"/>
    <col min="12812" max="12812" width="14.7109375" style="298" bestFit="1" customWidth="1"/>
    <col min="12813" max="12813" width="16.28515625" style="298" bestFit="1" customWidth="1"/>
    <col min="12814" max="12814" width="16.28515625" style="298" customWidth="1"/>
    <col min="12815" max="12815" width="13.5703125" style="298" customWidth="1"/>
    <col min="12816" max="12816" width="3.28515625" style="298" bestFit="1" customWidth="1"/>
    <col min="12817" max="12817" width="10.7109375" style="298" bestFit="1" customWidth="1"/>
    <col min="12818" max="13057" width="9.28515625" style="298"/>
    <col min="13058" max="13058" width="7.7109375" style="298" bestFit="1" customWidth="1"/>
    <col min="13059" max="13059" width="57.7109375" style="298" bestFit="1" customWidth="1"/>
    <col min="13060" max="13061" width="16.42578125" style="298" customWidth="1"/>
    <col min="13062" max="13062" width="15.42578125" style="298" bestFit="1" customWidth="1"/>
    <col min="13063" max="13063" width="14.28515625" style="298" bestFit="1" customWidth="1"/>
    <col min="13064" max="13067" width="14" style="298" bestFit="1" customWidth="1"/>
    <col min="13068" max="13068" width="14.7109375" style="298" bestFit="1" customWidth="1"/>
    <col min="13069" max="13069" width="16.28515625" style="298" bestFit="1" customWidth="1"/>
    <col min="13070" max="13070" width="16.28515625" style="298" customWidth="1"/>
    <col min="13071" max="13071" width="13.5703125" style="298" customWidth="1"/>
    <col min="13072" max="13072" width="3.28515625" style="298" bestFit="1" customWidth="1"/>
    <col min="13073" max="13073" width="10.7109375" style="298" bestFit="1" customWidth="1"/>
    <col min="13074" max="13313" width="9.28515625" style="298"/>
    <col min="13314" max="13314" width="7.7109375" style="298" bestFit="1" customWidth="1"/>
    <col min="13315" max="13315" width="57.7109375" style="298" bestFit="1" customWidth="1"/>
    <col min="13316" max="13317" width="16.42578125" style="298" customWidth="1"/>
    <col min="13318" max="13318" width="15.42578125" style="298" bestFit="1" customWidth="1"/>
    <col min="13319" max="13319" width="14.28515625" style="298" bestFit="1" customWidth="1"/>
    <col min="13320" max="13323" width="14" style="298" bestFit="1" customWidth="1"/>
    <col min="13324" max="13324" width="14.7109375" style="298" bestFit="1" customWidth="1"/>
    <col min="13325" max="13325" width="16.28515625" style="298" bestFit="1" customWidth="1"/>
    <col min="13326" max="13326" width="16.28515625" style="298" customWidth="1"/>
    <col min="13327" max="13327" width="13.5703125" style="298" customWidth="1"/>
    <col min="13328" max="13328" width="3.28515625" style="298" bestFit="1" customWidth="1"/>
    <col min="13329" max="13329" width="10.7109375" style="298" bestFit="1" customWidth="1"/>
    <col min="13330" max="13569" width="9.28515625" style="298"/>
    <col min="13570" max="13570" width="7.7109375" style="298" bestFit="1" customWidth="1"/>
    <col min="13571" max="13571" width="57.7109375" style="298" bestFit="1" customWidth="1"/>
    <col min="13572" max="13573" width="16.42578125" style="298" customWidth="1"/>
    <col min="13574" max="13574" width="15.42578125" style="298" bestFit="1" customWidth="1"/>
    <col min="13575" max="13575" width="14.28515625" style="298" bestFit="1" customWidth="1"/>
    <col min="13576" max="13579" width="14" style="298" bestFit="1" customWidth="1"/>
    <col min="13580" max="13580" width="14.7109375" style="298" bestFit="1" customWidth="1"/>
    <col min="13581" max="13581" width="16.28515625" style="298" bestFit="1" customWidth="1"/>
    <col min="13582" max="13582" width="16.28515625" style="298" customWidth="1"/>
    <col min="13583" max="13583" width="13.5703125" style="298" customWidth="1"/>
    <col min="13584" max="13584" width="3.28515625" style="298" bestFit="1" customWidth="1"/>
    <col min="13585" max="13585" width="10.7109375" style="298" bestFit="1" customWidth="1"/>
    <col min="13586" max="13825" width="9.28515625" style="298"/>
    <col min="13826" max="13826" width="7.7109375" style="298" bestFit="1" customWidth="1"/>
    <col min="13827" max="13827" width="57.7109375" style="298" bestFit="1" customWidth="1"/>
    <col min="13828" max="13829" width="16.42578125" style="298" customWidth="1"/>
    <col min="13830" max="13830" width="15.42578125" style="298" bestFit="1" customWidth="1"/>
    <col min="13831" max="13831" width="14.28515625" style="298" bestFit="1" customWidth="1"/>
    <col min="13832" max="13835" width="14" style="298" bestFit="1" customWidth="1"/>
    <col min="13836" max="13836" width="14.7109375" style="298" bestFit="1" customWidth="1"/>
    <col min="13837" max="13837" width="16.28515625" style="298" bestFit="1" customWidth="1"/>
    <col min="13838" max="13838" width="16.28515625" style="298" customWidth="1"/>
    <col min="13839" max="13839" width="13.5703125" style="298" customWidth="1"/>
    <col min="13840" max="13840" width="3.28515625" style="298" bestFit="1" customWidth="1"/>
    <col min="13841" max="13841" width="10.7109375" style="298" bestFit="1" customWidth="1"/>
    <col min="13842" max="14081" width="9.28515625" style="298"/>
    <col min="14082" max="14082" width="7.7109375" style="298" bestFit="1" customWidth="1"/>
    <col min="14083" max="14083" width="57.7109375" style="298" bestFit="1" customWidth="1"/>
    <col min="14084" max="14085" width="16.42578125" style="298" customWidth="1"/>
    <col min="14086" max="14086" width="15.42578125" style="298" bestFit="1" customWidth="1"/>
    <col min="14087" max="14087" width="14.28515625" style="298" bestFit="1" customWidth="1"/>
    <col min="14088" max="14091" width="14" style="298" bestFit="1" customWidth="1"/>
    <col min="14092" max="14092" width="14.7109375" style="298" bestFit="1" customWidth="1"/>
    <col min="14093" max="14093" width="16.28515625" style="298" bestFit="1" customWidth="1"/>
    <col min="14094" max="14094" width="16.28515625" style="298" customWidth="1"/>
    <col min="14095" max="14095" width="13.5703125" style="298" customWidth="1"/>
    <col min="14096" max="14096" width="3.28515625" style="298" bestFit="1" customWidth="1"/>
    <col min="14097" max="14097" width="10.7109375" style="298" bestFit="1" customWidth="1"/>
    <col min="14098" max="14337" width="9.28515625" style="298"/>
    <col min="14338" max="14338" width="7.7109375" style="298" bestFit="1" customWidth="1"/>
    <col min="14339" max="14339" width="57.7109375" style="298" bestFit="1" customWidth="1"/>
    <col min="14340" max="14341" width="16.42578125" style="298" customWidth="1"/>
    <col min="14342" max="14342" width="15.42578125" style="298" bestFit="1" customWidth="1"/>
    <col min="14343" max="14343" width="14.28515625" style="298" bestFit="1" customWidth="1"/>
    <col min="14344" max="14347" width="14" style="298" bestFit="1" customWidth="1"/>
    <col min="14348" max="14348" width="14.7109375" style="298" bestFit="1" customWidth="1"/>
    <col min="14349" max="14349" width="16.28515625" style="298" bestFit="1" customWidth="1"/>
    <col min="14350" max="14350" width="16.28515625" style="298" customWidth="1"/>
    <col min="14351" max="14351" width="13.5703125" style="298" customWidth="1"/>
    <col min="14352" max="14352" width="3.28515625" style="298" bestFit="1" customWidth="1"/>
    <col min="14353" max="14353" width="10.7109375" style="298" bestFit="1" customWidth="1"/>
    <col min="14354" max="14593" width="9.28515625" style="298"/>
    <col min="14594" max="14594" width="7.7109375" style="298" bestFit="1" customWidth="1"/>
    <col min="14595" max="14595" width="57.7109375" style="298" bestFit="1" customWidth="1"/>
    <col min="14596" max="14597" width="16.42578125" style="298" customWidth="1"/>
    <col min="14598" max="14598" width="15.42578125" style="298" bestFit="1" customWidth="1"/>
    <col min="14599" max="14599" width="14.28515625" style="298" bestFit="1" customWidth="1"/>
    <col min="14600" max="14603" width="14" style="298" bestFit="1" customWidth="1"/>
    <col min="14604" max="14604" width="14.7109375" style="298" bestFit="1" customWidth="1"/>
    <col min="14605" max="14605" width="16.28515625" style="298" bestFit="1" customWidth="1"/>
    <col min="14606" max="14606" width="16.28515625" style="298" customWidth="1"/>
    <col min="14607" max="14607" width="13.5703125" style="298" customWidth="1"/>
    <col min="14608" max="14608" width="3.28515625" style="298" bestFit="1" customWidth="1"/>
    <col min="14609" max="14609" width="10.7109375" style="298" bestFit="1" customWidth="1"/>
    <col min="14610" max="14849" width="9.28515625" style="298"/>
    <col min="14850" max="14850" width="7.7109375" style="298" bestFit="1" customWidth="1"/>
    <col min="14851" max="14851" width="57.7109375" style="298" bestFit="1" customWidth="1"/>
    <col min="14852" max="14853" width="16.42578125" style="298" customWidth="1"/>
    <col min="14854" max="14854" width="15.42578125" style="298" bestFit="1" customWidth="1"/>
    <col min="14855" max="14855" width="14.28515625" style="298" bestFit="1" customWidth="1"/>
    <col min="14856" max="14859" width="14" style="298" bestFit="1" customWidth="1"/>
    <col min="14860" max="14860" width="14.7109375" style="298" bestFit="1" customWidth="1"/>
    <col min="14861" max="14861" width="16.28515625" style="298" bestFit="1" customWidth="1"/>
    <col min="14862" max="14862" width="16.28515625" style="298" customWidth="1"/>
    <col min="14863" max="14863" width="13.5703125" style="298" customWidth="1"/>
    <col min="14864" max="14864" width="3.28515625" style="298" bestFit="1" customWidth="1"/>
    <col min="14865" max="14865" width="10.7109375" style="298" bestFit="1" customWidth="1"/>
    <col min="14866" max="15105" width="9.28515625" style="298"/>
    <col min="15106" max="15106" width="7.7109375" style="298" bestFit="1" customWidth="1"/>
    <col min="15107" max="15107" width="57.7109375" style="298" bestFit="1" customWidth="1"/>
    <col min="15108" max="15109" width="16.42578125" style="298" customWidth="1"/>
    <col min="15110" max="15110" width="15.42578125" style="298" bestFit="1" customWidth="1"/>
    <col min="15111" max="15111" width="14.28515625" style="298" bestFit="1" customWidth="1"/>
    <col min="15112" max="15115" width="14" style="298" bestFit="1" customWidth="1"/>
    <col min="15116" max="15116" width="14.7109375" style="298" bestFit="1" customWidth="1"/>
    <col min="15117" max="15117" width="16.28515625" style="298" bestFit="1" customWidth="1"/>
    <col min="15118" max="15118" width="16.28515625" style="298" customWidth="1"/>
    <col min="15119" max="15119" width="13.5703125" style="298" customWidth="1"/>
    <col min="15120" max="15120" width="3.28515625" style="298" bestFit="1" customWidth="1"/>
    <col min="15121" max="15121" width="10.7109375" style="298" bestFit="1" customWidth="1"/>
    <col min="15122" max="15361" width="9.28515625" style="298"/>
    <col min="15362" max="15362" width="7.7109375" style="298" bestFit="1" customWidth="1"/>
    <col min="15363" max="15363" width="57.7109375" style="298" bestFit="1" customWidth="1"/>
    <col min="15364" max="15365" width="16.42578125" style="298" customWidth="1"/>
    <col min="15366" max="15366" width="15.42578125" style="298" bestFit="1" customWidth="1"/>
    <col min="15367" max="15367" width="14.28515625" style="298" bestFit="1" customWidth="1"/>
    <col min="15368" max="15371" width="14" style="298" bestFit="1" customWidth="1"/>
    <col min="15372" max="15372" width="14.7109375" style="298" bestFit="1" customWidth="1"/>
    <col min="15373" max="15373" width="16.28515625" style="298" bestFit="1" customWidth="1"/>
    <col min="15374" max="15374" width="16.28515625" style="298" customWidth="1"/>
    <col min="15375" max="15375" width="13.5703125" style="298" customWidth="1"/>
    <col min="15376" max="15376" width="3.28515625" style="298" bestFit="1" customWidth="1"/>
    <col min="15377" max="15377" width="10.7109375" style="298" bestFit="1" customWidth="1"/>
    <col min="15378" max="15617" width="9.28515625" style="298"/>
    <col min="15618" max="15618" width="7.7109375" style="298" bestFit="1" customWidth="1"/>
    <col min="15619" max="15619" width="57.7109375" style="298" bestFit="1" customWidth="1"/>
    <col min="15620" max="15621" width="16.42578125" style="298" customWidth="1"/>
    <col min="15622" max="15622" width="15.42578125" style="298" bestFit="1" customWidth="1"/>
    <col min="15623" max="15623" width="14.28515625" style="298" bestFit="1" customWidth="1"/>
    <col min="15624" max="15627" width="14" style="298" bestFit="1" customWidth="1"/>
    <col min="15628" max="15628" width="14.7109375" style="298" bestFit="1" customWidth="1"/>
    <col min="15629" max="15629" width="16.28515625" style="298" bestFit="1" customWidth="1"/>
    <col min="15630" max="15630" width="16.28515625" style="298" customWidth="1"/>
    <col min="15631" max="15631" width="13.5703125" style="298" customWidth="1"/>
    <col min="15632" max="15632" width="3.28515625" style="298" bestFit="1" customWidth="1"/>
    <col min="15633" max="15633" width="10.7109375" style="298" bestFit="1" customWidth="1"/>
    <col min="15634" max="15873" width="9.28515625" style="298"/>
    <col min="15874" max="15874" width="7.7109375" style="298" bestFit="1" customWidth="1"/>
    <col min="15875" max="15875" width="57.7109375" style="298" bestFit="1" customWidth="1"/>
    <col min="15876" max="15877" width="16.42578125" style="298" customWidth="1"/>
    <col min="15878" max="15878" width="15.42578125" style="298" bestFit="1" customWidth="1"/>
    <col min="15879" max="15879" width="14.28515625" style="298" bestFit="1" customWidth="1"/>
    <col min="15880" max="15883" width="14" style="298" bestFit="1" customWidth="1"/>
    <col min="15884" max="15884" width="14.7109375" style="298" bestFit="1" customWidth="1"/>
    <col min="15885" max="15885" width="16.28515625" style="298" bestFit="1" customWidth="1"/>
    <col min="15886" max="15886" width="16.28515625" style="298" customWidth="1"/>
    <col min="15887" max="15887" width="13.5703125" style="298" customWidth="1"/>
    <col min="15888" max="15888" width="3.28515625" style="298" bestFit="1" customWidth="1"/>
    <col min="15889" max="15889" width="10.7109375" style="298" bestFit="1" customWidth="1"/>
    <col min="15890" max="16129" width="9.28515625" style="298"/>
    <col min="16130" max="16130" width="7.7109375" style="298" bestFit="1" customWidth="1"/>
    <col min="16131" max="16131" width="57.7109375" style="298" bestFit="1" customWidth="1"/>
    <col min="16132" max="16133" width="16.42578125" style="298" customWidth="1"/>
    <col min="16134" max="16134" width="15.42578125" style="298" bestFit="1" customWidth="1"/>
    <col min="16135" max="16135" width="14.28515625" style="298" bestFit="1" customWidth="1"/>
    <col min="16136" max="16139" width="14" style="298" bestFit="1" customWidth="1"/>
    <col min="16140" max="16140" width="14.7109375" style="298" bestFit="1" customWidth="1"/>
    <col min="16141" max="16141" width="16.28515625" style="298" bestFit="1" customWidth="1"/>
    <col min="16142" max="16142" width="16.28515625" style="298" customWidth="1"/>
    <col min="16143" max="16143" width="13.5703125" style="298" customWidth="1"/>
    <col min="16144" max="16144" width="3.28515625" style="298" bestFit="1" customWidth="1"/>
    <col min="16145" max="16145" width="10.7109375" style="298" bestFit="1" customWidth="1"/>
    <col min="16146" max="16384" width="9.28515625" style="298"/>
  </cols>
  <sheetData>
    <row r="1" spans="2:16" ht="20.25" customHeight="1" x14ac:dyDescent="0.25"/>
    <row r="2" spans="2:16" s="285" customFormat="1" ht="19.899999999999999" customHeight="1" x14ac:dyDescent="0.25">
      <c r="B2" s="284" t="s">
        <v>243</v>
      </c>
      <c r="C2" s="359"/>
      <c r="D2" s="359"/>
      <c r="E2" s="359"/>
      <c r="F2" s="359"/>
      <c r="G2" s="359"/>
      <c r="H2" s="359"/>
      <c r="I2" s="359"/>
      <c r="J2" s="359"/>
      <c r="K2" s="359"/>
      <c r="L2" s="359"/>
      <c r="M2" s="359"/>
      <c r="N2" s="359"/>
      <c r="O2" s="359"/>
      <c r="P2" s="359"/>
    </row>
    <row r="3" spans="2:16" s="285" customFormat="1" ht="9" customHeight="1" x14ac:dyDescent="0.25">
      <c r="B3" s="286"/>
      <c r="C3" s="360"/>
      <c r="D3" s="360"/>
      <c r="E3" s="360"/>
      <c r="F3" s="360"/>
      <c r="G3" s="360"/>
      <c r="H3" s="360"/>
      <c r="I3" s="360"/>
      <c r="J3" s="360"/>
      <c r="K3" s="360"/>
      <c r="L3" s="360"/>
      <c r="M3" s="360"/>
      <c r="N3" s="360"/>
      <c r="O3" s="360"/>
      <c r="P3" s="360"/>
    </row>
    <row r="4" spans="2:16" s="285" customFormat="1" ht="19.899999999999999" customHeight="1" x14ac:dyDescent="0.25">
      <c r="B4" s="287" t="s">
        <v>474</v>
      </c>
      <c r="C4" s="361"/>
      <c r="D4" s="361"/>
      <c r="E4" s="361"/>
      <c r="F4" s="361"/>
      <c r="G4" s="361"/>
      <c r="H4" s="361"/>
      <c r="I4" s="361"/>
      <c r="J4" s="361"/>
      <c r="K4" s="361"/>
      <c r="L4" s="361"/>
      <c r="M4" s="361"/>
      <c r="N4" s="361"/>
      <c r="O4" s="361"/>
      <c r="P4" s="361"/>
    </row>
    <row r="5" spans="2:16" s="285" customFormat="1" ht="9" customHeight="1" x14ac:dyDescent="0.25">
      <c r="B5" s="286"/>
      <c r="C5" s="360"/>
      <c r="D5" s="360"/>
      <c r="E5" s="360"/>
      <c r="F5" s="360"/>
      <c r="G5" s="360"/>
      <c r="H5" s="360"/>
      <c r="I5" s="360"/>
      <c r="J5" s="360"/>
      <c r="K5" s="360"/>
      <c r="L5" s="360"/>
      <c r="M5" s="360"/>
      <c r="N5" s="360"/>
      <c r="O5" s="360"/>
      <c r="P5" s="360"/>
    </row>
    <row r="6" spans="2:16" s="290" customFormat="1" ht="20.25" customHeight="1" x14ac:dyDescent="0.25">
      <c r="B6" s="288" t="s">
        <v>475</v>
      </c>
      <c r="C6" s="293"/>
      <c r="D6" s="293"/>
      <c r="E6" s="362"/>
      <c r="F6" s="293"/>
      <c r="G6" s="293"/>
      <c r="H6" s="293"/>
      <c r="I6" s="293"/>
      <c r="J6" s="293"/>
      <c r="K6" s="293"/>
      <c r="L6" s="293"/>
      <c r="M6" s="293"/>
      <c r="N6" s="293"/>
      <c r="O6" s="293"/>
      <c r="P6" s="293"/>
    </row>
    <row r="7" spans="2:16" ht="20.25" customHeight="1" x14ac:dyDescent="0.25">
      <c r="B7" s="300"/>
      <c r="C7" s="301"/>
      <c r="D7" s="301"/>
      <c r="E7" s="291" t="s">
        <v>479</v>
      </c>
      <c r="F7" s="291" t="s">
        <v>464</v>
      </c>
      <c r="G7" s="291" t="s">
        <v>464</v>
      </c>
      <c r="H7" s="291" t="s">
        <v>464</v>
      </c>
      <c r="I7" s="291" t="s">
        <v>464</v>
      </c>
      <c r="J7" s="291" t="s">
        <v>464</v>
      </c>
      <c r="K7" s="291" t="s">
        <v>464</v>
      </c>
      <c r="L7" s="291" t="s">
        <v>464</v>
      </c>
      <c r="M7" s="291" t="s">
        <v>464</v>
      </c>
      <c r="N7" s="291" t="s">
        <v>464</v>
      </c>
      <c r="O7" s="291" t="s">
        <v>464</v>
      </c>
      <c r="P7" s="291" t="s">
        <v>464</v>
      </c>
    </row>
    <row r="8" spans="2:16" ht="20.25" customHeight="1" x14ac:dyDescent="0.25">
      <c r="B8" s="302" t="s">
        <v>209</v>
      </c>
      <c r="C8" s="303"/>
      <c r="D8" s="303"/>
      <c r="E8" s="304">
        <v>45747</v>
      </c>
      <c r="F8" s="305">
        <v>46112</v>
      </c>
      <c r="G8" s="304">
        <v>46477</v>
      </c>
      <c r="H8" s="305">
        <v>46843</v>
      </c>
      <c r="I8" s="304">
        <v>47208</v>
      </c>
      <c r="J8" s="305">
        <v>47573</v>
      </c>
      <c r="K8" s="304">
        <v>47938</v>
      </c>
      <c r="L8" s="305">
        <v>48304</v>
      </c>
      <c r="M8" s="304">
        <v>48669</v>
      </c>
      <c r="N8" s="305">
        <v>49034</v>
      </c>
      <c r="O8" s="304">
        <v>49399</v>
      </c>
      <c r="P8" s="304">
        <v>49765</v>
      </c>
    </row>
    <row r="9" spans="2:16" ht="20.25" customHeight="1" x14ac:dyDescent="0.25">
      <c r="B9" s="306" t="s">
        <v>368</v>
      </c>
      <c r="C9" s="307" t="s">
        <v>369</v>
      </c>
      <c r="D9" s="307"/>
      <c r="E9" s="308">
        <v>360</v>
      </c>
      <c r="F9" s="308">
        <v>360</v>
      </c>
      <c r="G9" s="308">
        <v>360</v>
      </c>
      <c r="H9" s="308">
        <v>360</v>
      </c>
      <c r="I9" s="308">
        <v>360</v>
      </c>
      <c r="J9" s="308">
        <v>360</v>
      </c>
      <c r="K9" s="308">
        <v>360</v>
      </c>
      <c r="L9" s="308">
        <v>360</v>
      </c>
      <c r="M9" s="308">
        <v>360</v>
      </c>
      <c r="N9" s="308">
        <v>360</v>
      </c>
      <c r="O9" s="308">
        <v>360</v>
      </c>
      <c r="P9" s="308">
        <v>360</v>
      </c>
    </row>
    <row r="10" spans="2:16" ht="20.25" customHeight="1" x14ac:dyDescent="0.25">
      <c r="B10" s="306" t="s">
        <v>504</v>
      </c>
      <c r="C10" s="307"/>
      <c r="D10" s="307"/>
      <c r="E10" s="308">
        <v>8</v>
      </c>
      <c r="F10" s="308">
        <v>8</v>
      </c>
      <c r="G10" s="308">
        <v>8</v>
      </c>
      <c r="H10" s="308">
        <v>8</v>
      </c>
      <c r="I10" s="308">
        <v>8</v>
      </c>
      <c r="J10" s="308">
        <v>8</v>
      </c>
      <c r="K10" s="308">
        <v>8</v>
      </c>
      <c r="L10" s="308">
        <v>8</v>
      </c>
      <c r="M10" s="308">
        <v>8</v>
      </c>
      <c r="N10" s="308">
        <v>8</v>
      </c>
      <c r="O10" s="308">
        <v>8</v>
      </c>
      <c r="P10" s="308">
        <v>8</v>
      </c>
    </row>
    <row r="11" spans="2:16" ht="20.25" customHeight="1" x14ac:dyDescent="0.25">
      <c r="B11" s="306" t="s">
        <v>370</v>
      </c>
      <c r="C11" s="307" t="s">
        <v>369</v>
      </c>
      <c r="D11" s="307"/>
      <c r="E11" s="308">
        <f>E9*E10</f>
        <v>2880</v>
      </c>
      <c r="F11" s="308">
        <f t="shared" ref="F11:P11" si="0">F9*F10</f>
        <v>2880</v>
      </c>
      <c r="G11" s="308">
        <f t="shared" si="0"/>
        <v>2880</v>
      </c>
      <c r="H11" s="308">
        <f t="shared" si="0"/>
        <v>2880</v>
      </c>
      <c r="I11" s="308">
        <f t="shared" si="0"/>
        <v>2880</v>
      </c>
      <c r="J11" s="308">
        <f t="shared" si="0"/>
        <v>2880</v>
      </c>
      <c r="K11" s="308">
        <f t="shared" si="0"/>
        <v>2880</v>
      </c>
      <c r="L11" s="308">
        <f t="shared" si="0"/>
        <v>2880</v>
      </c>
      <c r="M11" s="308">
        <f t="shared" si="0"/>
        <v>2880</v>
      </c>
      <c r="N11" s="308">
        <f t="shared" si="0"/>
        <v>2880</v>
      </c>
      <c r="O11" s="308">
        <f t="shared" si="0"/>
        <v>2880</v>
      </c>
      <c r="P11" s="308">
        <f t="shared" si="0"/>
        <v>2880</v>
      </c>
    </row>
    <row r="12" spans="2:16" ht="20.25" customHeight="1" x14ac:dyDescent="0.25">
      <c r="B12" s="298" t="s">
        <v>379</v>
      </c>
      <c r="C12" s="299" t="s">
        <v>380</v>
      </c>
      <c r="E12" s="299">
        <v>12</v>
      </c>
      <c r="F12" s="299">
        <v>12</v>
      </c>
      <c r="G12" s="299">
        <v>12</v>
      </c>
      <c r="H12" s="299">
        <v>12</v>
      </c>
      <c r="I12" s="299">
        <v>12</v>
      </c>
      <c r="J12" s="299">
        <v>12</v>
      </c>
      <c r="K12" s="299">
        <v>12</v>
      </c>
      <c r="L12" s="299">
        <v>12</v>
      </c>
      <c r="M12" s="299">
        <v>12</v>
      </c>
      <c r="N12" s="299">
        <v>12</v>
      </c>
      <c r="O12" s="299">
        <v>12</v>
      </c>
      <c r="P12" s="299">
        <v>12</v>
      </c>
    </row>
    <row r="13" spans="2:16" ht="20.25" customHeight="1" x14ac:dyDescent="0.25">
      <c r="B13" s="298" t="s">
        <v>28</v>
      </c>
      <c r="C13" s="299" t="s">
        <v>380</v>
      </c>
      <c r="E13" s="309">
        <v>360</v>
      </c>
      <c r="F13" s="309">
        <v>360</v>
      </c>
      <c r="G13" s="309">
        <v>360</v>
      </c>
      <c r="H13" s="309">
        <v>360</v>
      </c>
      <c r="I13" s="309">
        <v>360</v>
      </c>
      <c r="J13" s="309">
        <v>360</v>
      </c>
      <c r="K13" s="309">
        <v>360</v>
      </c>
      <c r="L13" s="309">
        <v>360</v>
      </c>
      <c r="M13" s="309">
        <v>360</v>
      </c>
      <c r="N13" s="309">
        <v>360</v>
      </c>
      <c r="O13" s="309">
        <v>360</v>
      </c>
      <c r="P13" s="309">
        <v>360</v>
      </c>
    </row>
    <row r="14" spans="2:16" ht="20.25" customHeight="1" x14ac:dyDescent="0.25"/>
    <row r="15" spans="2:16" ht="20.25" customHeight="1" x14ac:dyDescent="0.25">
      <c r="B15" s="310" t="s">
        <v>371</v>
      </c>
      <c r="C15" s="363"/>
      <c r="D15" s="363"/>
      <c r="E15" s="363"/>
      <c r="F15" s="363"/>
      <c r="G15" s="363"/>
      <c r="H15" s="363"/>
      <c r="I15" s="363"/>
      <c r="J15" s="363"/>
      <c r="K15" s="363"/>
      <c r="L15" s="363"/>
      <c r="M15" s="363"/>
      <c r="N15" s="363"/>
      <c r="O15" s="364"/>
      <c r="P15" s="364"/>
    </row>
    <row r="16" spans="2:16" ht="20.25" customHeight="1" x14ac:dyDescent="0.25">
      <c r="B16" s="311" t="s">
        <v>372</v>
      </c>
      <c r="C16" s="312">
        <v>108000</v>
      </c>
      <c r="D16" s="312"/>
      <c r="E16" s="313">
        <f>E8</f>
        <v>45747</v>
      </c>
      <c r="F16" s="314">
        <f>F8</f>
        <v>46112</v>
      </c>
      <c r="G16" s="313">
        <f>DATE(YEAR(F16)+1,MONTH(F16),DAY(F16))</f>
        <v>46477</v>
      </c>
      <c r="H16" s="313">
        <f>DATE(YEAR(G16)+1,MONTH(G16),DAY(G16))</f>
        <v>46843</v>
      </c>
      <c r="I16" s="313">
        <f t="shared" ref="I16:P16" si="1">DATE(YEAR(H16)+1,MONTH(H16),DAY(H16))</f>
        <v>47208</v>
      </c>
      <c r="J16" s="313">
        <f t="shared" si="1"/>
        <v>47573</v>
      </c>
      <c r="K16" s="313">
        <f t="shared" si="1"/>
        <v>47938</v>
      </c>
      <c r="L16" s="313">
        <f t="shared" si="1"/>
        <v>48304</v>
      </c>
      <c r="M16" s="313">
        <f t="shared" si="1"/>
        <v>48669</v>
      </c>
      <c r="N16" s="313">
        <f t="shared" si="1"/>
        <v>49034</v>
      </c>
      <c r="O16" s="313">
        <f t="shared" si="1"/>
        <v>49399</v>
      </c>
      <c r="P16" s="313">
        <f t="shared" si="1"/>
        <v>49765</v>
      </c>
    </row>
    <row r="17" spans="1:16" ht="20.25" customHeight="1" x14ac:dyDescent="0.25">
      <c r="B17" s="306" t="s">
        <v>373</v>
      </c>
      <c r="C17" s="307" t="s">
        <v>374</v>
      </c>
      <c r="D17" s="307"/>
      <c r="E17" s="315">
        <f>C16</f>
        <v>108000</v>
      </c>
      <c r="F17" s="315">
        <f>E17</f>
        <v>108000</v>
      </c>
      <c r="G17" s="315">
        <f t="shared" ref="G17:P17" si="2">F17</f>
        <v>108000</v>
      </c>
      <c r="H17" s="315">
        <f t="shared" si="2"/>
        <v>108000</v>
      </c>
      <c r="I17" s="315">
        <f t="shared" si="2"/>
        <v>108000</v>
      </c>
      <c r="J17" s="315">
        <f t="shared" si="2"/>
        <v>108000</v>
      </c>
      <c r="K17" s="315">
        <f t="shared" si="2"/>
        <v>108000</v>
      </c>
      <c r="L17" s="315">
        <f t="shared" si="2"/>
        <v>108000</v>
      </c>
      <c r="M17" s="315">
        <f t="shared" si="2"/>
        <v>108000</v>
      </c>
      <c r="N17" s="315">
        <f t="shared" si="2"/>
        <v>108000</v>
      </c>
      <c r="O17" s="315">
        <f t="shared" si="2"/>
        <v>108000</v>
      </c>
      <c r="P17" s="315">
        <f t="shared" si="2"/>
        <v>108000</v>
      </c>
    </row>
    <row r="18" spans="1:16" ht="20.25" customHeight="1" x14ac:dyDescent="0.25">
      <c r="B18" s="306" t="s">
        <v>375</v>
      </c>
      <c r="C18" s="307" t="str">
        <f>C17</f>
        <v>In MT</v>
      </c>
      <c r="D18" s="307"/>
      <c r="E18" s="308">
        <f t="shared" ref="E18:P18" si="3">+E17/E$9</f>
        <v>300</v>
      </c>
      <c r="F18" s="308">
        <f t="shared" si="3"/>
        <v>300</v>
      </c>
      <c r="G18" s="308">
        <f t="shared" si="3"/>
        <v>300</v>
      </c>
      <c r="H18" s="308">
        <f t="shared" si="3"/>
        <v>300</v>
      </c>
      <c r="I18" s="308">
        <f t="shared" si="3"/>
        <v>300</v>
      </c>
      <c r="J18" s="308">
        <f t="shared" si="3"/>
        <v>300</v>
      </c>
      <c r="K18" s="308">
        <f t="shared" si="3"/>
        <v>300</v>
      </c>
      <c r="L18" s="308">
        <f t="shared" si="3"/>
        <v>300</v>
      </c>
      <c r="M18" s="308">
        <f t="shared" si="3"/>
        <v>300</v>
      </c>
      <c r="N18" s="308">
        <f t="shared" si="3"/>
        <v>300</v>
      </c>
      <c r="O18" s="308">
        <f t="shared" si="3"/>
        <v>300</v>
      </c>
      <c r="P18" s="308">
        <f t="shared" si="3"/>
        <v>300</v>
      </c>
    </row>
    <row r="19" spans="1:16" ht="20.25" customHeight="1" x14ac:dyDescent="0.25">
      <c r="B19" s="316" t="s">
        <v>376</v>
      </c>
      <c r="C19" s="317" t="s">
        <v>36</v>
      </c>
      <c r="D19" s="317"/>
      <c r="E19" s="318">
        <v>0.85</v>
      </c>
      <c r="F19" s="318">
        <f>E19</f>
        <v>0.85</v>
      </c>
      <c r="G19" s="318">
        <f>+F19+1%</f>
        <v>0.86</v>
      </c>
      <c r="H19" s="318">
        <f>+G19+1%</f>
        <v>0.87</v>
      </c>
      <c r="I19" s="318">
        <f>+H19+1%</f>
        <v>0.88</v>
      </c>
      <c r="J19" s="318">
        <f>+I19+1%</f>
        <v>0.89</v>
      </c>
      <c r="K19" s="318">
        <f>+J19+1%</f>
        <v>0.9</v>
      </c>
      <c r="L19" s="319">
        <f>+K19</f>
        <v>0.9</v>
      </c>
      <c r="M19" s="319">
        <f>+L19</f>
        <v>0.9</v>
      </c>
      <c r="N19" s="319">
        <f>+M19</f>
        <v>0.9</v>
      </c>
      <c r="O19" s="319">
        <f>+N19</f>
        <v>0.9</v>
      </c>
      <c r="P19" s="319">
        <f>+O19</f>
        <v>0.9</v>
      </c>
    </row>
    <row r="20" spans="1:16" ht="20.25" customHeight="1" x14ac:dyDescent="0.25">
      <c r="B20" s="300" t="s">
        <v>377</v>
      </c>
      <c r="C20" s="320" t="s">
        <v>369</v>
      </c>
      <c r="D20" s="320"/>
      <c r="E20" s="321">
        <f t="shared" ref="E20:P20" si="4">+E17*E19</f>
        <v>91800</v>
      </c>
      <c r="F20" s="321">
        <f t="shared" si="4"/>
        <v>91800</v>
      </c>
      <c r="G20" s="321">
        <f t="shared" si="4"/>
        <v>92880</v>
      </c>
      <c r="H20" s="321">
        <f t="shared" si="4"/>
        <v>93960</v>
      </c>
      <c r="I20" s="321">
        <f t="shared" si="4"/>
        <v>95040</v>
      </c>
      <c r="J20" s="321">
        <f t="shared" si="4"/>
        <v>96120</v>
      </c>
      <c r="K20" s="321">
        <f t="shared" si="4"/>
        <v>97200</v>
      </c>
      <c r="L20" s="321">
        <f t="shared" si="4"/>
        <v>97200</v>
      </c>
      <c r="M20" s="321">
        <f t="shared" si="4"/>
        <v>97200</v>
      </c>
      <c r="N20" s="321">
        <f t="shared" si="4"/>
        <v>97200</v>
      </c>
      <c r="O20" s="321">
        <f t="shared" si="4"/>
        <v>97200</v>
      </c>
      <c r="P20" s="321">
        <f t="shared" si="4"/>
        <v>97200</v>
      </c>
    </row>
    <row r="21" spans="1:16" ht="20.25" customHeight="1" x14ac:dyDescent="0.25">
      <c r="B21" s="306"/>
      <c r="C21" s="307"/>
      <c r="D21" s="307"/>
      <c r="E21" s="307"/>
      <c r="F21" s="308"/>
      <c r="G21" s="308"/>
      <c r="H21" s="308"/>
      <c r="I21" s="308"/>
      <c r="J21" s="308"/>
      <c r="K21" s="308"/>
      <c r="L21" s="308"/>
      <c r="M21" s="308"/>
      <c r="N21" s="308"/>
      <c r="O21" s="308"/>
      <c r="P21" s="308"/>
    </row>
    <row r="22" spans="1:16" ht="20.25" customHeight="1" x14ac:dyDescent="0.25">
      <c r="A22" s="306"/>
      <c r="B22" s="322" t="s">
        <v>378</v>
      </c>
      <c r="C22" s="307" t="s">
        <v>374</v>
      </c>
      <c r="D22" s="307"/>
      <c r="E22" s="315">
        <f>E18*E19</f>
        <v>255</v>
      </c>
      <c r="F22" s="315">
        <f t="shared" ref="F22:P22" si="5">F18*F19</f>
        <v>255</v>
      </c>
      <c r="G22" s="315">
        <f t="shared" si="5"/>
        <v>258</v>
      </c>
      <c r="H22" s="315">
        <f t="shared" si="5"/>
        <v>261</v>
      </c>
      <c r="I22" s="315">
        <f t="shared" si="5"/>
        <v>264</v>
      </c>
      <c r="J22" s="315">
        <f t="shared" si="5"/>
        <v>267</v>
      </c>
      <c r="K22" s="315">
        <f t="shared" si="5"/>
        <v>270</v>
      </c>
      <c r="L22" s="315">
        <f t="shared" si="5"/>
        <v>270</v>
      </c>
      <c r="M22" s="315">
        <f t="shared" si="5"/>
        <v>270</v>
      </c>
      <c r="N22" s="315">
        <f t="shared" si="5"/>
        <v>270</v>
      </c>
      <c r="O22" s="315">
        <f t="shared" si="5"/>
        <v>270</v>
      </c>
      <c r="P22" s="315">
        <f t="shared" si="5"/>
        <v>270</v>
      </c>
    </row>
    <row r="23" spans="1:16" ht="20.25" customHeight="1" x14ac:dyDescent="0.25"/>
    <row r="24" spans="1:16" ht="20.25" customHeight="1" x14ac:dyDescent="0.25">
      <c r="A24" s="323"/>
      <c r="B24" s="324" t="s">
        <v>381</v>
      </c>
      <c r="C24" s="325" t="s">
        <v>382</v>
      </c>
      <c r="D24" s="325"/>
      <c r="E24" s="325"/>
      <c r="F24" s="345"/>
      <c r="G24" s="345"/>
      <c r="H24" s="345"/>
      <c r="I24" s="345"/>
      <c r="J24" s="345"/>
      <c r="K24" s="345"/>
      <c r="L24" s="345"/>
      <c r="M24" s="345"/>
      <c r="N24" s="365"/>
      <c r="O24" s="365"/>
      <c r="P24" s="365"/>
    </row>
    <row r="25" spans="1:16" ht="20.25" customHeight="1" x14ac:dyDescent="0.25">
      <c r="B25" s="298" t="s">
        <v>383</v>
      </c>
      <c r="C25" s="326">
        <f>E18</f>
        <v>300</v>
      </c>
      <c r="D25" s="326" t="s">
        <v>374</v>
      </c>
      <c r="E25" s="299">
        <f t="shared" ref="E25:P25" si="6">$C$25*E9</f>
        <v>108000</v>
      </c>
      <c r="F25" s="299">
        <f t="shared" si="6"/>
        <v>108000</v>
      </c>
      <c r="G25" s="299">
        <f t="shared" si="6"/>
        <v>108000</v>
      </c>
      <c r="H25" s="299">
        <f t="shared" si="6"/>
        <v>108000</v>
      </c>
      <c r="I25" s="299">
        <f t="shared" si="6"/>
        <v>108000</v>
      </c>
      <c r="J25" s="299">
        <f t="shared" si="6"/>
        <v>108000</v>
      </c>
      <c r="K25" s="299">
        <f t="shared" si="6"/>
        <v>108000</v>
      </c>
      <c r="L25" s="299">
        <f t="shared" si="6"/>
        <v>108000</v>
      </c>
      <c r="M25" s="299">
        <f t="shared" si="6"/>
        <v>108000</v>
      </c>
      <c r="N25" s="299">
        <f t="shared" si="6"/>
        <v>108000</v>
      </c>
      <c r="O25" s="299">
        <f t="shared" si="6"/>
        <v>108000</v>
      </c>
      <c r="P25" s="299">
        <f t="shared" si="6"/>
        <v>108000</v>
      </c>
    </row>
    <row r="26" spans="1:16" ht="20.25" customHeight="1" x14ac:dyDescent="0.25">
      <c r="B26" s="327" t="s">
        <v>122</v>
      </c>
      <c r="C26" s="328"/>
      <c r="D26" s="328"/>
      <c r="E26" s="328"/>
      <c r="F26" s="329">
        <f t="shared" ref="F26:P26" si="7">+F25</f>
        <v>108000</v>
      </c>
      <c r="G26" s="329">
        <f t="shared" si="7"/>
        <v>108000</v>
      </c>
      <c r="H26" s="329">
        <f t="shared" si="7"/>
        <v>108000</v>
      </c>
      <c r="I26" s="329">
        <f t="shared" si="7"/>
        <v>108000</v>
      </c>
      <c r="J26" s="329">
        <f t="shared" si="7"/>
        <v>108000</v>
      </c>
      <c r="K26" s="329">
        <f t="shared" si="7"/>
        <v>108000</v>
      </c>
      <c r="L26" s="329">
        <f t="shared" si="7"/>
        <v>108000</v>
      </c>
      <c r="M26" s="329">
        <f t="shared" si="7"/>
        <v>108000</v>
      </c>
      <c r="N26" s="329">
        <f t="shared" si="7"/>
        <v>108000</v>
      </c>
      <c r="O26" s="329">
        <f t="shared" si="7"/>
        <v>108000</v>
      </c>
      <c r="P26" s="329">
        <f t="shared" si="7"/>
        <v>108000</v>
      </c>
    </row>
    <row r="27" spans="1:16" ht="20.25" customHeight="1" x14ac:dyDescent="0.25">
      <c r="A27" s="330"/>
      <c r="B27" s="331"/>
      <c r="C27" s="332"/>
      <c r="D27" s="332"/>
      <c r="E27" s="332"/>
      <c r="F27" s="333"/>
      <c r="G27" s="334"/>
      <c r="H27" s="334"/>
      <c r="I27" s="334"/>
      <c r="J27" s="334"/>
      <c r="K27" s="334"/>
      <c r="L27" s="334"/>
      <c r="M27" s="332"/>
      <c r="N27" s="332"/>
      <c r="O27" s="332"/>
      <c r="P27" s="332"/>
    </row>
    <row r="28" spans="1:16" ht="20.25" customHeight="1" x14ac:dyDescent="0.25">
      <c r="A28" s="337"/>
      <c r="B28" s="331" t="s">
        <v>505</v>
      </c>
      <c r="C28" s="332"/>
      <c r="D28" s="332"/>
      <c r="E28" s="373">
        <f t="shared" ref="E28:P28" si="8">E19</f>
        <v>0.85</v>
      </c>
      <c r="F28" s="373">
        <f t="shared" si="8"/>
        <v>0.85</v>
      </c>
      <c r="G28" s="373">
        <f t="shared" si="8"/>
        <v>0.86</v>
      </c>
      <c r="H28" s="373">
        <f t="shared" si="8"/>
        <v>0.87</v>
      </c>
      <c r="I28" s="373">
        <f t="shared" si="8"/>
        <v>0.88</v>
      </c>
      <c r="J28" s="373">
        <f t="shared" si="8"/>
        <v>0.89</v>
      </c>
      <c r="K28" s="373">
        <f t="shared" si="8"/>
        <v>0.9</v>
      </c>
      <c r="L28" s="373">
        <f t="shared" si="8"/>
        <v>0.9</v>
      </c>
      <c r="M28" s="373">
        <f t="shared" si="8"/>
        <v>0.9</v>
      </c>
      <c r="N28" s="373">
        <f t="shared" si="8"/>
        <v>0.9</v>
      </c>
      <c r="O28" s="373">
        <f t="shared" si="8"/>
        <v>0.9</v>
      </c>
      <c r="P28" s="373">
        <f t="shared" si="8"/>
        <v>0.9</v>
      </c>
    </row>
    <row r="29" spans="1:16" ht="20.25" customHeight="1" x14ac:dyDescent="0.25">
      <c r="B29" s="298" t="str">
        <f>+B25</f>
        <v>TMT Bar Division</v>
      </c>
      <c r="C29" s="326">
        <f>C25</f>
        <v>300</v>
      </c>
      <c r="D29" s="326" t="str">
        <f>D25</f>
        <v>In MT</v>
      </c>
      <c r="E29" s="299">
        <f>+E25*E28</f>
        <v>91800</v>
      </c>
      <c r="F29" s="299">
        <f t="shared" ref="F29:P29" si="9">+F25*F28</f>
        <v>91800</v>
      </c>
      <c r="G29" s="299">
        <f t="shared" si="9"/>
        <v>92880</v>
      </c>
      <c r="H29" s="299">
        <f t="shared" si="9"/>
        <v>93960</v>
      </c>
      <c r="I29" s="299">
        <f t="shared" si="9"/>
        <v>95040</v>
      </c>
      <c r="J29" s="299">
        <f t="shared" si="9"/>
        <v>96120</v>
      </c>
      <c r="K29" s="299">
        <f t="shared" si="9"/>
        <v>97200</v>
      </c>
      <c r="L29" s="299">
        <f t="shared" si="9"/>
        <v>97200</v>
      </c>
      <c r="M29" s="299">
        <f t="shared" si="9"/>
        <v>97200</v>
      </c>
      <c r="N29" s="299">
        <f t="shared" si="9"/>
        <v>97200</v>
      </c>
      <c r="O29" s="299">
        <f t="shared" si="9"/>
        <v>97200</v>
      </c>
      <c r="P29" s="299">
        <f t="shared" si="9"/>
        <v>97200</v>
      </c>
    </row>
    <row r="30" spans="1:16" ht="20.25" customHeight="1" x14ac:dyDescent="0.25">
      <c r="B30" s="298" t="s">
        <v>384</v>
      </c>
      <c r="C30" s="299" t="s">
        <v>97</v>
      </c>
      <c r="E30" s="374">
        <v>50500</v>
      </c>
      <c r="F30" s="339">
        <f>E30</f>
        <v>50500</v>
      </c>
      <c r="G30" s="339">
        <f t="shared" ref="G30:P30" si="10">F30</f>
        <v>50500</v>
      </c>
      <c r="H30" s="339">
        <f t="shared" si="10"/>
        <v>50500</v>
      </c>
      <c r="I30" s="339">
        <f t="shared" si="10"/>
        <v>50500</v>
      </c>
      <c r="J30" s="339">
        <f t="shared" si="10"/>
        <v>50500</v>
      </c>
      <c r="K30" s="339">
        <f t="shared" si="10"/>
        <v>50500</v>
      </c>
      <c r="L30" s="339">
        <f t="shared" si="10"/>
        <v>50500</v>
      </c>
      <c r="M30" s="339">
        <f t="shared" si="10"/>
        <v>50500</v>
      </c>
      <c r="N30" s="339">
        <f t="shared" si="10"/>
        <v>50500</v>
      </c>
      <c r="O30" s="339">
        <f t="shared" si="10"/>
        <v>50500</v>
      </c>
      <c r="P30" s="339">
        <f t="shared" si="10"/>
        <v>50500</v>
      </c>
    </row>
    <row r="31" spans="1:16" ht="20.25" customHeight="1" x14ac:dyDescent="0.25">
      <c r="A31" s="335"/>
      <c r="B31" s="343" t="s">
        <v>385</v>
      </c>
      <c r="C31" s="325"/>
      <c r="D31" s="325"/>
      <c r="E31" s="344">
        <f>(E29*E30/10^5)</f>
        <v>46359</v>
      </c>
      <c r="F31" s="344">
        <f>(F29*F30/10^5)</f>
        <v>46359</v>
      </c>
      <c r="G31" s="344">
        <f>(G29*G30/10^5)</f>
        <v>46904.4</v>
      </c>
      <c r="H31" s="344">
        <f t="shared" ref="H31:O31" si="11">(H29*H30/10^5)</f>
        <v>47449.8</v>
      </c>
      <c r="I31" s="344">
        <f t="shared" si="11"/>
        <v>47995.199999999997</v>
      </c>
      <c r="J31" s="344">
        <f t="shared" si="11"/>
        <v>48540.6</v>
      </c>
      <c r="K31" s="344">
        <f t="shared" si="11"/>
        <v>49086</v>
      </c>
      <c r="L31" s="344">
        <f t="shared" si="11"/>
        <v>49086</v>
      </c>
      <c r="M31" s="344">
        <f t="shared" si="11"/>
        <v>49086</v>
      </c>
      <c r="N31" s="344">
        <f t="shared" si="11"/>
        <v>49086</v>
      </c>
      <c r="O31" s="344">
        <f t="shared" si="11"/>
        <v>49086</v>
      </c>
      <c r="P31" s="344">
        <f t="shared" ref="P31" si="12">(P29*P30/10^5)</f>
        <v>49086</v>
      </c>
    </row>
    <row r="32" spans="1:16" ht="20.25" customHeight="1" x14ac:dyDescent="0.25">
      <c r="A32" s="335"/>
      <c r="B32" s="335"/>
      <c r="C32" s="332"/>
      <c r="D32" s="332"/>
      <c r="E32" s="334"/>
      <c r="F32" s="334"/>
      <c r="G32" s="340"/>
      <c r="H32" s="340"/>
      <c r="I32" s="340"/>
      <c r="J32" s="340"/>
      <c r="K32" s="340"/>
      <c r="L32" s="340"/>
      <c r="M32" s="340"/>
      <c r="N32" s="340"/>
      <c r="O32" s="340"/>
      <c r="P32" s="340"/>
    </row>
    <row r="33" spans="1:16" ht="20.25" customHeight="1" x14ac:dyDescent="0.25">
      <c r="A33" s="337"/>
      <c r="B33" s="341"/>
      <c r="C33" s="342"/>
      <c r="D33" s="342"/>
      <c r="E33" s="338"/>
      <c r="F33" s="338"/>
      <c r="G33" s="338"/>
      <c r="H33" s="338"/>
      <c r="I33" s="338"/>
      <c r="J33" s="338"/>
      <c r="K33" s="338"/>
      <c r="L33" s="338"/>
      <c r="M33" s="338"/>
      <c r="N33" s="338"/>
      <c r="O33" s="338"/>
      <c r="P33" s="338"/>
    </row>
    <row r="34" spans="1:16" ht="20.25" customHeight="1" x14ac:dyDescent="0.25">
      <c r="B34" s="298" t="s">
        <v>386</v>
      </c>
      <c r="D34" s="326" t="s">
        <v>506</v>
      </c>
      <c r="E34" s="374">
        <f>55*10^2</f>
        <v>5500</v>
      </c>
      <c r="F34" s="375">
        <f>E34</f>
        <v>5500</v>
      </c>
      <c r="G34" s="375">
        <f>+F34*1.02</f>
        <v>5610</v>
      </c>
      <c r="H34" s="375">
        <f t="shared" ref="H34:P34" si="13">+G34*1.02</f>
        <v>5722.2</v>
      </c>
      <c r="I34" s="375">
        <f t="shared" si="13"/>
        <v>5836.6440000000002</v>
      </c>
      <c r="J34" s="375">
        <f t="shared" si="13"/>
        <v>5953.3768800000007</v>
      </c>
      <c r="K34" s="375">
        <f t="shared" si="13"/>
        <v>6072.4444176000006</v>
      </c>
      <c r="L34" s="375">
        <f t="shared" si="13"/>
        <v>6193.8933059520004</v>
      </c>
      <c r="M34" s="375">
        <f t="shared" si="13"/>
        <v>6317.7711720710404</v>
      </c>
      <c r="N34" s="375">
        <f t="shared" si="13"/>
        <v>6444.1265955124609</v>
      </c>
      <c r="O34" s="375">
        <f t="shared" si="13"/>
        <v>6573.0091274227107</v>
      </c>
      <c r="P34" s="375">
        <f t="shared" si="13"/>
        <v>6704.4693099711649</v>
      </c>
    </row>
    <row r="35" spans="1:16" ht="20.25" customHeight="1" x14ac:dyDescent="0.25">
      <c r="B35" s="298" t="s">
        <v>387</v>
      </c>
      <c r="D35" s="326" t="s">
        <v>506</v>
      </c>
      <c r="E35" s="374">
        <f>(232.7+22.18)*1.02</f>
        <v>259.9776</v>
      </c>
      <c r="F35" s="375">
        <f>(232.7+22.18)*1.02</f>
        <v>259.9776</v>
      </c>
      <c r="G35" s="375">
        <f>+F35*1.02</f>
        <v>265.17715199999998</v>
      </c>
      <c r="H35" s="375">
        <f t="shared" ref="H35:P35" si="14">+G35*1.02</f>
        <v>270.48069504</v>
      </c>
      <c r="I35" s="375">
        <f t="shared" si="14"/>
        <v>275.89030894080003</v>
      </c>
      <c r="J35" s="375">
        <f t="shared" si="14"/>
        <v>281.40811511961601</v>
      </c>
      <c r="K35" s="375">
        <f t="shared" si="14"/>
        <v>287.03627742200831</v>
      </c>
      <c r="L35" s="375">
        <f t="shared" si="14"/>
        <v>292.77700297044851</v>
      </c>
      <c r="M35" s="375">
        <f t="shared" si="14"/>
        <v>298.63254302985746</v>
      </c>
      <c r="N35" s="375">
        <f t="shared" si="14"/>
        <v>304.60519389045459</v>
      </c>
      <c r="O35" s="375">
        <f t="shared" si="14"/>
        <v>310.6972977682637</v>
      </c>
      <c r="P35" s="375">
        <f t="shared" si="14"/>
        <v>316.91124372362896</v>
      </c>
    </row>
    <row r="36" spans="1:16" ht="20.25" customHeight="1" x14ac:dyDescent="0.25">
      <c r="B36" s="343" t="s">
        <v>388</v>
      </c>
      <c r="C36" s="325"/>
      <c r="D36" s="325"/>
      <c r="E36" s="344">
        <f>E31+E34+E35</f>
        <v>52118.977599999998</v>
      </c>
      <c r="F36" s="344">
        <f t="shared" ref="F36:P36" si="15">F31+F34+F35</f>
        <v>52118.977599999998</v>
      </c>
      <c r="G36" s="344">
        <f t="shared" si="15"/>
        <v>52779.577151999998</v>
      </c>
      <c r="H36" s="344">
        <f t="shared" si="15"/>
        <v>53442.480695040002</v>
      </c>
      <c r="I36" s="344">
        <f t="shared" si="15"/>
        <v>54107.734308940795</v>
      </c>
      <c r="J36" s="344">
        <f t="shared" si="15"/>
        <v>54775.384995119617</v>
      </c>
      <c r="K36" s="344">
        <f t="shared" si="15"/>
        <v>55445.480695022008</v>
      </c>
      <c r="L36" s="344">
        <f t="shared" si="15"/>
        <v>55572.670308922447</v>
      </c>
      <c r="M36" s="344">
        <f t="shared" si="15"/>
        <v>55702.403715100903</v>
      </c>
      <c r="N36" s="344">
        <f t="shared" si="15"/>
        <v>55834.731789402918</v>
      </c>
      <c r="O36" s="344">
        <f t="shared" si="15"/>
        <v>55969.706425190976</v>
      </c>
      <c r="P36" s="344">
        <f t="shared" si="15"/>
        <v>56107.380553694791</v>
      </c>
    </row>
    <row r="37" spans="1:16" ht="20.25" customHeight="1" x14ac:dyDescent="0.25"/>
    <row r="38" spans="1:16" ht="20.25" customHeight="1" x14ac:dyDescent="0.25">
      <c r="M38" s="332" t="str">
        <f>O7</f>
        <v>Projected</v>
      </c>
    </row>
    <row r="39" spans="1:16" ht="20.25" customHeight="1" x14ac:dyDescent="0.25">
      <c r="A39" s="323"/>
      <c r="B39" s="324" t="s">
        <v>389</v>
      </c>
      <c r="C39" s="345"/>
      <c r="D39" s="345"/>
      <c r="E39" s="345"/>
      <c r="F39" s="305">
        <f t="shared" ref="F39:P39" si="16">F16</f>
        <v>46112</v>
      </c>
      <c r="G39" s="305">
        <f t="shared" si="16"/>
        <v>46477</v>
      </c>
      <c r="H39" s="305">
        <f t="shared" si="16"/>
        <v>46843</v>
      </c>
      <c r="I39" s="305">
        <f t="shared" si="16"/>
        <v>47208</v>
      </c>
      <c r="J39" s="305">
        <f t="shared" si="16"/>
        <v>47573</v>
      </c>
      <c r="K39" s="305">
        <f t="shared" si="16"/>
        <v>47938</v>
      </c>
      <c r="L39" s="305">
        <f t="shared" si="16"/>
        <v>48304</v>
      </c>
      <c r="M39" s="305">
        <f t="shared" si="16"/>
        <v>48669</v>
      </c>
      <c r="N39" s="305">
        <f t="shared" si="16"/>
        <v>49034</v>
      </c>
      <c r="O39" s="305">
        <f t="shared" si="16"/>
        <v>49399</v>
      </c>
      <c r="P39" s="305">
        <f t="shared" si="16"/>
        <v>49765</v>
      </c>
    </row>
    <row r="40" spans="1:16" ht="20.25" customHeight="1" x14ac:dyDescent="0.25">
      <c r="B40" s="336" t="str">
        <f>+B29</f>
        <v>TMT Bar Division</v>
      </c>
      <c r="C40" s="346">
        <v>1.01</v>
      </c>
      <c r="D40" s="347"/>
      <c r="E40" s="347"/>
      <c r="F40" s="332"/>
      <c r="G40" s="332"/>
      <c r="H40" s="332"/>
      <c r="I40" s="332"/>
      <c r="J40" s="332"/>
      <c r="K40" s="332"/>
      <c r="L40" s="332"/>
      <c r="M40" s="332"/>
      <c r="N40" s="332"/>
      <c r="O40" s="332"/>
      <c r="P40" s="332"/>
    </row>
    <row r="41" spans="1:16" ht="20.25" customHeight="1" x14ac:dyDescent="0.25">
      <c r="B41" s="348" t="s">
        <v>390</v>
      </c>
      <c r="C41" s="342"/>
      <c r="D41" s="342"/>
      <c r="E41" s="342"/>
      <c r="F41" s="346"/>
      <c r="G41" s="333"/>
      <c r="H41" s="333"/>
      <c r="I41" s="333"/>
      <c r="J41" s="333"/>
      <c r="K41" s="333"/>
      <c r="L41" s="333"/>
      <c r="M41" s="333"/>
      <c r="N41" s="333"/>
      <c r="O41" s="333"/>
      <c r="P41" s="333"/>
    </row>
    <row r="42" spans="1:16" ht="20.25" customHeight="1" x14ac:dyDescent="0.25">
      <c r="B42" s="349" t="s">
        <v>391</v>
      </c>
      <c r="C42" s="350" t="s">
        <v>97</v>
      </c>
      <c r="D42" s="350" t="s">
        <v>374</v>
      </c>
      <c r="F42" s="299">
        <f t="shared" ref="F42:P42" si="17">F29*$C40</f>
        <v>92718</v>
      </c>
      <c r="G42" s="299">
        <f t="shared" si="17"/>
        <v>93808.8</v>
      </c>
      <c r="H42" s="299">
        <f t="shared" si="17"/>
        <v>94899.6</v>
      </c>
      <c r="I42" s="299">
        <f t="shared" si="17"/>
        <v>95990.399999999994</v>
      </c>
      <c r="J42" s="299">
        <f t="shared" si="17"/>
        <v>97081.2</v>
      </c>
      <c r="K42" s="299">
        <f t="shared" si="17"/>
        <v>98172</v>
      </c>
      <c r="L42" s="299">
        <f t="shared" si="17"/>
        <v>98172</v>
      </c>
      <c r="M42" s="299">
        <f t="shared" si="17"/>
        <v>98172</v>
      </c>
      <c r="N42" s="299">
        <f t="shared" si="17"/>
        <v>98172</v>
      </c>
      <c r="O42" s="299">
        <f t="shared" si="17"/>
        <v>98172</v>
      </c>
      <c r="P42" s="299">
        <f t="shared" si="17"/>
        <v>98172</v>
      </c>
    </row>
    <row r="43" spans="1:16" ht="20.25" customHeight="1" x14ac:dyDescent="0.25">
      <c r="B43" s="349" t="s">
        <v>392</v>
      </c>
      <c r="C43" s="350">
        <v>1</v>
      </c>
      <c r="D43" s="350" t="s">
        <v>374</v>
      </c>
      <c r="F43" s="299">
        <f>F42</f>
        <v>92718</v>
      </c>
      <c r="G43" s="299">
        <f t="shared" ref="G43:P43" si="18">G42</f>
        <v>93808.8</v>
      </c>
      <c r="H43" s="299">
        <f t="shared" si="18"/>
        <v>94899.6</v>
      </c>
      <c r="I43" s="299">
        <f t="shared" si="18"/>
        <v>95990.399999999994</v>
      </c>
      <c r="J43" s="299">
        <f t="shared" si="18"/>
        <v>97081.2</v>
      </c>
      <c r="K43" s="299">
        <f t="shared" si="18"/>
        <v>98172</v>
      </c>
      <c r="L43" s="299">
        <f t="shared" si="18"/>
        <v>98172</v>
      </c>
      <c r="M43" s="299">
        <f t="shared" si="18"/>
        <v>98172</v>
      </c>
      <c r="N43" s="299">
        <f t="shared" si="18"/>
        <v>98172</v>
      </c>
      <c r="O43" s="299">
        <f t="shared" si="18"/>
        <v>98172</v>
      </c>
      <c r="P43" s="299">
        <f t="shared" si="18"/>
        <v>98172</v>
      </c>
    </row>
    <row r="44" spans="1:16" ht="20.25" customHeight="1" x14ac:dyDescent="0.25">
      <c r="B44" s="349" t="s">
        <v>392</v>
      </c>
      <c r="C44" s="350" t="s">
        <v>393</v>
      </c>
      <c r="D44" s="350" t="s">
        <v>394</v>
      </c>
      <c r="E44" s="339"/>
      <c r="F44" s="339">
        <v>37000</v>
      </c>
      <c r="G44" s="339">
        <f>+F44</f>
        <v>37000</v>
      </c>
      <c r="H44" s="339">
        <f t="shared" ref="H44:P44" si="19">+G44</f>
        <v>37000</v>
      </c>
      <c r="I44" s="339">
        <f t="shared" si="19"/>
        <v>37000</v>
      </c>
      <c r="J44" s="339">
        <f t="shared" si="19"/>
        <v>37000</v>
      </c>
      <c r="K44" s="339">
        <f t="shared" si="19"/>
        <v>37000</v>
      </c>
      <c r="L44" s="339">
        <f t="shared" si="19"/>
        <v>37000</v>
      </c>
      <c r="M44" s="339">
        <f t="shared" si="19"/>
        <v>37000</v>
      </c>
      <c r="N44" s="339">
        <f t="shared" si="19"/>
        <v>37000</v>
      </c>
      <c r="O44" s="339">
        <f t="shared" si="19"/>
        <v>37000</v>
      </c>
      <c r="P44" s="339">
        <f t="shared" si="19"/>
        <v>37000</v>
      </c>
    </row>
    <row r="45" spans="1:16" ht="20.25" customHeight="1" x14ac:dyDescent="0.25">
      <c r="B45" s="376" t="s">
        <v>395</v>
      </c>
      <c r="C45" s="377"/>
      <c r="D45" s="377"/>
      <c r="E45" s="378"/>
      <c r="F45" s="378">
        <f>(F43*F44)/10^5</f>
        <v>34305.660000000003</v>
      </c>
      <c r="G45" s="378">
        <f>(G43*G44)/10^5</f>
        <v>34709.256000000001</v>
      </c>
      <c r="H45" s="378">
        <f t="shared" ref="H45:O45" si="20">(H43*H44)/10^5</f>
        <v>35112.851999999999</v>
      </c>
      <c r="I45" s="378">
        <f t="shared" si="20"/>
        <v>35516.447999999997</v>
      </c>
      <c r="J45" s="378">
        <f t="shared" si="20"/>
        <v>35920.044000000002</v>
      </c>
      <c r="K45" s="378">
        <f t="shared" si="20"/>
        <v>36323.64</v>
      </c>
      <c r="L45" s="378">
        <f t="shared" si="20"/>
        <v>36323.64</v>
      </c>
      <c r="M45" s="378">
        <f t="shared" si="20"/>
        <v>36323.64</v>
      </c>
      <c r="N45" s="378">
        <f t="shared" si="20"/>
        <v>36323.64</v>
      </c>
      <c r="O45" s="378">
        <f t="shared" si="20"/>
        <v>36323.64</v>
      </c>
      <c r="P45" s="378">
        <f t="shared" ref="P45" si="21">(P43*P44)/10^5</f>
        <v>36323.64</v>
      </c>
    </row>
    <row r="46" spans="1:16" ht="20.25" customHeight="1" x14ac:dyDescent="0.25">
      <c r="B46" s="336"/>
      <c r="C46" s="332"/>
      <c r="D46" s="332"/>
      <c r="E46" s="332"/>
      <c r="F46" s="332"/>
      <c r="G46" s="332"/>
      <c r="H46" s="332"/>
      <c r="I46" s="332"/>
      <c r="J46" s="332"/>
      <c r="K46" s="332"/>
      <c r="L46" s="332"/>
      <c r="M46" s="332"/>
      <c r="N46" s="332"/>
      <c r="O46" s="340"/>
      <c r="P46" s="340"/>
    </row>
    <row r="47" spans="1:16" ht="20.25" customHeight="1" x14ac:dyDescent="0.25">
      <c r="A47" s="323"/>
      <c r="B47" s="351" t="s">
        <v>396</v>
      </c>
      <c r="C47" s="345"/>
      <c r="D47" s="345"/>
      <c r="E47" s="304"/>
      <c r="F47" s="305">
        <f>+F39</f>
        <v>46112</v>
      </c>
      <c r="G47" s="304">
        <f t="shared" ref="G47:O47" si="22">+G39</f>
        <v>46477</v>
      </c>
      <c r="H47" s="305">
        <f t="shared" si="22"/>
        <v>46843</v>
      </c>
      <c r="I47" s="304">
        <f t="shared" si="22"/>
        <v>47208</v>
      </c>
      <c r="J47" s="305">
        <f t="shared" si="22"/>
        <v>47573</v>
      </c>
      <c r="K47" s="304">
        <f t="shared" si="22"/>
        <v>47938</v>
      </c>
      <c r="L47" s="305">
        <f t="shared" si="22"/>
        <v>48304</v>
      </c>
      <c r="M47" s="304">
        <f t="shared" si="22"/>
        <v>48669</v>
      </c>
      <c r="N47" s="305">
        <f t="shared" si="22"/>
        <v>49034</v>
      </c>
      <c r="O47" s="304">
        <f t="shared" si="22"/>
        <v>49399</v>
      </c>
      <c r="P47" s="304">
        <f t="shared" ref="P47" si="23">+P39</f>
        <v>49765</v>
      </c>
    </row>
    <row r="48" spans="1:16" ht="20.25" customHeight="1" x14ac:dyDescent="0.25">
      <c r="B48" s="352" t="s">
        <v>181</v>
      </c>
      <c r="C48" s="332"/>
      <c r="D48" s="332"/>
      <c r="E48" s="332"/>
      <c r="F48" s="332"/>
      <c r="G48" s="332"/>
      <c r="H48" s="332"/>
      <c r="I48" s="332"/>
      <c r="J48" s="332"/>
      <c r="K48" s="332"/>
      <c r="L48" s="332"/>
      <c r="M48" s="332"/>
      <c r="N48" s="332"/>
      <c r="O48" s="332"/>
      <c r="P48" s="332"/>
    </row>
    <row r="49" spans="1:16" ht="20.25" customHeight="1" x14ac:dyDescent="0.25">
      <c r="B49" s="298" t="s">
        <v>397</v>
      </c>
      <c r="C49" s="299" t="s">
        <v>398</v>
      </c>
      <c r="E49" s="339"/>
      <c r="F49" s="339">
        <f>F125</f>
        <v>565.48799999999994</v>
      </c>
      <c r="G49" s="339">
        <f t="shared" ref="G49:O49" si="24">G125</f>
        <v>309.97708010068465</v>
      </c>
      <c r="H49" s="339">
        <f t="shared" si="24"/>
        <v>292.92081022762534</v>
      </c>
      <c r="I49" s="339">
        <f t="shared" si="24"/>
        <v>301.92268786489427</v>
      </c>
      <c r="J49" s="339">
        <f t="shared" si="24"/>
        <v>310.1348682816373</v>
      </c>
      <c r="K49" s="339">
        <f t="shared" si="24"/>
        <v>318.33847210608826</v>
      </c>
      <c r="L49" s="339">
        <f t="shared" si="24"/>
        <v>319.11671567802392</v>
      </c>
      <c r="M49" s="339">
        <f t="shared" si="24"/>
        <v>321.41453840370247</v>
      </c>
      <c r="N49" s="339">
        <f t="shared" si="24"/>
        <v>322.93989444248217</v>
      </c>
      <c r="O49" s="339">
        <f t="shared" si="24"/>
        <v>324.45686102304848</v>
      </c>
      <c r="P49" s="339">
        <f t="shared" ref="P49" si="25">P125</f>
        <v>325.21812397040088</v>
      </c>
    </row>
    <row r="50" spans="1:16" ht="20.25" customHeight="1" x14ac:dyDescent="0.25">
      <c r="B50" s="298" t="s">
        <v>399</v>
      </c>
      <c r="C50" s="299" t="s">
        <v>379</v>
      </c>
      <c r="F50" s="299">
        <f>+F12</f>
        <v>12</v>
      </c>
      <c r="G50" s="299">
        <v>12</v>
      </c>
      <c r="H50" s="299">
        <v>12</v>
      </c>
      <c r="I50" s="299">
        <v>12</v>
      </c>
      <c r="J50" s="299">
        <v>12</v>
      </c>
      <c r="K50" s="299">
        <v>12</v>
      </c>
      <c r="L50" s="299">
        <v>12</v>
      </c>
      <c r="M50" s="299">
        <v>12</v>
      </c>
      <c r="N50" s="299">
        <v>12</v>
      </c>
      <c r="O50" s="299">
        <v>12</v>
      </c>
      <c r="P50" s="299">
        <v>13</v>
      </c>
    </row>
    <row r="51" spans="1:16" ht="20.25" customHeight="1" x14ac:dyDescent="0.25">
      <c r="B51" s="352" t="s">
        <v>400</v>
      </c>
      <c r="C51" s="332" t="s">
        <v>401</v>
      </c>
      <c r="D51" s="332"/>
      <c r="E51" s="340"/>
      <c r="F51" s="340">
        <f>F49*F50</f>
        <v>6785.8559999999998</v>
      </c>
      <c r="G51" s="340">
        <f t="shared" ref="G51:N51" si="26">G49*G50</f>
        <v>3719.724961208216</v>
      </c>
      <c r="H51" s="340">
        <f t="shared" si="26"/>
        <v>3515.0497227315041</v>
      </c>
      <c r="I51" s="340">
        <f t="shared" si="26"/>
        <v>3623.0722543787315</v>
      </c>
      <c r="J51" s="340">
        <f t="shared" si="26"/>
        <v>3721.6184193796475</v>
      </c>
      <c r="K51" s="340">
        <f t="shared" si="26"/>
        <v>3820.0616652730591</v>
      </c>
      <c r="L51" s="340">
        <f t="shared" si="26"/>
        <v>3829.4005881362873</v>
      </c>
      <c r="M51" s="340">
        <f t="shared" si="26"/>
        <v>3856.9744608444298</v>
      </c>
      <c r="N51" s="340">
        <f t="shared" si="26"/>
        <v>3875.2787333097858</v>
      </c>
      <c r="O51" s="340">
        <f>O49*O50</f>
        <v>3893.4823322765815</v>
      </c>
      <c r="P51" s="340">
        <f>P49*P50</f>
        <v>4227.8356116152117</v>
      </c>
    </row>
    <row r="52" spans="1:16" ht="20.25" customHeight="1" x14ac:dyDescent="0.25">
      <c r="B52" s="336"/>
      <c r="C52" s="332"/>
      <c r="D52" s="332"/>
      <c r="E52" s="332"/>
      <c r="F52" s="332"/>
      <c r="G52" s="332"/>
      <c r="H52" s="332"/>
      <c r="I52" s="332"/>
      <c r="J52" s="332"/>
      <c r="K52" s="332"/>
      <c r="L52" s="332"/>
      <c r="M52" s="332"/>
      <c r="N52" s="332"/>
      <c r="O52" s="332"/>
      <c r="P52" s="332"/>
    </row>
    <row r="53" spans="1:16" ht="20.25" customHeight="1" x14ac:dyDescent="0.25">
      <c r="A53" s="323"/>
      <c r="B53" s="351" t="s">
        <v>402</v>
      </c>
      <c r="C53" s="345"/>
      <c r="D53" s="345"/>
      <c r="E53" s="304"/>
      <c r="F53" s="305">
        <f>F47</f>
        <v>46112</v>
      </c>
      <c r="G53" s="304">
        <f t="shared" ref="G53:N53" si="27">G47</f>
        <v>46477</v>
      </c>
      <c r="H53" s="305">
        <f t="shared" si="27"/>
        <v>46843</v>
      </c>
      <c r="I53" s="304">
        <f t="shared" si="27"/>
        <v>47208</v>
      </c>
      <c r="J53" s="305">
        <f t="shared" si="27"/>
        <v>47573</v>
      </c>
      <c r="K53" s="304">
        <f t="shared" si="27"/>
        <v>47938</v>
      </c>
      <c r="L53" s="305">
        <f t="shared" si="27"/>
        <v>48304</v>
      </c>
      <c r="M53" s="304">
        <f t="shared" si="27"/>
        <v>48669</v>
      </c>
      <c r="N53" s="305">
        <f t="shared" si="27"/>
        <v>49034</v>
      </c>
      <c r="O53" s="304">
        <f>O47</f>
        <v>49399</v>
      </c>
      <c r="P53" s="304">
        <f>P47</f>
        <v>49765</v>
      </c>
    </row>
    <row r="54" spans="1:16" ht="20.25" customHeight="1" x14ac:dyDescent="0.25">
      <c r="A54" s="332"/>
      <c r="B54" s="352"/>
      <c r="C54" s="332" t="s">
        <v>24</v>
      </c>
      <c r="D54" s="332"/>
      <c r="E54" s="332"/>
      <c r="F54" s="332"/>
      <c r="G54" s="332"/>
      <c r="H54" s="332"/>
      <c r="I54" s="332"/>
      <c r="J54" s="332"/>
      <c r="K54" s="332"/>
      <c r="L54" s="332"/>
      <c r="M54" s="332"/>
      <c r="N54" s="332"/>
      <c r="O54" s="332"/>
      <c r="P54" s="332"/>
    </row>
    <row r="55" spans="1:16" ht="20.25" customHeight="1" x14ac:dyDescent="0.25">
      <c r="B55" s="298" t="s">
        <v>403</v>
      </c>
      <c r="C55" s="299" t="s">
        <v>404</v>
      </c>
      <c r="E55" s="353"/>
      <c r="F55" s="379">
        <v>28</v>
      </c>
      <c r="G55" s="299">
        <f t="shared" ref="G55:P57" si="28">F55</f>
        <v>28</v>
      </c>
      <c r="H55" s="299">
        <f t="shared" si="28"/>
        <v>28</v>
      </c>
      <c r="I55" s="299">
        <f t="shared" si="28"/>
        <v>28</v>
      </c>
      <c r="J55" s="299">
        <f t="shared" si="28"/>
        <v>28</v>
      </c>
      <c r="K55" s="299">
        <f t="shared" si="28"/>
        <v>28</v>
      </c>
      <c r="L55" s="299">
        <f t="shared" si="28"/>
        <v>28</v>
      </c>
      <c r="M55" s="299">
        <f t="shared" si="28"/>
        <v>28</v>
      </c>
      <c r="N55" s="299">
        <f t="shared" si="28"/>
        <v>28</v>
      </c>
      <c r="O55" s="299">
        <f t="shared" si="28"/>
        <v>28</v>
      </c>
      <c r="P55" s="299">
        <f t="shared" si="28"/>
        <v>28</v>
      </c>
    </row>
    <row r="56" spans="1:16" ht="20.25" customHeight="1" x14ac:dyDescent="0.25">
      <c r="B56" s="298" t="s">
        <v>405</v>
      </c>
      <c r="C56" s="299" t="s">
        <v>404</v>
      </c>
      <c r="E56" s="353"/>
      <c r="F56" s="379">
        <v>80</v>
      </c>
      <c r="G56" s="299">
        <f t="shared" si="28"/>
        <v>80</v>
      </c>
      <c r="H56" s="299">
        <f t="shared" si="28"/>
        <v>80</v>
      </c>
      <c r="I56" s="299">
        <f t="shared" si="28"/>
        <v>80</v>
      </c>
      <c r="J56" s="299">
        <f t="shared" si="28"/>
        <v>80</v>
      </c>
      <c r="K56" s="299">
        <f t="shared" si="28"/>
        <v>80</v>
      </c>
      <c r="L56" s="299">
        <f t="shared" si="28"/>
        <v>80</v>
      </c>
      <c r="M56" s="299">
        <f t="shared" si="28"/>
        <v>80</v>
      </c>
      <c r="N56" s="299">
        <f t="shared" si="28"/>
        <v>80</v>
      </c>
      <c r="O56" s="299">
        <f t="shared" si="28"/>
        <v>80</v>
      </c>
      <c r="P56" s="299">
        <f t="shared" si="28"/>
        <v>80</v>
      </c>
    </row>
    <row r="57" spans="1:16" ht="20.25" customHeight="1" x14ac:dyDescent="0.25">
      <c r="B57" s="298" t="s">
        <v>406</v>
      </c>
      <c r="C57" s="299" t="s">
        <v>404</v>
      </c>
      <c r="E57" s="354"/>
      <c r="F57" s="380">
        <f>116-11</f>
        <v>105</v>
      </c>
      <c r="G57" s="299">
        <f t="shared" si="28"/>
        <v>105</v>
      </c>
      <c r="H57" s="299">
        <f t="shared" si="28"/>
        <v>105</v>
      </c>
      <c r="I57" s="299">
        <f t="shared" si="28"/>
        <v>105</v>
      </c>
      <c r="J57" s="326">
        <f t="shared" si="28"/>
        <v>105</v>
      </c>
      <c r="K57" s="326">
        <f t="shared" si="28"/>
        <v>105</v>
      </c>
      <c r="L57" s="326">
        <f t="shared" si="28"/>
        <v>105</v>
      </c>
      <c r="M57" s="326">
        <f t="shared" si="28"/>
        <v>105</v>
      </c>
      <c r="N57" s="326">
        <f t="shared" si="28"/>
        <v>105</v>
      </c>
      <c r="O57" s="326">
        <f t="shared" si="28"/>
        <v>105</v>
      </c>
      <c r="P57" s="326">
        <f t="shared" si="28"/>
        <v>105</v>
      </c>
    </row>
    <row r="58" spans="1:16" ht="20.25" customHeight="1" x14ac:dyDescent="0.25">
      <c r="B58" s="351" t="s">
        <v>122</v>
      </c>
      <c r="C58" s="325"/>
      <c r="D58" s="325"/>
      <c r="E58" s="355"/>
      <c r="F58" s="355">
        <f t="shared" ref="F58:O58" si="29">SUM(F55:F57)</f>
        <v>213</v>
      </c>
      <c r="G58" s="355">
        <f t="shared" si="29"/>
        <v>213</v>
      </c>
      <c r="H58" s="355">
        <f t="shared" si="29"/>
        <v>213</v>
      </c>
      <c r="I58" s="355">
        <f t="shared" si="29"/>
        <v>213</v>
      </c>
      <c r="J58" s="355">
        <f t="shared" si="29"/>
        <v>213</v>
      </c>
      <c r="K58" s="355">
        <f t="shared" si="29"/>
        <v>213</v>
      </c>
      <c r="L58" s="355">
        <f t="shared" si="29"/>
        <v>213</v>
      </c>
      <c r="M58" s="355">
        <f t="shared" si="29"/>
        <v>213</v>
      </c>
      <c r="N58" s="355">
        <f t="shared" si="29"/>
        <v>213</v>
      </c>
      <c r="O58" s="355">
        <f t="shared" si="29"/>
        <v>213</v>
      </c>
      <c r="P58" s="355">
        <f t="shared" ref="P58" si="30">SUM(P55:P57)</f>
        <v>213</v>
      </c>
    </row>
    <row r="59" spans="1:16" ht="20.25" customHeight="1" x14ac:dyDescent="0.25">
      <c r="B59" s="336"/>
      <c r="C59" s="332"/>
      <c r="D59" s="332"/>
      <c r="E59" s="332"/>
      <c r="F59" s="332"/>
      <c r="G59" s="332"/>
      <c r="H59" s="332"/>
      <c r="I59" s="332"/>
      <c r="J59" s="332"/>
      <c r="K59" s="332"/>
      <c r="L59" s="332"/>
      <c r="M59" s="332"/>
      <c r="N59" s="332"/>
      <c r="O59" s="332"/>
      <c r="P59" s="332"/>
    </row>
    <row r="60" spans="1:16" ht="20.25" customHeight="1" x14ac:dyDescent="0.25">
      <c r="B60" s="336" t="s">
        <v>407</v>
      </c>
    </row>
    <row r="61" spans="1:16" ht="20.25" customHeight="1" x14ac:dyDescent="0.25">
      <c r="B61" s="298" t="str">
        <f>+B55</f>
        <v>Skilled Staff</v>
      </c>
      <c r="C61" s="299" t="s">
        <v>408</v>
      </c>
      <c r="D61" s="382">
        <v>0.05</v>
      </c>
      <c r="E61" s="353"/>
      <c r="F61" s="379">
        <v>25000</v>
      </c>
      <c r="G61" s="299">
        <f>F61*(1+$D$61)</f>
        <v>26250</v>
      </c>
      <c r="H61" s="326">
        <f>G61*(1+$D$61)</f>
        <v>27562.5</v>
      </c>
      <c r="I61" s="326">
        <f t="shared" ref="I61:P61" si="31">H61*(1+$D$61)</f>
        <v>28940.625</v>
      </c>
      <c r="J61" s="326">
        <f t="shared" si="31"/>
        <v>30387.65625</v>
      </c>
      <c r="K61" s="326">
        <f t="shared" si="31"/>
        <v>31907.0390625</v>
      </c>
      <c r="L61" s="326">
        <f t="shared" si="31"/>
        <v>33502.391015624999</v>
      </c>
      <c r="M61" s="326">
        <f t="shared" si="31"/>
        <v>35177.51056640625</v>
      </c>
      <c r="N61" s="326">
        <f t="shared" si="31"/>
        <v>36936.386094726564</v>
      </c>
      <c r="O61" s="326">
        <f t="shared" si="31"/>
        <v>38783.205399462895</v>
      </c>
      <c r="P61" s="326">
        <f t="shared" si="31"/>
        <v>40722.36566943604</v>
      </c>
    </row>
    <row r="62" spans="1:16" ht="20.25" customHeight="1" x14ac:dyDescent="0.25">
      <c r="B62" s="298" t="str">
        <f>+B56</f>
        <v>Semi-Skilled Staff</v>
      </c>
      <c r="C62" s="299" t="s">
        <v>408</v>
      </c>
      <c r="D62" s="382">
        <v>0.05</v>
      </c>
      <c r="E62" s="353"/>
      <c r="F62" s="379">
        <v>20000</v>
      </c>
      <c r="G62" s="326">
        <f>F62*(1+$D$62)</f>
        <v>21000</v>
      </c>
      <c r="H62" s="326">
        <f>G62*(1+$D$62)</f>
        <v>22050</v>
      </c>
      <c r="I62" s="326">
        <f t="shared" ref="I62:P62" si="32">H62*(1+$D$62)</f>
        <v>23152.5</v>
      </c>
      <c r="J62" s="326">
        <f t="shared" si="32"/>
        <v>24310.125</v>
      </c>
      <c r="K62" s="326">
        <f t="shared" si="32"/>
        <v>25525.631250000002</v>
      </c>
      <c r="L62" s="326">
        <f t="shared" si="32"/>
        <v>26801.912812500002</v>
      </c>
      <c r="M62" s="326">
        <f t="shared" si="32"/>
        <v>28142.008453125003</v>
      </c>
      <c r="N62" s="326">
        <f t="shared" si="32"/>
        <v>29549.108875781254</v>
      </c>
      <c r="O62" s="326">
        <f t="shared" si="32"/>
        <v>31026.56431957032</v>
      </c>
      <c r="P62" s="326">
        <f t="shared" si="32"/>
        <v>32577.892535548835</v>
      </c>
    </row>
    <row r="63" spans="1:16" ht="20.25" customHeight="1" x14ac:dyDescent="0.25">
      <c r="B63" s="298" t="str">
        <f>+B57</f>
        <v>Unskilled Staff</v>
      </c>
      <c r="C63" s="299" t="s">
        <v>408</v>
      </c>
      <c r="D63" s="382">
        <v>0.05</v>
      </c>
      <c r="E63" s="353"/>
      <c r="F63" s="379">
        <v>15000</v>
      </c>
      <c r="G63" s="326">
        <f>F63*(1+$D$63)</f>
        <v>15750</v>
      </c>
      <c r="H63" s="326">
        <f t="shared" ref="H63:P63" si="33">G63*(1+$D$63)</f>
        <v>16537.5</v>
      </c>
      <c r="I63" s="326">
        <f t="shared" si="33"/>
        <v>17364.375</v>
      </c>
      <c r="J63" s="326">
        <f t="shared" si="33"/>
        <v>18232.59375</v>
      </c>
      <c r="K63" s="326">
        <f t="shared" si="33"/>
        <v>19144.223437500001</v>
      </c>
      <c r="L63" s="326">
        <f t="shared" si="33"/>
        <v>20101.434609375003</v>
      </c>
      <c r="M63" s="326">
        <f t="shared" si="33"/>
        <v>21106.506339843752</v>
      </c>
      <c r="N63" s="326">
        <f t="shared" si="33"/>
        <v>22161.831656835941</v>
      </c>
      <c r="O63" s="326">
        <f t="shared" si="33"/>
        <v>23269.923239677737</v>
      </c>
      <c r="P63" s="326">
        <f t="shared" si="33"/>
        <v>24433.419401661624</v>
      </c>
    </row>
    <row r="64" spans="1:16" ht="20.25" customHeight="1" x14ac:dyDescent="0.25">
      <c r="B64" s="351" t="s">
        <v>122</v>
      </c>
      <c r="C64" s="325"/>
      <c r="D64" s="325"/>
      <c r="E64" s="355"/>
      <c r="F64" s="355">
        <f t="shared" ref="F64:O64" si="34">SUM(F61:F63)</f>
        <v>60000</v>
      </c>
      <c r="G64" s="355">
        <f t="shared" si="34"/>
        <v>63000</v>
      </c>
      <c r="H64" s="355">
        <f t="shared" si="34"/>
        <v>66150</v>
      </c>
      <c r="I64" s="355">
        <f t="shared" si="34"/>
        <v>69457.5</v>
      </c>
      <c r="J64" s="355">
        <f t="shared" si="34"/>
        <v>72930.375</v>
      </c>
      <c r="K64" s="355">
        <f t="shared" si="34"/>
        <v>76576.893750000003</v>
      </c>
      <c r="L64" s="355">
        <f t="shared" si="34"/>
        <v>80405.738437500011</v>
      </c>
      <c r="M64" s="355">
        <f t="shared" si="34"/>
        <v>84426.025359375009</v>
      </c>
      <c r="N64" s="355">
        <f t="shared" si="34"/>
        <v>88647.326627343762</v>
      </c>
      <c r="O64" s="355">
        <f t="shared" si="34"/>
        <v>93079.692958710948</v>
      </c>
      <c r="P64" s="355">
        <f t="shared" ref="P64" si="35">SUM(P61:P63)</f>
        <v>97733.677606646495</v>
      </c>
    </row>
    <row r="65" spans="1:16" ht="20.25" customHeight="1" x14ac:dyDescent="0.25">
      <c r="B65" s="336"/>
      <c r="C65" s="332"/>
      <c r="D65" s="332"/>
      <c r="E65" s="332"/>
      <c r="F65" s="332"/>
      <c r="G65" s="332"/>
      <c r="H65" s="332"/>
      <c r="I65" s="332"/>
      <c r="J65" s="332"/>
      <c r="K65" s="332"/>
      <c r="L65" s="332"/>
      <c r="M65" s="332"/>
      <c r="N65" s="332"/>
      <c r="O65" s="332"/>
      <c r="P65" s="332"/>
    </row>
    <row r="66" spans="1:16" ht="20.25" customHeight="1" x14ac:dyDescent="0.25">
      <c r="B66" s="336" t="s">
        <v>409</v>
      </c>
    </row>
    <row r="67" spans="1:16" ht="20.25" customHeight="1" x14ac:dyDescent="0.25">
      <c r="B67" s="298" t="s">
        <v>410</v>
      </c>
      <c r="C67" s="299" t="s">
        <v>411</v>
      </c>
      <c r="E67" s="366"/>
      <c r="F67" s="366">
        <f t="shared" ref="F67:P69" si="36">(F55*F61*$F$12)/10^5</f>
        <v>84</v>
      </c>
      <c r="G67" s="366">
        <f t="shared" si="36"/>
        <v>88.2</v>
      </c>
      <c r="H67" s="366">
        <f t="shared" si="36"/>
        <v>92.61</v>
      </c>
      <c r="I67" s="366">
        <f t="shared" si="36"/>
        <v>97.240499999999997</v>
      </c>
      <c r="J67" s="366">
        <f t="shared" si="36"/>
        <v>102.102525</v>
      </c>
      <c r="K67" s="366">
        <f t="shared" si="36"/>
        <v>107.20765125</v>
      </c>
      <c r="L67" s="366">
        <f t="shared" si="36"/>
        <v>112.56803381249999</v>
      </c>
      <c r="M67" s="366">
        <f t="shared" si="36"/>
        <v>118.196435503125</v>
      </c>
      <c r="N67" s="366">
        <f t="shared" si="36"/>
        <v>124.10625727828126</v>
      </c>
      <c r="O67" s="366">
        <f t="shared" si="36"/>
        <v>130.31157014219534</v>
      </c>
      <c r="P67" s="366">
        <f t="shared" si="36"/>
        <v>136.82714864930509</v>
      </c>
    </row>
    <row r="68" spans="1:16" ht="20.25" customHeight="1" x14ac:dyDescent="0.25">
      <c r="B68" s="298" t="str">
        <f>B62</f>
        <v>Semi-Skilled Staff</v>
      </c>
      <c r="C68" s="299" t="s">
        <v>411</v>
      </c>
      <c r="E68" s="366"/>
      <c r="F68" s="366">
        <f t="shared" si="36"/>
        <v>192</v>
      </c>
      <c r="G68" s="366">
        <f t="shared" si="36"/>
        <v>201.6</v>
      </c>
      <c r="H68" s="366">
        <f t="shared" si="36"/>
        <v>211.68</v>
      </c>
      <c r="I68" s="366">
        <f t="shared" si="36"/>
        <v>222.26400000000001</v>
      </c>
      <c r="J68" s="366">
        <f t="shared" si="36"/>
        <v>233.37719999999999</v>
      </c>
      <c r="K68" s="366">
        <f t="shared" si="36"/>
        <v>245.04606000000004</v>
      </c>
      <c r="L68" s="366">
        <f t="shared" si="36"/>
        <v>257.29836300000005</v>
      </c>
      <c r="M68" s="366">
        <f t="shared" si="36"/>
        <v>270.16328115000005</v>
      </c>
      <c r="N68" s="366">
        <f t="shared" si="36"/>
        <v>283.67144520750003</v>
      </c>
      <c r="O68" s="366">
        <f t="shared" si="36"/>
        <v>297.85501746787509</v>
      </c>
      <c r="P68" s="366">
        <f t="shared" si="36"/>
        <v>312.7477683412688</v>
      </c>
    </row>
    <row r="69" spans="1:16" ht="20.25" customHeight="1" x14ac:dyDescent="0.25">
      <c r="B69" s="298" t="s">
        <v>406</v>
      </c>
      <c r="C69" s="299" t="s">
        <v>411</v>
      </c>
      <c r="E69" s="366"/>
      <c r="F69" s="366">
        <f t="shared" si="36"/>
        <v>189</v>
      </c>
      <c r="G69" s="366">
        <f t="shared" si="36"/>
        <v>198.45</v>
      </c>
      <c r="H69" s="366">
        <f t="shared" si="36"/>
        <v>208.3725</v>
      </c>
      <c r="I69" s="366">
        <f t="shared" si="36"/>
        <v>218.79112499999999</v>
      </c>
      <c r="J69" s="366">
        <f t="shared" si="36"/>
        <v>229.73068125</v>
      </c>
      <c r="K69" s="366">
        <f t="shared" si="36"/>
        <v>241.2172153125</v>
      </c>
      <c r="L69" s="366">
        <f t="shared" si="36"/>
        <v>253.27807607812503</v>
      </c>
      <c r="M69" s="366">
        <f t="shared" si="36"/>
        <v>265.94197988203132</v>
      </c>
      <c r="N69" s="366">
        <f t="shared" si="36"/>
        <v>279.23907887613291</v>
      </c>
      <c r="O69" s="366">
        <f t="shared" si="36"/>
        <v>293.20103281993948</v>
      </c>
      <c r="P69" s="366">
        <f t="shared" si="36"/>
        <v>307.86108446093647</v>
      </c>
    </row>
    <row r="70" spans="1:16" ht="20.25" customHeight="1" x14ac:dyDescent="0.25">
      <c r="B70" s="351" t="s">
        <v>122</v>
      </c>
      <c r="C70" s="325"/>
      <c r="D70" s="325"/>
      <c r="E70" s="344"/>
      <c r="F70" s="344">
        <f t="shared" ref="F70:P70" si="37">SUM(F67:F69)</f>
        <v>465</v>
      </c>
      <c r="G70" s="344">
        <f t="shared" si="37"/>
        <v>488.25</v>
      </c>
      <c r="H70" s="344">
        <f t="shared" si="37"/>
        <v>512.66250000000002</v>
      </c>
      <c r="I70" s="344">
        <f t="shared" si="37"/>
        <v>538.29562499999997</v>
      </c>
      <c r="J70" s="344">
        <f t="shared" si="37"/>
        <v>565.21040625000001</v>
      </c>
      <c r="K70" s="344">
        <f t="shared" si="37"/>
        <v>593.47092656250004</v>
      </c>
      <c r="L70" s="344">
        <f t="shared" si="37"/>
        <v>623.14447289062514</v>
      </c>
      <c r="M70" s="344">
        <f t="shared" si="37"/>
        <v>654.30169653515634</v>
      </c>
      <c r="N70" s="344">
        <f t="shared" si="37"/>
        <v>687.01678136191413</v>
      </c>
      <c r="O70" s="344">
        <f t="shared" si="37"/>
        <v>721.36762043000999</v>
      </c>
      <c r="P70" s="344">
        <f t="shared" si="37"/>
        <v>757.43600145151038</v>
      </c>
    </row>
    <row r="71" spans="1:16" ht="20.25" customHeight="1" x14ac:dyDescent="0.25">
      <c r="B71" s="336"/>
      <c r="C71" s="332"/>
      <c r="D71" s="332"/>
      <c r="E71" s="332"/>
      <c r="F71" s="332"/>
      <c r="G71" s="332"/>
      <c r="H71" s="332"/>
      <c r="I71" s="332"/>
      <c r="J71" s="332"/>
      <c r="K71" s="332"/>
      <c r="L71" s="332"/>
      <c r="M71" s="332"/>
      <c r="N71" s="332"/>
      <c r="O71" s="332"/>
      <c r="P71" s="332"/>
    </row>
    <row r="72" spans="1:16" ht="20.25" customHeight="1" x14ac:dyDescent="0.25">
      <c r="B72" s="351" t="s">
        <v>412</v>
      </c>
      <c r="C72" s="345"/>
      <c r="D72" s="345"/>
      <c r="E72" s="345"/>
      <c r="F72" s="345"/>
      <c r="G72" s="345"/>
      <c r="H72" s="345"/>
      <c r="I72" s="345"/>
      <c r="J72" s="345"/>
      <c r="K72" s="402"/>
      <c r="L72" s="402"/>
      <c r="M72" s="402" t="s">
        <v>443</v>
      </c>
      <c r="N72" s="402"/>
      <c r="O72" s="365"/>
      <c r="P72" s="365"/>
    </row>
    <row r="73" spans="1:16" ht="20.25" customHeight="1" x14ac:dyDescent="0.25">
      <c r="B73" s="298" t="s">
        <v>413</v>
      </c>
      <c r="C73" s="299" t="s">
        <v>404</v>
      </c>
      <c r="E73" s="353"/>
      <c r="F73" s="379">
        <v>5</v>
      </c>
      <c r="G73" s="299">
        <f>+F73</f>
        <v>5</v>
      </c>
      <c r="H73" s="299">
        <f t="shared" ref="H73:P73" si="38">+G73</f>
        <v>5</v>
      </c>
      <c r="I73" s="299">
        <f t="shared" si="38"/>
        <v>5</v>
      </c>
      <c r="J73" s="299">
        <f t="shared" si="38"/>
        <v>5</v>
      </c>
      <c r="K73" s="299">
        <f t="shared" si="38"/>
        <v>5</v>
      </c>
      <c r="L73" s="299">
        <f t="shared" si="38"/>
        <v>5</v>
      </c>
      <c r="M73" s="299">
        <f t="shared" si="38"/>
        <v>5</v>
      </c>
      <c r="N73" s="299">
        <f t="shared" si="38"/>
        <v>5</v>
      </c>
      <c r="O73" s="299">
        <f t="shared" si="38"/>
        <v>5</v>
      </c>
      <c r="P73" s="299">
        <f t="shared" si="38"/>
        <v>5</v>
      </c>
    </row>
    <row r="74" spans="1:16" ht="20.25" customHeight="1" x14ac:dyDescent="0.25">
      <c r="B74" s="298" t="s">
        <v>414</v>
      </c>
      <c r="C74" s="299" t="s">
        <v>404</v>
      </c>
      <c r="E74" s="353"/>
      <c r="F74" s="379">
        <v>5</v>
      </c>
      <c r="G74" s="299">
        <f t="shared" ref="G74:P76" si="39">+F74</f>
        <v>5</v>
      </c>
      <c r="H74" s="299">
        <f t="shared" si="39"/>
        <v>5</v>
      </c>
      <c r="I74" s="299">
        <f t="shared" si="39"/>
        <v>5</v>
      </c>
      <c r="J74" s="299">
        <f t="shared" si="39"/>
        <v>5</v>
      </c>
      <c r="K74" s="299">
        <f t="shared" si="39"/>
        <v>5</v>
      </c>
      <c r="L74" s="299">
        <f t="shared" si="39"/>
        <v>5</v>
      </c>
      <c r="M74" s="299">
        <f t="shared" si="39"/>
        <v>5</v>
      </c>
      <c r="N74" s="299">
        <f t="shared" si="39"/>
        <v>5</v>
      </c>
      <c r="O74" s="299">
        <f t="shared" si="39"/>
        <v>5</v>
      </c>
      <c r="P74" s="299">
        <f t="shared" si="39"/>
        <v>5</v>
      </c>
    </row>
    <row r="75" spans="1:16" ht="20.25" customHeight="1" x14ac:dyDescent="0.25">
      <c r="B75" s="298" t="s">
        <v>415</v>
      </c>
      <c r="C75" s="299" t="s">
        <v>404</v>
      </c>
      <c r="E75" s="353"/>
      <c r="F75" s="379">
        <v>6</v>
      </c>
      <c r="G75" s="299">
        <f t="shared" si="39"/>
        <v>6</v>
      </c>
      <c r="H75" s="299">
        <f t="shared" si="39"/>
        <v>6</v>
      </c>
      <c r="I75" s="299">
        <f t="shared" si="39"/>
        <v>6</v>
      </c>
      <c r="J75" s="299">
        <f t="shared" si="39"/>
        <v>6</v>
      </c>
      <c r="K75" s="299">
        <f t="shared" si="39"/>
        <v>6</v>
      </c>
      <c r="L75" s="299">
        <f t="shared" si="39"/>
        <v>6</v>
      </c>
      <c r="M75" s="299">
        <f t="shared" si="39"/>
        <v>6</v>
      </c>
      <c r="N75" s="299">
        <f t="shared" si="39"/>
        <v>6</v>
      </c>
      <c r="O75" s="299">
        <f t="shared" si="39"/>
        <v>6</v>
      </c>
      <c r="P75" s="299">
        <f t="shared" si="39"/>
        <v>6</v>
      </c>
    </row>
    <row r="76" spans="1:16" ht="20.25" customHeight="1" x14ac:dyDescent="0.25">
      <c r="B76" s="298" t="s">
        <v>416</v>
      </c>
      <c r="C76" s="299" t="s">
        <v>404</v>
      </c>
      <c r="E76" s="353"/>
      <c r="F76" s="379">
        <v>1</v>
      </c>
      <c r="G76" s="299">
        <f t="shared" si="39"/>
        <v>1</v>
      </c>
      <c r="H76" s="299">
        <f t="shared" si="39"/>
        <v>1</v>
      </c>
      <c r="I76" s="299">
        <f t="shared" si="39"/>
        <v>1</v>
      </c>
      <c r="J76" s="299">
        <f t="shared" si="39"/>
        <v>1</v>
      </c>
      <c r="K76" s="299">
        <f t="shared" si="39"/>
        <v>1</v>
      </c>
      <c r="L76" s="299">
        <f t="shared" si="39"/>
        <v>1</v>
      </c>
      <c r="M76" s="299">
        <f t="shared" si="39"/>
        <v>1</v>
      </c>
      <c r="N76" s="299">
        <f t="shared" si="39"/>
        <v>1</v>
      </c>
      <c r="O76" s="299">
        <f t="shared" si="39"/>
        <v>1</v>
      </c>
      <c r="P76" s="299">
        <f t="shared" si="39"/>
        <v>1</v>
      </c>
    </row>
    <row r="77" spans="1:16" ht="20.25" customHeight="1" x14ac:dyDescent="0.25">
      <c r="A77" s="336"/>
      <c r="B77" s="351" t="s">
        <v>417</v>
      </c>
      <c r="C77" s="325" t="s">
        <v>404</v>
      </c>
      <c r="D77" s="325"/>
      <c r="E77" s="325"/>
      <c r="F77" s="325">
        <f t="shared" ref="F77:N77" si="40">SUM(F73:F76)</f>
        <v>17</v>
      </c>
      <c r="G77" s="325">
        <f t="shared" si="40"/>
        <v>17</v>
      </c>
      <c r="H77" s="325">
        <f t="shared" si="40"/>
        <v>17</v>
      </c>
      <c r="I77" s="325">
        <f t="shared" si="40"/>
        <v>17</v>
      </c>
      <c r="J77" s="325">
        <f t="shared" si="40"/>
        <v>17</v>
      </c>
      <c r="K77" s="325">
        <f t="shared" si="40"/>
        <v>17</v>
      </c>
      <c r="L77" s="325">
        <f t="shared" si="40"/>
        <v>17</v>
      </c>
      <c r="M77" s="325">
        <f t="shared" si="40"/>
        <v>17</v>
      </c>
      <c r="N77" s="325">
        <f t="shared" si="40"/>
        <v>17</v>
      </c>
      <c r="O77" s="325">
        <f>SUM(O73:O76)</f>
        <v>17</v>
      </c>
      <c r="P77" s="325">
        <f>SUM(P73:P76)</f>
        <v>17</v>
      </c>
    </row>
    <row r="78" spans="1:16" ht="20.25" customHeight="1" x14ac:dyDescent="0.25">
      <c r="A78" s="336"/>
      <c r="B78" s="336"/>
      <c r="C78" s="332"/>
      <c r="D78" s="332"/>
      <c r="E78" s="332"/>
      <c r="F78" s="332"/>
      <c r="G78" s="332"/>
      <c r="H78" s="332"/>
      <c r="I78" s="332"/>
      <c r="J78" s="332"/>
      <c r="K78" s="332"/>
      <c r="L78" s="332"/>
      <c r="M78" s="332"/>
      <c r="N78" s="332"/>
      <c r="O78" s="332"/>
      <c r="P78" s="332"/>
    </row>
    <row r="79" spans="1:16" ht="20.25" customHeight="1" x14ac:dyDescent="0.25">
      <c r="B79" s="336" t="s">
        <v>418</v>
      </c>
    </row>
    <row r="80" spans="1:16" ht="20.25" customHeight="1" x14ac:dyDescent="0.25">
      <c r="B80" s="298" t="str">
        <f>B73</f>
        <v>Sales &amp; Marketing</v>
      </c>
      <c r="D80" s="382">
        <v>0.08</v>
      </c>
      <c r="E80" s="353"/>
      <c r="F80" s="379">
        <v>20000</v>
      </c>
      <c r="G80" s="326">
        <f>F80*(1+$D$80)</f>
        <v>21600</v>
      </c>
      <c r="H80" s="326">
        <f>G80*(1+$D$80)</f>
        <v>23328</v>
      </c>
      <c r="I80" s="326">
        <f t="shared" ref="I80:P80" si="41">H80*(1+$D$80)</f>
        <v>25194.240000000002</v>
      </c>
      <c r="J80" s="326">
        <f t="shared" si="41"/>
        <v>27209.779200000004</v>
      </c>
      <c r="K80" s="326">
        <f t="shared" si="41"/>
        <v>29386.561536000008</v>
      </c>
      <c r="L80" s="326">
        <f t="shared" si="41"/>
        <v>31737.486458880012</v>
      </c>
      <c r="M80" s="326">
        <f t="shared" si="41"/>
        <v>34276.485375590419</v>
      </c>
      <c r="N80" s="326">
        <f t="shared" si="41"/>
        <v>37018.604205637654</v>
      </c>
      <c r="O80" s="326">
        <f t="shared" si="41"/>
        <v>39980.092542088671</v>
      </c>
      <c r="P80" s="326">
        <f t="shared" si="41"/>
        <v>43178.499945455769</v>
      </c>
    </row>
    <row r="81" spans="1:16" ht="20.25" customHeight="1" x14ac:dyDescent="0.25">
      <c r="B81" s="298" t="str">
        <f>B74</f>
        <v>Commercial Manager</v>
      </c>
      <c r="D81" s="382">
        <v>0.08</v>
      </c>
      <c r="E81" s="353"/>
      <c r="F81" s="379">
        <v>30000</v>
      </c>
      <c r="G81" s="326">
        <f>F81*(1+$D$81)</f>
        <v>32400.000000000004</v>
      </c>
      <c r="H81" s="326">
        <f>G81*(1+$D$81)</f>
        <v>34992.000000000007</v>
      </c>
      <c r="I81" s="326">
        <f t="shared" ref="I81:P81" si="42">H81*(1+$D$81)</f>
        <v>37791.360000000008</v>
      </c>
      <c r="J81" s="326">
        <f t="shared" si="42"/>
        <v>40814.668800000014</v>
      </c>
      <c r="K81" s="326">
        <f t="shared" si="42"/>
        <v>44079.84230400002</v>
      </c>
      <c r="L81" s="326">
        <f t="shared" si="42"/>
        <v>47606.229688320025</v>
      </c>
      <c r="M81" s="326">
        <f t="shared" si="42"/>
        <v>51414.728063385628</v>
      </c>
      <c r="N81" s="326">
        <f t="shared" si="42"/>
        <v>55527.906308456484</v>
      </c>
      <c r="O81" s="326">
        <f t="shared" si="42"/>
        <v>59970.13881313301</v>
      </c>
      <c r="P81" s="326">
        <f t="shared" si="42"/>
        <v>64767.749918183654</v>
      </c>
    </row>
    <row r="82" spans="1:16" ht="20.25" customHeight="1" x14ac:dyDescent="0.25">
      <c r="B82" s="298" t="str">
        <f>B75</f>
        <v>HR &amp; Accounting Staff</v>
      </c>
      <c r="D82" s="382">
        <v>0.08</v>
      </c>
      <c r="E82" s="353"/>
      <c r="F82" s="379">
        <v>35000</v>
      </c>
      <c r="G82" s="326">
        <f>F82*(1+$D$82)</f>
        <v>37800</v>
      </c>
      <c r="H82" s="326">
        <f>G82*(1+$D$82)</f>
        <v>40824</v>
      </c>
      <c r="I82" s="326">
        <f t="shared" ref="I82:P82" si="43">H82*(1+$D$82)</f>
        <v>44089.920000000006</v>
      </c>
      <c r="J82" s="326">
        <f t="shared" si="43"/>
        <v>47617.113600000012</v>
      </c>
      <c r="K82" s="326">
        <f t="shared" si="43"/>
        <v>51426.482688000018</v>
      </c>
      <c r="L82" s="326">
        <f t="shared" si="43"/>
        <v>55540.601303040021</v>
      </c>
      <c r="M82" s="326">
        <f t="shared" si="43"/>
        <v>59983.849407283225</v>
      </c>
      <c r="N82" s="326">
        <f t="shared" si="43"/>
        <v>64782.557359865888</v>
      </c>
      <c r="O82" s="326">
        <f t="shared" si="43"/>
        <v>69965.161948655164</v>
      </c>
      <c r="P82" s="326">
        <f t="shared" si="43"/>
        <v>75562.374904547585</v>
      </c>
    </row>
    <row r="83" spans="1:16" ht="20.25" customHeight="1" x14ac:dyDescent="0.25">
      <c r="B83" s="298" t="str">
        <f>B76</f>
        <v>Technical Director</v>
      </c>
      <c r="D83" s="382">
        <v>0.08</v>
      </c>
      <c r="E83" s="353"/>
      <c r="F83" s="379">
        <v>40000</v>
      </c>
      <c r="G83" s="326">
        <f>F83*(1+$D$83)</f>
        <v>43200</v>
      </c>
      <c r="H83" s="326">
        <f>G83*(1+$D$83)</f>
        <v>46656</v>
      </c>
      <c r="I83" s="326">
        <f t="shared" ref="I83:P83" si="44">H83*(1+$D$83)</f>
        <v>50388.480000000003</v>
      </c>
      <c r="J83" s="326">
        <f t="shared" si="44"/>
        <v>54419.558400000009</v>
      </c>
      <c r="K83" s="326">
        <f t="shared" si="44"/>
        <v>58773.123072000017</v>
      </c>
      <c r="L83" s="326">
        <f t="shared" si="44"/>
        <v>63474.972917760024</v>
      </c>
      <c r="M83" s="326">
        <f t="shared" si="44"/>
        <v>68552.970751180837</v>
      </c>
      <c r="N83" s="326">
        <f t="shared" si="44"/>
        <v>74037.208411275307</v>
      </c>
      <c r="O83" s="326">
        <f t="shared" si="44"/>
        <v>79960.185084177341</v>
      </c>
      <c r="P83" s="326">
        <f t="shared" si="44"/>
        <v>86356.999890911538</v>
      </c>
    </row>
    <row r="84" spans="1:16" ht="20.25" customHeight="1" x14ac:dyDescent="0.25">
      <c r="A84" s="336"/>
      <c r="B84" s="351" t="s">
        <v>419</v>
      </c>
      <c r="C84" s="325" t="s">
        <v>411</v>
      </c>
      <c r="D84" s="325"/>
      <c r="E84" s="355"/>
      <c r="F84" s="355">
        <f>SUM(F80:F83)</f>
        <v>125000</v>
      </c>
      <c r="G84" s="355">
        <f t="shared" ref="G84:P84" si="45">SUM(G80:G83)</f>
        <v>135000</v>
      </c>
      <c r="H84" s="355">
        <f t="shared" si="45"/>
        <v>145800</v>
      </c>
      <c r="I84" s="355">
        <f t="shared" si="45"/>
        <v>157464.00000000003</v>
      </c>
      <c r="J84" s="355">
        <f t="shared" si="45"/>
        <v>170061.12000000005</v>
      </c>
      <c r="K84" s="355">
        <f t="shared" si="45"/>
        <v>183666.00960000005</v>
      </c>
      <c r="L84" s="355">
        <f t="shared" si="45"/>
        <v>198359.29036800007</v>
      </c>
      <c r="M84" s="355">
        <f t="shared" si="45"/>
        <v>214228.03359744011</v>
      </c>
      <c r="N84" s="355">
        <f t="shared" si="45"/>
        <v>231366.27628523536</v>
      </c>
      <c r="O84" s="355">
        <f t="shared" si="45"/>
        <v>249875.57838805421</v>
      </c>
      <c r="P84" s="355">
        <f t="shared" si="45"/>
        <v>269865.62465909857</v>
      </c>
    </row>
    <row r="85" spans="1:16" ht="20.25" customHeight="1" x14ac:dyDescent="0.25">
      <c r="A85" s="336"/>
      <c r="B85" s="336"/>
      <c r="C85" s="332"/>
      <c r="D85" s="332"/>
      <c r="E85" s="332"/>
      <c r="F85" s="332"/>
      <c r="G85" s="332"/>
      <c r="H85" s="332"/>
      <c r="I85" s="332"/>
      <c r="J85" s="332"/>
      <c r="K85" s="332"/>
      <c r="L85" s="332"/>
      <c r="M85" s="332"/>
      <c r="N85" s="332"/>
      <c r="O85" s="332"/>
      <c r="P85" s="332"/>
    </row>
    <row r="86" spans="1:16" ht="20.25" customHeight="1" x14ac:dyDescent="0.25">
      <c r="B86" s="298" t="str">
        <f>B80</f>
        <v>Sales &amp; Marketing</v>
      </c>
      <c r="E86" s="367"/>
      <c r="F86" s="367">
        <f>(F73*F80*F12)/10^5</f>
        <v>12</v>
      </c>
      <c r="G86" s="367">
        <f>(G73*G80*G12)/10^5</f>
        <v>12.96</v>
      </c>
      <c r="H86" s="367">
        <f t="shared" ref="H86:P86" si="46">(H73*H80*H12)/10^5</f>
        <v>13.9968</v>
      </c>
      <c r="I86" s="367">
        <f t="shared" si="46"/>
        <v>15.116544000000001</v>
      </c>
      <c r="J86" s="367">
        <f t="shared" si="46"/>
        <v>16.325867519999999</v>
      </c>
      <c r="K86" s="367">
        <f t="shared" si="46"/>
        <v>17.631936921600005</v>
      </c>
      <c r="L86" s="367">
        <f t="shared" si="46"/>
        <v>19.042491875328007</v>
      </c>
      <c r="M86" s="367">
        <f t="shared" si="46"/>
        <v>20.565891225354253</v>
      </c>
      <c r="N86" s="367">
        <f t="shared" si="46"/>
        <v>22.21116252338259</v>
      </c>
      <c r="O86" s="367">
        <f t="shared" si="46"/>
        <v>23.988055525253202</v>
      </c>
      <c r="P86" s="367">
        <f t="shared" si="46"/>
        <v>25.90709996727346</v>
      </c>
    </row>
    <row r="87" spans="1:16" ht="20.25" customHeight="1" x14ac:dyDescent="0.25">
      <c r="B87" s="298" t="str">
        <f>B81</f>
        <v>Commercial Manager</v>
      </c>
      <c r="E87" s="367"/>
      <c r="F87" s="367">
        <f>(F74*F81*F12)/10^5</f>
        <v>18</v>
      </c>
      <c r="G87" s="367">
        <f>(G74*G81*G12)/10^5</f>
        <v>19.440000000000005</v>
      </c>
      <c r="H87" s="367">
        <f t="shared" ref="H87:P87" si="47">(H74*H81*H12)/10^5</f>
        <v>20.995200000000004</v>
      </c>
      <c r="I87" s="367">
        <f t="shared" si="47"/>
        <v>22.674816000000007</v>
      </c>
      <c r="J87" s="367">
        <f t="shared" si="47"/>
        <v>24.488801280000011</v>
      </c>
      <c r="K87" s="367">
        <f t="shared" si="47"/>
        <v>26.447905382400009</v>
      </c>
      <c r="L87" s="367">
        <f t="shared" si="47"/>
        <v>28.563737812992013</v>
      </c>
      <c r="M87" s="367">
        <f t="shared" si="47"/>
        <v>30.848836838031378</v>
      </c>
      <c r="N87" s="367">
        <f t="shared" si="47"/>
        <v>33.316743785073889</v>
      </c>
      <c r="O87" s="367">
        <f t="shared" si="47"/>
        <v>35.982083287879803</v>
      </c>
      <c r="P87" s="367">
        <f t="shared" si="47"/>
        <v>38.860649950910194</v>
      </c>
    </row>
    <row r="88" spans="1:16" ht="20.25" customHeight="1" x14ac:dyDescent="0.25">
      <c r="B88" s="298" t="str">
        <f>B82</f>
        <v>HR &amp; Accounting Staff</v>
      </c>
      <c r="E88" s="367"/>
      <c r="F88" s="367">
        <f>(F75*F82*F12)/10^5</f>
        <v>25.2</v>
      </c>
      <c r="G88" s="367">
        <f>(G75*G82*G12)/10^5</f>
        <v>27.216000000000001</v>
      </c>
      <c r="H88" s="367">
        <f t="shared" ref="H88:P88" si="48">(H75*H82*H12)/10^5</f>
        <v>29.393280000000001</v>
      </c>
      <c r="I88" s="367">
        <f t="shared" si="48"/>
        <v>31.744742400000003</v>
      </c>
      <c r="J88" s="367">
        <f t="shared" si="48"/>
        <v>34.284321792000007</v>
      </c>
      <c r="K88" s="367">
        <f t="shared" si="48"/>
        <v>37.027067535360011</v>
      </c>
      <c r="L88" s="367">
        <f t="shared" si="48"/>
        <v>39.98923293818882</v>
      </c>
      <c r="M88" s="367">
        <f t="shared" si="48"/>
        <v>43.18837157324392</v>
      </c>
      <c r="N88" s="367">
        <f t="shared" si="48"/>
        <v>46.643441299103443</v>
      </c>
      <c r="O88" s="367">
        <f t="shared" si="48"/>
        <v>50.374916603031714</v>
      </c>
      <c r="P88" s="367">
        <f t="shared" si="48"/>
        <v>54.404909931274261</v>
      </c>
    </row>
    <row r="89" spans="1:16" ht="20.25" customHeight="1" x14ac:dyDescent="0.25">
      <c r="B89" s="298" t="str">
        <f>B83</f>
        <v>Technical Director</v>
      </c>
      <c r="E89" s="367"/>
      <c r="F89" s="367">
        <f>(F76*F83*F12)/10^5</f>
        <v>4.8</v>
      </c>
      <c r="G89" s="367">
        <f>(G76*G83*G12)/10^5</f>
        <v>5.1840000000000002</v>
      </c>
      <c r="H89" s="367">
        <f t="shared" ref="H89:P89" si="49">(H76*H83*H12)/10^5</f>
        <v>5.5987200000000001</v>
      </c>
      <c r="I89" s="367">
        <f t="shared" si="49"/>
        <v>6.0466176000000003</v>
      </c>
      <c r="J89" s="367">
        <f t="shared" si="49"/>
        <v>6.5303470080000015</v>
      </c>
      <c r="K89" s="367">
        <f t="shared" si="49"/>
        <v>7.0527747686400017</v>
      </c>
      <c r="L89" s="367">
        <f t="shared" si="49"/>
        <v>7.6169967501312028</v>
      </c>
      <c r="M89" s="367">
        <f t="shared" si="49"/>
        <v>8.2263564901417006</v>
      </c>
      <c r="N89" s="367">
        <f t="shared" si="49"/>
        <v>8.884465009353038</v>
      </c>
      <c r="O89" s="367">
        <f t="shared" si="49"/>
        <v>9.5952222101012801</v>
      </c>
      <c r="P89" s="367">
        <f t="shared" si="49"/>
        <v>10.362839986909385</v>
      </c>
    </row>
    <row r="90" spans="1:16" ht="20.25" customHeight="1" x14ac:dyDescent="0.25">
      <c r="B90" s="351" t="s">
        <v>420</v>
      </c>
      <c r="C90" s="325"/>
      <c r="D90" s="325"/>
      <c r="E90" s="368"/>
      <c r="F90" s="368">
        <f>SUM(F86:F89)</f>
        <v>60</v>
      </c>
      <c r="G90" s="368">
        <f t="shared" ref="G90:P90" si="50">SUM(G86:G89)</f>
        <v>64.800000000000011</v>
      </c>
      <c r="H90" s="368">
        <f t="shared" si="50"/>
        <v>69.984000000000009</v>
      </c>
      <c r="I90" s="368">
        <f t="shared" si="50"/>
        <v>75.582720000000023</v>
      </c>
      <c r="J90" s="368">
        <f t="shared" si="50"/>
        <v>81.629337600000014</v>
      </c>
      <c r="K90" s="368">
        <f t="shared" si="50"/>
        <v>88.15968460800002</v>
      </c>
      <c r="L90" s="368">
        <f t="shared" si="50"/>
        <v>95.212459376640041</v>
      </c>
      <c r="M90" s="368">
        <f t="shared" si="50"/>
        <v>102.82945612677125</v>
      </c>
      <c r="N90" s="368">
        <f t="shared" si="50"/>
        <v>111.05581261691296</v>
      </c>
      <c r="O90" s="368">
        <f t="shared" si="50"/>
        <v>119.940277626266</v>
      </c>
      <c r="P90" s="368">
        <f t="shared" si="50"/>
        <v>129.53549983636731</v>
      </c>
    </row>
    <row r="91" spans="1:16" ht="20.25" customHeight="1" x14ac:dyDescent="0.25">
      <c r="B91" s="401"/>
      <c r="C91" s="401"/>
      <c r="D91" s="401"/>
      <c r="E91" s="401"/>
      <c r="F91" s="401"/>
      <c r="G91" s="401"/>
      <c r="H91" s="401"/>
      <c r="I91" s="401"/>
      <c r="J91" s="401"/>
      <c r="K91" s="401"/>
      <c r="L91" s="401"/>
      <c r="M91" s="401"/>
      <c r="N91" s="401"/>
    </row>
    <row r="92" spans="1:16" ht="20.25" customHeight="1" x14ac:dyDescent="0.25">
      <c r="B92" s="343" t="s">
        <v>0</v>
      </c>
      <c r="C92" s="345"/>
      <c r="D92" s="345"/>
      <c r="E92" s="304"/>
      <c r="F92" s="305">
        <f t="shared" ref="F92:O92" si="51">F47</f>
        <v>46112</v>
      </c>
      <c r="G92" s="304">
        <f t="shared" si="51"/>
        <v>46477</v>
      </c>
      <c r="H92" s="305">
        <f t="shared" si="51"/>
        <v>46843</v>
      </c>
      <c r="I92" s="304">
        <f t="shared" si="51"/>
        <v>47208</v>
      </c>
      <c r="J92" s="305">
        <f t="shared" si="51"/>
        <v>47573</v>
      </c>
      <c r="K92" s="304">
        <f t="shared" si="51"/>
        <v>47938</v>
      </c>
      <c r="L92" s="305">
        <f t="shared" si="51"/>
        <v>48304</v>
      </c>
      <c r="M92" s="304">
        <f t="shared" si="51"/>
        <v>48669</v>
      </c>
      <c r="N92" s="305">
        <f t="shared" si="51"/>
        <v>49034</v>
      </c>
      <c r="O92" s="304">
        <f t="shared" si="51"/>
        <v>49399</v>
      </c>
      <c r="P92" s="304">
        <f t="shared" ref="P92" si="52">P47</f>
        <v>49765</v>
      </c>
    </row>
    <row r="93" spans="1:16" ht="20.25" customHeight="1" x14ac:dyDescent="0.25">
      <c r="B93" s="336"/>
      <c r="F93" s="369"/>
      <c r="G93" s="369"/>
      <c r="H93" s="369"/>
      <c r="I93" s="369"/>
      <c r="J93" s="369"/>
      <c r="K93" s="369"/>
      <c r="L93" s="369"/>
      <c r="M93" s="369"/>
      <c r="N93" s="369"/>
      <c r="O93" s="369"/>
      <c r="P93" s="369"/>
    </row>
    <row r="94" spans="1:16" ht="20.25" customHeight="1" x14ac:dyDescent="0.25">
      <c r="B94" s="356" t="s">
        <v>421</v>
      </c>
      <c r="C94" s="350"/>
      <c r="D94" s="350"/>
      <c r="E94" s="350"/>
      <c r="F94" s="340"/>
      <c r="G94" s="340"/>
      <c r="H94" s="340"/>
      <c r="I94" s="340"/>
      <c r="J94" s="340"/>
      <c r="K94" s="340"/>
      <c r="L94" s="340"/>
      <c r="M94" s="340"/>
      <c r="N94" s="340"/>
      <c r="O94" s="340"/>
      <c r="P94" s="340"/>
    </row>
    <row r="95" spans="1:16" ht="20.25" customHeight="1" x14ac:dyDescent="0.25">
      <c r="B95" s="352" t="s">
        <v>422</v>
      </c>
      <c r="C95" s="334" t="s">
        <v>423</v>
      </c>
      <c r="D95" s="334" t="s">
        <v>446</v>
      </c>
      <c r="E95" s="370"/>
      <c r="F95" s="370">
        <f t="shared" ref="F95:O95" si="53">F36</f>
        <v>52118.977599999998</v>
      </c>
      <c r="G95" s="370">
        <f t="shared" si="53"/>
        <v>52779.577151999998</v>
      </c>
      <c r="H95" s="370">
        <f t="shared" si="53"/>
        <v>53442.480695040002</v>
      </c>
      <c r="I95" s="370">
        <f t="shared" si="53"/>
        <v>54107.734308940795</v>
      </c>
      <c r="J95" s="370">
        <f t="shared" si="53"/>
        <v>54775.384995119617</v>
      </c>
      <c r="K95" s="370">
        <f t="shared" si="53"/>
        <v>55445.480695022008</v>
      </c>
      <c r="L95" s="370">
        <f t="shared" si="53"/>
        <v>55572.670308922447</v>
      </c>
      <c r="M95" s="370">
        <f t="shared" si="53"/>
        <v>55702.403715100903</v>
      </c>
      <c r="N95" s="370">
        <f t="shared" si="53"/>
        <v>55834.731789402918</v>
      </c>
      <c r="O95" s="370">
        <f t="shared" si="53"/>
        <v>55969.706425190976</v>
      </c>
      <c r="P95" s="370">
        <f t="shared" ref="P95" si="54">P36</f>
        <v>56107.380553694791</v>
      </c>
    </row>
    <row r="96" spans="1:16" ht="20.25" customHeight="1" x14ac:dyDescent="0.25">
      <c r="B96" s="352" t="s">
        <v>424</v>
      </c>
      <c r="C96" s="350"/>
      <c r="D96" s="350"/>
      <c r="E96" s="371"/>
      <c r="F96" s="371">
        <f>+F45</f>
        <v>34305.660000000003</v>
      </c>
      <c r="G96" s="371">
        <f t="shared" ref="G96:O96" si="55">+G45</f>
        <v>34709.256000000001</v>
      </c>
      <c r="H96" s="371">
        <f t="shared" si="55"/>
        <v>35112.851999999999</v>
      </c>
      <c r="I96" s="371">
        <f t="shared" si="55"/>
        <v>35516.447999999997</v>
      </c>
      <c r="J96" s="371">
        <f t="shared" si="55"/>
        <v>35920.044000000002</v>
      </c>
      <c r="K96" s="371">
        <f t="shared" si="55"/>
        <v>36323.64</v>
      </c>
      <c r="L96" s="371">
        <f t="shared" si="55"/>
        <v>36323.64</v>
      </c>
      <c r="M96" s="371">
        <f t="shared" si="55"/>
        <v>36323.64</v>
      </c>
      <c r="N96" s="371">
        <f t="shared" si="55"/>
        <v>36323.64</v>
      </c>
      <c r="O96" s="371">
        <f t="shared" si="55"/>
        <v>36323.64</v>
      </c>
      <c r="P96" s="371">
        <f t="shared" ref="P96" si="56">+P45</f>
        <v>36323.64</v>
      </c>
    </row>
    <row r="97" spans="2:16" ht="20.25" customHeight="1" x14ac:dyDescent="0.25">
      <c r="B97" s="352" t="s">
        <v>425</v>
      </c>
      <c r="C97" s="350"/>
      <c r="D97" s="373">
        <v>2.3E-2</v>
      </c>
      <c r="E97" s="371"/>
      <c r="F97" s="371">
        <f>+F95*2.3%</f>
        <v>1198.7364848</v>
      </c>
      <c r="G97" s="371">
        <f>+G95*2.3%</f>
        <v>1213.930274496</v>
      </c>
      <c r="H97" s="371">
        <f t="shared" ref="H97:O97" si="57">+H95*2.3%</f>
        <v>1229.1770559859201</v>
      </c>
      <c r="I97" s="371">
        <f t="shared" si="57"/>
        <v>1244.4778891056383</v>
      </c>
      <c r="J97" s="371">
        <f t="shared" si="57"/>
        <v>1259.8338548877512</v>
      </c>
      <c r="K97" s="371">
        <f t="shared" si="57"/>
        <v>1275.2460559855062</v>
      </c>
      <c r="L97" s="371">
        <f t="shared" si="57"/>
        <v>1278.1714171052163</v>
      </c>
      <c r="M97" s="371">
        <f t="shared" si="57"/>
        <v>1281.1552854473207</v>
      </c>
      <c r="N97" s="371">
        <f t="shared" si="57"/>
        <v>1284.198831156267</v>
      </c>
      <c r="O97" s="371">
        <f t="shared" si="57"/>
        <v>1287.3032477793924</v>
      </c>
      <c r="P97" s="371">
        <f t="shared" ref="P97" si="58">+P95*2.3%</f>
        <v>1290.4697527349801</v>
      </c>
    </row>
    <row r="98" spans="2:16" ht="20.25" customHeight="1" x14ac:dyDescent="0.25">
      <c r="B98" s="352" t="s">
        <v>396</v>
      </c>
      <c r="C98" s="350"/>
      <c r="D98" s="373"/>
      <c r="E98" s="339"/>
      <c r="F98" s="339">
        <f t="shared" ref="F98:O98" si="59">+F51</f>
        <v>6785.8559999999998</v>
      </c>
      <c r="G98" s="339">
        <f t="shared" si="59"/>
        <v>3719.724961208216</v>
      </c>
      <c r="H98" s="339">
        <f t="shared" si="59"/>
        <v>3515.0497227315041</v>
      </c>
      <c r="I98" s="339">
        <f t="shared" si="59"/>
        <v>3623.0722543787315</v>
      </c>
      <c r="J98" s="339">
        <f t="shared" si="59"/>
        <v>3721.6184193796475</v>
      </c>
      <c r="K98" s="339">
        <f t="shared" si="59"/>
        <v>3820.0616652730591</v>
      </c>
      <c r="L98" s="339">
        <f t="shared" si="59"/>
        <v>3829.4005881362873</v>
      </c>
      <c r="M98" s="339">
        <f t="shared" si="59"/>
        <v>3856.9744608444298</v>
      </c>
      <c r="N98" s="339">
        <f t="shared" si="59"/>
        <v>3875.2787333097858</v>
      </c>
      <c r="O98" s="339">
        <f t="shared" si="59"/>
        <v>3893.4823322765815</v>
      </c>
      <c r="P98" s="339">
        <f t="shared" ref="P98" si="60">+P51</f>
        <v>4227.8356116152117</v>
      </c>
    </row>
    <row r="99" spans="2:16" ht="20.25" customHeight="1" x14ac:dyDescent="0.25">
      <c r="B99" s="352" t="s">
        <v>402</v>
      </c>
      <c r="C99" s="350"/>
      <c r="D99" s="373"/>
      <c r="E99" s="339"/>
      <c r="F99" s="339">
        <f>+F70</f>
        <v>465</v>
      </c>
      <c r="G99" s="339">
        <f t="shared" ref="G99:N99" si="61">+G70</f>
        <v>488.25</v>
      </c>
      <c r="H99" s="339">
        <f t="shared" si="61"/>
        <v>512.66250000000002</v>
      </c>
      <c r="I99" s="339">
        <f t="shared" si="61"/>
        <v>538.29562499999997</v>
      </c>
      <c r="J99" s="339">
        <f t="shared" si="61"/>
        <v>565.21040625000001</v>
      </c>
      <c r="K99" s="339">
        <f t="shared" si="61"/>
        <v>593.47092656250004</v>
      </c>
      <c r="L99" s="339">
        <f t="shared" si="61"/>
        <v>623.14447289062514</v>
      </c>
      <c r="M99" s="339">
        <f t="shared" si="61"/>
        <v>654.30169653515634</v>
      </c>
      <c r="N99" s="339">
        <f t="shared" si="61"/>
        <v>687.01678136191413</v>
      </c>
      <c r="O99" s="339">
        <f>+O70</f>
        <v>721.36762043000999</v>
      </c>
      <c r="P99" s="339">
        <f>+P70</f>
        <v>757.43600145151038</v>
      </c>
    </row>
    <row r="100" spans="2:16" ht="20.25" customHeight="1" x14ac:dyDescent="0.25">
      <c r="B100" s="357" t="s">
        <v>426</v>
      </c>
      <c r="C100" s="350" t="s">
        <v>445</v>
      </c>
      <c r="D100" s="373">
        <v>0.9</v>
      </c>
      <c r="E100" s="339"/>
      <c r="F100" s="339">
        <f>+F34*90%</f>
        <v>4950</v>
      </c>
      <c r="G100" s="339">
        <f t="shared" ref="G100:O100" si="62">+G34*90%</f>
        <v>5049</v>
      </c>
      <c r="H100" s="339">
        <f t="shared" si="62"/>
        <v>5149.9799999999996</v>
      </c>
      <c r="I100" s="339">
        <f t="shared" si="62"/>
        <v>5252.9796000000006</v>
      </c>
      <c r="J100" s="339">
        <f t="shared" si="62"/>
        <v>5358.0391920000011</v>
      </c>
      <c r="K100" s="339">
        <f t="shared" si="62"/>
        <v>5465.1999758400007</v>
      </c>
      <c r="L100" s="339">
        <f t="shared" si="62"/>
        <v>5574.5039753568008</v>
      </c>
      <c r="M100" s="339">
        <f t="shared" si="62"/>
        <v>5685.9940548639361</v>
      </c>
      <c r="N100" s="339">
        <f t="shared" si="62"/>
        <v>5799.7139359612147</v>
      </c>
      <c r="O100" s="339">
        <f t="shared" si="62"/>
        <v>5915.7082146804396</v>
      </c>
      <c r="P100" s="339">
        <f t="shared" ref="P100" si="63">+P34*90%</f>
        <v>6034.0223789740485</v>
      </c>
    </row>
    <row r="101" spans="2:16" ht="20.25" customHeight="1" x14ac:dyDescent="0.25">
      <c r="B101" s="352" t="s">
        <v>427</v>
      </c>
      <c r="C101" s="350"/>
      <c r="D101" s="373">
        <v>7.4999999999999997E-3</v>
      </c>
      <c r="E101" s="339"/>
      <c r="F101" s="339">
        <f>+F95*0.75%</f>
        <v>390.89233199999995</v>
      </c>
      <c r="G101" s="339">
        <f t="shared" ref="G101:O101" si="64">+G95*0.75%</f>
        <v>395.84682863999996</v>
      </c>
      <c r="H101" s="339">
        <f t="shared" si="64"/>
        <v>400.81860521279998</v>
      </c>
      <c r="I101" s="339">
        <f t="shared" si="64"/>
        <v>405.80800731705597</v>
      </c>
      <c r="J101" s="339">
        <f t="shared" si="64"/>
        <v>410.81538746339709</v>
      </c>
      <c r="K101" s="339">
        <f t="shared" si="64"/>
        <v>415.84110521266507</v>
      </c>
      <c r="L101" s="339">
        <f t="shared" si="64"/>
        <v>416.79502731691832</v>
      </c>
      <c r="M101" s="339">
        <f t="shared" si="64"/>
        <v>417.76802786325675</v>
      </c>
      <c r="N101" s="339">
        <f t="shared" si="64"/>
        <v>418.76048842052188</v>
      </c>
      <c r="O101" s="339">
        <f t="shared" si="64"/>
        <v>419.77279818893231</v>
      </c>
      <c r="P101" s="339">
        <f t="shared" ref="P101" si="65">+P95*0.75%</f>
        <v>420.80535415271089</v>
      </c>
    </row>
    <row r="102" spans="2:16" ht="20.25" customHeight="1" x14ac:dyDescent="0.25">
      <c r="B102" s="352" t="s">
        <v>428</v>
      </c>
      <c r="C102" s="350"/>
      <c r="D102" s="373"/>
      <c r="E102" s="339"/>
      <c r="F102" s="339">
        <f>0.49*10^2</f>
        <v>49</v>
      </c>
      <c r="G102" s="339">
        <f>+F102*1.1</f>
        <v>53.900000000000006</v>
      </c>
      <c r="H102" s="339">
        <f t="shared" ref="H102:P102" si="66">+G102*1.1</f>
        <v>59.290000000000013</v>
      </c>
      <c r="I102" s="339">
        <f t="shared" si="66"/>
        <v>65.219000000000023</v>
      </c>
      <c r="J102" s="339">
        <f t="shared" si="66"/>
        <v>71.740900000000025</v>
      </c>
      <c r="K102" s="339">
        <f t="shared" si="66"/>
        <v>78.914990000000032</v>
      </c>
      <c r="L102" s="339">
        <f t="shared" si="66"/>
        <v>86.806489000000042</v>
      </c>
      <c r="M102" s="339">
        <f t="shared" si="66"/>
        <v>95.48713790000005</v>
      </c>
      <c r="N102" s="339">
        <f t="shared" si="66"/>
        <v>105.03585169000006</v>
      </c>
      <c r="O102" s="339">
        <f t="shared" si="66"/>
        <v>115.53943685900008</v>
      </c>
      <c r="P102" s="339">
        <f t="shared" si="66"/>
        <v>127.0933805449001</v>
      </c>
    </row>
    <row r="103" spans="2:16" ht="20.25" customHeight="1" x14ac:dyDescent="0.25">
      <c r="B103" s="352" t="s">
        <v>412</v>
      </c>
      <c r="C103" s="350"/>
      <c r="D103" s="373"/>
      <c r="E103" s="339"/>
      <c r="F103" s="339">
        <f>+F90</f>
        <v>60</v>
      </c>
      <c r="G103" s="339">
        <f t="shared" ref="G103:O103" si="67">+G90</f>
        <v>64.800000000000011</v>
      </c>
      <c r="H103" s="339">
        <f t="shared" si="67"/>
        <v>69.984000000000009</v>
      </c>
      <c r="I103" s="339">
        <f t="shared" si="67"/>
        <v>75.582720000000023</v>
      </c>
      <c r="J103" s="339">
        <f t="shared" si="67"/>
        <v>81.629337600000014</v>
      </c>
      <c r="K103" s="339">
        <f t="shared" si="67"/>
        <v>88.15968460800002</v>
      </c>
      <c r="L103" s="339">
        <f t="shared" si="67"/>
        <v>95.212459376640041</v>
      </c>
      <c r="M103" s="339">
        <f t="shared" si="67"/>
        <v>102.82945612677125</v>
      </c>
      <c r="N103" s="339">
        <f t="shared" si="67"/>
        <v>111.05581261691296</v>
      </c>
      <c r="O103" s="339">
        <f t="shared" si="67"/>
        <v>119.940277626266</v>
      </c>
      <c r="P103" s="339">
        <f t="shared" ref="P103" si="68">+P90</f>
        <v>129.53549983636731</v>
      </c>
    </row>
    <row r="104" spans="2:16" ht="20.25" customHeight="1" x14ac:dyDescent="0.25">
      <c r="B104" s="352" t="s">
        <v>429</v>
      </c>
      <c r="C104" s="350"/>
      <c r="D104" s="373">
        <v>1.2999999999999999E-2</v>
      </c>
      <c r="E104" s="339"/>
      <c r="F104" s="339">
        <f>+F95*1.3%</f>
        <v>677.54670880000003</v>
      </c>
      <c r="G104" s="339">
        <f>+G95*0.8%</f>
        <v>422.23661721600001</v>
      </c>
      <c r="H104" s="339">
        <f>+H95*0.7%</f>
        <v>374.09736486527999</v>
      </c>
      <c r="I104" s="339">
        <f>+I95*0.6%</f>
        <v>324.64640585364475</v>
      </c>
      <c r="J104" s="339">
        <f>+J95*0.5%</f>
        <v>273.87692497559811</v>
      </c>
      <c r="K104" s="339">
        <f t="shared" ref="K104:P104" si="69">+K95*0.25%</f>
        <v>138.61370173755503</v>
      </c>
      <c r="L104" s="339">
        <f t="shared" si="69"/>
        <v>138.93167577230611</v>
      </c>
      <c r="M104" s="339">
        <f t="shared" si="69"/>
        <v>139.25600928775225</v>
      </c>
      <c r="N104" s="339">
        <f t="shared" si="69"/>
        <v>139.58682947350729</v>
      </c>
      <c r="O104" s="339">
        <f t="shared" si="69"/>
        <v>139.92426606297744</v>
      </c>
      <c r="P104" s="339">
        <f t="shared" si="69"/>
        <v>140.26845138423698</v>
      </c>
    </row>
    <row r="105" spans="2:16" ht="20.25" customHeight="1" x14ac:dyDescent="0.25">
      <c r="B105" s="352" t="s">
        <v>430</v>
      </c>
      <c r="C105" s="358"/>
      <c r="D105" s="373">
        <v>1.2E-2</v>
      </c>
      <c r="E105" s="339"/>
      <c r="F105" s="339">
        <f t="shared" ref="F105:K105" si="70">+F95*1.2%</f>
        <v>625.42773120000004</v>
      </c>
      <c r="G105" s="339">
        <f t="shared" si="70"/>
        <v>633.35492582400002</v>
      </c>
      <c r="H105" s="339">
        <f t="shared" si="70"/>
        <v>641.30976834047999</v>
      </c>
      <c r="I105" s="339">
        <f t="shared" si="70"/>
        <v>649.2928117072895</v>
      </c>
      <c r="J105" s="339">
        <f t="shared" si="70"/>
        <v>657.30461994143536</v>
      </c>
      <c r="K105" s="339">
        <f t="shared" si="70"/>
        <v>665.34576834026416</v>
      </c>
      <c r="L105" s="339">
        <f>+L95*1%</f>
        <v>555.72670308922443</v>
      </c>
      <c r="M105" s="339">
        <f>+M95*0.8%</f>
        <v>445.61922972080725</v>
      </c>
      <c r="N105" s="339">
        <f>+N95*0.7%</f>
        <v>390.84312252582038</v>
      </c>
      <c r="O105" s="339">
        <f>+O95*0.7%</f>
        <v>391.7879449763368</v>
      </c>
      <c r="P105" s="339">
        <f>+P95*0.7%</f>
        <v>392.75166387586347</v>
      </c>
    </row>
    <row r="106" spans="2:16" ht="20.25" customHeight="1" x14ac:dyDescent="0.25">
      <c r="B106" s="351" t="s">
        <v>465</v>
      </c>
      <c r="C106" s="325"/>
      <c r="D106" s="325"/>
      <c r="E106" s="368"/>
      <c r="F106" s="368">
        <f>SUM(F96:F104)</f>
        <v>48882.691525600007</v>
      </c>
      <c r="G106" s="368">
        <f t="shared" ref="G106:N106" si="71">SUM(G96:G104)</f>
        <v>46116.944681560228</v>
      </c>
      <c r="H106" s="368">
        <f t="shared" si="71"/>
        <v>46423.911248795499</v>
      </c>
      <c r="I106" s="368">
        <f t="shared" si="71"/>
        <v>47046.529501655066</v>
      </c>
      <c r="J106" s="368">
        <f t="shared" si="71"/>
        <v>47662.808422556402</v>
      </c>
      <c r="K106" s="368">
        <f t="shared" si="71"/>
        <v>48199.14810521929</v>
      </c>
      <c r="L106" s="368">
        <f t="shared" si="71"/>
        <v>48366.606104954801</v>
      </c>
      <c r="M106" s="368">
        <f t="shared" si="71"/>
        <v>48557.406128868621</v>
      </c>
      <c r="N106" s="368">
        <f t="shared" si="71"/>
        <v>48744.287263990118</v>
      </c>
      <c r="O106" s="368">
        <f>SUM(O96:O104)</f>
        <v>48936.678193903586</v>
      </c>
      <c r="P106" s="368">
        <f>SUM(P96:P104)</f>
        <v>49451.106430693973</v>
      </c>
    </row>
    <row r="107" spans="2:16" ht="20.25" customHeight="1" x14ac:dyDescent="0.25"/>
    <row r="108" spans="2:16" ht="20.25" customHeight="1" x14ac:dyDescent="0.25">
      <c r="B108" s="336" t="s">
        <v>431</v>
      </c>
      <c r="C108" s="332"/>
      <c r="D108" s="332"/>
      <c r="E108" s="332"/>
      <c r="F108" s="332"/>
      <c r="G108" s="332"/>
      <c r="H108" s="332"/>
      <c r="I108" s="332"/>
      <c r="J108" s="332"/>
      <c r="K108" s="332"/>
      <c r="L108" s="332"/>
      <c r="M108" s="332"/>
    </row>
    <row r="109" spans="2:16" ht="20.25" customHeight="1" x14ac:dyDescent="0.25">
      <c r="B109" s="351" t="s">
        <v>181</v>
      </c>
      <c r="C109" s="325"/>
      <c r="D109" s="325"/>
      <c r="E109" s="304"/>
      <c r="F109" s="305">
        <f t="shared" ref="F109:O109" si="72">F92</f>
        <v>46112</v>
      </c>
      <c r="G109" s="304">
        <f t="shared" si="72"/>
        <v>46477</v>
      </c>
      <c r="H109" s="305">
        <f t="shared" si="72"/>
        <v>46843</v>
      </c>
      <c r="I109" s="304">
        <f t="shared" si="72"/>
        <v>47208</v>
      </c>
      <c r="J109" s="305">
        <f t="shared" si="72"/>
        <v>47573</v>
      </c>
      <c r="K109" s="304">
        <f t="shared" si="72"/>
        <v>47938</v>
      </c>
      <c r="L109" s="305">
        <f t="shared" si="72"/>
        <v>48304</v>
      </c>
      <c r="M109" s="304">
        <f t="shared" si="72"/>
        <v>48669</v>
      </c>
      <c r="N109" s="305">
        <f t="shared" si="72"/>
        <v>49034</v>
      </c>
      <c r="O109" s="304">
        <f t="shared" si="72"/>
        <v>49399</v>
      </c>
      <c r="P109" s="304">
        <f t="shared" ref="P109" si="73">P92</f>
        <v>49765</v>
      </c>
    </row>
    <row r="110" spans="2:16" ht="20.25" customHeight="1" x14ac:dyDescent="0.25">
      <c r="B110" s="299"/>
      <c r="C110" s="332" t="s">
        <v>432</v>
      </c>
      <c r="D110" s="332" t="s">
        <v>433</v>
      </c>
      <c r="E110" s="332"/>
    </row>
    <row r="111" spans="2:16" ht="20.25" customHeight="1" x14ac:dyDescent="0.25">
      <c r="B111" s="349" t="s">
        <v>434</v>
      </c>
      <c r="C111" s="385">
        <v>33000</v>
      </c>
      <c r="D111" s="385">
        <v>0</v>
      </c>
      <c r="F111" s="299">
        <f>$C$111</f>
        <v>33000</v>
      </c>
      <c r="G111" s="299">
        <f t="shared" ref="G111:P111" si="74">$C$111</f>
        <v>33000</v>
      </c>
      <c r="H111" s="299">
        <f t="shared" si="74"/>
        <v>33000</v>
      </c>
      <c r="I111" s="299">
        <f t="shared" si="74"/>
        <v>33000</v>
      </c>
      <c r="J111" s="299">
        <f t="shared" si="74"/>
        <v>33000</v>
      </c>
      <c r="K111" s="299">
        <f t="shared" si="74"/>
        <v>33000</v>
      </c>
      <c r="L111" s="299">
        <f t="shared" si="74"/>
        <v>33000</v>
      </c>
      <c r="M111" s="299">
        <f t="shared" si="74"/>
        <v>33000</v>
      </c>
      <c r="N111" s="299">
        <f t="shared" si="74"/>
        <v>33000</v>
      </c>
      <c r="O111" s="299">
        <f t="shared" si="74"/>
        <v>33000</v>
      </c>
      <c r="P111" s="299">
        <f t="shared" si="74"/>
        <v>33000</v>
      </c>
    </row>
    <row r="112" spans="2:16" s="337" customFormat="1" ht="20.25" customHeight="1" x14ac:dyDescent="0.25">
      <c r="B112" s="349" t="s">
        <v>435</v>
      </c>
      <c r="C112" s="382">
        <v>0.32</v>
      </c>
      <c r="D112" s="382">
        <v>0</v>
      </c>
      <c r="E112" s="347"/>
      <c r="F112" s="381">
        <f>+$C$112</f>
        <v>0.32</v>
      </c>
      <c r="G112" s="381">
        <f t="shared" ref="G112:P112" si="75">+$C$112</f>
        <v>0.32</v>
      </c>
      <c r="H112" s="381">
        <f t="shared" si="75"/>
        <v>0.32</v>
      </c>
      <c r="I112" s="381">
        <f t="shared" si="75"/>
        <v>0.32</v>
      </c>
      <c r="J112" s="381">
        <f t="shared" si="75"/>
        <v>0.32</v>
      </c>
      <c r="K112" s="381">
        <f t="shared" si="75"/>
        <v>0.32</v>
      </c>
      <c r="L112" s="381">
        <f t="shared" si="75"/>
        <v>0.32</v>
      </c>
      <c r="M112" s="381">
        <f t="shared" si="75"/>
        <v>0.32</v>
      </c>
      <c r="N112" s="381">
        <f t="shared" si="75"/>
        <v>0.32</v>
      </c>
      <c r="O112" s="381">
        <f t="shared" si="75"/>
        <v>0.32</v>
      </c>
      <c r="P112" s="381">
        <f t="shared" si="75"/>
        <v>0.32</v>
      </c>
    </row>
    <row r="113" spans="2:16" ht="20.25" customHeight="1" x14ac:dyDescent="0.25">
      <c r="B113" s="349" t="s">
        <v>436</v>
      </c>
      <c r="C113" s="385">
        <f>+C111*C112</f>
        <v>10560</v>
      </c>
      <c r="D113" s="386">
        <f>C113*D111/C111</f>
        <v>0</v>
      </c>
      <c r="E113" s="326"/>
      <c r="F113" s="326">
        <f>+F111*F112</f>
        <v>10560</v>
      </c>
      <c r="G113" s="326">
        <f t="shared" ref="G113:P113" si="76">+G111*G112</f>
        <v>10560</v>
      </c>
      <c r="H113" s="326">
        <f t="shared" si="76"/>
        <v>10560</v>
      </c>
      <c r="I113" s="326">
        <f t="shared" si="76"/>
        <v>10560</v>
      </c>
      <c r="J113" s="326">
        <f t="shared" si="76"/>
        <v>10560</v>
      </c>
      <c r="K113" s="326">
        <f t="shared" si="76"/>
        <v>10560</v>
      </c>
      <c r="L113" s="326">
        <f t="shared" si="76"/>
        <v>10560</v>
      </c>
      <c r="M113" s="326">
        <f t="shared" si="76"/>
        <v>10560</v>
      </c>
      <c r="N113" s="326">
        <f t="shared" si="76"/>
        <v>10560</v>
      </c>
      <c r="O113" s="326">
        <f t="shared" si="76"/>
        <v>10560</v>
      </c>
      <c r="P113" s="326">
        <f t="shared" si="76"/>
        <v>10560</v>
      </c>
    </row>
    <row r="114" spans="2:16" ht="20.25" customHeight="1" x14ac:dyDescent="0.25">
      <c r="B114" s="349" t="s">
        <v>437</v>
      </c>
      <c r="C114" s="385">
        <v>360</v>
      </c>
      <c r="D114" s="385">
        <f>+C114</f>
        <v>360</v>
      </c>
      <c r="F114" s="299">
        <f>+$C$114</f>
        <v>360</v>
      </c>
      <c r="G114" s="299">
        <f t="shared" ref="G114:P114" si="77">+$C$114</f>
        <v>360</v>
      </c>
      <c r="H114" s="299">
        <f t="shared" si="77"/>
        <v>360</v>
      </c>
      <c r="I114" s="299">
        <f t="shared" si="77"/>
        <v>360</v>
      </c>
      <c r="J114" s="299">
        <f t="shared" si="77"/>
        <v>360</v>
      </c>
      <c r="K114" s="299">
        <f t="shared" si="77"/>
        <v>360</v>
      </c>
      <c r="L114" s="299">
        <f t="shared" si="77"/>
        <v>360</v>
      </c>
      <c r="M114" s="299">
        <f t="shared" si="77"/>
        <v>360</v>
      </c>
      <c r="N114" s="299">
        <f t="shared" si="77"/>
        <v>360</v>
      </c>
      <c r="O114" s="299">
        <f t="shared" si="77"/>
        <v>360</v>
      </c>
      <c r="P114" s="299">
        <f t="shared" si="77"/>
        <v>360</v>
      </c>
    </row>
    <row r="115" spans="2:16" ht="20.25" customHeight="1" x14ac:dyDescent="0.25">
      <c r="B115" s="349" t="s">
        <v>438</v>
      </c>
      <c r="C115" s="385">
        <v>24</v>
      </c>
      <c r="D115" s="385">
        <f>+C115</f>
        <v>24</v>
      </c>
      <c r="F115" s="299">
        <f>$C$115</f>
        <v>24</v>
      </c>
      <c r="G115" s="299">
        <f t="shared" ref="G115:P115" si="78">$C$115</f>
        <v>24</v>
      </c>
      <c r="H115" s="299">
        <f t="shared" si="78"/>
        <v>24</v>
      </c>
      <c r="I115" s="299">
        <f t="shared" si="78"/>
        <v>24</v>
      </c>
      <c r="J115" s="299">
        <f t="shared" si="78"/>
        <v>24</v>
      </c>
      <c r="K115" s="299">
        <f t="shared" si="78"/>
        <v>24</v>
      </c>
      <c r="L115" s="299">
        <f t="shared" si="78"/>
        <v>24</v>
      </c>
      <c r="M115" s="299">
        <f t="shared" si="78"/>
        <v>24</v>
      </c>
      <c r="N115" s="299">
        <f t="shared" si="78"/>
        <v>24</v>
      </c>
      <c r="O115" s="299">
        <f t="shared" si="78"/>
        <v>24</v>
      </c>
      <c r="P115" s="299">
        <f t="shared" si="78"/>
        <v>24</v>
      </c>
    </row>
    <row r="116" spans="2:16" ht="20.25" customHeight="1" x14ac:dyDescent="0.25">
      <c r="B116" s="349" t="s">
        <v>439</v>
      </c>
      <c r="C116" s="382">
        <f>+F28</f>
        <v>0.85</v>
      </c>
      <c r="D116" s="382">
        <f>+G33</f>
        <v>0</v>
      </c>
      <c r="E116" s="347"/>
      <c r="F116" s="381">
        <f>F28</f>
        <v>0.85</v>
      </c>
      <c r="G116" s="381">
        <f>G28</f>
        <v>0.86</v>
      </c>
      <c r="H116" s="381">
        <f t="shared" ref="H116:P116" si="79">H28</f>
        <v>0.87</v>
      </c>
      <c r="I116" s="381">
        <f t="shared" si="79"/>
        <v>0.88</v>
      </c>
      <c r="J116" s="381">
        <f t="shared" si="79"/>
        <v>0.89</v>
      </c>
      <c r="K116" s="381">
        <f t="shared" si="79"/>
        <v>0.9</v>
      </c>
      <c r="L116" s="381">
        <f t="shared" si="79"/>
        <v>0.9</v>
      </c>
      <c r="M116" s="381">
        <f t="shared" si="79"/>
        <v>0.9</v>
      </c>
      <c r="N116" s="381">
        <f t="shared" si="79"/>
        <v>0.9</v>
      </c>
      <c r="O116" s="381">
        <f t="shared" si="79"/>
        <v>0.9</v>
      </c>
      <c r="P116" s="381">
        <f t="shared" si="79"/>
        <v>0.9</v>
      </c>
    </row>
    <row r="117" spans="2:16" ht="20.25" customHeight="1" x14ac:dyDescent="0.25">
      <c r="B117" s="349"/>
      <c r="C117" s="385"/>
      <c r="D117" s="385"/>
    </row>
    <row r="118" spans="2:16" ht="20.25" customHeight="1" x14ac:dyDescent="0.25">
      <c r="B118" s="388" t="s">
        <v>440</v>
      </c>
      <c r="C118" s="389">
        <f>C115*C113*C114*C116</f>
        <v>77552640</v>
      </c>
      <c r="D118" s="389">
        <f t="shared" ref="D118:N118" si="80">D115*D113*D114*D116</f>
        <v>0</v>
      </c>
      <c r="E118" s="390"/>
      <c r="F118" s="390">
        <f>F115*F113*F114*F116</f>
        <v>77552640</v>
      </c>
      <c r="G118" s="390">
        <f t="shared" si="80"/>
        <v>78465024</v>
      </c>
      <c r="H118" s="390">
        <f t="shared" si="80"/>
        <v>79377408</v>
      </c>
      <c r="I118" s="390">
        <f t="shared" si="80"/>
        <v>80289792</v>
      </c>
      <c r="J118" s="390">
        <f t="shared" si="80"/>
        <v>81202176</v>
      </c>
      <c r="K118" s="390">
        <f t="shared" si="80"/>
        <v>82114560</v>
      </c>
      <c r="L118" s="390">
        <f t="shared" si="80"/>
        <v>82114560</v>
      </c>
      <c r="M118" s="390">
        <f t="shared" si="80"/>
        <v>82114560</v>
      </c>
      <c r="N118" s="390">
        <f t="shared" si="80"/>
        <v>82114560</v>
      </c>
      <c r="O118" s="390">
        <f>O115*O113*O114*O116</f>
        <v>82114560</v>
      </c>
      <c r="P118" s="390">
        <f>P115*P113*P114*P116</f>
        <v>82114560</v>
      </c>
    </row>
    <row r="119" spans="2:16" s="337" customFormat="1" ht="20.25" customHeight="1" x14ac:dyDescent="0.25">
      <c r="B119" s="349" t="s">
        <v>441</v>
      </c>
      <c r="C119" s="385">
        <v>8.75</v>
      </c>
      <c r="D119" s="385">
        <v>8.75</v>
      </c>
      <c r="E119" s="342"/>
      <c r="F119" s="383">
        <f>$C$119</f>
        <v>8.75</v>
      </c>
      <c r="G119" s="383">
        <f t="shared" ref="G119:P119" si="81">$C$119</f>
        <v>8.75</v>
      </c>
      <c r="H119" s="383">
        <f t="shared" si="81"/>
        <v>8.75</v>
      </c>
      <c r="I119" s="383">
        <f t="shared" si="81"/>
        <v>8.75</v>
      </c>
      <c r="J119" s="383">
        <f t="shared" si="81"/>
        <v>8.75</v>
      </c>
      <c r="K119" s="383">
        <f t="shared" si="81"/>
        <v>8.75</v>
      </c>
      <c r="L119" s="383">
        <f t="shared" si="81"/>
        <v>8.75</v>
      </c>
      <c r="M119" s="383">
        <f t="shared" si="81"/>
        <v>8.75</v>
      </c>
      <c r="N119" s="383">
        <f t="shared" si="81"/>
        <v>8.75</v>
      </c>
      <c r="O119" s="383">
        <f t="shared" si="81"/>
        <v>8.75</v>
      </c>
      <c r="P119" s="383">
        <f t="shared" si="81"/>
        <v>8.75</v>
      </c>
    </row>
    <row r="120" spans="2:16" ht="20.25" customHeight="1" x14ac:dyDescent="0.25">
      <c r="B120" s="376" t="s">
        <v>179</v>
      </c>
      <c r="C120" s="387">
        <f>(C118*C119/10^5)</f>
        <v>6785.8559999999998</v>
      </c>
      <c r="D120" s="387">
        <f>(D118*D119/10^7)</f>
        <v>0</v>
      </c>
      <c r="E120" s="378"/>
      <c r="F120" s="378">
        <f>F118*F119/10^5</f>
        <v>6785.8559999999998</v>
      </c>
      <c r="G120" s="378">
        <f t="shared" ref="G120:P120" si="82">G118*G119/10^5</f>
        <v>6865.6895999999997</v>
      </c>
      <c r="H120" s="378">
        <f t="shared" si="82"/>
        <v>6945.5231999999996</v>
      </c>
      <c r="I120" s="378">
        <f t="shared" si="82"/>
        <v>7025.3567999999996</v>
      </c>
      <c r="J120" s="378">
        <f t="shared" si="82"/>
        <v>7105.1904000000004</v>
      </c>
      <c r="K120" s="378">
        <f t="shared" si="82"/>
        <v>7185.0240000000003</v>
      </c>
      <c r="L120" s="378">
        <f t="shared" si="82"/>
        <v>7185.0240000000003</v>
      </c>
      <c r="M120" s="378">
        <f t="shared" si="82"/>
        <v>7185.0240000000003</v>
      </c>
      <c r="N120" s="378">
        <f t="shared" si="82"/>
        <v>7185.0240000000003</v>
      </c>
      <c r="O120" s="378">
        <f t="shared" si="82"/>
        <v>7185.0240000000003</v>
      </c>
      <c r="P120" s="378">
        <f t="shared" si="82"/>
        <v>7185.0240000000003</v>
      </c>
    </row>
    <row r="121" spans="2:16" ht="20.25" customHeight="1" x14ac:dyDescent="0.25">
      <c r="B121" s="349" t="s">
        <v>442</v>
      </c>
      <c r="C121" s="384">
        <f>C120/12</f>
        <v>565.48799999999994</v>
      </c>
      <c r="D121" s="384">
        <f>D120/12</f>
        <v>0</v>
      </c>
      <c r="E121" s="340"/>
      <c r="F121" s="340">
        <f>F120/12</f>
        <v>565.48799999999994</v>
      </c>
      <c r="G121" s="340">
        <f t="shared" ref="G121:P121" si="83">G120/12</f>
        <v>572.14080000000001</v>
      </c>
      <c r="H121" s="340">
        <f t="shared" si="83"/>
        <v>578.79359999999997</v>
      </c>
      <c r="I121" s="340">
        <f t="shared" si="83"/>
        <v>585.44639999999993</v>
      </c>
      <c r="J121" s="340">
        <f t="shared" si="83"/>
        <v>592.0992</v>
      </c>
      <c r="K121" s="340">
        <f t="shared" si="83"/>
        <v>598.75200000000007</v>
      </c>
      <c r="L121" s="340">
        <f t="shared" si="83"/>
        <v>598.75200000000007</v>
      </c>
      <c r="M121" s="340">
        <f t="shared" si="83"/>
        <v>598.75200000000007</v>
      </c>
      <c r="N121" s="340">
        <f t="shared" si="83"/>
        <v>598.75200000000007</v>
      </c>
      <c r="O121" s="340">
        <f t="shared" si="83"/>
        <v>598.75200000000007</v>
      </c>
      <c r="P121" s="340">
        <f t="shared" si="83"/>
        <v>598.75200000000007</v>
      </c>
    </row>
    <row r="122" spans="2:16" ht="20.25" customHeight="1" x14ac:dyDescent="0.25"/>
    <row r="123" spans="2:16" ht="20.25" customHeight="1" x14ac:dyDescent="0.25">
      <c r="B123" s="349" t="s">
        <v>450</v>
      </c>
      <c r="C123" s="326"/>
      <c r="D123" s="326"/>
      <c r="E123" s="326"/>
      <c r="F123" s="339">
        <f>'Expenses Modeling_Hybrid Plant'!F38*10^5</f>
        <v>0</v>
      </c>
      <c r="G123" s="326">
        <f>'Expenses Modeling_Hybrid Plant'!G38*10^5</f>
        <v>35953881.586191818</v>
      </c>
      <c r="H123" s="326">
        <f>'Expenses Modeling_Hybrid Plant'!H38*10^5</f>
        <v>39205411.168782815</v>
      </c>
      <c r="I123" s="326">
        <f>'Expenses Modeling_Hybrid Plant'!I38*10^5</f>
        <v>38883251.949957356</v>
      </c>
      <c r="J123" s="326">
        <f>'Expenses Modeling_Hybrid Plant'!J38*10^5</f>
        <v>38669394.064232603</v>
      </c>
      <c r="K123" s="326">
        <f>'Expenses Modeling_Hybrid Plant'!K38*10^5</f>
        <v>38456712.396879323</v>
      </c>
      <c r="L123" s="326">
        <f>'Expenses Modeling_Hybrid Plant'!L38*10^5</f>
        <v>38349981.849871002</v>
      </c>
      <c r="M123" s="326">
        <f>'Expenses Modeling_Hybrid Plant'!M38*10^5</f>
        <v>38034851.87606366</v>
      </c>
      <c r="N123" s="326">
        <f>'Expenses Modeling_Hybrid Plant'!N38*10^5</f>
        <v>37825660.190745309</v>
      </c>
      <c r="O123" s="326">
        <f>'Expenses Modeling_Hybrid Plant'!O38*10^5</f>
        <v>37617619.059696212</v>
      </c>
      <c r="P123" s="326">
        <f>'Expenses Modeling_Hybrid Plant'!P38*10^5</f>
        <v>37513217.284059308</v>
      </c>
    </row>
    <row r="124" spans="2:16" ht="20.25" customHeight="1" x14ac:dyDescent="0.25">
      <c r="B124" s="349" t="s">
        <v>444</v>
      </c>
      <c r="C124" s="326"/>
      <c r="D124" s="326"/>
      <c r="E124" s="326"/>
      <c r="F124" s="326">
        <f>F118-F123</f>
        <v>77552640</v>
      </c>
      <c r="G124" s="326">
        <f t="shared" ref="G124:P124" si="84">G118-G123</f>
        <v>42511142.413808182</v>
      </c>
      <c r="H124" s="326">
        <f t="shared" si="84"/>
        <v>40171996.831217185</v>
      </c>
      <c r="I124" s="326">
        <f t="shared" si="84"/>
        <v>41406540.050042644</v>
      </c>
      <c r="J124" s="326">
        <f t="shared" si="84"/>
        <v>42532781.935767397</v>
      </c>
      <c r="K124" s="326">
        <f t="shared" si="84"/>
        <v>43657847.603120677</v>
      </c>
      <c r="L124" s="326">
        <f t="shared" si="84"/>
        <v>43764578.150128998</v>
      </c>
      <c r="M124" s="326">
        <f t="shared" si="84"/>
        <v>44079708.12393634</v>
      </c>
      <c r="N124" s="326">
        <f t="shared" si="84"/>
        <v>44288899.809254691</v>
      </c>
      <c r="O124" s="326">
        <f t="shared" si="84"/>
        <v>44496940.940303788</v>
      </c>
      <c r="P124" s="326">
        <f t="shared" si="84"/>
        <v>44601342.715940692</v>
      </c>
    </row>
    <row r="125" spans="2:16" ht="20.25" customHeight="1" x14ac:dyDescent="0.25">
      <c r="B125" s="349" t="s">
        <v>507</v>
      </c>
      <c r="C125" s="340"/>
      <c r="D125" s="340"/>
      <c r="E125" s="340"/>
      <c r="F125" s="340">
        <f>(F124*F119)/10^5/12</f>
        <v>565.48799999999994</v>
      </c>
      <c r="G125" s="340">
        <f t="shared" ref="G125:P125" si="85">(G124*G119)/10^5/12</f>
        <v>309.97708010068465</v>
      </c>
      <c r="H125" s="340">
        <f t="shared" si="85"/>
        <v>292.92081022762534</v>
      </c>
      <c r="I125" s="340">
        <f t="shared" si="85"/>
        <v>301.92268786489427</v>
      </c>
      <c r="J125" s="340">
        <f t="shared" si="85"/>
        <v>310.1348682816373</v>
      </c>
      <c r="K125" s="340">
        <f t="shared" si="85"/>
        <v>318.33847210608826</v>
      </c>
      <c r="L125" s="340">
        <f t="shared" si="85"/>
        <v>319.11671567802392</v>
      </c>
      <c r="M125" s="340">
        <f t="shared" si="85"/>
        <v>321.41453840370247</v>
      </c>
      <c r="N125" s="340">
        <f t="shared" si="85"/>
        <v>322.93989444248217</v>
      </c>
      <c r="O125" s="340">
        <f t="shared" si="85"/>
        <v>324.45686102304848</v>
      </c>
      <c r="P125" s="340">
        <f t="shared" si="85"/>
        <v>325.21812397040088</v>
      </c>
    </row>
    <row r="126" spans="2:16" ht="20.25" customHeight="1" x14ac:dyDescent="0.25">
      <c r="B126" s="349" t="s">
        <v>508</v>
      </c>
      <c r="C126" s="340"/>
      <c r="D126" s="340"/>
      <c r="E126" s="340"/>
      <c r="F126" s="340">
        <f>F121-F125</f>
        <v>0</v>
      </c>
      <c r="G126" s="340">
        <f t="shared" ref="G126:P126" si="86">G121-G125</f>
        <v>262.16371989931537</v>
      </c>
      <c r="H126" s="340">
        <f t="shared" si="86"/>
        <v>285.87278977237463</v>
      </c>
      <c r="I126" s="340">
        <f t="shared" si="86"/>
        <v>283.52371213510565</v>
      </c>
      <c r="J126" s="340">
        <f t="shared" si="86"/>
        <v>281.9643317183627</v>
      </c>
      <c r="K126" s="340">
        <f t="shared" si="86"/>
        <v>280.41352789391181</v>
      </c>
      <c r="L126" s="340">
        <f t="shared" si="86"/>
        <v>279.63528432197614</v>
      </c>
      <c r="M126" s="340">
        <f t="shared" si="86"/>
        <v>277.3374615962976</v>
      </c>
      <c r="N126" s="340">
        <f t="shared" si="86"/>
        <v>275.8121055575179</v>
      </c>
      <c r="O126" s="340">
        <f t="shared" si="86"/>
        <v>274.29513897695159</v>
      </c>
      <c r="P126" s="340">
        <f t="shared" si="86"/>
        <v>273.53387602959918</v>
      </c>
    </row>
    <row r="127" spans="2:16" ht="20.25" customHeight="1" x14ac:dyDescent="0.25">
      <c r="B127" s="349" t="s">
        <v>509</v>
      </c>
      <c r="C127" s="340"/>
      <c r="D127" s="340"/>
      <c r="E127" s="340"/>
      <c r="F127" s="340">
        <f>SUM(IS!F19:F22)/12</f>
        <v>0</v>
      </c>
      <c r="G127" s="340">
        <f>SUM(IS!G19:G22)/12</f>
        <v>18.942034337559857</v>
      </c>
      <c r="H127" s="340">
        <f>SUM(IS!H19:H22)/12</f>
        <v>20.274966354576424</v>
      </c>
      <c r="I127" s="340">
        <f>SUM(IS!I19:I22)/12</f>
        <v>32.265723204886278</v>
      </c>
      <c r="J127" s="340">
        <f>SUM(IS!J19:J22)/12</f>
        <v>32.546292319046252</v>
      </c>
      <c r="K127" s="340">
        <f>SUM(IS!K19:K22)/12</f>
        <v>32.98852996960148</v>
      </c>
      <c r="L127" s="340">
        <f>SUM(IS!L19:L22)/12</f>
        <v>33.376382884538707</v>
      </c>
      <c r="M127" s="340">
        <f>SUM(IS!M19:M22)/12</f>
        <v>33.829684474914373</v>
      </c>
      <c r="N127" s="340">
        <f>SUM(IS!N19:N22)/12</f>
        <v>34.222437245079583</v>
      </c>
      <c r="O127" s="340">
        <f>SUM(IS!O19:O22)/12</f>
        <v>34.802076634586548</v>
      </c>
      <c r="P127" s="340">
        <f>SUM(IS!P19:P22)/12</f>
        <v>35.313965746732798</v>
      </c>
    </row>
    <row r="128" spans="2:16" ht="20.25" customHeight="1" x14ac:dyDescent="0.25">
      <c r="B128" s="349" t="s">
        <v>510</v>
      </c>
      <c r="C128" s="340"/>
      <c r="D128" s="340"/>
      <c r="E128" s="340"/>
      <c r="F128" s="340">
        <f>F126-F127</f>
        <v>0</v>
      </c>
      <c r="G128" s="340">
        <f t="shared" ref="G128:P128" si="87">G126-G127</f>
        <v>243.22168556175552</v>
      </c>
      <c r="H128" s="340">
        <f t="shared" si="87"/>
        <v>265.59782341779822</v>
      </c>
      <c r="I128" s="340">
        <f t="shared" si="87"/>
        <v>251.25798893021937</v>
      </c>
      <c r="J128" s="340">
        <f t="shared" si="87"/>
        <v>249.41803939931646</v>
      </c>
      <c r="K128" s="340">
        <f t="shared" si="87"/>
        <v>247.42499792431033</v>
      </c>
      <c r="L128" s="340">
        <f t="shared" si="87"/>
        <v>246.25890143743743</v>
      </c>
      <c r="M128" s="340">
        <f t="shared" si="87"/>
        <v>243.50777712138324</v>
      </c>
      <c r="N128" s="340">
        <f t="shared" si="87"/>
        <v>241.58966831243831</v>
      </c>
      <c r="O128" s="340">
        <f t="shared" si="87"/>
        <v>239.49306234236505</v>
      </c>
      <c r="P128" s="340">
        <f t="shared" si="87"/>
        <v>238.21991028286638</v>
      </c>
    </row>
    <row r="129" spans="2:5" ht="20.25" customHeight="1" x14ac:dyDescent="0.25"/>
    <row r="130" spans="2:5" ht="20.25" customHeight="1" x14ac:dyDescent="0.25">
      <c r="B130" s="336" t="s">
        <v>473</v>
      </c>
    </row>
    <row r="131" spans="2:5" ht="20.25" customHeight="1" x14ac:dyDescent="0.25">
      <c r="B131" s="289" t="s">
        <v>155</v>
      </c>
      <c r="C131" s="292"/>
      <c r="D131" s="293" t="s">
        <v>471</v>
      </c>
      <c r="E131" s="293" t="s">
        <v>472</v>
      </c>
    </row>
    <row r="132" spans="2:5" ht="20.25" customHeight="1" x14ac:dyDescent="0.25">
      <c r="B132" s="290" t="s">
        <v>1</v>
      </c>
      <c r="C132" s="372"/>
      <c r="D132" s="132">
        <v>0</v>
      </c>
      <c r="E132" s="132">
        <v>9.9999999999999998E-13</v>
      </c>
    </row>
    <row r="133" spans="2:5" ht="20.25" customHeight="1" x14ac:dyDescent="0.25">
      <c r="B133" s="290" t="s">
        <v>2</v>
      </c>
      <c r="C133" s="294"/>
      <c r="D133" s="132">
        <v>4.7699999999999999E-2</v>
      </c>
      <c r="E133" s="132">
        <v>0.1</v>
      </c>
    </row>
    <row r="134" spans="2:5" ht="20.25" customHeight="1" x14ac:dyDescent="0.25">
      <c r="B134" s="290" t="s">
        <v>3</v>
      </c>
      <c r="C134" s="294"/>
      <c r="D134" s="132">
        <v>9.0800000000000006E-2</v>
      </c>
      <c r="E134" s="132">
        <v>0.15</v>
      </c>
    </row>
    <row r="135" spans="2:5" ht="20.25" customHeight="1" x14ac:dyDescent="0.25">
      <c r="B135" s="290" t="s">
        <v>4</v>
      </c>
      <c r="C135" s="294"/>
      <c r="D135" s="132">
        <v>0.12989999999999999</v>
      </c>
      <c r="E135" s="132">
        <v>0.1</v>
      </c>
    </row>
    <row r="136" spans="2:5" ht="20.25" customHeight="1" x14ac:dyDescent="0.25">
      <c r="B136" s="290" t="s">
        <v>5</v>
      </c>
      <c r="C136" s="294"/>
      <c r="D136" s="132">
        <v>0.1588</v>
      </c>
      <c r="E136" s="132">
        <v>0.3</v>
      </c>
    </row>
    <row r="137" spans="2:5" ht="20.25" customHeight="1" x14ac:dyDescent="0.25">
      <c r="B137" s="290" t="s">
        <v>6</v>
      </c>
      <c r="C137" s="294"/>
      <c r="D137" s="132">
        <v>0.22339999999999999</v>
      </c>
      <c r="E137" s="132">
        <v>0.4</v>
      </c>
    </row>
    <row r="138" spans="2:5" ht="20.25" customHeight="1" x14ac:dyDescent="0.25">
      <c r="B138" s="295"/>
      <c r="C138" s="296"/>
      <c r="D138" s="297"/>
      <c r="E138" s="297"/>
    </row>
  </sheetData>
  <mergeCells count="3">
    <mergeCell ref="B91:N91"/>
    <mergeCell ref="K72:L72"/>
    <mergeCell ref="M72:N72"/>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2:J73"/>
  <sheetViews>
    <sheetView showGridLines="0" zoomScaleNormal="100" workbookViewId="0"/>
  </sheetViews>
  <sheetFormatPr defaultColWidth="13.7109375" defaultRowHeight="15" x14ac:dyDescent="0.25"/>
  <cols>
    <col min="1" max="1" width="5.140625" style="4" customWidth="1"/>
    <col min="2" max="2" width="57" style="4" customWidth="1"/>
    <col min="3" max="3" width="18.5703125" style="4" customWidth="1"/>
    <col min="4" max="4" width="23" style="4" customWidth="1"/>
    <col min="5" max="5" width="22" style="4" customWidth="1"/>
    <col min="6" max="6" width="13.28515625" style="4" bestFit="1" customWidth="1"/>
    <col min="7" max="16384" width="13.7109375" style="4"/>
  </cols>
  <sheetData>
    <row r="2" spans="2:6" s="1" customFormat="1" ht="19.899999999999999" customHeight="1" x14ac:dyDescent="0.25">
      <c r="B2" s="403" t="str">
        <f>'Assumptions on Steel Plant'!B2</f>
        <v>M/s. Sai Infinium Limited</v>
      </c>
      <c r="C2" s="403"/>
      <c r="D2" s="403"/>
      <c r="E2" s="403"/>
      <c r="F2" s="4"/>
    </row>
    <row r="3" spans="2:6" s="1" customFormat="1" ht="9" customHeight="1" x14ac:dyDescent="0.25">
      <c r="B3" s="2"/>
      <c r="C3" s="2"/>
      <c r="D3" s="2"/>
      <c r="E3" s="2"/>
      <c r="F3" s="2"/>
    </row>
    <row r="4" spans="2:6" s="1" customFormat="1" ht="19.899999999999999" customHeight="1" x14ac:dyDescent="0.25">
      <c r="B4" s="404" t="str">
        <f>'Assumptions on Steel Plant'!B4</f>
        <v>Business Projections</v>
      </c>
      <c r="C4" s="404"/>
      <c r="D4" s="404"/>
      <c r="E4" s="404"/>
      <c r="F4" s="4"/>
    </row>
    <row r="5" spans="2:6" s="1" customFormat="1" ht="9" customHeight="1" x14ac:dyDescent="0.25">
      <c r="B5" s="2"/>
      <c r="C5" s="2"/>
      <c r="D5" s="2"/>
      <c r="E5" s="2"/>
      <c r="F5" s="2"/>
    </row>
    <row r="6" spans="2:6" ht="15.75" x14ac:dyDescent="0.25">
      <c r="B6" s="6" t="s">
        <v>511</v>
      </c>
      <c r="C6" s="6"/>
      <c r="D6" s="6"/>
      <c r="E6" s="7"/>
    </row>
    <row r="7" spans="2:6" x14ac:dyDescent="0.25">
      <c r="B7" s="5"/>
      <c r="C7" s="5"/>
      <c r="D7" s="5"/>
      <c r="E7" s="5"/>
    </row>
    <row r="8" spans="2:6" x14ac:dyDescent="0.25">
      <c r="B8" s="8" t="s">
        <v>57</v>
      </c>
      <c r="C8" s="8"/>
      <c r="D8" s="8"/>
      <c r="E8" s="8"/>
    </row>
    <row r="9" spans="2:6" x14ac:dyDescent="0.25">
      <c r="B9" s="9" t="s">
        <v>0</v>
      </c>
      <c r="C9" s="9"/>
      <c r="D9" s="9"/>
      <c r="E9" s="10" t="s">
        <v>11</v>
      </c>
    </row>
    <row r="10" spans="2:6" x14ac:dyDescent="0.25">
      <c r="B10" s="5" t="s">
        <v>12</v>
      </c>
      <c r="C10" s="5"/>
      <c r="D10" s="33" t="s">
        <v>13</v>
      </c>
      <c r="E10" s="11">
        <v>45703</v>
      </c>
    </row>
    <row r="11" spans="2:6" x14ac:dyDescent="0.25">
      <c r="B11" s="5" t="s">
        <v>14</v>
      </c>
      <c r="C11" s="5"/>
      <c r="D11" s="33" t="s">
        <v>15</v>
      </c>
      <c r="E11" s="11">
        <v>45748</v>
      </c>
    </row>
    <row r="12" spans="2:6" x14ac:dyDescent="0.25">
      <c r="B12" s="5" t="s">
        <v>16</v>
      </c>
      <c r="C12" s="5"/>
      <c r="D12" s="33" t="s">
        <v>17</v>
      </c>
      <c r="E12" s="12">
        <v>12</v>
      </c>
    </row>
    <row r="13" spans="2:6" x14ac:dyDescent="0.25">
      <c r="B13" s="5" t="s">
        <v>18</v>
      </c>
      <c r="C13" s="5"/>
      <c r="D13" s="33" t="s">
        <v>19</v>
      </c>
      <c r="E13" s="11">
        <f>EOMONTH(E11,E12)</f>
        <v>46142</v>
      </c>
    </row>
    <row r="14" spans="2:6" x14ac:dyDescent="0.25">
      <c r="B14" s="5" t="s">
        <v>20</v>
      </c>
      <c r="C14" s="5"/>
      <c r="D14" s="33" t="s">
        <v>21</v>
      </c>
      <c r="E14" s="11">
        <f>E13+1</f>
        <v>46143</v>
      </c>
    </row>
    <row r="15" spans="2:6" x14ac:dyDescent="0.25">
      <c r="B15" s="13"/>
      <c r="C15" s="13"/>
      <c r="D15" s="13"/>
      <c r="E15" s="13"/>
    </row>
    <row r="16" spans="2:6" x14ac:dyDescent="0.25">
      <c r="B16" s="8" t="s">
        <v>22</v>
      </c>
      <c r="C16" s="8"/>
      <c r="D16" s="32" t="s">
        <v>58</v>
      </c>
      <c r="E16" s="32" t="s">
        <v>59</v>
      </c>
    </row>
    <row r="17" spans="2:7" x14ac:dyDescent="0.25">
      <c r="B17" s="9" t="s">
        <v>0</v>
      </c>
      <c r="C17" s="10" t="s">
        <v>24</v>
      </c>
      <c r="D17" s="10" t="s">
        <v>23</v>
      </c>
      <c r="E17" s="10" t="s">
        <v>23</v>
      </c>
    </row>
    <row r="18" spans="2:7" x14ac:dyDescent="0.25">
      <c r="B18" s="14" t="s">
        <v>25</v>
      </c>
      <c r="C18" s="15" t="s">
        <v>26</v>
      </c>
      <c r="D18" s="15">
        <v>24</v>
      </c>
      <c r="E18" s="15">
        <v>24</v>
      </c>
    </row>
    <row r="19" spans="2:7" x14ac:dyDescent="0.25">
      <c r="B19" s="14" t="s">
        <v>27</v>
      </c>
      <c r="C19" s="15" t="s">
        <v>28</v>
      </c>
      <c r="D19" s="15">
        <v>365</v>
      </c>
      <c r="E19" s="15">
        <v>365</v>
      </c>
    </row>
    <row r="20" spans="2:7" x14ac:dyDescent="0.25">
      <c r="B20" s="14" t="s">
        <v>29</v>
      </c>
      <c r="C20" s="15" t="s">
        <v>28</v>
      </c>
      <c r="D20" s="15">
        <v>365</v>
      </c>
      <c r="E20" s="15">
        <v>365</v>
      </c>
    </row>
    <row r="21" spans="2:7" x14ac:dyDescent="0.25">
      <c r="B21" s="5"/>
      <c r="C21" s="16"/>
      <c r="D21" s="16"/>
      <c r="E21" s="16"/>
    </row>
    <row r="22" spans="2:7" x14ac:dyDescent="0.25">
      <c r="B22" s="17" t="s">
        <v>30</v>
      </c>
      <c r="C22" s="17"/>
      <c r="D22" s="17"/>
      <c r="E22" s="17"/>
    </row>
    <row r="23" spans="2:7" x14ac:dyDescent="0.25">
      <c r="B23" s="5" t="s">
        <v>31</v>
      </c>
      <c r="C23" s="15" t="s">
        <v>32</v>
      </c>
      <c r="D23" s="27">
        <v>9</v>
      </c>
      <c r="E23" s="27">
        <v>8.4</v>
      </c>
    </row>
    <row r="24" spans="2:7" x14ac:dyDescent="0.25">
      <c r="B24" s="5" t="s">
        <v>33</v>
      </c>
      <c r="C24" s="15" t="s">
        <v>34</v>
      </c>
      <c r="D24" s="34">
        <f>D23*1000</f>
        <v>9000</v>
      </c>
      <c r="E24" s="34">
        <f>E23*1000</f>
        <v>8400</v>
      </c>
    </row>
    <row r="25" spans="2:7" x14ac:dyDescent="0.25">
      <c r="B25" s="5" t="s">
        <v>35</v>
      </c>
      <c r="C25" s="18" t="s">
        <v>36</v>
      </c>
      <c r="D25" s="19">
        <v>0.185506849315069</v>
      </c>
      <c r="E25" s="19">
        <v>0.36964557512502721</v>
      </c>
    </row>
    <row r="26" spans="2:7" x14ac:dyDescent="0.25">
      <c r="B26" s="5" t="s">
        <v>60</v>
      </c>
      <c r="C26" s="18" t="s">
        <v>36</v>
      </c>
      <c r="D26" s="19">
        <v>0</v>
      </c>
      <c r="E26" s="19">
        <v>0</v>
      </c>
    </row>
    <row r="27" spans="2:7" x14ac:dyDescent="0.25">
      <c r="B27" s="5" t="s">
        <v>61</v>
      </c>
      <c r="C27" s="18" t="s">
        <v>36</v>
      </c>
      <c r="D27" s="19">
        <v>5.4999999999999997E-3</v>
      </c>
      <c r="E27" s="19">
        <v>5.4999999999999997E-3</v>
      </c>
    </row>
    <row r="28" spans="2:7" x14ac:dyDescent="0.25">
      <c r="B28" s="5" t="s">
        <v>246</v>
      </c>
      <c r="C28" s="18" t="s">
        <v>36</v>
      </c>
      <c r="D28" s="79">
        <f>3.84%+2.5%</f>
        <v>6.3399999999999998E-2</v>
      </c>
      <c r="E28" s="79">
        <f>3.84%+2.5%</f>
        <v>6.3399999999999998E-2</v>
      </c>
    </row>
    <row r="29" spans="2:7" x14ac:dyDescent="0.25">
      <c r="B29" s="5"/>
      <c r="C29" s="18"/>
      <c r="D29" s="19"/>
      <c r="E29" s="19"/>
    </row>
    <row r="30" spans="2:7" x14ac:dyDescent="0.25">
      <c r="B30" s="9" t="s">
        <v>38</v>
      </c>
      <c r="C30" s="9"/>
      <c r="D30" s="9"/>
      <c r="E30" s="9"/>
    </row>
    <row r="31" spans="2:7" x14ac:dyDescent="0.25">
      <c r="B31" s="21" t="s">
        <v>38</v>
      </c>
      <c r="C31" s="23" t="s">
        <v>203</v>
      </c>
      <c r="D31" s="22">
        <f>350000*D23</f>
        <v>3150000</v>
      </c>
      <c r="E31" s="22">
        <f>1102000*E23</f>
        <v>9256800</v>
      </c>
      <c r="F31" s="83">
        <f>+D31/36</f>
        <v>87500</v>
      </c>
      <c r="G31" s="83">
        <f>+E31/27.3</f>
        <v>339076.92307692306</v>
      </c>
    </row>
    <row r="32" spans="2:7" x14ac:dyDescent="0.25">
      <c r="B32" s="21" t="s">
        <v>204</v>
      </c>
      <c r="C32" s="23"/>
      <c r="D32" s="22" t="s">
        <v>205</v>
      </c>
      <c r="E32" s="22" t="s">
        <v>205</v>
      </c>
    </row>
    <row r="33" spans="2:8" x14ac:dyDescent="0.25">
      <c r="B33" s="5" t="s">
        <v>40</v>
      </c>
      <c r="C33" s="20" t="s">
        <v>41</v>
      </c>
      <c r="D33" s="24">
        <v>0.05</v>
      </c>
      <c r="E33" s="24">
        <v>0.05</v>
      </c>
    </row>
    <row r="34" spans="2:8" x14ac:dyDescent="0.25">
      <c r="B34" s="5"/>
      <c r="C34" s="20"/>
      <c r="D34" s="24"/>
      <c r="E34" s="24"/>
    </row>
    <row r="35" spans="2:8" x14ac:dyDescent="0.25">
      <c r="B35" s="5" t="s">
        <v>39</v>
      </c>
      <c r="C35" s="20" t="s">
        <v>206</v>
      </c>
      <c r="D35" s="19">
        <v>1E-3</v>
      </c>
      <c r="E35" s="19">
        <v>1E-3</v>
      </c>
    </row>
    <row r="36" spans="2:8" x14ac:dyDescent="0.25">
      <c r="B36" s="5"/>
      <c r="C36" s="20"/>
      <c r="D36" s="19"/>
      <c r="E36" s="19"/>
    </row>
    <row r="37" spans="2:8" x14ac:dyDescent="0.25">
      <c r="B37" s="5" t="s">
        <v>42</v>
      </c>
      <c r="C37" s="20" t="s">
        <v>41</v>
      </c>
      <c r="D37" s="22">
        <f>50000*(2.5*D23)</f>
        <v>1125000</v>
      </c>
      <c r="E37" s="22">
        <f>300000*4</f>
        <v>1200000</v>
      </c>
    </row>
    <row r="38" spans="2:8" x14ac:dyDescent="0.25">
      <c r="B38" s="5" t="s">
        <v>43</v>
      </c>
      <c r="C38" s="20" t="s">
        <v>44</v>
      </c>
      <c r="D38" s="25">
        <v>7.0000000000000007E-2</v>
      </c>
      <c r="E38" s="25">
        <v>7.0000000000000007E-2</v>
      </c>
    </row>
    <row r="39" spans="2:8" x14ac:dyDescent="0.25">
      <c r="B39" s="5"/>
      <c r="C39" s="5"/>
      <c r="D39" s="5"/>
      <c r="E39" s="5"/>
    </row>
    <row r="40" spans="2:8" x14ac:dyDescent="0.25">
      <c r="B40" s="9" t="s">
        <v>45</v>
      </c>
      <c r="C40" s="9"/>
      <c r="D40" s="9"/>
      <c r="E40" s="9"/>
    </row>
    <row r="41" spans="2:8" x14ac:dyDescent="0.25">
      <c r="B41" s="26" t="s">
        <v>92</v>
      </c>
      <c r="C41" s="20" t="s">
        <v>46</v>
      </c>
      <c r="D41" s="20">
        <v>0.2</v>
      </c>
      <c r="E41" s="20">
        <v>0.2</v>
      </c>
    </row>
    <row r="42" spans="2:8" x14ac:dyDescent="0.25">
      <c r="B42" s="26" t="s">
        <v>93</v>
      </c>
      <c r="C42" s="20" t="s">
        <v>207</v>
      </c>
      <c r="D42" s="20">
        <v>614.45000000000005</v>
      </c>
      <c r="E42" s="20">
        <v>614.45000000000005</v>
      </c>
      <c r="H42" s="49"/>
    </row>
    <row r="43" spans="2:8" x14ac:dyDescent="0.25">
      <c r="B43" s="26" t="s">
        <v>94</v>
      </c>
      <c r="C43" s="20" t="s">
        <v>95</v>
      </c>
      <c r="D43" s="20">
        <v>4400</v>
      </c>
      <c r="E43" s="20">
        <v>4400</v>
      </c>
    </row>
    <row r="44" spans="2:8" x14ac:dyDescent="0.25">
      <c r="B44" s="5" t="s">
        <v>47</v>
      </c>
      <c r="C44" s="20" t="s">
        <v>96</v>
      </c>
      <c r="D44" s="25">
        <v>0</v>
      </c>
      <c r="E44" s="25">
        <v>0</v>
      </c>
    </row>
    <row r="46" spans="2:8" ht="30" x14ac:dyDescent="0.25">
      <c r="B46" s="14" t="s">
        <v>247</v>
      </c>
      <c r="C46" s="84" t="s">
        <v>248</v>
      </c>
      <c r="D46" s="22">
        <v>1500</v>
      </c>
      <c r="E46" s="20"/>
    </row>
    <row r="47" spans="2:8" x14ac:dyDescent="0.25">
      <c r="B47" s="14" t="s">
        <v>263</v>
      </c>
      <c r="C47" s="20" t="s">
        <v>37</v>
      </c>
      <c r="D47" s="20">
        <f>D46/1000</f>
        <v>1.5</v>
      </c>
      <c r="E47" s="20"/>
    </row>
    <row r="48" spans="2:8" x14ac:dyDescent="0.25">
      <c r="C48" s="20"/>
      <c r="D48" s="20"/>
      <c r="E48" s="20"/>
    </row>
    <row r="49" spans="2:10" x14ac:dyDescent="0.25">
      <c r="B49" s="4" t="s">
        <v>249</v>
      </c>
      <c r="C49" s="20" t="s">
        <v>250</v>
      </c>
      <c r="D49" s="22">
        <v>12000</v>
      </c>
      <c r="E49" s="20"/>
      <c r="F49" s="4" t="s">
        <v>251</v>
      </c>
    </row>
    <row r="50" spans="2:10" x14ac:dyDescent="0.25">
      <c r="B50" s="4" t="s">
        <v>252</v>
      </c>
      <c r="C50" s="20" t="s">
        <v>250</v>
      </c>
      <c r="D50" s="22">
        <v>60000</v>
      </c>
      <c r="E50" s="20"/>
      <c r="F50" s="4" t="s">
        <v>253</v>
      </c>
    </row>
    <row r="51" spans="2:10" x14ac:dyDescent="0.25">
      <c r="C51" s="20"/>
      <c r="D51" s="20"/>
      <c r="E51" s="20"/>
    </row>
    <row r="52" spans="2:10" x14ac:dyDescent="0.25">
      <c r="B52" s="9" t="s">
        <v>49</v>
      </c>
      <c r="C52" s="9"/>
      <c r="D52" s="9"/>
      <c r="E52" s="9"/>
    </row>
    <row r="53" spans="2:10" x14ac:dyDescent="0.25">
      <c r="B53" s="5" t="s">
        <v>50</v>
      </c>
      <c r="C53" s="18" t="s">
        <v>51</v>
      </c>
      <c r="D53" s="24">
        <f>15%*(1+D56)*(1+D57)</f>
        <v>0.17472000000000001</v>
      </c>
    </row>
    <row r="54" spans="2:10" x14ac:dyDescent="0.25">
      <c r="B54" s="28" t="s">
        <v>52</v>
      </c>
      <c r="C54" s="28"/>
      <c r="D54" s="28"/>
    </row>
    <row r="55" spans="2:10" x14ac:dyDescent="0.25">
      <c r="B55" s="4" t="s">
        <v>53</v>
      </c>
      <c r="C55" s="18" t="s">
        <v>48</v>
      </c>
      <c r="D55" s="16">
        <v>0.25</v>
      </c>
      <c r="F55" s="4" t="s">
        <v>218</v>
      </c>
    </row>
    <row r="56" spans="2:10" x14ac:dyDescent="0.25">
      <c r="B56" s="4" t="s">
        <v>54</v>
      </c>
      <c r="C56" s="18" t="s">
        <v>48</v>
      </c>
      <c r="D56" s="16">
        <v>0.12</v>
      </c>
    </row>
    <row r="57" spans="2:10" x14ac:dyDescent="0.25">
      <c r="B57" s="4" t="s">
        <v>55</v>
      </c>
      <c r="C57" s="18" t="s">
        <v>48</v>
      </c>
      <c r="D57" s="16">
        <v>0.04</v>
      </c>
    </row>
    <row r="58" spans="2:10" x14ac:dyDescent="0.25">
      <c r="B58" s="29" t="s">
        <v>56</v>
      </c>
      <c r="C58" s="31" t="s">
        <v>48</v>
      </c>
      <c r="D58" s="30">
        <f>D55*(1+D56)*(1+D57)</f>
        <v>0.29120000000000001</v>
      </c>
      <c r="E58" s="30"/>
      <c r="J58" s="78"/>
    </row>
    <row r="59" spans="2:10" x14ac:dyDescent="0.25">
      <c r="C59" s="18"/>
      <c r="H59" s="49"/>
      <c r="J59" s="78"/>
    </row>
    <row r="60" spans="2:10" x14ac:dyDescent="0.25">
      <c r="J60" s="78"/>
    </row>
    <row r="61" spans="2:10" x14ac:dyDescent="0.25">
      <c r="H61" s="66"/>
      <c r="I61" s="66"/>
      <c r="J61" s="78"/>
    </row>
    <row r="62" spans="2:10" x14ac:dyDescent="0.25">
      <c r="G62" s="44"/>
      <c r="H62" s="66"/>
      <c r="I62" s="66"/>
      <c r="J62" s="78"/>
    </row>
    <row r="63" spans="2:10" x14ac:dyDescent="0.25">
      <c r="G63" s="44"/>
      <c r="H63" s="66"/>
      <c r="I63" s="66"/>
      <c r="J63" s="78"/>
    </row>
    <row r="64" spans="2:10" x14ac:dyDescent="0.25">
      <c r="G64" s="44"/>
      <c r="H64" s="66"/>
      <c r="I64" s="66"/>
      <c r="J64" s="78"/>
    </row>
    <row r="65" spans="7:10" x14ac:dyDescent="0.25">
      <c r="G65" s="44"/>
      <c r="H65" s="66"/>
      <c r="I65" s="66"/>
      <c r="J65" s="78"/>
    </row>
    <row r="66" spans="7:10" x14ac:dyDescent="0.25">
      <c r="G66" s="44"/>
      <c r="H66" s="66"/>
      <c r="I66" s="66"/>
      <c r="J66" s="78"/>
    </row>
    <row r="67" spans="7:10" x14ac:dyDescent="0.25">
      <c r="J67" s="78"/>
    </row>
    <row r="68" spans="7:10" x14ac:dyDescent="0.25">
      <c r="J68" s="78"/>
    </row>
    <row r="69" spans="7:10" x14ac:dyDescent="0.25">
      <c r="J69" s="78"/>
    </row>
    <row r="70" spans="7:10" x14ac:dyDescent="0.25">
      <c r="J70" s="78"/>
    </row>
    <row r="71" spans="7:10" x14ac:dyDescent="0.25">
      <c r="J71" s="78"/>
    </row>
    <row r="72" spans="7:10" x14ac:dyDescent="0.25">
      <c r="J72" s="78"/>
    </row>
    <row r="73" spans="7:10" x14ac:dyDescent="0.25">
      <c r="J73" s="78"/>
    </row>
  </sheetData>
  <mergeCells count="2">
    <mergeCell ref="B2:E2"/>
    <mergeCell ref="B4:E4"/>
  </mergeCells>
  <pageMargins left="0.7" right="0.7" top="0.75" bottom="0.75" header="0.3" footer="0.3"/>
  <pageSetup orientation="portrait"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N128"/>
  <sheetViews>
    <sheetView topLeftCell="A110" workbookViewId="0">
      <selection activeCell="J113" sqref="J113"/>
    </sheetView>
  </sheetViews>
  <sheetFormatPr defaultRowHeight="15" x14ac:dyDescent="0.25"/>
  <cols>
    <col min="7" max="7" width="14.42578125" customWidth="1"/>
    <col min="8" max="8" width="16.7109375" customWidth="1"/>
    <col min="9" max="9" width="16.42578125" customWidth="1"/>
    <col min="10" max="10" width="17.140625" customWidth="1"/>
    <col min="11" max="11" width="11.140625" customWidth="1"/>
  </cols>
  <sheetData>
    <row r="2" spans="3:10" x14ac:dyDescent="0.25">
      <c r="D2" t="s">
        <v>257</v>
      </c>
    </row>
    <row r="3" spans="3:10" x14ac:dyDescent="0.25">
      <c r="D3" t="s">
        <v>258</v>
      </c>
      <c r="J3" t="s">
        <v>271</v>
      </c>
    </row>
    <row r="4" spans="3:10" x14ac:dyDescent="0.25">
      <c r="D4" t="s">
        <v>259</v>
      </c>
    </row>
    <row r="5" spans="3:10" x14ac:dyDescent="0.25">
      <c r="D5" t="s">
        <v>260</v>
      </c>
    </row>
    <row r="7" spans="3:10" x14ac:dyDescent="0.25">
      <c r="D7" t="s">
        <v>261</v>
      </c>
    </row>
    <row r="8" spans="3:10" x14ac:dyDescent="0.25">
      <c r="D8" t="s">
        <v>273</v>
      </c>
    </row>
    <row r="10" spans="3:10" x14ac:dyDescent="0.25">
      <c r="D10" t="s">
        <v>262</v>
      </c>
    </row>
    <row r="13" spans="3:10" x14ac:dyDescent="0.25">
      <c r="C13" t="s">
        <v>270</v>
      </c>
      <c r="E13" t="s">
        <v>269</v>
      </c>
      <c r="G13" t="s">
        <v>264</v>
      </c>
      <c r="H13" t="s">
        <v>265</v>
      </c>
      <c r="I13" t="s">
        <v>266</v>
      </c>
      <c r="J13" t="s">
        <v>267</v>
      </c>
    </row>
    <row r="14" spans="3:10" x14ac:dyDescent="0.25">
      <c r="G14" s="81">
        <v>150000000</v>
      </c>
      <c r="H14" s="85">
        <v>0.12</v>
      </c>
      <c r="I14" s="81">
        <f>G14*H14</f>
        <v>18000000</v>
      </c>
      <c r="J14" s="81">
        <f>G14+I14</f>
        <v>168000000</v>
      </c>
    </row>
    <row r="15" spans="3:10" x14ac:dyDescent="0.25">
      <c r="D15" t="s">
        <v>272</v>
      </c>
      <c r="G15" s="81"/>
      <c r="H15" s="85"/>
      <c r="I15" s="81"/>
      <c r="J15" s="81"/>
    </row>
    <row r="16" spans="3:10" x14ac:dyDescent="0.25">
      <c r="G16" s="81">
        <v>58000000</v>
      </c>
      <c r="H16" s="85">
        <v>0.18</v>
      </c>
      <c r="I16" s="81">
        <f>G16*H16</f>
        <v>10440000</v>
      </c>
      <c r="J16" s="81">
        <f>G16+I16</f>
        <v>68440000</v>
      </c>
    </row>
    <row r="17" spans="4:14" x14ac:dyDescent="0.25">
      <c r="D17" t="s">
        <v>272</v>
      </c>
      <c r="G17" s="81"/>
      <c r="H17" s="85"/>
      <c r="I17" s="81"/>
      <c r="J17" s="81"/>
    </row>
    <row r="18" spans="4:14" x14ac:dyDescent="0.25">
      <c r="G18" s="81">
        <f>G14+G16</f>
        <v>208000000</v>
      </c>
      <c r="H18" s="85">
        <v>0.13800000000000001</v>
      </c>
      <c r="I18" s="81">
        <f t="shared" ref="I18:I20" si="0">G18*H18</f>
        <v>28704000.000000004</v>
      </c>
      <c r="J18" s="81">
        <f>G18+I18</f>
        <v>236704000</v>
      </c>
    </row>
    <row r="19" spans="4:14" x14ac:dyDescent="0.25">
      <c r="G19" s="81">
        <f>G18*13</f>
        <v>2704000000</v>
      </c>
      <c r="H19" s="85">
        <v>0.13800000000000001</v>
      </c>
      <c r="I19" s="81">
        <f t="shared" si="0"/>
        <v>373152000.00000006</v>
      </c>
      <c r="J19" s="81">
        <f>G19+I19</f>
        <v>3077152000</v>
      </c>
    </row>
    <row r="20" spans="4:14" x14ac:dyDescent="0.25">
      <c r="G20" s="81">
        <v>32000000</v>
      </c>
      <c r="H20" s="85">
        <v>0.13800000000000001</v>
      </c>
      <c r="I20" s="81">
        <f t="shared" si="0"/>
        <v>4416000</v>
      </c>
      <c r="J20" s="81">
        <f>G20+I20</f>
        <v>36416000</v>
      </c>
    </row>
    <row r="21" spans="4:14" x14ac:dyDescent="0.25">
      <c r="D21" t="s">
        <v>268</v>
      </c>
      <c r="G21" s="81"/>
      <c r="H21" s="85"/>
      <c r="I21" s="81"/>
      <c r="J21" s="81"/>
    </row>
    <row r="22" spans="4:14" x14ac:dyDescent="0.25">
      <c r="D22" t="s">
        <v>326</v>
      </c>
      <c r="G22" s="81"/>
      <c r="H22" s="85"/>
      <c r="I22" s="81"/>
      <c r="J22" s="81"/>
    </row>
    <row r="23" spans="4:14" x14ac:dyDescent="0.25">
      <c r="D23" t="s">
        <v>325</v>
      </c>
      <c r="G23" s="81"/>
      <c r="H23" s="85"/>
      <c r="I23" s="81"/>
      <c r="J23" s="81"/>
    </row>
    <row r="24" spans="4:14" x14ac:dyDescent="0.25">
      <c r="G24" s="81"/>
      <c r="H24" s="85"/>
      <c r="I24" s="81"/>
      <c r="J24" s="81"/>
    </row>
    <row r="25" spans="4:14" x14ac:dyDescent="0.25">
      <c r="G25" s="81">
        <f>G20*36</f>
        <v>1152000000</v>
      </c>
      <c r="H25" s="85">
        <v>0.13800000000000001</v>
      </c>
      <c r="I25" s="81">
        <f>G25*H25</f>
        <v>158976000</v>
      </c>
      <c r="J25" s="81">
        <f>G25+I25</f>
        <v>1310976000</v>
      </c>
    </row>
    <row r="26" spans="4:14" x14ac:dyDescent="0.25">
      <c r="G26" s="81">
        <f>G19+G25</f>
        <v>3856000000</v>
      </c>
      <c r="H26" s="81">
        <f t="shared" ref="H26:I26" si="1">H19+H25</f>
        <v>0.27600000000000002</v>
      </c>
      <c r="I26" s="81">
        <f t="shared" si="1"/>
        <v>532128000.00000006</v>
      </c>
      <c r="J26" s="81">
        <f>J19+J25</f>
        <v>4388128000</v>
      </c>
    </row>
    <row r="27" spans="4:14" x14ac:dyDescent="0.25">
      <c r="L27">
        <v>126.45</v>
      </c>
      <c r="N27">
        <f>L27/L28</f>
        <v>1.9976303317535546</v>
      </c>
    </row>
    <row r="28" spans="4:14" x14ac:dyDescent="0.25">
      <c r="L28">
        <v>63.3</v>
      </c>
    </row>
    <row r="29" spans="4:14" x14ac:dyDescent="0.25">
      <c r="L29">
        <f>L28/L27</f>
        <v>0.5005931198102016</v>
      </c>
    </row>
    <row r="31" spans="4:14" x14ac:dyDescent="0.25">
      <c r="F31" t="s">
        <v>274</v>
      </c>
    </row>
    <row r="33" spans="6:6" x14ac:dyDescent="0.25">
      <c r="F33" t="s">
        <v>275</v>
      </c>
    </row>
    <row r="34" spans="6:6" x14ac:dyDescent="0.25">
      <c r="F34" t="s">
        <v>276</v>
      </c>
    </row>
    <row r="35" spans="6:6" ht="409.5" x14ac:dyDescent="0.25">
      <c r="F35" s="82" t="s">
        <v>277</v>
      </c>
    </row>
    <row r="36" spans="6:6" x14ac:dyDescent="0.25">
      <c r="F36" s="82"/>
    </row>
    <row r="37" spans="6:6" x14ac:dyDescent="0.25">
      <c r="F37" t="s">
        <v>278</v>
      </c>
    </row>
    <row r="40" spans="6:6" x14ac:dyDescent="0.25">
      <c r="F40" t="s">
        <v>279</v>
      </c>
    </row>
    <row r="43" spans="6:6" x14ac:dyDescent="0.25">
      <c r="F43" s="86" t="s">
        <v>280</v>
      </c>
    </row>
    <row r="47" spans="6:6" ht="409.5" x14ac:dyDescent="0.25">
      <c r="F47" s="82" t="s">
        <v>281</v>
      </c>
    </row>
    <row r="48" spans="6:6" x14ac:dyDescent="0.25">
      <c r="F48" s="82"/>
    </row>
    <row r="50" spans="6:10" x14ac:dyDescent="0.25">
      <c r="F50" t="s">
        <v>282</v>
      </c>
      <c r="G50" t="s">
        <v>283</v>
      </c>
      <c r="H50" t="s">
        <v>284</v>
      </c>
      <c r="I50" t="s">
        <v>285</v>
      </c>
      <c r="J50" t="s">
        <v>286</v>
      </c>
    </row>
    <row r="51" spans="6:10" x14ac:dyDescent="0.25">
      <c r="F51">
        <v>1</v>
      </c>
      <c r="G51" t="s">
        <v>287</v>
      </c>
      <c r="H51" t="s">
        <v>288</v>
      </c>
      <c r="I51" t="s">
        <v>236</v>
      </c>
      <c r="J51">
        <v>300</v>
      </c>
    </row>
    <row r="52" spans="6:10" x14ac:dyDescent="0.25">
      <c r="F52">
        <v>2</v>
      </c>
      <c r="G52" t="s">
        <v>289</v>
      </c>
      <c r="H52" t="s">
        <v>290</v>
      </c>
      <c r="I52" t="s">
        <v>236</v>
      </c>
      <c r="J52">
        <v>78.599999999999994</v>
      </c>
    </row>
    <row r="53" spans="6:10" x14ac:dyDescent="0.25">
      <c r="F53">
        <v>3</v>
      </c>
      <c r="G53" t="s">
        <v>291</v>
      </c>
      <c r="H53" t="s">
        <v>292</v>
      </c>
      <c r="I53" t="s">
        <v>236</v>
      </c>
      <c r="J53">
        <v>100</v>
      </c>
    </row>
    <row r="54" spans="6:10" x14ac:dyDescent="0.25">
      <c r="F54">
        <v>4</v>
      </c>
      <c r="G54" t="s">
        <v>293</v>
      </c>
      <c r="H54" t="s">
        <v>294</v>
      </c>
      <c r="I54" t="s">
        <v>236</v>
      </c>
      <c r="J54">
        <v>35.700000000000003</v>
      </c>
    </row>
    <row r="55" spans="6:10" x14ac:dyDescent="0.25">
      <c r="F55">
        <v>5</v>
      </c>
      <c r="G55" t="s">
        <v>291</v>
      </c>
      <c r="H55" t="s">
        <v>295</v>
      </c>
      <c r="I55" t="s">
        <v>236</v>
      </c>
      <c r="J55">
        <v>197.5</v>
      </c>
    </row>
    <row r="56" spans="6:10" x14ac:dyDescent="0.25">
      <c r="F56">
        <v>6</v>
      </c>
      <c r="G56" t="s">
        <v>296</v>
      </c>
      <c r="H56" t="s">
        <v>297</v>
      </c>
      <c r="I56" t="s">
        <v>236</v>
      </c>
      <c r="J56">
        <v>17.600000000000001</v>
      </c>
    </row>
    <row r="57" spans="6:10" x14ac:dyDescent="0.25">
      <c r="F57">
        <v>7</v>
      </c>
      <c r="G57" t="s">
        <v>298</v>
      </c>
      <c r="H57" t="s">
        <v>299</v>
      </c>
      <c r="I57" t="s">
        <v>236</v>
      </c>
      <c r="J57">
        <v>300</v>
      </c>
    </row>
    <row r="58" spans="6:10" x14ac:dyDescent="0.25">
      <c r="F58">
        <v>8</v>
      </c>
      <c r="G58" t="s">
        <v>300</v>
      </c>
      <c r="H58" t="s">
        <v>301</v>
      </c>
      <c r="I58" t="s">
        <v>302</v>
      </c>
    </row>
    <row r="59" spans="6:10" x14ac:dyDescent="0.25">
      <c r="F59">
        <v>9</v>
      </c>
      <c r="G59" t="s">
        <v>303</v>
      </c>
      <c r="H59" t="s">
        <v>304</v>
      </c>
      <c r="I59" t="s">
        <v>236</v>
      </c>
      <c r="J59">
        <v>48.6</v>
      </c>
    </row>
    <row r="60" spans="6:10" x14ac:dyDescent="0.25">
      <c r="F60">
        <v>10</v>
      </c>
      <c r="G60" t="s">
        <v>303</v>
      </c>
      <c r="H60" t="s">
        <v>305</v>
      </c>
      <c r="I60" t="s">
        <v>235</v>
      </c>
      <c r="J60">
        <v>100</v>
      </c>
    </row>
    <row r="61" spans="6:10" x14ac:dyDescent="0.25">
      <c r="F61">
        <v>11</v>
      </c>
      <c r="G61" t="s">
        <v>303</v>
      </c>
      <c r="H61" t="s">
        <v>301</v>
      </c>
      <c r="I61" t="s">
        <v>236</v>
      </c>
      <c r="J61">
        <v>115</v>
      </c>
    </row>
    <row r="62" spans="6:10" x14ac:dyDescent="0.25">
      <c r="F62">
        <v>12</v>
      </c>
      <c r="G62" t="s">
        <v>303</v>
      </c>
      <c r="H62" t="s">
        <v>306</v>
      </c>
      <c r="I62" t="s">
        <v>9</v>
      </c>
      <c r="J62">
        <v>60</v>
      </c>
    </row>
    <row r="63" spans="6:10" x14ac:dyDescent="0.25">
      <c r="F63">
        <v>13</v>
      </c>
      <c r="G63" t="s">
        <v>303</v>
      </c>
      <c r="H63" t="s">
        <v>307</v>
      </c>
      <c r="I63" t="s">
        <v>308</v>
      </c>
      <c r="J63">
        <v>151.19999999999999</v>
      </c>
    </row>
    <row r="64" spans="6:10" x14ac:dyDescent="0.25">
      <c r="F64">
        <v>14</v>
      </c>
      <c r="G64" t="s">
        <v>303</v>
      </c>
      <c r="H64" t="s">
        <v>309</v>
      </c>
      <c r="I64" t="s">
        <v>310</v>
      </c>
      <c r="J64">
        <v>300</v>
      </c>
    </row>
    <row r="65" spans="6:10" x14ac:dyDescent="0.25">
      <c r="F65">
        <v>15</v>
      </c>
      <c r="G65" t="s">
        <v>311</v>
      </c>
      <c r="H65" t="s">
        <v>306</v>
      </c>
      <c r="I65" t="s">
        <v>308</v>
      </c>
      <c r="J65">
        <v>520</v>
      </c>
    </row>
    <row r="66" spans="6:10" x14ac:dyDescent="0.25">
      <c r="F66">
        <v>16</v>
      </c>
      <c r="G66" t="s">
        <v>311</v>
      </c>
      <c r="H66" t="s">
        <v>306</v>
      </c>
      <c r="I66" t="s">
        <v>236</v>
      </c>
      <c r="J66">
        <v>37.799999999999997</v>
      </c>
    </row>
    <row r="67" spans="6:10" x14ac:dyDescent="0.25">
      <c r="F67">
        <v>17</v>
      </c>
      <c r="G67" t="s">
        <v>312</v>
      </c>
      <c r="H67" t="s">
        <v>306</v>
      </c>
      <c r="I67" t="s">
        <v>236</v>
      </c>
      <c r="J67">
        <v>24.3</v>
      </c>
    </row>
    <row r="68" spans="6:10" x14ac:dyDescent="0.25">
      <c r="F68">
        <v>18</v>
      </c>
      <c r="G68" t="s">
        <v>312</v>
      </c>
      <c r="H68" t="s">
        <v>294</v>
      </c>
      <c r="I68" t="s">
        <v>236</v>
      </c>
      <c r="J68">
        <v>140</v>
      </c>
    </row>
    <row r="72" spans="6:10" ht="19.5" customHeight="1" x14ac:dyDescent="0.25">
      <c r="F72" t="s">
        <v>313</v>
      </c>
    </row>
    <row r="73" spans="6:10" x14ac:dyDescent="0.25">
      <c r="F73" t="s">
        <v>314</v>
      </c>
      <c r="G73" t="s">
        <v>209</v>
      </c>
      <c r="H73" t="s">
        <v>315</v>
      </c>
      <c r="I73" t="s">
        <v>316</v>
      </c>
      <c r="J73" t="s">
        <v>317</v>
      </c>
    </row>
    <row r="74" spans="6:10" x14ac:dyDescent="0.25">
      <c r="F74">
        <v>1</v>
      </c>
      <c r="G74" t="s">
        <v>318</v>
      </c>
      <c r="H74" t="s">
        <v>319</v>
      </c>
      <c r="I74" t="s">
        <v>236</v>
      </c>
      <c r="J74">
        <v>197.5</v>
      </c>
    </row>
    <row r="75" spans="6:10" x14ac:dyDescent="0.25">
      <c r="F75">
        <v>2</v>
      </c>
      <c r="G75" t="s">
        <v>320</v>
      </c>
      <c r="H75" t="s">
        <v>321</v>
      </c>
      <c r="I75" t="s">
        <v>236</v>
      </c>
      <c r="J75">
        <v>35.1</v>
      </c>
    </row>
    <row r="76" spans="6:10" x14ac:dyDescent="0.25">
      <c r="F76">
        <v>3</v>
      </c>
      <c r="G76" t="s">
        <v>320</v>
      </c>
      <c r="H76" t="s">
        <v>322</v>
      </c>
      <c r="I76" t="s">
        <v>235</v>
      </c>
      <c r="J76">
        <v>154</v>
      </c>
    </row>
    <row r="77" spans="6:10" x14ac:dyDescent="0.25">
      <c r="F77" t="s">
        <v>122</v>
      </c>
      <c r="J77">
        <v>386.6</v>
      </c>
    </row>
    <row r="80" spans="6:10" ht="19.5" customHeight="1" x14ac:dyDescent="0.25">
      <c r="G80" t="s">
        <v>323</v>
      </c>
    </row>
    <row r="81" spans="7:10" x14ac:dyDescent="0.25">
      <c r="G81" t="s">
        <v>314</v>
      </c>
      <c r="H81" t="s">
        <v>209</v>
      </c>
      <c r="I81" t="s">
        <v>316</v>
      </c>
      <c r="J81" t="s">
        <v>317</v>
      </c>
    </row>
    <row r="82" spans="7:10" x14ac:dyDescent="0.25">
      <c r="G82">
        <v>1</v>
      </c>
      <c r="H82" t="s">
        <v>150</v>
      </c>
      <c r="I82" t="s">
        <v>10</v>
      </c>
      <c r="J82">
        <v>250</v>
      </c>
    </row>
    <row r="83" spans="7:10" x14ac:dyDescent="0.25">
      <c r="G83">
        <v>2</v>
      </c>
      <c r="H83" t="s">
        <v>320</v>
      </c>
      <c r="I83" t="s">
        <v>10</v>
      </c>
      <c r="J83">
        <v>140</v>
      </c>
    </row>
    <row r="84" spans="7:10" x14ac:dyDescent="0.25">
      <c r="G84">
        <v>3</v>
      </c>
      <c r="H84" t="s">
        <v>324</v>
      </c>
      <c r="I84" t="s">
        <v>236</v>
      </c>
      <c r="J84">
        <v>25</v>
      </c>
    </row>
    <row r="85" spans="7:10" x14ac:dyDescent="0.25">
      <c r="G85">
        <v>4</v>
      </c>
      <c r="H85" t="s">
        <v>324</v>
      </c>
      <c r="I85" t="s">
        <v>236</v>
      </c>
      <c r="J85">
        <v>25</v>
      </c>
    </row>
    <row r="86" spans="7:10" x14ac:dyDescent="0.25">
      <c r="G86">
        <v>5</v>
      </c>
      <c r="H86" t="s">
        <v>324</v>
      </c>
      <c r="I86" t="s">
        <v>10</v>
      </c>
      <c r="J86">
        <v>70</v>
      </c>
    </row>
    <row r="87" spans="7:10" x14ac:dyDescent="0.25">
      <c r="G87">
        <v>6</v>
      </c>
      <c r="H87" t="s">
        <v>150</v>
      </c>
      <c r="I87" t="s">
        <v>10</v>
      </c>
      <c r="J87">
        <v>36</v>
      </c>
    </row>
    <row r="88" spans="7:10" x14ac:dyDescent="0.25">
      <c r="G88" t="s">
        <v>122</v>
      </c>
      <c r="J88">
        <v>546</v>
      </c>
    </row>
    <row r="93" spans="7:10" x14ac:dyDescent="0.25">
      <c r="G93" t="s">
        <v>284</v>
      </c>
    </row>
    <row r="94" spans="7:10" x14ac:dyDescent="0.25">
      <c r="G94" t="s">
        <v>327</v>
      </c>
    </row>
    <row r="95" spans="7:10" x14ac:dyDescent="0.25">
      <c r="G95" t="s">
        <v>328</v>
      </c>
    </row>
    <row r="96" spans="7:10" x14ac:dyDescent="0.25">
      <c r="G96" t="s">
        <v>329</v>
      </c>
    </row>
    <row r="97" spans="7:8" x14ac:dyDescent="0.25">
      <c r="G97" t="s">
        <v>330</v>
      </c>
    </row>
    <row r="98" spans="7:8" x14ac:dyDescent="0.25">
      <c r="G98" t="s">
        <v>331</v>
      </c>
    </row>
    <row r="100" spans="7:8" x14ac:dyDescent="0.25">
      <c r="G100" t="s">
        <v>340</v>
      </c>
    </row>
    <row r="101" spans="7:8" x14ac:dyDescent="0.25">
      <c r="G101" t="s">
        <v>284</v>
      </c>
      <c r="H101" t="s">
        <v>335</v>
      </c>
    </row>
    <row r="102" spans="7:8" x14ac:dyDescent="0.25">
      <c r="G102" t="s">
        <v>332</v>
      </c>
      <c r="H102" t="s">
        <v>336</v>
      </c>
    </row>
    <row r="103" spans="7:8" x14ac:dyDescent="0.25">
      <c r="G103" t="s">
        <v>328</v>
      </c>
      <c r="H103">
        <v>13</v>
      </c>
    </row>
    <row r="104" spans="7:8" x14ac:dyDescent="0.25">
      <c r="G104" t="s">
        <v>333</v>
      </c>
      <c r="H104" t="s">
        <v>337</v>
      </c>
    </row>
    <row r="105" spans="7:8" x14ac:dyDescent="0.25">
      <c r="G105" t="s">
        <v>330</v>
      </c>
      <c r="H105" t="s">
        <v>338</v>
      </c>
    </row>
    <row r="106" spans="7:8" x14ac:dyDescent="0.25">
      <c r="G106" t="s">
        <v>334</v>
      </c>
      <c r="H106" t="s">
        <v>339</v>
      </c>
    </row>
    <row r="111" spans="7:8" x14ac:dyDescent="0.25">
      <c r="G111" t="s">
        <v>363</v>
      </c>
    </row>
    <row r="112" spans="7:8" x14ac:dyDescent="0.25">
      <c r="G112" t="s">
        <v>181</v>
      </c>
      <c r="H112" s="87" t="s">
        <v>353</v>
      </c>
    </row>
    <row r="113" spans="5:10" x14ac:dyDescent="0.25">
      <c r="G113" t="s">
        <v>341</v>
      </c>
      <c r="H113" s="87">
        <v>1</v>
      </c>
      <c r="J113" t="s">
        <v>273</v>
      </c>
    </row>
    <row r="114" spans="5:10" x14ac:dyDescent="0.25">
      <c r="G114" t="s">
        <v>342</v>
      </c>
      <c r="H114" s="87" t="s">
        <v>354</v>
      </c>
    </row>
    <row r="115" spans="5:10" x14ac:dyDescent="0.25">
      <c r="G115" t="s">
        <v>343</v>
      </c>
      <c r="H115" s="87" t="s">
        <v>355</v>
      </c>
    </row>
    <row r="116" spans="5:10" x14ac:dyDescent="0.25">
      <c r="G116" t="s">
        <v>344</v>
      </c>
      <c r="H116" s="87" t="s">
        <v>356</v>
      </c>
    </row>
    <row r="117" spans="5:10" x14ac:dyDescent="0.25">
      <c r="G117" t="s">
        <v>345</v>
      </c>
      <c r="H117" s="87" t="s">
        <v>357</v>
      </c>
    </row>
    <row r="118" spans="5:10" x14ac:dyDescent="0.25">
      <c r="G118" t="s">
        <v>346</v>
      </c>
      <c r="H118" s="87" t="s">
        <v>358</v>
      </c>
    </row>
    <row r="119" spans="5:10" x14ac:dyDescent="0.25">
      <c r="G119" t="s">
        <v>347</v>
      </c>
      <c r="H119" s="87" t="s">
        <v>359</v>
      </c>
    </row>
    <row r="120" spans="5:10" x14ac:dyDescent="0.25">
      <c r="G120" t="s">
        <v>348</v>
      </c>
      <c r="H120" s="87" t="s">
        <v>360</v>
      </c>
    </row>
    <row r="121" spans="5:10" x14ac:dyDescent="0.25">
      <c r="G121" t="s">
        <v>349</v>
      </c>
      <c r="H121" s="87" t="s">
        <v>361</v>
      </c>
    </row>
    <row r="122" spans="5:10" x14ac:dyDescent="0.25">
      <c r="G122" t="s">
        <v>350</v>
      </c>
      <c r="H122" s="87" t="s">
        <v>362</v>
      </c>
    </row>
    <row r="123" spans="5:10" x14ac:dyDescent="0.25">
      <c r="G123" t="s">
        <v>351</v>
      </c>
      <c r="H123" s="87">
        <v>0.32900000000000001</v>
      </c>
    </row>
    <row r="124" spans="5:10" x14ac:dyDescent="0.25">
      <c r="G124" t="s">
        <v>352</v>
      </c>
      <c r="H124" s="87">
        <v>0.08</v>
      </c>
    </row>
    <row r="126" spans="5:10" x14ac:dyDescent="0.25">
      <c r="E126" t="s">
        <v>364</v>
      </c>
    </row>
    <row r="128" spans="5:10" x14ac:dyDescent="0.25">
      <c r="E128" t="s">
        <v>365</v>
      </c>
    </row>
  </sheetData>
  <hyperlinks>
    <hyperlink ref="F43" r:id="rId1"/>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Q103"/>
  <sheetViews>
    <sheetView showGridLines="0" zoomScaleNormal="100" workbookViewId="0">
      <pane xSplit="2" ySplit="10" topLeftCell="C11" activePane="bottomRight" state="frozen"/>
      <selection pane="topRight" activeCell="C1" sqref="C1"/>
      <selection pane="bottomLeft" activeCell="A11" sqref="A11"/>
      <selection pane="bottomRight"/>
    </sheetView>
  </sheetViews>
  <sheetFormatPr defaultRowHeight="15" x14ac:dyDescent="0.25"/>
  <cols>
    <col min="1" max="1" width="4.7109375" style="141" customWidth="1"/>
    <col min="2" max="2" width="64.7109375" style="141" customWidth="1"/>
    <col min="3" max="3" width="9.140625" style="193" bestFit="1" customWidth="1"/>
    <col min="4" max="5" width="4" style="193" customWidth="1"/>
    <col min="6" max="6" width="15.85546875" style="193" bestFit="1" customWidth="1"/>
    <col min="7" max="16" width="15" style="193" customWidth="1"/>
    <col min="17" max="16384" width="9.140625" style="141"/>
  </cols>
  <sheetData>
    <row r="2" spans="2:16" s="143" customFormat="1" ht="19.899999999999999" customHeight="1" x14ac:dyDescent="0.25">
      <c r="B2" s="153" t="str">
        <f>'Assumptions on Steel Plant'!B2</f>
        <v>M/s. Sai Infinium Limited</v>
      </c>
      <c r="C2" s="100"/>
      <c r="D2" s="100"/>
      <c r="E2" s="100"/>
      <c r="F2" s="100"/>
      <c r="G2" s="100"/>
      <c r="H2" s="100"/>
      <c r="I2" s="100"/>
      <c r="J2" s="100"/>
      <c r="K2" s="100"/>
      <c r="L2" s="100"/>
      <c r="M2" s="100"/>
      <c r="N2" s="100"/>
      <c r="O2" s="100"/>
      <c r="P2" s="100"/>
    </row>
    <row r="3" spans="2:16" s="143" customFormat="1" ht="9" customHeight="1" x14ac:dyDescent="0.25">
      <c r="B3" s="144"/>
    </row>
    <row r="4" spans="2:16" s="143" customFormat="1" ht="19.899999999999999" customHeight="1" x14ac:dyDescent="0.25">
      <c r="B4" s="130" t="str">
        <f>'Assumptions on Steel Plant'!B4</f>
        <v>Business Projections</v>
      </c>
      <c r="C4" s="103"/>
      <c r="D4" s="103"/>
      <c r="E4" s="103"/>
      <c r="F4" s="103"/>
      <c r="G4" s="103"/>
      <c r="H4" s="103"/>
      <c r="I4" s="103"/>
      <c r="J4" s="103"/>
      <c r="K4" s="103"/>
      <c r="L4" s="103"/>
      <c r="M4" s="103"/>
      <c r="N4" s="103"/>
      <c r="O4" s="103"/>
      <c r="P4" s="103"/>
    </row>
    <row r="5" spans="2:16" s="143" customFormat="1" ht="9" customHeight="1" x14ac:dyDescent="0.25">
      <c r="B5" s="144"/>
      <c r="I5" s="135"/>
    </row>
    <row r="6" spans="2:16" ht="15.75" x14ac:dyDescent="0.25">
      <c r="B6" s="145" t="s">
        <v>62</v>
      </c>
      <c r="C6" s="56"/>
      <c r="D6" s="56"/>
      <c r="E6" s="56"/>
      <c r="F6" s="194"/>
      <c r="G6" s="194"/>
      <c r="H6" s="194"/>
      <c r="I6" s="194"/>
      <c r="J6" s="194"/>
      <c r="K6" s="194"/>
      <c r="L6" s="194"/>
      <c r="M6" s="194"/>
      <c r="N6" s="194"/>
      <c r="O6" s="194"/>
      <c r="P6" s="194"/>
    </row>
    <row r="7" spans="2:16" x14ac:dyDescent="0.25">
      <c r="B7" s="147" t="s">
        <v>520</v>
      </c>
      <c r="C7" s="140"/>
      <c r="D7" s="140"/>
      <c r="E7" s="140"/>
      <c r="F7" s="140"/>
      <c r="G7" s="140"/>
      <c r="H7" s="75"/>
      <c r="I7" s="75"/>
      <c r="J7" s="75"/>
      <c r="K7" s="75"/>
      <c r="L7" s="75"/>
      <c r="M7" s="75"/>
      <c r="N7" s="75"/>
      <c r="O7" s="75"/>
      <c r="P7" s="75"/>
    </row>
    <row r="8" spans="2:16" ht="18.75" customHeight="1" x14ac:dyDescent="0.25">
      <c r="B8" s="56" t="s">
        <v>192</v>
      </c>
      <c r="C8" s="56" t="s">
        <v>64</v>
      </c>
      <c r="D8" s="56"/>
      <c r="E8" s="56"/>
      <c r="F8" s="150">
        <f>'Assumptions Hybrid Plant'!E13</f>
        <v>46142</v>
      </c>
      <c r="G8" s="195">
        <f>DATE(YEAR(F8),MONTH(F8)+11,DAY(F8)+1)</f>
        <v>46477</v>
      </c>
      <c r="H8" s="195">
        <f>DATE(YEAR(G8)+1,MONTH(G8),DAY(G8))</f>
        <v>46843</v>
      </c>
      <c r="I8" s="195">
        <f t="shared" ref="I8:P8" si="0">DATE(YEAR(H8)+1,MONTH(H8),DAY(H8))</f>
        <v>47208</v>
      </c>
      <c r="J8" s="195">
        <f t="shared" si="0"/>
        <v>47573</v>
      </c>
      <c r="K8" s="195">
        <f t="shared" si="0"/>
        <v>47938</v>
      </c>
      <c r="L8" s="195">
        <f t="shared" si="0"/>
        <v>48304</v>
      </c>
      <c r="M8" s="195">
        <f t="shared" si="0"/>
        <v>48669</v>
      </c>
      <c r="N8" s="195">
        <f t="shared" si="0"/>
        <v>49034</v>
      </c>
      <c r="O8" s="195">
        <f t="shared" si="0"/>
        <v>49399</v>
      </c>
      <c r="P8" s="195">
        <f t="shared" si="0"/>
        <v>49765</v>
      </c>
    </row>
    <row r="9" spans="2:16" ht="18.75" customHeight="1" x14ac:dyDescent="0.25">
      <c r="B9" s="41" t="s">
        <v>65</v>
      </c>
      <c r="C9" s="41"/>
      <c r="D9" s="41"/>
      <c r="E9" s="41"/>
      <c r="F9" s="405" t="s">
        <v>677</v>
      </c>
      <c r="G9" s="196">
        <v>0</v>
      </c>
      <c r="H9" s="196">
        <v>1</v>
      </c>
      <c r="I9" s="196">
        <v>2</v>
      </c>
      <c r="J9" s="196">
        <v>3</v>
      </c>
      <c r="K9" s="196">
        <v>4</v>
      </c>
      <c r="L9" s="196">
        <v>5</v>
      </c>
      <c r="M9" s="196">
        <v>6</v>
      </c>
      <c r="N9" s="196">
        <v>7</v>
      </c>
      <c r="O9" s="196">
        <v>8</v>
      </c>
      <c r="P9" s="196">
        <v>9</v>
      </c>
    </row>
    <row r="10" spans="2:16" ht="18.75" customHeight="1" x14ac:dyDescent="0.25">
      <c r="B10" s="41" t="s">
        <v>66</v>
      </c>
      <c r="C10" s="41"/>
      <c r="D10" s="41"/>
      <c r="E10" s="41"/>
      <c r="F10" s="405"/>
      <c r="G10" s="41">
        <f>MONTH(G8-F8)</f>
        <v>11</v>
      </c>
      <c r="H10" s="41">
        <f>MONTH(H8-G8)</f>
        <v>12</v>
      </c>
      <c r="I10" s="41">
        <f t="shared" ref="I10:P10" si="1">MONTH(I8-H8)</f>
        <v>12</v>
      </c>
      <c r="J10" s="41">
        <f t="shared" si="1"/>
        <v>12</v>
      </c>
      <c r="K10" s="41">
        <f t="shared" si="1"/>
        <v>12</v>
      </c>
      <c r="L10" s="41">
        <f t="shared" si="1"/>
        <v>12</v>
      </c>
      <c r="M10" s="41">
        <f t="shared" si="1"/>
        <v>12</v>
      </c>
      <c r="N10" s="41">
        <f t="shared" si="1"/>
        <v>12</v>
      </c>
      <c r="O10" s="41">
        <f t="shared" si="1"/>
        <v>12</v>
      </c>
      <c r="P10" s="41">
        <f t="shared" si="1"/>
        <v>12</v>
      </c>
    </row>
    <row r="11" spans="2:16" ht="11.25" customHeight="1" x14ac:dyDescent="0.25">
      <c r="B11" s="140"/>
      <c r="C11" s="140"/>
      <c r="D11" s="140"/>
      <c r="E11" s="140"/>
      <c r="F11" s="140"/>
      <c r="G11" s="140"/>
      <c r="H11" s="140"/>
      <c r="I11" s="140"/>
      <c r="J11" s="140"/>
      <c r="K11" s="140"/>
      <c r="L11" s="140"/>
      <c r="M11" s="140"/>
      <c r="N11" s="140"/>
      <c r="O11" s="140"/>
      <c r="P11" s="140"/>
    </row>
    <row r="12" spans="2:16" ht="18.75" customHeight="1" x14ac:dyDescent="0.25">
      <c r="B12" s="41" t="s">
        <v>67</v>
      </c>
      <c r="C12" s="41"/>
      <c r="D12" s="41"/>
      <c r="E12" s="41"/>
      <c r="F12" s="41"/>
      <c r="G12" s="41">
        <f>G8-F8</f>
        <v>335</v>
      </c>
      <c r="H12" s="41">
        <f>H8-G8</f>
        <v>366</v>
      </c>
      <c r="I12" s="41">
        <f t="shared" ref="I12:P12" si="2">I8-H8</f>
        <v>365</v>
      </c>
      <c r="J12" s="41">
        <f t="shared" si="2"/>
        <v>365</v>
      </c>
      <c r="K12" s="41">
        <f t="shared" si="2"/>
        <v>365</v>
      </c>
      <c r="L12" s="41">
        <f t="shared" si="2"/>
        <v>366</v>
      </c>
      <c r="M12" s="41">
        <f t="shared" si="2"/>
        <v>365</v>
      </c>
      <c r="N12" s="41">
        <f t="shared" si="2"/>
        <v>365</v>
      </c>
      <c r="O12" s="41">
        <f t="shared" si="2"/>
        <v>365</v>
      </c>
      <c r="P12" s="41">
        <f t="shared" si="2"/>
        <v>366</v>
      </c>
    </row>
    <row r="13" spans="2:16" ht="11.25" customHeight="1" x14ac:dyDescent="0.25">
      <c r="B13" s="140"/>
      <c r="C13" s="140"/>
      <c r="D13" s="140"/>
      <c r="E13" s="140"/>
      <c r="F13" s="140"/>
      <c r="G13" s="140"/>
      <c r="H13" s="140"/>
      <c r="I13" s="140"/>
      <c r="J13" s="140"/>
      <c r="K13" s="140"/>
      <c r="L13" s="140"/>
      <c r="M13" s="140"/>
      <c r="N13" s="140"/>
      <c r="O13" s="140"/>
      <c r="P13" s="140"/>
    </row>
    <row r="14" spans="2:16" ht="18.75" customHeight="1" x14ac:dyDescent="0.25">
      <c r="B14" s="41" t="s">
        <v>68</v>
      </c>
      <c r="C14" s="41"/>
      <c r="D14" s="41"/>
      <c r="E14" s="41"/>
      <c r="F14" s="41"/>
      <c r="G14" s="41">
        <v>24</v>
      </c>
      <c r="H14" s="41">
        <v>24</v>
      </c>
      <c r="I14" s="41">
        <v>24</v>
      </c>
      <c r="J14" s="41">
        <v>24</v>
      </c>
      <c r="K14" s="41">
        <v>24</v>
      </c>
      <c r="L14" s="41">
        <v>24</v>
      </c>
      <c r="M14" s="41">
        <v>24</v>
      </c>
      <c r="N14" s="41">
        <v>24</v>
      </c>
      <c r="O14" s="41">
        <v>24</v>
      </c>
      <c r="P14" s="41">
        <v>24</v>
      </c>
    </row>
    <row r="15" spans="2:16" ht="10.5" customHeight="1" x14ac:dyDescent="0.25">
      <c r="B15" s="140"/>
      <c r="C15" s="140"/>
      <c r="D15" s="140"/>
      <c r="E15" s="140"/>
      <c r="F15" s="140"/>
      <c r="G15" s="140"/>
      <c r="H15" s="140"/>
      <c r="I15" s="140"/>
      <c r="J15" s="140"/>
      <c r="K15" s="140"/>
      <c r="L15" s="140"/>
      <c r="M15" s="140"/>
      <c r="N15" s="140"/>
      <c r="O15" s="140"/>
      <c r="P15" s="140"/>
    </row>
    <row r="16" spans="2:16" ht="18.75" customHeight="1" x14ac:dyDescent="0.25">
      <c r="B16" s="181" t="s">
        <v>104</v>
      </c>
      <c r="C16" s="182"/>
      <c r="D16" s="182"/>
      <c r="E16" s="182"/>
      <c r="F16" s="182"/>
      <c r="G16" s="182"/>
      <c r="H16" s="197"/>
      <c r="I16" s="197"/>
      <c r="J16" s="197"/>
      <c r="K16" s="197"/>
      <c r="L16" s="197"/>
      <c r="M16" s="197"/>
      <c r="N16" s="197"/>
      <c r="O16" s="197"/>
      <c r="P16" s="197"/>
    </row>
    <row r="17" spans="2:16" ht="9" customHeight="1" x14ac:dyDescent="0.25">
      <c r="B17" s="192"/>
      <c r="C17" s="140"/>
      <c r="D17" s="140"/>
      <c r="E17" s="140"/>
      <c r="F17" s="140"/>
      <c r="G17" s="140"/>
      <c r="H17" s="162"/>
      <c r="I17" s="135"/>
      <c r="J17" s="162"/>
      <c r="K17" s="140"/>
      <c r="L17" s="140"/>
      <c r="M17" s="140"/>
      <c r="N17" s="140"/>
      <c r="O17" s="140"/>
      <c r="P17" s="140"/>
    </row>
    <row r="18" spans="2:16" ht="18.75" customHeight="1" x14ac:dyDescent="0.25">
      <c r="B18" s="192" t="s">
        <v>69</v>
      </c>
      <c r="C18" s="140"/>
      <c r="D18" s="140"/>
      <c r="E18" s="140"/>
      <c r="F18" s="140"/>
      <c r="G18" s="140"/>
      <c r="H18" s="162"/>
      <c r="I18" s="135"/>
      <c r="J18" s="162"/>
      <c r="K18" s="140"/>
      <c r="L18" s="140"/>
      <c r="M18" s="140"/>
      <c r="N18" s="140"/>
      <c r="O18" s="140"/>
      <c r="P18" s="140"/>
    </row>
    <row r="19" spans="2:16" ht="18.75" customHeight="1" x14ac:dyDescent="0.25">
      <c r="B19" s="140" t="s">
        <v>208</v>
      </c>
      <c r="C19" s="140"/>
      <c r="D19" s="140"/>
      <c r="E19" s="140"/>
      <c r="F19" s="140"/>
      <c r="G19" s="198">
        <f>'Assumptions Hybrid Plant'!D23</f>
        <v>9</v>
      </c>
      <c r="H19" s="199">
        <f>G19</f>
        <v>9</v>
      </c>
      <c r="I19" s="199">
        <f>H19</f>
        <v>9</v>
      </c>
      <c r="J19" s="199">
        <f t="shared" ref="J19:P19" si="3">I19</f>
        <v>9</v>
      </c>
      <c r="K19" s="199">
        <f t="shared" si="3"/>
        <v>9</v>
      </c>
      <c r="L19" s="199">
        <f t="shared" si="3"/>
        <v>9</v>
      </c>
      <c r="M19" s="199">
        <f t="shared" si="3"/>
        <v>9</v>
      </c>
      <c r="N19" s="199">
        <f t="shared" si="3"/>
        <v>9</v>
      </c>
      <c r="O19" s="199">
        <f t="shared" si="3"/>
        <v>9</v>
      </c>
      <c r="P19" s="199">
        <f t="shared" si="3"/>
        <v>9</v>
      </c>
    </row>
    <row r="20" spans="2:16" ht="18.75" customHeight="1" x14ac:dyDescent="0.25">
      <c r="B20" s="140" t="s">
        <v>71</v>
      </c>
      <c r="C20" s="200"/>
      <c r="D20" s="200"/>
      <c r="E20" s="200"/>
      <c r="F20" s="140"/>
      <c r="G20" s="201">
        <f t="shared" ref="G20" si="4">G19*1000</f>
        <v>9000</v>
      </c>
      <c r="H20" s="201">
        <f t="shared" ref="H20:P20" si="5">H19*1000</f>
        <v>9000</v>
      </c>
      <c r="I20" s="201">
        <f t="shared" si="5"/>
        <v>9000</v>
      </c>
      <c r="J20" s="201">
        <f t="shared" si="5"/>
        <v>9000</v>
      </c>
      <c r="K20" s="201">
        <f t="shared" si="5"/>
        <v>9000</v>
      </c>
      <c r="L20" s="201">
        <f t="shared" si="5"/>
        <v>9000</v>
      </c>
      <c r="M20" s="201">
        <f t="shared" si="5"/>
        <v>9000</v>
      </c>
      <c r="N20" s="201">
        <f t="shared" si="5"/>
        <v>9000</v>
      </c>
      <c r="O20" s="201">
        <f t="shared" si="5"/>
        <v>9000</v>
      </c>
      <c r="P20" s="201">
        <f t="shared" si="5"/>
        <v>9000</v>
      </c>
    </row>
    <row r="21" spans="2:16" ht="18.75" customHeight="1" x14ac:dyDescent="0.25">
      <c r="B21" s="140" t="s">
        <v>72</v>
      </c>
      <c r="C21" s="200"/>
      <c r="D21" s="200"/>
      <c r="E21" s="200"/>
      <c r="F21" s="140"/>
      <c r="G21" s="202">
        <f>'Assumptions Hybrid Plant'!D25</f>
        <v>0.185506849315069</v>
      </c>
      <c r="H21" s="135">
        <f>G21*(1-H22)</f>
        <v>0.18448656164383612</v>
      </c>
      <c r="I21" s="135">
        <f>H21*(1-I22)</f>
        <v>0.18347188555479502</v>
      </c>
      <c r="J21" s="135">
        <f t="shared" ref="J21:P21" si="6">I21*(1-J22)</f>
        <v>0.18246279018424366</v>
      </c>
      <c r="K21" s="135">
        <f t="shared" si="6"/>
        <v>0.18145924483823034</v>
      </c>
      <c r="L21" s="135">
        <f t="shared" si="6"/>
        <v>0.18046121899162007</v>
      </c>
      <c r="M21" s="135">
        <f t="shared" si="6"/>
        <v>0.17946868228716617</v>
      </c>
      <c r="N21" s="135">
        <f t="shared" si="6"/>
        <v>0.17848160453458675</v>
      </c>
      <c r="O21" s="135">
        <f t="shared" si="6"/>
        <v>0.17749995570964652</v>
      </c>
      <c r="P21" s="135">
        <f t="shared" si="6"/>
        <v>0.17652370595324349</v>
      </c>
    </row>
    <row r="22" spans="2:16" ht="18.75" customHeight="1" x14ac:dyDescent="0.25">
      <c r="B22" s="152" t="s">
        <v>73</v>
      </c>
      <c r="C22" s="203"/>
      <c r="D22" s="203"/>
      <c r="E22" s="203"/>
      <c r="F22" s="140"/>
      <c r="G22" s="204">
        <f>'Assumptions Hybrid Plant'!D26</f>
        <v>0</v>
      </c>
      <c r="H22" s="204">
        <f>'Assumptions Hybrid Plant'!D27</f>
        <v>5.4999999999999997E-3</v>
      </c>
      <c r="I22" s="205">
        <f>H22</f>
        <v>5.4999999999999997E-3</v>
      </c>
      <c r="J22" s="205">
        <f>I22</f>
        <v>5.4999999999999997E-3</v>
      </c>
      <c r="K22" s="205">
        <f t="shared" ref="K22:P22" si="7">J22</f>
        <v>5.4999999999999997E-3</v>
      </c>
      <c r="L22" s="205">
        <f t="shared" si="7"/>
        <v>5.4999999999999997E-3</v>
      </c>
      <c r="M22" s="205">
        <f t="shared" si="7"/>
        <v>5.4999999999999997E-3</v>
      </c>
      <c r="N22" s="205">
        <f t="shared" si="7"/>
        <v>5.4999999999999997E-3</v>
      </c>
      <c r="O22" s="205">
        <f t="shared" si="7"/>
        <v>5.4999999999999997E-3</v>
      </c>
      <c r="P22" s="205">
        <f t="shared" si="7"/>
        <v>5.4999999999999997E-3</v>
      </c>
    </row>
    <row r="23" spans="2:16" ht="18.75" customHeight="1" x14ac:dyDescent="0.25">
      <c r="B23" s="140" t="s">
        <v>74</v>
      </c>
      <c r="C23" s="200"/>
      <c r="D23" s="200"/>
      <c r="E23" s="200"/>
      <c r="F23" s="140"/>
      <c r="G23" s="206">
        <f t="shared" ref="G23" si="8">G20*G21*G14*G12</f>
        <v>13423275.616438393</v>
      </c>
      <c r="H23" s="206">
        <f t="shared" ref="H23:P23" si="9">H20*H21*H14*H12</f>
        <v>14584769.61731511</v>
      </c>
      <c r="I23" s="206">
        <f t="shared" si="9"/>
        <v>14464923.457140038</v>
      </c>
      <c r="J23" s="206">
        <f t="shared" si="9"/>
        <v>14385366.378125772</v>
      </c>
      <c r="K23" s="206">
        <f t="shared" si="9"/>
        <v>14306246.86304608</v>
      </c>
      <c r="L23" s="206">
        <f t="shared" si="9"/>
        <v>14266542.128601518</v>
      </c>
      <c r="M23" s="206">
        <f t="shared" si="9"/>
        <v>14149310.911520181</v>
      </c>
      <c r="N23" s="206">
        <f t="shared" si="9"/>
        <v>14071489.70150682</v>
      </c>
      <c r="O23" s="206">
        <f t="shared" si="9"/>
        <v>13994096.508148532</v>
      </c>
      <c r="P23" s="206">
        <f t="shared" si="9"/>
        <v>13955258.097839618</v>
      </c>
    </row>
    <row r="24" spans="2:16" ht="18.75" customHeight="1" x14ac:dyDescent="0.25">
      <c r="B24" s="140" t="s">
        <v>183</v>
      </c>
      <c r="C24" s="207">
        <f>'Assumptions Hybrid Plant'!D28</f>
        <v>6.3399999999999998E-2</v>
      </c>
      <c r="D24" s="207"/>
      <c r="E24" s="207"/>
      <c r="F24" s="140"/>
      <c r="G24" s="206">
        <f>G23*$C$24</f>
        <v>851035.67408219411</v>
      </c>
      <c r="H24" s="206">
        <f>H23*$C$24</f>
        <v>924674.39373777795</v>
      </c>
      <c r="I24" s="206">
        <f t="shared" ref="I24:P24" si="10">I23*$C$24</f>
        <v>917076.14718267834</v>
      </c>
      <c r="J24" s="206">
        <f t="shared" si="10"/>
        <v>912032.22837317386</v>
      </c>
      <c r="K24" s="206">
        <f t="shared" si="10"/>
        <v>907016.05111712147</v>
      </c>
      <c r="L24" s="206">
        <f t="shared" si="10"/>
        <v>904498.77095333615</v>
      </c>
      <c r="M24" s="206">
        <f t="shared" si="10"/>
        <v>897066.31179037946</v>
      </c>
      <c r="N24" s="206">
        <f t="shared" si="10"/>
        <v>892132.44707553228</v>
      </c>
      <c r="O24" s="206">
        <f t="shared" si="10"/>
        <v>887225.71861661691</v>
      </c>
      <c r="P24" s="206">
        <f t="shared" si="10"/>
        <v>884763.36340303172</v>
      </c>
    </row>
    <row r="25" spans="2:16" ht="18.75" customHeight="1" x14ac:dyDescent="0.25">
      <c r="B25" s="184" t="s">
        <v>188</v>
      </c>
      <c r="C25" s="208"/>
      <c r="D25" s="208"/>
      <c r="E25" s="208"/>
      <c r="F25" s="184"/>
      <c r="G25" s="209">
        <f>G23-G24</f>
        <v>12572239.942356199</v>
      </c>
      <c r="H25" s="209">
        <f>H23-H24</f>
        <v>13660095.223577332</v>
      </c>
      <c r="I25" s="209">
        <f t="shared" ref="I25:P25" si="11">I23-I24</f>
        <v>13547847.309957359</v>
      </c>
      <c r="J25" s="209">
        <f t="shared" si="11"/>
        <v>13473334.149752598</v>
      </c>
      <c r="K25" s="209">
        <f t="shared" si="11"/>
        <v>13399230.811928958</v>
      </c>
      <c r="L25" s="209">
        <f t="shared" si="11"/>
        <v>13362043.357648181</v>
      </c>
      <c r="M25" s="209">
        <f t="shared" si="11"/>
        <v>13252244.599729802</v>
      </c>
      <c r="N25" s="209">
        <f t="shared" si="11"/>
        <v>13179357.254431287</v>
      </c>
      <c r="O25" s="209">
        <f t="shared" si="11"/>
        <v>13106870.789531916</v>
      </c>
      <c r="P25" s="209">
        <f t="shared" si="11"/>
        <v>13070494.734436586</v>
      </c>
    </row>
    <row r="26" spans="2:16" ht="9.75" customHeight="1" x14ac:dyDescent="0.25">
      <c r="B26" s="137"/>
      <c r="C26" s="210"/>
      <c r="D26" s="210"/>
      <c r="E26" s="210"/>
      <c r="F26" s="137"/>
      <c r="G26" s="211"/>
      <c r="H26" s="211"/>
      <c r="I26" s="211"/>
      <c r="J26" s="211"/>
      <c r="K26" s="211"/>
      <c r="L26" s="211"/>
      <c r="M26" s="211"/>
      <c r="N26" s="211"/>
      <c r="O26" s="211"/>
      <c r="P26" s="211"/>
    </row>
    <row r="27" spans="2:16" ht="18.75" customHeight="1" x14ac:dyDescent="0.25">
      <c r="B27" s="192" t="s">
        <v>79</v>
      </c>
      <c r="C27" s="140"/>
      <c r="D27" s="140"/>
      <c r="E27" s="140"/>
      <c r="F27" s="140"/>
      <c r="G27" s="162"/>
      <c r="H27" s="162"/>
      <c r="I27" s="135"/>
      <c r="J27" s="162"/>
      <c r="K27" s="140"/>
      <c r="L27" s="140"/>
      <c r="M27" s="140"/>
      <c r="N27" s="140"/>
      <c r="O27" s="140"/>
      <c r="P27" s="140"/>
    </row>
    <row r="28" spans="2:16" ht="18.75" customHeight="1" x14ac:dyDescent="0.25">
      <c r="B28" s="140" t="s">
        <v>70</v>
      </c>
      <c r="C28" s="140"/>
      <c r="D28" s="140"/>
      <c r="E28" s="140"/>
      <c r="F28" s="140"/>
      <c r="G28" s="198">
        <f>'Assumptions Hybrid Plant'!E23</f>
        <v>8.4</v>
      </c>
      <c r="H28" s="198">
        <f>'Assumptions Hybrid Plant'!E23</f>
        <v>8.4</v>
      </c>
      <c r="I28" s="199">
        <f>H28</f>
        <v>8.4</v>
      </c>
      <c r="J28" s="199">
        <f t="shared" ref="J28:P28" si="12">I28</f>
        <v>8.4</v>
      </c>
      <c r="K28" s="199">
        <f t="shared" si="12"/>
        <v>8.4</v>
      </c>
      <c r="L28" s="199">
        <f t="shared" si="12"/>
        <v>8.4</v>
      </c>
      <c r="M28" s="199">
        <f t="shared" si="12"/>
        <v>8.4</v>
      </c>
      <c r="N28" s="199">
        <f t="shared" si="12"/>
        <v>8.4</v>
      </c>
      <c r="O28" s="199">
        <f t="shared" si="12"/>
        <v>8.4</v>
      </c>
      <c r="P28" s="199">
        <f t="shared" si="12"/>
        <v>8.4</v>
      </c>
    </row>
    <row r="29" spans="2:16" ht="18.75" customHeight="1" x14ac:dyDescent="0.25">
      <c r="B29" s="140" t="s">
        <v>71</v>
      </c>
      <c r="C29" s="200"/>
      <c r="D29" s="200"/>
      <c r="E29" s="200"/>
      <c r="F29" s="140"/>
      <c r="G29" s="201">
        <f>G28*1000</f>
        <v>8400</v>
      </c>
      <c r="H29" s="201">
        <f>H28*1000</f>
        <v>8400</v>
      </c>
      <c r="I29" s="201">
        <f t="shared" ref="I29:P29" si="13">I28*1000</f>
        <v>8400</v>
      </c>
      <c r="J29" s="201">
        <f t="shared" si="13"/>
        <v>8400</v>
      </c>
      <c r="K29" s="201">
        <f t="shared" si="13"/>
        <v>8400</v>
      </c>
      <c r="L29" s="201">
        <f t="shared" si="13"/>
        <v>8400</v>
      </c>
      <c r="M29" s="201">
        <f t="shared" si="13"/>
        <v>8400</v>
      </c>
      <c r="N29" s="201">
        <f t="shared" si="13"/>
        <v>8400</v>
      </c>
      <c r="O29" s="201">
        <f t="shared" si="13"/>
        <v>8400</v>
      </c>
      <c r="P29" s="201">
        <f t="shared" si="13"/>
        <v>8400</v>
      </c>
    </row>
    <row r="30" spans="2:16" ht="18.75" customHeight="1" x14ac:dyDescent="0.25">
      <c r="B30" s="140" t="s">
        <v>72</v>
      </c>
      <c r="C30" s="200"/>
      <c r="D30" s="200"/>
      <c r="E30" s="200"/>
      <c r="F30" s="140"/>
      <c r="G30" s="202">
        <f>'Assumptions Hybrid Plant'!E25</f>
        <v>0.36964557512502721</v>
      </c>
      <c r="H30" s="202">
        <f>'Assumptions Hybrid Plant'!E25</f>
        <v>0.36964557512502721</v>
      </c>
      <c r="I30" s="135">
        <f>H30*(1-I31)</f>
        <v>0.36761252446183956</v>
      </c>
      <c r="J30" s="135">
        <f t="shared" ref="J30" si="14">I30*(1-J31)</f>
        <v>0.36559065557729947</v>
      </c>
      <c r="K30" s="135">
        <f t="shared" ref="K30" si="15">J30*(1-K31)</f>
        <v>0.36357990697162434</v>
      </c>
      <c r="L30" s="135">
        <f t="shared" ref="L30" si="16">K30*(1-L31)</f>
        <v>0.36158021748328045</v>
      </c>
      <c r="M30" s="135">
        <f t="shared" ref="M30" si="17">L30*(1-M31)</f>
        <v>0.35959152628712243</v>
      </c>
      <c r="N30" s="135">
        <f t="shared" ref="N30" si="18">M30*(1-N31)</f>
        <v>0.35761377289254326</v>
      </c>
      <c r="O30" s="135">
        <f t="shared" ref="O30" si="19">N30*(1-O31)</f>
        <v>0.35564689714163428</v>
      </c>
      <c r="P30" s="135">
        <f t="shared" ref="P30" si="20">O30*(1-P31)</f>
        <v>0.35369083920735533</v>
      </c>
    </row>
    <row r="31" spans="2:16" ht="18.75" customHeight="1" x14ac:dyDescent="0.25">
      <c r="B31" s="152" t="s">
        <v>73</v>
      </c>
      <c r="C31" s="203"/>
      <c r="D31" s="203"/>
      <c r="E31" s="203"/>
      <c r="F31" s="140"/>
      <c r="G31" s="204">
        <f>'Assumptions Hybrid Plant'!E26</f>
        <v>0</v>
      </c>
      <c r="H31" s="204">
        <f>'Assumptions Hybrid Plant'!E26</f>
        <v>0</v>
      </c>
      <c r="I31" s="204">
        <f>'Assumptions Hybrid Plant'!E27</f>
        <v>5.4999999999999997E-3</v>
      </c>
      <c r="J31" s="205">
        <f>I31</f>
        <v>5.4999999999999997E-3</v>
      </c>
      <c r="K31" s="205">
        <f t="shared" ref="K31:P31" si="21">J31</f>
        <v>5.4999999999999997E-3</v>
      </c>
      <c r="L31" s="205">
        <f t="shared" si="21"/>
        <v>5.4999999999999997E-3</v>
      </c>
      <c r="M31" s="205">
        <f t="shared" si="21"/>
        <v>5.4999999999999997E-3</v>
      </c>
      <c r="N31" s="205">
        <f t="shared" si="21"/>
        <v>5.4999999999999997E-3</v>
      </c>
      <c r="O31" s="205">
        <f t="shared" si="21"/>
        <v>5.4999999999999997E-3</v>
      </c>
      <c r="P31" s="205">
        <f t="shared" si="21"/>
        <v>5.4999999999999997E-3</v>
      </c>
    </row>
    <row r="32" spans="2:16" ht="18.75" customHeight="1" x14ac:dyDescent="0.25">
      <c r="B32" s="140" t="s">
        <v>74</v>
      </c>
      <c r="C32" s="200"/>
      <c r="D32" s="200"/>
      <c r="E32" s="200"/>
      <c r="F32" s="140"/>
      <c r="G32" s="206">
        <f t="shared" ref="G32:P32" si="22">G29*G30*G14*G12</f>
        <v>24964383.561643839</v>
      </c>
      <c r="H32" s="206">
        <f t="shared" si="22"/>
        <v>27274520.547945209</v>
      </c>
      <c r="I32" s="206">
        <f t="shared" si="22"/>
        <v>27050400</v>
      </c>
      <c r="J32" s="206">
        <f t="shared" si="22"/>
        <v>26901622.800000004</v>
      </c>
      <c r="K32" s="206">
        <f t="shared" si="22"/>
        <v>26753663.874600004</v>
      </c>
      <c r="L32" s="206">
        <f t="shared" si="22"/>
        <v>26679413.295134336</v>
      </c>
      <c r="M32" s="206">
        <f t="shared" si="22"/>
        <v>26460182.870311618</v>
      </c>
      <c r="N32" s="206">
        <f t="shared" si="22"/>
        <v>26314651.864524901</v>
      </c>
      <c r="O32" s="206">
        <f t="shared" si="22"/>
        <v>26169921.279270019</v>
      </c>
      <c r="P32" s="206">
        <f t="shared" si="22"/>
        <v>26097290.785418238</v>
      </c>
    </row>
    <row r="33" spans="1:16" ht="18.75" customHeight="1" x14ac:dyDescent="0.25">
      <c r="B33" s="140" t="s">
        <v>193</v>
      </c>
      <c r="C33" s="207">
        <f>'Assumptions Hybrid Plant'!E28</f>
        <v>6.3399999999999998E-2</v>
      </c>
      <c r="D33" s="207"/>
      <c r="E33" s="207"/>
      <c r="F33" s="140"/>
      <c r="G33" s="206">
        <f>G32*$C$33</f>
        <v>1582741.9178082193</v>
      </c>
      <c r="H33" s="206">
        <f>H32*$C$33</f>
        <v>1729204.6027397262</v>
      </c>
      <c r="I33" s="206">
        <f t="shared" ref="I33:P33" si="23">I32*$C$33</f>
        <v>1714995.3599999999</v>
      </c>
      <c r="J33" s="206">
        <f t="shared" si="23"/>
        <v>1705562.8855200002</v>
      </c>
      <c r="K33" s="206">
        <f t="shared" si="23"/>
        <v>1696182.2896496402</v>
      </c>
      <c r="L33" s="206">
        <f t="shared" si="23"/>
        <v>1691474.8029115167</v>
      </c>
      <c r="M33" s="206">
        <f t="shared" si="23"/>
        <v>1677575.5939777566</v>
      </c>
      <c r="N33" s="206">
        <f t="shared" si="23"/>
        <v>1668348.9282108787</v>
      </c>
      <c r="O33" s="206">
        <f t="shared" si="23"/>
        <v>1659173.0091057192</v>
      </c>
      <c r="P33" s="206">
        <f t="shared" si="23"/>
        <v>1654568.2357955163</v>
      </c>
    </row>
    <row r="34" spans="1:16" ht="18.75" customHeight="1" x14ac:dyDescent="0.25">
      <c r="B34" s="184" t="s">
        <v>187</v>
      </c>
      <c r="C34" s="208"/>
      <c r="D34" s="208"/>
      <c r="E34" s="208"/>
      <c r="F34" s="184"/>
      <c r="G34" s="209">
        <f>G32-G33</f>
        <v>23381641.643835619</v>
      </c>
      <c r="H34" s="209">
        <f>H32-H33</f>
        <v>25545315.945205484</v>
      </c>
      <c r="I34" s="209">
        <f>I32-I33</f>
        <v>25335404.640000001</v>
      </c>
      <c r="J34" s="209">
        <f t="shared" ref="J34:P34" si="24">J32-J33</f>
        <v>25196059.914480004</v>
      </c>
      <c r="K34" s="209">
        <f t="shared" si="24"/>
        <v>25057481.584950365</v>
      </c>
      <c r="L34" s="209">
        <f t="shared" si="24"/>
        <v>24987938.492222819</v>
      </c>
      <c r="M34" s="209">
        <f t="shared" si="24"/>
        <v>24782607.276333861</v>
      </c>
      <c r="N34" s="209">
        <f t="shared" si="24"/>
        <v>24646302.936314024</v>
      </c>
      <c r="O34" s="209">
        <f t="shared" si="24"/>
        <v>24510748.2701643</v>
      </c>
      <c r="P34" s="209">
        <f t="shared" si="24"/>
        <v>24442722.549622722</v>
      </c>
    </row>
    <row r="35" spans="1:16" ht="15.75" customHeight="1" x14ac:dyDescent="0.25">
      <c r="B35" s="140"/>
      <c r="C35" s="140"/>
      <c r="D35" s="140"/>
      <c r="E35" s="140"/>
      <c r="F35" s="140"/>
      <c r="G35" s="140"/>
      <c r="H35" s="140"/>
      <c r="I35" s="140"/>
      <c r="J35" s="140"/>
      <c r="K35" s="140"/>
      <c r="L35" s="140"/>
      <c r="M35" s="140"/>
      <c r="N35" s="140"/>
      <c r="O35" s="140"/>
      <c r="P35" s="140"/>
    </row>
    <row r="36" spans="1:16" s="46" customFormat="1" ht="18.75" customHeight="1" x14ac:dyDescent="0.25">
      <c r="B36" s="67" t="s">
        <v>190</v>
      </c>
      <c r="C36" s="67"/>
      <c r="D36" s="67"/>
      <c r="E36" s="67"/>
      <c r="F36" s="67"/>
      <c r="G36" s="136">
        <f t="shared" ref="G36:P36" si="25">(G23+G32)/10^5</f>
        <v>383.87659178082225</v>
      </c>
      <c r="H36" s="136">
        <f t="shared" si="25"/>
        <v>418.59290165260313</v>
      </c>
      <c r="I36" s="136">
        <f t="shared" si="25"/>
        <v>415.15323457140033</v>
      </c>
      <c r="J36" s="136">
        <f t="shared" si="25"/>
        <v>412.86989178125776</v>
      </c>
      <c r="K36" s="136">
        <f t="shared" si="25"/>
        <v>410.59910737646089</v>
      </c>
      <c r="L36" s="136">
        <f t="shared" si="25"/>
        <v>409.45955423735859</v>
      </c>
      <c r="M36" s="136">
        <f t="shared" si="25"/>
        <v>406.09493781831799</v>
      </c>
      <c r="N36" s="136">
        <f t="shared" si="25"/>
        <v>403.86141566031722</v>
      </c>
      <c r="O36" s="136">
        <f t="shared" si="25"/>
        <v>401.6401778741855</v>
      </c>
      <c r="P36" s="136">
        <f t="shared" si="25"/>
        <v>400.52548883257856</v>
      </c>
    </row>
    <row r="37" spans="1:16" s="46" customFormat="1" ht="18.75" customHeight="1" x14ac:dyDescent="0.25">
      <c r="B37" s="67" t="s">
        <v>191</v>
      </c>
      <c r="C37" s="67"/>
      <c r="D37" s="67"/>
      <c r="E37" s="67"/>
      <c r="F37" s="67"/>
      <c r="G37" s="136">
        <f t="shared" ref="G37:P37" si="26">(G24+G33)/10^5</f>
        <v>24.337775918904132</v>
      </c>
      <c r="H37" s="136">
        <f t="shared" si="26"/>
        <v>26.538789964775042</v>
      </c>
      <c r="I37" s="136">
        <f t="shared" si="26"/>
        <v>26.320715071826783</v>
      </c>
      <c r="J37" s="136">
        <f t="shared" si="26"/>
        <v>26.17595113893174</v>
      </c>
      <c r="K37" s="136">
        <f t="shared" si="26"/>
        <v>26.031983407667614</v>
      </c>
      <c r="L37" s="136">
        <f t="shared" si="26"/>
        <v>25.959735738648529</v>
      </c>
      <c r="M37" s="136">
        <f t="shared" si="26"/>
        <v>25.746419057681361</v>
      </c>
      <c r="N37" s="136">
        <f t="shared" si="26"/>
        <v>25.604813752864111</v>
      </c>
      <c r="O37" s="136">
        <f t="shared" si="26"/>
        <v>25.46398727722336</v>
      </c>
      <c r="P37" s="136">
        <f t="shared" si="26"/>
        <v>25.393315991985482</v>
      </c>
    </row>
    <row r="38" spans="1:16" s="46" customFormat="1" ht="18.75" customHeight="1" x14ac:dyDescent="0.25">
      <c r="B38" s="67" t="s">
        <v>189</v>
      </c>
      <c r="C38" s="67"/>
      <c r="D38" s="67"/>
      <c r="E38" s="67"/>
      <c r="F38" s="67"/>
      <c r="G38" s="136">
        <f t="shared" ref="G38:P38" si="27">(G25+G34)/10^5</f>
        <v>359.53881586191818</v>
      </c>
      <c r="H38" s="136">
        <f t="shared" si="27"/>
        <v>392.05411168782814</v>
      </c>
      <c r="I38" s="136">
        <f t="shared" si="27"/>
        <v>388.83251949957355</v>
      </c>
      <c r="J38" s="136">
        <f t="shared" si="27"/>
        <v>386.69394064232603</v>
      </c>
      <c r="K38" s="136">
        <f t="shared" si="27"/>
        <v>384.56712396879323</v>
      </c>
      <c r="L38" s="136">
        <f t="shared" si="27"/>
        <v>383.49981849871</v>
      </c>
      <c r="M38" s="136">
        <f t="shared" si="27"/>
        <v>380.34851876063658</v>
      </c>
      <c r="N38" s="136">
        <f t="shared" si="27"/>
        <v>378.2566019074531</v>
      </c>
      <c r="O38" s="136">
        <f t="shared" si="27"/>
        <v>376.1761905969621</v>
      </c>
      <c r="P38" s="136">
        <f t="shared" si="27"/>
        <v>375.13217284059306</v>
      </c>
    </row>
    <row r="39" spans="1:16" ht="18.75" customHeight="1" x14ac:dyDescent="0.25">
      <c r="B39" s="140"/>
      <c r="C39" s="140"/>
      <c r="D39" s="140"/>
      <c r="E39" s="140"/>
      <c r="F39" s="140"/>
      <c r="G39" s="140"/>
      <c r="H39" s="140"/>
      <c r="I39" s="140"/>
      <c r="J39" s="140"/>
      <c r="K39" s="140"/>
      <c r="L39" s="140"/>
      <c r="M39" s="140"/>
      <c r="N39" s="140"/>
      <c r="O39" s="140"/>
      <c r="P39" s="140"/>
    </row>
    <row r="40" spans="1:16" ht="18.75" customHeight="1" x14ac:dyDescent="0.25">
      <c r="B40" s="181" t="s">
        <v>103</v>
      </c>
      <c r="C40" s="182"/>
      <c r="D40" s="182"/>
      <c r="E40" s="182"/>
      <c r="F40" s="182"/>
      <c r="G40" s="197"/>
      <c r="H40" s="197"/>
      <c r="I40" s="197"/>
      <c r="J40" s="197"/>
      <c r="K40" s="197"/>
      <c r="L40" s="197"/>
      <c r="M40" s="197"/>
      <c r="N40" s="197"/>
      <c r="O40" s="197"/>
      <c r="P40" s="197"/>
    </row>
    <row r="41" spans="1:16" ht="12" customHeight="1" x14ac:dyDescent="0.25">
      <c r="B41" s="54"/>
      <c r="C41" s="140"/>
      <c r="D41" s="140"/>
      <c r="E41" s="140"/>
      <c r="F41" s="140"/>
      <c r="G41" s="140"/>
      <c r="H41" s="140"/>
      <c r="I41" s="140"/>
      <c r="J41" s="140"/>
      <c r="K41" s="140"/>
      <c r="L41" s="140"/>
      <c r="M41" s="140"/>
      <c r="N41" s="140"/>
      <c r="O41" s="140"/>
      <c r="P41" s="140"/>
    </row>
    <row r="42" spans="1:16" ht="18.75" customHeight="1" x14ac:dyDescent="0.25">
      <c r="A42" s="47" t="s">
        <v>99</v>
      </c>
      <c r="B42" s="54" t="s">
        <v>82</v>
      </c>
      <c r="C42" s="140"/>
      <c r="D42" s="140"/>
      <c r="E42" s="140"/>
      <c r="F42" s="140"/>
      <c r="G42" s="140"/>
      <c r="H42" s="140"/>
      <c r="I42" s="140"/>
      <c r="J42" s="140"/>
      <c r="K42" s="140"/>
      <c r="L42" s="140"/>
      <c r="M42" s="140"/>
      <c r="N42" s="140"/>
      <c r="O42" s="140"/>
      <c r="P42" s="140"/>
    </row>
    <row r="43" spans="1:16" ht="18.75" customHeight="1" x14ac:dyDescent="0.25">
      <c r="B43" s="155" t="s">
        <v>76</v>
      </c>
      <c r="C43" s="140"/>
      <c r="D43" s="140"/>
      <c r="E43" s="140"/>
      <c r="F43" s="140"/>
      <c r="G43" s="212">
        <v>0</v>
      </c>
      <c r="H43" s="212">
        <v>0</v>
      </c>
      <c r="I43" s="191">
        <f>'Assumptions Hybrid Plant'!D31</f>
        <v>3150000</v>
      </c>
      <c r="J43" s="213">
        <f t="shared" ref="J43:P43" si="28">I43*(1+J44)</f>
        <v>3307500</v>
      </c>
      <c r="K43" s="213">
        <f t="shared" si="28"/>
        <v>3472875</v>
      </c>
      <c r="L43" s="213">
        <f t="shared" si="28"/>
        <v>3646518.75</v>
      </c>
      <c r="M43" s="213">
        <f t="shared" si="28"/>
        <v>3828844.6875</v>
      </c>
      <c r="N43" s="213">
        <f t="shared" si="28"/>
        <v>4020286.921875</v>
      </c>
      <c r="O43" s="213">
        <f t="shared" si="28"/>
        <v>4221301.2679687506</v>
      </c>
      <c r="P43" s="213">
        <f t="shared" si="28"/>
        <v>4432366.3313671881</v>
      </c>
    </row>
    <row r="44" spans="1:16" ht="18.75" customHeight="1" x14ac:dyDescent="0.25">
      <c r="B44" s="140" t="s">
        <v>75</v>
      </c>
      <c r="C44" s="140"/>
      <c r="D44" s="140"/>
      <c r="E44" s="140"/>
      <c r="F44" s="140"/>
      <c r="G44" s="214"/>
      <c r="H44" s="214"/>
      <c r="I44" s="215">
        <f>'Assumptions Hybrid Plant'!D33</f>
        <v>0.05</v>
      </c>
      <c r="J44" s="215">
        <f t="shared" ref="J44:P44" si="29">I44</f>
        <v>0.05</v>
      </c>
      <c r="K44" s="215">
        <f t="shared" si="29"/>
        <v>0.05</v>
      </c>
      <c r="L44" s="215">
        <f t="shared" si="29"/>
        <v>0.05</v>
      </c>
      <c r="M44" s="215">
        <f t="shared" si="29"/>
        <v>0.05</v>
      </c>
      <c r="N44" s="215">
        <f t="shared" si="29"/>
        <v>0.05</v>
      </c>
      <c r="O44" s="215">
        <f t="shared" si="29"/>
        <v>0.05</v>
      </c>
      <c r="P44" s="215">
        <f t="shared" si="29"/>
        <v>0.05</v>
      </c>
    </row>
    <row r="45" spans="1:16" ht="18.75" customHeight="1" x14ac:dyDescent="0.25">
      <c r="B45" s="140" t="s">
        <v>77</v>
      </c>
      <c r="C45" s="140"/>
      <c r="D45" s="140"/>
      <c r="E45" s="140"/>
      <c r="F45" s="140"/>
      <c r="G45" s="216">
        <v>0</v>
      </c>
      <c r="H45" s="216">
        <v>0</v>
      </c>
      <c r="I45" s="217">
        <f>I43</f>
        <v>3150000</v>
      </c>
      <c r="J45" s="217">
        <f>J43</f>
        <v>3307500</v>
      </c>
      <c r="K45" s="217">
        <f t="shared" ref="K45:P45" si="30">K43</f>
        <v>3472875</v>
      </c>
      <c r="L45" s="217">
        <f t="shared" si="30"/>
        <v>3646518.75</v>
      </c>
      <c r="M45" s="217">
        <f t="shared" si="30"/>
        <v>3828844.6875</v>
      </c>
      <c r="N45" s="217">
        <f t="shared" si="30"/>
        <v>4020286.921875</v>
      </c>
      <c r="O45" s="217">
        <f t="shared" si="30"/>
        <v>4221301.2679687506</v>
      </c>
      <c r="P45" s="217">
        <f t="shared" si="30"/>
        <v>4432366.3313671881</v>
      </c>
    </row>
    <row r="46" spans="1:16" ht="18.75" customHeight="1" x14ac:dyDescent="0.25">
      <c r="B46" s="186" t="s">
        <v>80</v>
      </c>
      <c r="C46" s="186"/>
      <c r="D46" s="186"/>
      <c r="E46" s="186"/>
      <c r="F46" s="186"/>
      <c r="G46" s="218">
        <f>G45/10^7</f>
        <v>0</v>
      </c>
      <c r="H46" s="218">
        <f>H45/10^7</f>
        <v>0</v>
      </c>
      <c r="I46" s="218">
        <f>I45/10^5</f>
        <v>31.5</v>
      </c>
      <c r="J46" s="218">
        <f t="shared" ref="J46:P46" si="31">J45/10^5</f>
        <v>33.075000000000003</v>
      </c>
      <c r="K46" s="218">
        <f t="shared" si="31"/>
        <v>34.728749999999998</v>
      </c>
      <c r="L46" s="218">
        <f t="shared" si="31"/>
        <v>36.465187499999999</v>
      </c>
      <c r="M46" s="218">
        <f t="shared" si="31"/>
        <v>38.288446874999998</v>
      </c>
      <c r="N46" s="218">
        <f t="shared" si="31"/>
        <v>40.202869218750003</v>
      </c>
      <c r="O46" s="218">
        <f t="shared" si="31"/>
        <v>42.213012679687509</v>
      </c>
      <c r="P46" s="218">
        <f t="shared" si="31"/>
        <v>44.323663313671879</v>
      </c>
    </row>
    <row r="47" spans="1:16" ht="18.75" customHeight="1" x14ac:dyDescent="0.25">
      <c r="B47" s="54" t="s">
        <v>81</v>
      </c>
      <c r="C47" s="140"/>
      <c r="D47" s="140"/>
      <c r="E47" s="140"/>
      <c r="F47" s="140"/>
      <c r="G47" s="140"/>
      <c r="H47" s="140"/>
      <c r="I47" s="140"/>
      <c r="J47" s="140"/>
      <c r="K47" s="140"/>
      <c r="L47" s="140"/>
      <c r="M47" s="140"/>
      <c r="N47" s="140"/>
      <c r="O47" s="140"/>
      <c r="P47" s="140"/>
    </row>
    <row r="48" spans="1:16" ht="18.75" customHeight="1" x14ac:dyDescent="0.25">
      <c r="B48" s="155" t="s">
        <v>76</v>
      </c>
      <c r="C48" s="140"/>
      <c r="D48" s="140"/>
      <c r="E48" s="140"/>
      <c r="F48" s="140"/>
      <c r="G48" s="219">
        <v>0</v>
      </c>
      <c r="H48" s="219">
        <v>0</v>
      </c>
      <c r="I48" s="213">
        <f>'Assumptions Hybrid Plant'!E31</f>
        <v>9256800</v>
      </c>
      <c r="J48" s="213">
        <f t="shared" ref="J48:K48" si="32">I48*(1+J49)</f>
        <v>9719640</v>
      </c>
      <c r="K48" s="213">
        <f t="shared" si="32"/>
        <v>10205622</v>
      </c>
      <c r="L48" s="213">
        <f t="shared" ref="L48" si="33">K48*(1+L49)</f>
        <v>10715903.1</v>
      </c>
      <c r="M48" s="213">
        <f t="shared" ref="M48" si="34">L48*(1+M49)</f>
        <v>11251698.255000001</v>
      </c>
      <c r="N48" s="213">
        <f t="shared" ref="N48" si="35">M48*(1+N49)</f>
        <v>11814283.167750001</v>
      </c>
      <c r="O48" s="213">
        <f t="shared" ref="O48" si="36">N48*(1+O49)</f>
        <v>12404997.326137502</v>
      </c>
      <c r="P48" s="213">
        <f t="shared" ref="P48" si="37">O48*(1+P49)</f>
        <v>13025247.192444377</v>
      </c>
    </row>
    <row r="49" spans="1:17" ht="18.75" customHeight="1" x14ac:dyDescent="0.25">
      <c r="B49" s="140" t="s">
        <v>75</v>
      </c>
      <c r="C49" s="140"/>
      <c r="D49" s="140"/>
      <c r="E49" s="140"/>
      <c r="F49" s="140"/>
      <c r="G49" s="200"/>
      <c r="H49" s="200"/>
      <c r="I49" s="220">
        <f>'Assumptions Hybrid Plant'!E33</f>
        <v>0.05</v>
      </c>
      <c r="J49" s="215">
        <f t="shared" ref="J49:P49" si="38">I49</f>
        <v>0.05</v>
      </c>
      <c r="K49" s="215">
        <f t="shared" si="38"/>
        <v>0.05</v>
      </c>
      <c r="L49" s="215">
        <f t="shared" si="38"/>
        <v>0.05</v>
      </c>
      <c r="M49" s="215">
        <f t="shared" si="38"/>
        <v>0.05</v>
      </c>
      <c r="N49" s="215">
        <f t="shared" si="38"/>
        <v>0.05</v>
      </c>
      <c r="O49" s="215">
        <f t="shared" si="38"/>
        <v>0.05</v>
      </c>
      <c r="P49" s="215">
        <f t="shared" si="38"/>
        <v>0.05</v>
      </c>
    </row>
    <row r="50" spans="1:17" ht="18.75" customHeight="1" x14ac:dyDescent="0.25">
      <c r="B50" s="140" t="s">
        <v>77</v>
      </c>
      <c r="C50" s="140"/>
      <c r="D50" s="140"/>
      <c r="E50" s="140"/>
      <c r="F50" s="140"/>
      <c r="G50" s="217">
        <f t="shared" ref="G50" si="39">G48</f>
        <v>0</v>
      </c>
      <c r="H50" s="217">
        <f t="shared" ref="H50:I50" si="40">H48</f>
        <v>0</v>
      </c>
      <c r="I50" s="217">
        <f t="shared" si="40"/>
        <v>9256800</v>
      </c>
      <c r="J50" s="217">
        <f>J48</f>
        <v>9719640</v>
      </c>
      <c r="K50" s="217">
        <f t="shared" ref="K50:P50" si="41">K48</f>
        <v>10205622</v>
      </c>
      <c r="L50" s="217">
        <f t="shared" si="41"/>
        <v>10715903.1</v>
      </c>
      <c r="M50" s="217">
        <f t="shared" si="41"/>
        <v>11251698.255000001</v>
      </c>
      <c r="N50" s="217">
        <f t="shared" si="41"/>
        <v>11814283.167750001</v>
      </c>
      <c r="O50" s="217">
        <f t="shared" si="41"/>
        <v>12404997.326137502</v>
      </c>
      <c r="P50" s="217">
        <f t="shared" si="41"/>
        <v>13025247.192444377</v>
      </c>
    </row>
    <row r="51" spans="1:17" ht="18.75" customHeight="1" x14ac:dyDescent="0.25">
      <c r="B51" s="187" t="s">
        <v>84</v>
      </c>
      <c r="C51" s="187"/>
      <c r="D51" s="187"/>
      <c r="E51" s="187"/>
      <c r="F51" s="187"/>
      <c r="G51" s="221">
        <f>G50/10^7</f>
        <v>0</v>
      </c>
      <c r="H51" s="221">
        <f>H50/10^7</f>
        <v>0</v>
      </c>
      <c r="I51" s="221">
        <f>I50/10^5</f>
        <v>92.567999999999998</v>
      </c>
      <c r="J51" s="221">
        <f t="shared" ref="J51:P51" si="42">J50/10^5</f>
        <v>97.196399999999997</v>
      </c>
      <c r="K51" s="221">
        <f t="shared" si="42"/>
        <v>102.05622</v>
      </c>
      <c r="L51" s="221">
        <f t="shared" si="42"/>
        <v>107.159031</v>
      </c>
      <c r="M51" s="221">
        <f t="shared" si="42"/>
        <v>112.51698255000001</v>
      </c>
      <c r="N51" s="221">
        <f t="shared" si="42"/>
        <v>118.14283167750001</v>
      </c>
      <c r="O51" s="221">
        <f t="shared" si="42"/>
        <v>124.04997326137502</v>
      </c>
      <c r="P51" s="221">
        <f t="shared" si="42"/>
        <v>130.25247192444377</v>
      </c>
    </row>
    <row r="52" spans="1:17" ht="18.75" customHeight="1" x14ac:dyDescent="0.25">
      <c r="B52" s="140"/>
      <c r="C52" s="140"/>
      <c r="D52" s="140"/>
      <c r="E52" s="140"/>
      <c r="F52" s="140"/>
      <c r="G52" s="140"/>
      <c r="H52" s="140"/>
      <c r="I52" s="140"/>
      <c r="J52" s="140"/>
      <c r="K52" s="140"/>
      <c r="L52" s="140"/>
      <c r="M52" s="140"/>
      <c r="N52" s="140"/>
      <c r="O52" s="140"/>
      <c r="P52" s="140"/>
    </row>
    <row r="53" spans="1:17" ht="18.75" customHeight="1" x14ac:dyDescent="0.25">
      <c r="B53" s="188" t="s">
        <v>85</v>
      </c>
      <c r="C53" s="188"/>
      <c r="D53" s="188"/>
      <c r="E53" s="188"/>
      <c r="F53" s="188"/>
      <c r="G53" s="222">
        <f t="shared" ref="G53" si="43">G46+G51</f>
        <v>0</v>
      </c>
      <c r="H53" s="222">
        <f t="shared" ref="H53:P53" si="44">H46+H51</f>
        <v>0</v>
      </c>
      <c r="I53" s="222">
        <f t="shared" si="44"/>
        <v>124.068</v>
      </c>
      <c r="J53" s="222">
        <f t="shared" si="44"/>
        <v>130.2714</v>
      </c>
      <c r="K53" s="222">
        <f t="shared" si="44"/>
        <v>136.78496999999999</v>
      </c>
      <c r="L53" s="222">
        <f t="shared" si="44"/>
        <v>143.62421849999998</v>
      </c>
      <c r="M53" s="222">
        <f t="shared" si="44"/>
        <v>150.805429425</v>
      </c>
      <c r="N53" s="222">
        <f t="shared" si="44"/>
        <v>158.34570089625001</v>
      </c>
      <c r="O53" s="222">
        <f t="shared" si="44"/>
        <v>166.26298594106254</v>
      </c>
      <c r="P53" s="222">
        <f t="shared" si="44"/>
        <v>174.57613523811565</v>
      </c>
    </row>
    <row r="54" spans="1:17" ht="18.75" customHeight="1" x14ac:dyDescent="0.25">
      <c r="B54" s="140"/>
      <c r="C54" s="140"/>
      <c r="D54" s="140"/>
      <c r="E54" s="140"/>
      <c r="F54" s="140"/>
      <c r="G54" s="140"/>
      <c r="H54" s="140"/>
      <c r="I54" s="140"/>
      <c r="J54" s="140"/>
      <c r="K54" s="140"/>
      <c r="L54" s="140"/>
      <c r="M54" s="140"/>
      <c r="N54" s="140"/>
      <c r="O54" s="140"/>
      <c r="P54" s="140"/>
    </row>
    <row r="55" spans="1:17" ht="18.75" customHeight="1" x14ac:dyDescent="0.25">
      <c r="A55" s="47" t="s">
        <v>100</v>
      </c>
      <c r="B55" s="54" t="s">
        <v>86</v>
      </c>
      <c r="C55" s="140"/>
      <c r="D55" s="140"/>
      <c r="E55" s="140"/>
      <c r="F55" s="140"/>
      <c r="G55" s="140"/>
      <c r="H55" s="140"/>
      <c r="I55" s="140"/>
      <c r="J55" s="140"/>
      <c r="K55" s="140"/>
      <c r="L55" s="140"/>
      <c r="M55" s="140"/>
      <c r="N55" s="140"/>
      <c r="O55" s="140"/>
      <c r="P55" s="140"/>
    </row>
    <row r="56" spans="1:17" ht="18.75" customHeight="1" x14ac:dyDescent="0.25">
      <c r="B56" s="155" t="s">
        <v>78</v>
      </c>
      <c r="C56" s="140"/>
      <c r="D56" s="140"/>
      <c r="E56" s="140"/>
      <c r="F56" s="140"/>
      <c r="G56" s="212">
        <v>0</v>
      </c>
      <c r="H56" s="212">
        <v>0</v>
      </c>
      <c r="I56" s="213">
        <f>'Assumptions Hybrid Plant'!D37</f>
        <v>1125000</v>
      </c>
      <c r="J56" s="213">
        <f>I56</f>
        <v>1125000</v>
      </c>
      <c r="K56" s="213">
        <f>J56+(J56*K57)</f>
        <v>1203750</v>
      </c>
      <c r="L56" s="213">
        <f>K56</f>
        <v>1203750</v>
      </c>
      <c r="M56" s="213">
        <f>L56+(L56*M57)</f>
        <v>1288012.5</v>
      </c>
      <c r="N56" s="213">
        <f>M56</f>
        <v>1288012.5</v>
      </c>
      <c r="O56" s="213">
        <f>N56+(N56*O57)</f>
        <v>1378173.375</v>
      </c>
      <c r="P56" s="213">
        <f>O56</f>
        <v>1378173.375</v>
      </c>
      <c r="Q56" s="185"/>
    </row>
    <row r="57" spans="1:17" ht="18.75" customHeight="1" x14ac:dyDescent="0.25">
      <c r="B57" s="140" t="s">
        <v>75</v>
      </c>
      <c r="C57" s="140"/>
      <c r="D57" s="140"/>
      <c r="E57" s="140"/>
      <c r="F57" s="140"/>
      <c r="G57" s="200"/>
      <c r="H57" s="200"/>
      <c r="I57" s="200"/>
      <c r="K57" s="220">
        <f>'Assumptions Hybrid Plant'!$D$38</f>
        <v>7.0000000000000007E-2</v>
      </c>
      <c r="L57" s="200"/>
      <c r="M57" s="200">
        <f>K57</f>
        <v>7.0000000000000007E-2</v>
      </c>
      <c r="N57" s="200"/>
      <c r="O57" s="200">
        <f>M57</f>
        <v>7.0000000000000007E-2</v>
      </c>
      <c r="P57" s="200"/>
      <c r="Q57" s="183"/>
    </row>
    <row r="58" spans="1:17" ht="18.75" customHeight="1" x14ac:dyDescent="0.25">
      <c r="B58" s="186" t="s">
        <v>88</v>
      </c>
      <c r="C58" s="186"/>
      <c r="D58" s="186"/>
      <c r="E58" s="186"/>
      <c r="F58" s="186"/>
      <c r="G58" s="218">
        <f t="shared" ref="G58:H58" si="45">(G56/365*G12)/10^7</f>
        <v>0</v>
      </c>
      <c r="H58" s="218">
        <f t="shared" si="45"/>
        <v>0</v>
      </c>
      <c r="I58" s="218">
        <f>(I56/365*I12)/10^5</f>
        <v>11.25</v>
      </c>
      <c r="J58" s="218">
        <f t="shared" ref="J58:P58" si="46">(J56/365*J12)/10^5</f>
        <v>11.25</v>
      </c>
      <c r="K58" s="218">
        <f t="shared" si="46"/>
        <v>12.0375</v>
      </c>
      <c r="L58" s="218">
        <f t="shared" si="46"/>
        <v>12.070479452054794</v>
      </c>
      <c r="M58" s="218">
        <f t="shared" si="46"/>
        <v>12.880125</v>
      </c>
      <c r="N58" s="218">
        <f t="shared" si="46"/>
        <v>12.880125</v>
      </c>
      <c r="O58" s="218">
        <f t="shared" si="46"/>
        <v>13.781733750000001</v>
      </c>
      <c r="P58" s="218">
        <f t="shared" si="46"/>
        <v>13.819491924657532</v>
      </c>
    </row>
    <row r="59" spans="1:17" ht="18.75" customHeight="1" x14ac:dyDescent="0.25">
      <c r="B59" s="54" t="s">
        <v>87</v>
      </c>
      <c r="C59" s="140"/>
      <c r="D59" s="140"/>
      <c r="E59" s="140"/>
      <c r="F59" s="140"/>
      <c r="G59" s="140"/>
      <c r="H59" s="140"/>
      <c r="I59" s="140"/>
      <c r="J59" s="140"/>
      <c r="K59" s="140"/>
      <c r="L59" s="140"/>
      <c r="M59" s="140"/>
      <c r="N59" s="140"/>
      <c r="O59" s="140"/>
      <c r="P59" s="140"/>
    </row>
    <row r="60" spans="1:17" ht="18.75" customHeight="1" x14ac:dyDescent="0.25">
      <c r="B60" s="155" t="s">
        <v>78</v>
      </c>
      <c r="C60" s="140"/>
      <c r="D60" s="140"/>
      <c r="E60" s="140"/>
      <c r="F60" s="140"/>
      <c r="G60" s="223">
        <v>0</v>
      </c>
      <c r="H60" s="223">
        <v>0</v>
      </c>
      <c r="I60" s="213">
        <f>'Assumptions Hybrid Plant'!E37</f>
        <v>1200000</v>
      </c>
      <c r="J60" s="213">
        <f>I60</f>
        <v>1200000</v>
      </c>
      <c r="K60" s="213">
        <f>J60+(J60*K61)</f>
        <v>1284000</v>
      </c>
      <c r="L60" s="213">
        <f>K60</f>
        <v>1284000</v>
      </c>
      <c r="M60" s="213">
        <f>L60+(L60*M61)</f>
        <v>1373880</v>
      </c>
      <c r="N60" s="213">
        <f>M60</f>
        <v>1373880</v>
      </c>
      <c r="O60" s="213">
        <f>N60+(N60*O61)</f>
        <v>1470051.6</v>
      </c>
      <c r="P60" s="213">
        <f>O60</f>
        <v>1470051.6</v>
      </c>
    </row>
    <row r="61" spans="1:17" ht="18.75" customHeight="1" x14ac:dyDescent="0.25">
      <c r="B61" s="140" t="s">
        <v>75</v>
      </c>
      <c r="C61" s="140"/>
      <c r="D61" s="140"/>
      <c r="E61" s="140"/>
      <c r="F61" s="140"/>
      <c r="G61" s="200"/>
      <c r="H61" s="200"/>
      <c r="I61" s="200"/>
      <c r="K61" s="220">
        <f>'Assumptions Hybrid Plant'!$D$38</f>
        <v>7.0000000000000007E-2</v>
      </c>
      <c r="L61" s="200"/>
      <c r="M61" s="200">
        <f>K61</f>
        <v>7.0000000000000007E-2</v>
      </c>
      <c r="N61" s="200"/>
      <c r="O61" s="200">
        <f>M61</f>
        <v>7.0000000000000007E-2</v>
      </c>
      <c r="P61" s="200"/>
    </row>
    <row r="62" spans="1:17" ht="18.75" customHeight="1" x14ac:dyDescent="0.25">
      <c r="B62" s="187" t="s">
        <v>89</v>
      </c>
      <c r="C62" s="187"/>
      <c r="D62" s="187"/>
      <c r="E62" s="187"/>
      <c r="F62" s="187"/>
      <c r="G62" s="221">
        <f t="shared" ref="G62:H62" si="47">(G60/365*G12)/10^7</f>
        <v>0</v>
      </c>
      <c r="H62" s="221">
        <f t="shared" si="47"/>
        <v>0</v>
      </c>
      <c r="I62" s="221">
        <f>(I60/365*I12)/10^5</f>
        <v>12</v>
      </c>
      <c r="J62" s="221">
        <f t="shared" ref="J62:P62" si="48">(J60/365*J12)/10^5</f>
        <v>12</v>
      </c>
      <c r="K62" s="221">
        <f t="shared" si="48"/>
        <v>12.84</v>
      </c>
      <c r="L62" s="221">
        <f t="shared" si="48"/>
        <v>12.875178082191781</v>
      </c>
      <c r="M62" s="221">
        <f t="shared" si="48"/>
        <v>13.738799999999999</v>
      </c>
      <c r="N62" s="221">
        <f t="shared" si="48"/>
        <v>13.738799999999999</v>
      </c>
      <c r="O62" s="221">
        <f t="shared" si="48"/>
        <v>14.700516</v>
      </c>
      <c r="P62" s="221">
        <f t="shared" si="48"/>
        <v>14.740791386301371</v>
      </c>
    </row>
    <row r="63" spans="1:17" ht="18.75" customHeight="1" x14ac:dyDescent="0.25">
      <c r="B63" s="140"/>
      <c r="C63" s="140"/>
      <c r="D63" s="140"/>
      <c r="E63" s="140"/>
      <c r="F63" s="140"/>
      <c r="G63" s="140"/>
      <c r="H63" s="140"/>
      <c r="I63" s="140"/>
      <c r="J63" s="140"/>
      <c r="K63" s="140"/>
      <c r="L63" s="140"/>
      <c r="M63" s="140"/>
      <c r="N63" s="140"/>
      <c r="O63" s="140"/>
      <c r="P63" s="140"/>
    </row>
    <row r="64" spans="1:17" ht="18.75" customHeight="1" x14ac:dyDescent="0.25">
      <c r="B64" s="188" t="s">
        <v>90</v>
      </c>
      <c r="C64" s="188"/>
      <c r="D64" s="188"/>
      <c r="E64" s="188"/>
      <c r="F64" s="188"/>
      <c r="G64" s="222">
        <f>G58+G62</f>
        <v>0</v>
      </c>
      <c r="H64" s="222">
        <f>H58+H62</f>
        <v>0</v>
      </c>
      <c r="I64" s="222">
        <f t="shared" ref="I64:P64" si="49">I58+I62</f>
        <v>23.25</v>
      </c>
      <c r="J64" s="222">
        <f t="shared" si="49"/>
        <v>23.25</v>
      </c>
      <c r="K64" s="222">
        <f t="shared" si="49"/>
        <v>24.877499999999998</v>
      </c>
      <c r="L64" s="222">
        <f t="shared" si="49"/>
        <v>24.945657534246575</v>
      </c>
      <c r="M64" s="222">
        <f t="shared" si="49"/>
        <v>26.618924999999997</v>
      </c>
      <c r="N64" s="222">
        <f t="shared" si="49"/>
        <v>26.618924999999997</v>
      </c>
      <c r="O64" s="222">
        <f t="shared" si="49"/>
        <v>28.482249750000001</v>
      </c>
      <c r="P64" s="222">
        <f t="shared" si="49"/>
        <v>28.560283310958901</v>
      </c>
    </row>
    <row r="65" spans="1:16" ht="18.75" customHeight="1" x14ac:dyDescent="0.25">
      <c r="B65" s="140"/>
      <c r="C65" s="140"/>
      <c r="D65" s="140"/>
      <c r="E65" s="140"/>
      <c r="F65" s="140"/>
      <c r="G65" s="140"/>
      <c r="H65" s="140"/>
      <c r="I65" s="140"/>
      <c r="J65" s="140"/>
      <c r="K65" s="140"/>
      <c r="L65" s="140"/>
      <c r="M65" s="140"/>
      <c r="N65" s="140"/>
      <c r="O65" s="140"/>
      <c r="P65" s="140"/>
    </row>
    <row r="66" spans="1:16" ht="18.75" customHeight="1" x14ac:dyDescent="0.25">
      <c r="A66" s="47" t="s">
        <v>101</v>
      </c>
      <c r="B66" s="391" t="s">
        <v>39</v>
      </c>
      <c r="C66" s="280"/>
      <c r="D66" s="280"/>
      <c r="E66" s="280"/>
      <c r="F66" s="280"/>
      <c r="G66" s="140"/>
      <c r="H66" s="140"/>
      <c r="I66" s="140"/>
      <c r="J66" s="140"/>
      <c r="K66" s="140"/>
      <c r="L66" s="140"/>
      <c r="M66" s="140"/>
      <c r="N66" s="140"/>
      <c r="O66" s="140"/>
      <c r="P66" s="140"/>
    </row>
    <row r="67" spans="1:16" ht="18.75" customHeight="1" x14ac:dyDescent="0.25">
      <c r="B67" s="281" t="s">
        <v>186</v>
      </c>
      <c r="C67" s="280"/>
      <c r="D67" s="280"/>
      <c r="E67" s="280"/>
      <c r="F67" s="280"/>
      <c r="G67" s="224">
        <f>BS!G23</f>
        <v>20619.741378334613</v>
      </c>
      <c r="H67" s="224">
        <f>BS!H23</f>
        <v>18204.286917351426</v>
      </c>
      <c r="I67" s="224">
        <f>BS!I23</f>
        <v>15795.432058720657</v>
      </c>
      <c r="J67" s="224">
        <f>BS!J23</f>
        <v>13386.577200089883</v>
      </c>
      <c r="K67" s="224">
        <f>BS!K23</f>
        <v>10977.72234145911</v>
      </c>
      <c r="L67" s="224">
        <f>BS!L23</f>
        <v>8562.2678804759234</v>
      </c>
      <c r="M67" s="224">
        <f>BS!M23</f>
        <v>6153.4130218451501</v>
      </c>
      <c r="N67" s="224">
        <f>BS!N23</f>
        <v>3744.5581632143767</v>
      </c>
      <c r="O67" s="224">
        <f>BS!O23</f>
        <v>1335.7033045836033</v>
      </c>
      <c r="P67" s="224">
        <f>BS!P23</f>
        <v>-1079.7511563995831</v>
      </c>
    </row>
    <row r="68" spans="1:16" ht="18.75" customHeight="1" x14ac:dyDescent="0.25">
      <c r="B68" s="280" t="s">
        <v>184</v>
      </c>
      <c r="C68" s="282">
        <f>'Assumptions Hybrid Plant'!D35</f>
        <v>1E-3</v>
      </c>
      <c r="D68" s="282"/>
      <c r="E68" s="282"/>
      <c r="F68" s="280"/>
      <c r="G68" s="216">
        <f>G67*$C$68</f>
        <v>20.619741378334613</v>
      </c>
      <c r="H68" s="216">
        <f>H67*$C$68</f>
        <v>18.204286917351428</v>
      </c>
      <c r="I68" s="216">
        <f t="shared" ref="I68:P68" si="50">I67*$C$68</f>
        <v>15.795432058720657</v>
      </c>
      <c r="J68" s="216">
        <f t="shared" si="50"/>
        <v>13.386577200089883</v>
      </c>
      <c r="K68" s="216">
        <f t="shared" si="50"/>
        <v>10.97772234145911</v>
      </c>
      <c r="L68" s="216">
        <f t="shared" si="50"/>
        <v>8.5622678804759236</v>
      </c>
      <c r="M68" s="216">
        <f t="shared" si="50"/>
        <v>6.1534130218451502</v>
      </c>
      <c r="N68" s="216">
        <f t="shared" si="50"/>
        <v>3.7445581632143767</v>
      </c>
      <c r="O68" s="216">
        <f t="shared" si="50"/>
        <v>1.3357033045836033</v>
      </c>
      <c r="P68" s="216">
        <f t="shared" si="50"/>
        <v>-1.0797511563995832</v>
      </c>
    </row>
    <row r="69" spans="1:16" ht="18.75" customHeight="1" x14ac:dyDescent="0.25">
      <c r="B69" s="283" t="s">
        <v>91</v>
      </c>
      <c r="C69" s="283"/>
      <c r="D69" s="283"/>
      <c r="E69" s="283"/>
      <c r="F69" s="283"/>
      <c r="G69" s="222">
        <f>G68</f>
        <v>20.619741378334613</v>
      </c>
      <c r="H69" s="222">
        <f>H68</f>
        <v>18.204286917351428</v>
      </c>
      <c r="I69" s="222">
        <f t="shared" ref="I69:P69" si="51">I68</f>
        <v>15.795432058720657</v>
      </c>
      <c r="J69" s="222">
        <f t="shared" si="51"/>
        <v>13.386577200089883</v>
      </c>
      <c r="K69" s="222">
        <f t="shared" si="51"/>
        <v>10.97772234145911</v>
      </c>
      <c r="L69" s="222">
        <f t="shared" si="51"/>
        <v>8.5622678804759236</v>
      </c>
      <c r="M69" s="222">
        <f t="shared" si="51"/>
        <v>6.1534130218451502</v>
      </c>
      <c r="N69" s="222">
        <f t="shared" si="51"/>
        <v>3.7445581632143767</v>
      </c>
      <c r="O69" s="222">
        <f t="shared" si="51"/>
        <v>1.3357033045836033</v>
      </c>
      <c r="P69" s="222">
        <f t="shared" si="51"/>
        <v>-1.0797511563995832</v>
      </c>
    </row>
    <row r="70" spans="1:16" ht="18.75" customHeight="1" x14ac:dyDescent="0.25">
      <c r="B70" s="140"/>
      <c r="C70" s="140"/>
      <c r="D70" s="140"/>
      <c r="E70" s="140"/>
      <c r="F70" s="140"/>
      <c r="G70" s="140"/>
      <c r="H70" s="140"/>
      <c r="I70" s="140"/>
      <c r="J70" s="140"/>
      <c r="K70" s="140"/>
      <c r="L70" s="140"/>
      <c r="M70" s="140"/>
      <c r="N70" s="140"/>
      <c r="O70" s="140"/>
      <c r="P70" s="140"/>
    </row>
    <row r="71" spans="1:16" ht="18.75" customHeight="1" x14ac:dyDescent="0.25">
      <c r="A71" s="47" t="s">
        <v>102</v>
      </c>
      <c r="B71" s="54" t="s">
        <v>45</v>
      </c>
      <c r="C71" s="140"/>
      <c r="D71" s="140"/>
      <c r="E71" s="140"/>
      <c r="F71" s="140"/>
      <c r="G71" s="140"/>
      <c r="H71" s="140"/>
      <c r="I71" s="162"/>
      <c r="J71" s="140"/>
      <c r="K71" s="140"/>
      <c r="L71" s="140"/>
      <c r="M71" s="140"/>
      <c r="N71" s="140"/>
      <c r="O71" s="140"/>
      <c r="P71" s="140"/>
    </row>
    <row r="72" spans="1:16" s="46" customFormat="1" ht="18.75" customHeight="1" x14ac:dyDescent="0.25">
      <c r="B72" s="189" t="s">
        <v>92</v>
      </c>
      <c r="C72" s="225"/>
      <c r="D72" s="225"/>
      <c r="E72" s="225"/>
      <c r="F72" s="67"/>
      <c r="G72" s="226">
        <f t="shared" ref="G72:P72" si="52">G25*G73+G34*G74</f>
        <v>7190776.3172383634</v>
      </c>
      <c r="H72" s="226">
        <f t="shared" si="52"/>
        <v>7841082.2337565627</v>
      </c>
      <c r="I72" s="226">
        <f t="shared" si="52"/>
        <v>7776650.3899914725</v>
      </c>
      <c r="J72" s="226">
        <f t="shared" si="52"/>
        <v>7733878.8128465209</v>
      </c>
      <c r="K72" s="226">
        <f t="shared" si="52"/>
        <v>7691342.4793758644</v>
      </c>
      <c r="L72" s="226">
        <f t="shared" si="52"/>
        <v>7669996.3699741997</v>
      </c>
      <c r="M72" s="226">
        <f t="shared" si="52"/>
        <v>7606970.3752127336</v>
      </c>
      <c r="N72" s="226">
        <f t="shared" si="52"/>
        <v>7565132.0381490625</v>
      </c>
      <c r="O72" s="226">
        <f t="shared" si="52"/>
        <v>7523523.8119392432</v>
      </c>
      <c r="P72" s="226">
        <f t="shared" si="52"/>
        <v>7502643.4568118621</v>
      </c>
    </row>
    <row r="73" spans="1:16" ht="18.75" customHeight="1" x14ac:dyDescent="0.25">
      <c r="B73" s="190" t="s">
        <v>7</v>
      </c>
      <c r="C73" s="191">
        <f>'Assumptions Hybrid Plant'!D41</f>
        <v>0.2</v>
      </c>
      <c r="D73" s="191"/>
      <c r="E73" s="191"/>
      <c r="F73" s="140" t="s">
        <v>97</v>
      </c>
      <c r="G73" s="224">
        <f>C73</f>
        <v>0.2</v>
      </c>
      <c r="H73" s="191">
        <f t="shared" ref="H73:P73" si="53">G73*(1+H$79)</f>
        <v>0.2</v>
      </c>
      <c r="I73" s="191">
        <f t="shared" si="53"/>
        <v>0.2</v>
      </c>
      <c r="J73" s="191">
        <f t="shared" si="53"/>
        <v>0.2</v>
      </c>
      <c r="K73" s="191">
        <f t="shared" si="53"/>
        <v>0.2</v>
      </c>
      <c r="L73" s="191">
        <f t="shared" si="53"/>
        <v>0.2</v>
      </c>
      <c r="M73" s="191">
        <f t="shared" si="53"/>
        <v>0.2</v>
      </c>
      <c r="N73" s="191">
        <f t="shared" si="53"/>
        <v>0.2</v>
      </c>
      <c r="O73" s="191">
        <f t="shared" si="53"/>
        <v>0.2</v>
      </c>
      <c r="P73" s="191">
        <f t="shared" si="53"/>
        <v>0.2</v>
      </c>
    </row>
    <row r="74" spans="1:16" ht="18.75" customHeight="1" x14ac:dyDescent="0.25">
      <c r="B74" s="190" t="s">
        <v>8</v>
      </c>
      <c r="C74" s="191">
        <f>'Assumptions Hybrid Plant'!E41</f>
        <v>0.2</v>
      </c>
      <c r="D74" s="191"/>
      <c r="E74" s="191"/>
      <c r="F74" s="140" t="s">
        <v>97</v>
      </c>
      <c r="G74" s="224">
        <f>C74</f>
        <v>0.2</v>
      </c>
      <c r="H74" s="191">
        <f t="shared" ref="H74:P74" si="54">G74*(1+H$79)</f>
        <v>0.2</v>
      </c>
      <c r="I74" s="191">
        <f t="shared" si="54"/>
        <v>0.2</v>
      </c>
      <c r="J74" s="191">
        <f t="shared" si="54"/>
        <v>0.2</v>
      </c>
      <c r="K74" s="191">
        <f t="shared" si="54"/>
        <v>0.2</v>
      </c>
      <c r="L74" s="191">
        <f t="shared" si="54"/>
        <v>0.2</v>
      </c>
      <c r="M74" s="191">
        <f t="shared" si="54"/>
        <v>0.2</v>
      </c>
      <c r="N74" s="191">
        <f t="shared" si="54"/>
        <v>0.2</v>
      </c>
      <c r="O74" s="191">
        <f t="shared" si="54"/>
        <v>0.2</v>
      </c>
      <c r="P74" s="191">
        <f t="shared" si="54"/>
        <v>0.2</v>
      </c>
    </row>
    <row r="75" spans="1:16" s="46" customFormat="1" ht="18.75" customHeight="1" x14ac:dyDescent="0.25">
      <c r="B75" s="189" t="s">
        <v>93</v>
      </c>
      <c r="C75" s="225"/>
      <c r="D75" s="225"/>
      <c r="E75" s="225"/>
      <c r="F75" s="67"/>
      <c r="G75" s="226">
        <f t="shared" ref="G75:P75" si="55">(G76*G12)</f>
        <v>205840.75000000003</v>
      </c>
      <c r="H75" s="226">
        <f t="shared" si="55"/>
        <v>224888.7</v>
      </c>
      <c r="I75" s="226">
        <f t="shared" si="55"/>
        <v>224274.25000000003</v>
      </c>
      <c r="J75" s="226">
        <f t="shared" si="55"/>
        <v>224274.25000000003</v>
      </c>
      <c r="K75" s="226">
        <f t="shared" si="55"/>
        <v>224274.25000000003</v>
      </c>
      <c r="L75" s="226">
        <f t="shared" si="55"/>
        <v>224888.7</v>
      </c>
      <c r="M75" s="226">
        <f t="shared" si="55"/>
        <v>224274.25000000003</v>
      </c>
      <c r="N75" s="226">
        <f t="shared" si="55"/>
        <v>224274.25000000003</v>
      </c>
      <c r="O75" s="226">
        <f t="shared" si="55"/>
        <v>224274.25000000003</v>
      </c>
      <c r="P75" s="226">
        <f t="shared" si="55"/>
        <v>224888.7</v>
      </c>
    </row>
    <row r="76" spans="1:16" ht="18.75" customHeight="1" x14ac:dyDescent="0.25">
      <c r="B76" s="190" t="s">
        <v>201</v>
      </c>
      <c r="C76" s="191"/>
      <c r="D76" s="191"/>
      <c r="E76" s="191"/>
      <c r="F76" s="140" t="s">
        <v>202</v>
      </c>
      <c r="G76" s="224">
        <f>'Assumptions Hybrid Plant'!D42</f>
        <v>614.45000000000005</v>
      </c>
      <c r="H76" s="191">
        <f t="shared" ref="H76:P76" si="56">G76*(1+H$79)</f>
        <v>614.45000000000005</v>
      </c>
      <c r="I76" s="191">
        <f t="shared" si="56"/>
        <v>614.45000000000005</v>
      </c>
      <c r="J76" s="191">
        <f t="shared" si="56"/>
        <v>614.45000000000005</v>
      </c>
      <c r="K76" s="191">
        <f t="shared" si="56"/>
        <v>614.45000000000005</v>
      </c>
      <c r="L76" s="191">
        <f t="shared" si="56"/>
        <v>614.45000000000005</v>
      </c>
      <c r="M76" s="191">
        <f t="shared" si="56"/>
        <v>614.45000000000005</v>
      </c>
      <c r="N76" s="191">
        <f t="shared" si="56"/>
        <v>614.45000000000005</v>
      </c>
      <c r="O76" s="191">
        <f t="shared" si="56"/>
        <v>614.45000000000005</v>
      </c>
      <c r="P76" s="191">
        <f t="shared" si="56"/>
        <v>614.45000000000005</v>
      </c>
    </row>
    <row r="77" spans="1:16" s="46" customFormat="1" ht="18.75" customHeight="1" x14ac:dyDescent="0.25">
      <c r="B77" s="189" t="s">
        <v>94</v>
      </c>
      <c r="C77" s="225"/>
      <c r="D77" s="225"/>
      <c r="E77" s="225"/>
      <c r="F77" s="67"/>
      <c r="G77" s="227">
        <f t="shared" ref="G77:P77" si="57">(G78*$C$78)*G12</f>
        <v>12381600</v>
      </c>
      <c r="H77" s="227">
        <f t="shared" si="57"/>
        <v>13527360</v>
      </c>
      <c r="I77" s="227">
        <f t="shared" si="57"/>
        <v>13490400</v>
      </c>
      <c r="J77" s="227">
        <f t="shared" si="57"/>
        <v>13490400</v>
      </c>
      <c r="K77" s="227">
        <f t="shared" si="57"/>
        <v>13490400</v>
      </c>
      <c r="L77" s="227">
        <f t="shared" si="57"/>
        <v>13527360</v>
      </c>
      <c r="M77" s="227">
        <f t="shared" si="57"/>
        <v>13490400</v>
      </c>
      <c r="N77" s="227">
        <f t="shared" si="57"/>
        <v>13490400</v>
      </c>
      <c r="O77" s="227">
        <f t="shared" si="57"/>
        <v>13490400</v>
      </c>
      <c r="P77" s="227">
        <f t="shared" si="57"/>
        <v>13527360</v>
      </c>
    </row>
    <row r="78" spans="1:16" ht="18.75" customHeight="1" x14ac:dyDescent="0.25">
      <c r="B78" s="190" t="s">
        <v>201</v>
      </c>
      <c r="C78" s="191">
        <f>'Assumptions Hybrid Plant'!E23</f>
        <v>8.4</v>
      </c>
      <c r="D78" s="191"/>
      <c r="E78" s="191"/>
      <c r="F78" s="140" t="s">
        <v>98</v>
      </c>
      <c r="G78" s="224">
        <f>'Assumptions Hybrid Plant'!D43</f>
        <v>4400</v>
      </c>
      <c r="H78" s="191">
        <f t="shared" ref="H78:P78" si="58">G78*(1+H$79)</f>
        <v>4400</v>
      </c>
      <c r="I78" s="191">
        <f t="shared" si="58"/>
        <v>4400</v>
      </c>
      <c r="J78" s="191">
        <f t="shared" si="58"/>
        <v>4400</v>
      </c>
      <c r="K78" s="191">
        <f t="shared" si="58"/>
        <v>4400</v>
      </c>
      <c r="L78" s="191">
        <f t="shared" si="58"/>
        <v>4400</v>
      </c>
      <c r="M78" s="191">
        <f t="shared" si="58"/>
        <v>4400</v>
      </c>
      <c r="N78" s="191">
        <f t="shared" si="58"/>
        <v>4400</v>
      </c>
      <c r="O78" s="191">
        <f t="shared" si="58"/>
        <v>4400</v>
      </c>
      <c r="P78" s="191">
        <f t="shared" si="58"/>
        <v>4400</v>
      </c>
    </row>
    <row r="79" spans="1:16" ht="18.75" customHeight="1" x14ac:dyDescent="0.25">
      <c r="B79" s="140" t="s">
        <v>75</v>
      </c>
      <c r="C79" s="140"/>
      <c r="D79" s="140"/>
      <c r="E79" s="140"/>
      <c r="F79" s="140"/>
      <c r="G79" s="200"/>
      <c r="H79" s="200"/>
      <c r="I79" s="200"/>
      <c r="J79" s="200"/>
      <c r="K79" s="220"/>
      <c r="L79" s="200">
        <f>'Assumptions Hybrid Plant'!D44</f>
        <v>0</v>
      </c>
      <c r="M79" s="200"/>
      <c r="N79" s="200"/>
      <c r="O79" s="200"/>
      <c r="P79" s="200"/>
    </row>
    <row r="80" spans="1:16" ht="18.75" customHeight="1" x14ac:dyDescent="0.25">
      <c r="B80" s="140"/>
      <c r="C80" s="140"/>
      <c r="D80" s="140"/>
      <c r="E80" s="140"/>
      <c r="F80" s="140"/>
      <c r="G80" s="217"/>
      <c r="H80" s="217"/>
      <c r="I80" s="216"/>
      <c r="J80" s="217"/>
      <c r="K80" s="220"/>
      <c r="L80" s="200"/>
      <c r="M80" s="200"/>
      <c r="N80" s="200"/>
      <c r="O80" s="200"/>
      <c r="P80" s="200"/>
    </row>
    <row r="81" spans="2:16" ht="18.75" customHeight="1" x14ac:dyDescent="0.25">
      <c r="B81" s="189" t="s">
        <v>254</v>
      </c>
      <c r="C81" s="191">
        <f>'Assumptions Hybrid Plant'!D46</f>
        <v>1500</v>
      </c>
      <c r="D81" s="191"/>
      <c r="E81" s="191"/>
      <c r="F81" s="191" t="str">
        <f>'Assumptions Hybrid Plant'!C46</f>
        <v>INR/MW/Month</v>
      </c>
      <c r="G81" s="216">
        <f>17.3*$C$81*G10</f>
        <v>285450</v>
      </c>
      <c r="H81" s="216">
        <f t="shared" ref="H81:P81" si="59">17.3*$C$81*H10</f>
        <v>311400</v>
      </c>
      <c r="I81" s="216">
        <f t="shared" si="59"/>
        <v>311400</v>
      </c>
      <c r="J81" s="216">
        <f t="shared" si="59"/>
        <v>311400</v>
      </c>
      <c r="K81" s="216">
        <f t="shared" si="59"/>
        <v>311400</v>
      </c>
      <c r="L81" s="216">
        <f t="shared" si="59"/>
        <v>311400</v>
      </c>
      <c r="M81" s="216">
        <f t="shared" si="59"/>
        <v>311400</v>
      </c>
      <c r="N81" s="216">
        <f t="shared" si="59"/>
        <v>311400</v>
      </c>
      <c r="O81" s="216">
        <f t="shared" si="59"/>
        <v>311400</v>
      </c>
      <c r="P81" s="216">
        <f t="shared" si="59"/>
        <v>311400</v>
      </c>
    </row>
    <row r="82" spans="2:16" ht="18.75" customHeight="1" x14ac:dyDescent="0.25">
      <c r="B82" s="189" t="s">
        <v>249</v>
      </c>
      <c r="C82" s="191">
        <f>'Assumptions Hybrid Plant'!D49</f>
        <v>12000</v>
      </c>
      <c r="D82" s="191"/>
      <c r="E82" s="191"/>
      <c r="F82" s="140" t="s">
        <v>255</v>
      </c>
      <c r="G82" s="217">
        <f>$C$82*$C$78</f>
        <v>100800</v>
      </c>
      <c r="H82" s="217">
        <f>$C$82*$C$78</f>
        <v>100800</v>
      </c>
      <c r="I82" s="217">
        <f t="shared" ref="I82:P82" si="60">$C$82*$C$78</f>
        <v>100800</v>
      </c>
      <c r="J82" s="217">
        <f t="shared" si="60"/>
        <v>100800</v>
      </c>
      <c r="K82" s="217">
        <f t="shared" si="60"/>
        <v>100800</v>
      </c>
      <c r="L82" s="217">
        <f t="shared" si="60"/>
        <v>100800</v>
      </c>
      <c r="M82" s="217">
        <f t="shared" si="60"/>
        <v>100800</v>
      </c>
      <c r="N82" s="217">
        <f t="shared" si="60"/>
        <v>100800</v>
      </c>
      <c r="O82" s="217">
        <f t="shared" si="60"/>
        <v>100800</v>
      </c>
      <c r="P82" s="217">
        <f t="shared" si="60"/>
        <v>100800</v>
      </c>
    </row>
    <row r="83" spans="2:16" ht="18.75" customHeight="1" x14ac:dyDescent="0.25">
      <c r="B83" s="189" t="s">
        <v>252</v>
      </c>
      <c r="C83" s="191">
        <f>'Assumptions Hybrid Plant'!D50</f>
        <v>60000</v>
      </c>
      <c r="D83" s="191"/>
      <c r="E83" s="191"/>
      <c r="F83" s="140" t="s">
        <v>255</v>
      </c>
      <c r="G83" s="217">
        <f>$C$83*$C$78</f>
        <v>504000</v>
      </c>
      <c r="H83" s="217">
        <f>$C$83*$C$78</f>
        <v>504000</v>
      </c>
      <c r="I83" s="217">
        <f t="shared" ref="I83:P83" si="61">$C$83*$C$78</f>
        <v>504000</v>
      </c>
      <c r="J83" s="217">
        <f t="shared" si="61"/>
        <v>504000</v>
      </c>
      <c r="K83" s="217">
        <f t="shared" si="61"/>
        <v>504000</v>
      </c>
      <c r="L83" s="217">
        <f t="shared" si="61"/>
        <v>504000</v>
      </c>
      <c r="M83" s="217">
        <f t="shared" si="61"/>
        <v>504000</v>
      </c>
      <c r="N83" s="217">
        <f t="shared" si="61"/>
        <v>504000</v>
      </c>
      <c r="O83" s="217">
        <f t="shared" si="61"/>
        <v>504000</v>
      </c>
      <c r="P83" s="217">
        <f t="shared" si="61"/>
        <v>504000</v>
      </c>
    </row>
    <row r="84" spans="2:16" ht="18.75" customHeight="1" x14ac:dyDescent="0.25">
      <c r="B84" s="188" t="s">
        <v>256</v>
      </c>
      <c r="C84" s="188"/>
      <c r="D84" s="188"/>
      <c r="E84" s="188"/>
      <c r="F84" s="188"/>
      <c r="G84" s="222">
        <f>(G72+G75+G77+G81+G82+G83)/10^5</f>
        <v>206.68467067238365</v>
      </c>
      <c r="H84" s="222">
        <f t="shared" ref="H84:P84" si="62">(H72+H75+H77+H81+H82+H83)/10^5</f>
        <v>225.09530933756565</v>
      </c>
      <c r="I84" s="222">
        <f t="shared" si="62"/>
        <v>224.07524639991473</v>
      </c>
      <c r="J84" s="222">
        <f t="shared" si="62"/>
        <v>223.64753062846518</v>
      </c>
      <c r="K84" s="222">
        <f t="shared" si="62"/>
        <v>223.22216729375864</v>
      </c>
      <c r="L84" s="222">
        <f t="shared" si="62"/>
        <v>223.38445069974199</v>
      </c>
      <c r="M84" s="222">
        <f t="shared" si="62"/>
        <v>222.37844625212733</v>
      </c>
      <c r="N84" s="222">
        <f t="shared" si="62"/>
        <v>221.96006288149061</v>
      </c>
      <c r="O84" s="222">
        <f t="shared" si="62"/>
        <v>221.54398061939244</v>
      </c>
      <c r="P84" s="222">
        <f t="shared" si="62"/>
        <v>221.71092156811864</v>
      </c>
    </row>
    <row r="85" spans="2:16" ht="18.75" customHeight="1" x14ac:dyDescent="0.25"/>
    <row r="86" spans="2:16" ht="18.75" customHeight="1" x14ac:dyDescent="0.25">
      <c r="B86" s="188" t="s">
        <v>512</v>
      </c>
      <c r="C86" s="188"/>
      <c r="D86" s="188"/>
      <c r="E86" s="188"/>
      <c r="F86" s="188"/>
      <c r="G86" s="222">
        <f>G53+G64+G69+G84</f>
        <v>227.30441205071827</v>
      </c>
      <c r="H86" s="222">
        <f>H53+H64+H69+H84</f>
        <v>243.29959625491708</v>
      </c>
      <c r="I86" s="222">
        <f t="shared" ref="I86:P86" si="63">I53+I64+I69+I84</f>
        <v>387.18867845863537</v>
      </c>
      <c r="J86" s="222">
        <f t="shared" si="63"/>
        <v>390.55550782855505</v>
      </c>
      <c r="K86" s="222">
        <f t="shared" si="63"/>
        <v>395.86235963521773</v>
      </c>
      <c r="L86" s="222">
        <f t="shared" si="63"/>
        <v>400.51659461446445</v>
      </c>
      <c r="M86" s="222">
        <f t="shared" si="63"/>
        <v>405.95621369897248</v>
      </c>
      <c r="N86" s="222">
        <f t="shared" si="63"/>
        <v>410.66924694095496</v>
      </c>
      <c r="O86" s="222">
        <f t="shared" si="63"/>
        <v>417.62491961503861</v>
      </c>
      <c r="P86" s="222">
        <f t="shared" si="63"/>
        <v>423.7675889607936</v>
      </c>
    </row>
    <row r="87" spans="2:16" ht="18.75" customHeight="1" x14ac:dyDescent="0.25">
      <c r="B87" s="188" t="s">
        <v>366</v>
      </c>
      <c r="C87" s="188"/>
      <c r="D87" s="188"/>
      <c r="E87" s="188"/>
      <c r="F87" s="188"/>
      <c r="G87" s="222">
        <f>G86*10^5/(G36*10^5)</f>
        <v>0.59212886880192928</v>
      </c>
      <c r="H87" s="222">
        <f>H86*10^5/(H36*10^5)</f>
        <v>0.58123201634421229</v>
      </c>
      <c r="I87" s="222">
        <f t="shared" ref="I87:P87" si="64">I86*10^5/(I36*10^5)</f>
        <v>0.93264039929344333</v>
      </c>
      <c r="J87" s="222">
        <f t="shared" si="64"/>
        <v>0.94595298810375572</v>
      </c>
      <c r="K87" s="222">
        <f t="shared" si="64"/>
        <v>0.96410915787078988</v>
      </c>
      <c r="L87" s="222">
        <f t="shared" si="64"/>
        <v>0.97815911356727059</v>
      </c>
      <c r="M87" s="222">
        <f t="shared" si="64"/>
        <v>0.99965839485690011</v>
      </c>
      <c r="N87" s="222">
        <f t="shared" si="64"/>
        <v>1.0168568499407324</v>
      </c>
      <c r="O87" s="222">
        <f t="shared" si="64"/>
        <v>1.0397986621394744</v>
      </c>
      <c r="P87" s="222">
        <f t="shared" si="64"/>
        <v>1.0580290163204329</v>
      </c>
    </row>
    <row r="88" spans="2:16" ht="18.75" customHeight="1" x14ac:dyDescent="0.25">
      <c r="B88" s="188" t="s">
        <v>367</v>
      </c>
      <c r="C88" s="188"/>
      <c r="D88" s="188"/>
      <c r="E88" s="188"/>
      <c r="F88" s="188"/>
      <c r="G88" s="222">
        <f>G86*10^5/(G38*10^5)</f>
        <v>0.63221104932941397</v>
      </c>
      <c r="H88" s="222">
        <f t="shared" ref="H88:P88" si="65">H86*10^5/(H38*10^5)</f>
        <v>0.62057657094193064</v>
      </c>
      <c r="I88" s="222">
        <f t="shared" si="65"/>
        <v>0.99577236738569652</v>
      </c>
      <c r="J88" s="222">
        <f t="shared" si="65"/>
        <v>1.0099861073070209</v>
      </c>
      <c r="K88" s="222">
        <f t="shared" si="65"/>
        <v>1.0293712981750907</v>
      </c>
      <c r="L88" s="222">
        <f t="shared" si="65"/>
        <v>1.0443723185642437</v>
      </c>
      <c r="M88" s="222">
        <f t="shared" si="65"/>
        <v>1.0673269216921848</v>
      </c>
      <c r="N88" s="222">
        <f t="shared" si="65"/>
        <v>1.0856895685892938</v>
      </c>
      <c r="O88" s="222">
        <f t="shared" si="65"/>
        <v>1.1101843499247006</v>
      </c>
      <c r="P88" s="222">
        <f t="shared" si="65"/>
        <v>1.1296487468721257</v>
      </c>
    </row>
    <row r="90" spans="2:16" x14ac:dyDescent="0.25">
      <c r="J90" s="228"/>
    </row>
    <row r="91" spans="2:16" x14ac:dyDescent="0.25">
      <c r="J91" s="133"/>
      <c r="K91" s="228"/>
      <c r="L91" s="228"/>
    </row>
    <row r="92" spans="2:16" x14ac:dyDescent="0.25">
      <c r="J92" s="133"/>
    </row>
    <row r="94" spans="2:16" x14ac:dyDescent="0.25">
      <c r="J94" s="133"/>
      <c r="K94" s="228"/>
    </row>
    <row r="96" spans="2:16" x14ac:dyDescent="0.25">
      <c r="J96" s="229"/>
      <c r="K96" s="230"/>
    </row>
    <row r="97" spans="10:14" x14ac:dyDescent="0.25">
      <c r="M97" s="228"/>
      <c r="N97" s="228"/>
    </row>
    <row r="98" spans="10:14" x14ac:dyDescent="0.25">
      <c r="J98" s="229"/>
      <c r="K98" s="230"/>
      <c r="M98" s="228"/>
    </row>
    <row r="100" spans="10:14" x14ac:dyDescent="0.25">
      <c r="K100" s="229"/>
    </row>
    <row r="101" spans="10:14" x14ac:dyDescent="0.25">
      <c r="K101" s="229"/>
      <c r="L101" s="134"/>
    </row>
    <row r="102" spans="10:14" x14ac:dyDescent="0.25">
      <c r="K102" s="229"/>
    </row>
    <row r="103" spans="10:14" x14ac:dyDescent="0.25">
      <c r="K103" s="229"/>
    </row>
  </sheetData>
  <mergeCells count="1">
    <mergeCell ref="F9:F10"/>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8"/>
  <sheetViews>
    <sheetView showGridLines="0" workbookViewId="0"/>
  </sheetViews>
  <sheetFormatPr defaultColWidth="13.7109375" defaultRowHeight="15" x14ac:dyDescent="0.25"/>
  <cols>
    <col min="1" max="1" width="5.5703125" style="35" customWidth="1"/>
    <col min="2" max="2" width="41.5703125" style="35" customWidth="1"/>
    <col min="3" max="3" width="7.85546875" style="35" customWidth="1"/>
    <col min="4" max="15" width="15.85546875" style="35" customWidth="1"/>
    <col min="16" max="16" width="15.85546875" style="35" hidden="1" customWidth="1"/>
    <col min="17" max="17" width="13.7109375" style="35" customWidth="1"/>
    <col min="18" max="16384" width="13.7109375" style="35"/>
  </cols>
  <sheetData>
    <row r="1" spans="1:18" ht="18.75" customHeight="1" x14ac:dyDescent="0.25"/>
    <row r="2" spans="1:18" s="1" customFormat="1" ht="19.899999999999999" customHeight="1" x14ac:dyDescent="0.25">
      <c r="B2" s="138" t="str">
        <f>'Assumptions on Steel Plant'!B2</f>
        <v>M/s. Sai Infinium Limited</v>
      </c>
      <c r="C2" s="138"/>
      <c r="D2" s="138"/>
      <c r="E2" s="138"/>
      <c r="F2" s="138"/>
      <c r="G2" s="138"/>
      <c r="H2" s="138"/>
      <c r="I2" s="138"/>
      <c r="J2" s="138"/>
      <c r="K2" s="138"/>
      <c r="L2" s="138"/>
      <c r="M2" s="138"/>
      <c r="N2" s="138"/>
      <c r="O2" s="138"/>
      <c r="P2" s="138"/>
    </row>
    <row r="3" spans="1:18" s="1" customFormat="1" ht="9" customHeight="1" x14ac:dyDescent="0.25">
      <c r="B3" s="2"/>
      <c r="C3" s="2"/>
      <c r="D3" s="2"/>
      <c r="E3" s="2"/>
      <c r="F3" s="2"/>
      <c r="G3" s="2"/>
      <c r="H3" s="2"/>
      <c r="I3" s="2"/>
      <c r="J3" s="2"/>
      <c r="K3" s="2"/>
      <c r="L3" s="2"/>
      <c r="M3" s="2"/>
      <c r="N3" s="2"/>
      <c r="O3" s="2"/>
      <c r="P3" s="2"/>
    </row>
    <row r="4" spans="1:18" s="1" customFormat="1" ht="19.899999999999999" customHeight="1" x14ac:dyDescent="0.25">
      <c r="B4" s="139" t="str">
        <f>'Assumptions on Steel Plant'!B4</f>
        <v>Business Projections</v>
      </c>
      <c r="C4" s="139"/>
      <c r="D4" s="139"/>
      <c r="E4" s="139"/>
      <c r="F4" s="139"/>
      <c r="G4" s="139"/>
      <c r="H4" s="139"/>
      <c r="I4" s="139"/>
      <c r="J4" s="139"/>
      <c r="K4" s="139"/>
      <c r="L4" s="139"/>
      <c r="M4" s="139"/>
      <c r="N4" s="139"/>
      <c r="O4" s="139"/>
      <c r="P4" s="139"/>
    </row>
    <row r="5" spans="1:18" s="1" customFormat="1" ht="9" customHeight="1" x14ac:dyDescent="0.25">
      <c r="B5" s="2"/>
      <c r="C5" s="2"/>
      <c r="D5" s="2"/>
      <c r="E5" s="2"/>
      <c r="F5" s="2"/>
      <c r="G5" s="2"/>
      <c r="H5" s="76"/>
    </row>
    <row r="6" spans="1:18" customFormat="1" ht="15.75" x14ac:dyDescent="0.25">
      <c r="B6" s="36" t="s">
        <v>194</v>
      </c>
      <c r="C6" s="36"/>
      <c r="D6" s="36"/>
      <c r="E6" s="37"/>
      <c r="F6" s="37"/>
      <c r="G6" s="37"/>
      <c r="H6" s="37"/>
      <c r="I6" s="37"/>
      <c r="J6" s="37"/>
      <c r="K6" s="37"/>
      <c r="L6" s="37"/>
      <c r="M6" s="37"/>
      <c r="N6" s="37"/>
      <c r="O6" s="37"/>
      <c r="P6" s="37"/>
    </row>
    <row r="7" spans="1:18" customFormat="1" x14ac:dyDescent="0.25">
      <c r="B7" s="77" t="str">
        <f>'Expenses Modeling_Hybrid Plant'!B7</f>
        <v>(All Values in INR Lakhs, unless specified)</v>
      </c>
      <c r="C7" s="33"/>
      <c r="D7" s="33"/>
      <c r="E7" s="33"/>
      <c r="F7" s="4"/>
      <c r="G7" s="3"/>
      <c r="H7" s="3"/>
      <c r="I7" s="3"/>
      <c r="J7" s="3"/>
      <c r="K7" s="3"/>
      <c r="L7" s="3"/>
      <c r="M7" s="3"/>
      <c r="N7" s="3"/>
      <c r="O7" s="3"/>
      <c r="P7" s="3"/>
    </row>
    <row r="8" spans="1:18" s="4" customFormat="1" ht="18.75" customHeight="1" x14ac:dyDescent="0.25">
      <c r="A8" s="1"/>
      <c r="B8" s="38" t="s">
        <v>519</v>
      </c>
      <c r="C8" s="39" t="s">
        <v>64</v>
      </c>
      <c r="D8" s="175">
        <v>45382</v>
      </c>
      <c r="E8" s="175">
        <f>'Assumptions on Steel Plant'!E8</f>
        <v>45747</v>
      </c>
      <c r="F8" s="40">
        <f>'Assumptions on Steel Plant'!F8</f>
        <v>46112</v>
      </c>
      <c r="G8" s="40">
        <f>'Assumptions on Steel Plant'!G8</f>
        <v>46477</v>
      </c>
      <c r="H8" s="40">
        <f>'Assumptions on Steel Plant'!H8</f>
        <v>46843</v>
      </c>
      <c r="I8" s="40">
        <f>'Assumptions on Steel Plant'!I8</f>
        <v>47208</v>
      </c>
      <c r="J8" s="40">
        <f>'Assumptions on Steel Plant'!J8</f>
        <v>47573</v>
      </c>
      <c r="K8" s="40">
        <f>'Assumptions on Steel Plant'!K8</f>
        <v>47938</v>
      </c>
      <c r="L8" s="40">
        <f>'Assumptions on Steel Plant'!L8</f>
        <v>48304</v>
      </c>
      <c r="M8" s="40">
        <f>'Assumptions on Steel Plant'!M8</f>
        <v>48669</v>
      </c>
      <c r="N8" s="40">
        <f>'Assumptions on Steel Plant'!N8</f>
        <v>49034</v>
      </c>
      <c r="O8" s="40">
        <f>'Assumptions on Steel Plant'!O8</f>
        <v>49399</v>
      </c>
      <c r="P8" s="40">
        <f>'Assumptions on Steel Plant'!P8</f>
        <v>49765</v>
      </c>
    </row>
    <row r="9" spans="1:18" s="4" customFormat="1" ht="18.75" customHeight="1" x14ac:dyDescent="0.25">
      <c r="A9" s="1"/>
      <c r="B9" s="38"/>
      <c r="C9" s="39"/>
      <c r="D9" s="175" t="s">
        <v>463</v>
      </c>
      <c r="E9" s="175" t="s">
        <v>479</v>
      </c>
      <c r="F9" s="40" t="s">
        <v>464</v>
      </c>
      <c r="G9" s="40" t="s">
        <v>464</v>
      </c>
      <c r="H9" s="40" t="s">
        <v>464</v>
      </c>
      <c r="I9" s="40" t="s">
        <v>464</v>
      </c>
      <c r="J9" s="40" t="s">
        <v>464</v>
      </c>
      <c r="K9" s="40" t="s">
        <v>464</v>
      </c>
      <c r="L9" s="40" t="s">
        <v>464</v>
      </c>
      <c r="M9" s="40" t="s">
        <v>464</v>
      </c>
      <c r="N9" s="40" t="s">
        <v>464</v>
      </c>
      <c r="O9" s="40" t="s">
        <v>464</v>
      </c>
      <c r="P9" s="40" t="s">
        <v>464</v>
      </c>
    </row>
    <row r="10" spans="1:18" ht="18.75" customHeight="1" x14ac:dyDescent="0.25">
      <c r="A10" s="1"/>
      <c r="B10" s="28" t="s">
        <v>105</v>
      </c>
      <c r="C10" s="4"/>
      <c r="D10" s="4"/>
      <c r="E10" s="4"/>
      <c r="F10" s="4"/>
      <c r="G10" s="4"/>
      <c r="H10" s="4"/>
      <c r="I10" s="4"/>
      <c r="J10" s="4"/>
      <c r="K10" s="4"/>
      <c r="L10" s="4"/>
      <c r="M10" s="4"/>
      <c r="N10" s="4"/>
      <c r="O10" s="4"/>
      <c r="P10" s="4"/>
    </row>
    <row r="11" spans="1:18" ht="18.75" customHeight="1" x14ac:dyDescent="0.25">
      <c r="A11" s="268">
        <v>0</v>
      </c>
      <c r="B11" s="29" t="s">
        <v>105</v>
      </c>
      <c r="C11" s="29"/>
      <c r="D11" s="48">
        <f>4757870278.06/10^5</f>
        <v>47578.702780600004</v>
      </c>
      <c r="E11" s="48">
        <f>'Assumptions on Steel Plant'!E36*(1-$A$11)</f>
        <v>52118.977599999998</v>
      </c>
      <c r="F11" s="48">
        <f>'Assumptions on Steel Plant'!F36*(1-$A$11)</f>
        <v>52118.977599999998</v>
      </c>
      <c r="G11" s="48">
        <f>'Assumptions on Steel Plant'!G36*(1-$A$11)</f>
        <v>52779.577151999998</v>
      </c>
      <c r="H11" s="48">
        <f>'Assumptions on Steel Plant'!H36*(1-$A$11)</f>
        <v>53442.480695040002</v>
      </c>
      <c r="I11" s="48">
        <f>'Assumptions on Steel Plant'!I36*(1-$A$11)</f>
        <v>54107.734308940795</v>
      </c>
      <c r="J11" s="48">
        <f>'Assumptions on Steel Plant'!J36*(1-$A$11)</f>
        <v>54775.384995119617</v>
      </c>
      <c r="K11" s="48">
        <f>'Assumptions on Steel Plant'!K36*(1-$A$11)</f>
        <v>55445.480695022008</v>
      </c>
      <c r="L11" s="48">
        <f>'Assumptions on Steel Plant'!L36*(1-$A$11)</f>
        <v>55572.670308922447</v>
      </c>
      <c r="M11" s="48">
        <f>'Assumptions on Steel Plant'!M36*(1-$A$11)</f>
        <v>55702.403715100903</v>
      </c>
      <c r="N11" s="48">
        <f>'Assumptions on Steel Plant'!N36*(1-$A$11)</f>
        <v>55834.731789402918</v>
      </c>
      <c r="O11" s="48">
        <f>'Assumptions on Steel Plant'!O36*(1-$A$11)</f>
        <v>55969.706425190976</v>
      </c>
      <c r="P11" s="48">
        <f>'Assumptions on Steel Plant'!P36*(1-$A$11)</f>
        <v>56107.380553694791</v>
      </c>
    </row>
    <row r="12" spans="1:18" ht="18.75" customHeight="1" x14ac:dyDescent="0.25">
      <c r="A12" s="1"/>
      <c r="B12" s="28" t="s">
        <v>83</v>
      </c>
      <c r="C12" s="4"/>
      <c r="D12" s="4"/>
      <c r="E12" s="33"/>
      <c r="F12" s="33"/>
      <c r="G12" s="52"/>
      <c r="H12" s="52"/>
      <c r="I12" s="52"/>
      <c r="J12" s="52"/>
      <c r="K12" s="52"/>
      <c r="L12" s="52"/>
      <c r="M12" s="52"/>
      <c r="N12" s="52"/>
      <c r="O12" s="52"/>
      <c r="P12" s="52"/>
    </row>
    <row r="13" spans="1:18" ht="18.75" customHeight="1" x14ac:dyDescent="0.25">
      <c r="A13" s="1"/>
      <c r="B13" s="4" t="s">
        <v>477</v>
      </c>
      <c r="C13" s="4"/>
      <c r="D13" s="43">
        <f>3619966755.38/10^5</f>
        <v>36199.667553799998</v>
      </c>
      <c r="E13" s="43">
        <f>D13/$D$11*$E$11</f>
        <v>39654.079495694823</v>
      </c>
      <c r="F13" s="43">
        <f>'Assumptions on Steel Plant'!F96+'Assumptions on Steel Plant'!F97</f>
        <v>35504.396484800003</v>
      </c>
      <c r="G13" s="43">
        <f>'Assumptions on Steel Plant'!G96+'Assumptions on Steel Plant'!G97</f>
        <v>35923.186274496002</v>
      </c>
      <c r="H13" s="43">
        <f>'Assumptions on Steel Plant'!H96+'Assumptions on Steel Plant'!H97</f>
        <v>36342.02905598592</v>
      </c>
      <c r="I13" s="43">
        <f>'Assumptions on Steel Plant'!I96+'Assumptions on Steel Plant'!I97</f>
        <v>36760.925889105638</v>
      </c>
      <c r="J13" s="43">
        <f>'Assumptions on Steel Plant'!J96+'Assumptions on Steel Plant'!J97</f>
        <v>37179.877854887753</v>
      </c>
      <c r="K13" s="43">
        <f>'Assumptions on Steel Plant'!K96+'Assumptions on Steel Plant'!K97</f>
        <v>37598.886055985509</v>
      </c>
      <c r="L13" s="43">
        <f>'Assumptions on Steel Plant'!L96+'Assumptions on Steel Plant'!L97</f>
        <v>37601.811417105215</v>
      </c>
      <c r="M13" s="43">
        <f>'Assumptions on Steel Plant'!M96+'Assumptions on Steel Plant'!M97</f>
        <v>37604.795285447319</v>
      </c>
      <c r="N13" s="43">
        <f>'Assumptions on Steel Plant'!N96+'Assumptions on Steel Plant'!N97</f>
        <v>37607.838831156267</v>
      </c>
      <c r="O13" s="43">
        <f>'Assumptions on Steel Plant'!O96+'Assumptions on Steel Plant'!O97</f>
        <v>37610.943247779389</v>
      </c>
      <c r="P13" s="43">
        <f>'Assumptions on Steel Plant'!P96+'Assumptions on Steel Plant'!P97</f>
        <v>37614.109752734978</v>
      </c>
      <c r="Q13" s="90">
        <f>E13/E$11</f>
        <v>0.76083763192804499</v>
      </c>
      <c r="R13" s="90">
        <f t="shared" ref="R13:R23" si="0">F13/F$11</f>
        <v>0.68121820725815629</v>
      </c>
    </row>
    <row r="14" spans="1:18" s="93" customFormat="1" ht="18.75" customHeight="1" x14ac:dyDescent="0.25">
      <c r="A14" s="91"/>
      <c r="B14" s="4" t="s">
        <v>396</v>
      </c>
      <c r="C14" s="92"/>
      <c r="D14" s="43">
        <f>42.95*10^2</f>
        <v>4295</v>
      </c>
      <c r="E14" s="43">
        <f>D14/$D$11*$E$11</f>
        <v>4704.8573355235358</v>
      </c>
      <c r="F14" s="52">
        <f>'Assumptions on Steel Plant'!F51</f>
        <v>6785.8559999999998</v>
      </c>
      <c r="G14" s="52">
        <f>'Assumptions on Steel Plant'!G51</f>
        <v>3719.724961208216</v>
      </c>
      <c r="H14" s="52">
        <f>'Assumptions on Steel Plant'!H51</f>
        <v>3515.0497227315041</v>
      </c>
      <c r="I14" s="52">
        <f>'Assumptions on Steel Plant'!I51</f>
        <v>3623.0722543787315</v>
      </c>
      <c r="J14" s="52">
        <f>'Assumptions on Steel Plant'!J51</f>
        <v>3721.6184193796475</v>
      </c>
      <c r="K14" s="52">
        <f>'Assumptions on Steel Plant'!K51</f>
        <v>3820.0616652730591</v>
      </c>
      <c r="L14" s="52">
        <f>'Assumptions on Steel Plant'!L51</f>
        <v>3829.4005881362873</v>
      </c>
      <c r="M14" s="52">
        <f>'Assumptions on Steel Plant'!M51</f>
        <v>3856.9744608444298</v>
      </c>
      <c r="N14" s="52">
        <f>'Assumptions on Steel Plant'!N51</f>
        <v>3875.2787333097858</v>
      </c>
      <c r="O14" s="52">
        <f>'Assumptions on Steel Plant'!O51</f>
        <v>3893.4823322765815</v>
      </c>
      <c r="P14" s="52">
        <f>'Assumptions on Steel Plant'!P51</f>
        <v>4227.8356116152117</v>
      </c>
      <c r="Q14" s="90">
        <f t="shared" ref="Q14:Q23" si="1">E14/E$11</f>
        <v>9.0271481755304736E-2</v>
      </c>
      <c r="R14" s="90">
        <f t="shared" si="0"/>
        <v>0.13019933069446857</v>
      </c>
    </row>
    <row r="15" spans="1:18" ht="18.75" customHeight="1" x14ac:dyDescent="0.25">
      <c r="A15" s="1"/>
      <c r="B15" s="4" t="s">
        <v>476</v>
      </c>
      <c r="C15" s="4"/>
      <c r="D15" s="43">
        <f>566664768.1/10^5-D14</f>
        <v>1371.6476810000004</v>
      </c>
      <c r="E15" s="43">
        <f>D15/$D$11*$E$11</f>
        <v>1502.5393838665188</v>
      </c>
      <c r="F15" s="97">
        <f>'Assumptions on Steel Plant'!F99+'Assumptions on Steel Plant'!F100+'Assumptions on Steel Plant'!F101</f>
        <v>5805.8923320000004</v>
      </c>
      <c r="G15" s="97">
        <f>'Assumptions on Steel Plant'!G99+'Assumptions on Steel Plant'!G100+'Assumptions on Steel Plant'!G101</f>
        <v>5933.0968286400002</v>
      </c>
      <c r="H15" s="97">
        <f>'Assumptions on Steel Plant'!H99+'Assumptions on Steel Plant'!H100+'Assumptions on Steel Plant'!H101</f>
        <v>6063.4611052128002</v>
      </c>
      <c r="I15" s="97">
        <f>'Assumptions on Steel Plant'!I99+'Assumptions on Steel Plant'!I100+'Assumptions on Steel Plant'!I101</f>
        <v>6197.0832323170562</v>
      </c>
      <c r="J15" s="97">
        <f>'Assumptions on Steel Plant'!J99+'Assumptions on Steel Plant'!J100+'Assumptions on Steel Plant'!J101</f>
        <v>6334.0649857133985</v>
      </c>
      <c r="K15" s="97">
        <f>'Assumptions on Steel Plant'!K99+'Assumptions on Steel Plant'!K100+'Assumptions on Steel Plant'!K101</f>
        <v>6474.5120076151652</v>
      </c>
      <c r="L15" s="97">
        <f>'Assumptions on Steel Plant'!L99+'Assumptions on Steel Plant'!L100+'Assumptions on Steel Plant'!L101</f>
        <v>6614.4434755643442</v>
      </c>
      <c r="M15" s="97">
        <f>'Assumptions on Steel Plant'!M99+'Assumptions on Steel Plant'!M100+'Assumptions on Steel Plant'!M101</f>
        <v>6758.0637792623493</v>
      </c>
      <c r="N15" s="97">
        <f>'Assumptions on Steel Plant'!N99+'Assumptions on Steel Plant'!N100+'Assumptions on Steel Plant'!N101</f>
        <v>6905.4912057436513</v>
      </c>
      <c r="O15" s="97">
        <f>'Assumptions on Steel Plant'!O99+'Assumptions on Steel Plant'!O100+'Assumptions on Steel Plant'!O101</f>
        <v>7056.8486332993816</v>
      </c>
      <c r="P15" s="97">
        <f>'Assumptions on Steel Plant'!P99+'Assumptions on Steel Plant'!P100+'Assumptions on Steel Plant'!P101</f>
        <v>7212.2637345782696</v>
      </c>
      <c r="Q15" s="90">
        <f t="shared" si="1"/>
        <v>2.8829026451710729E-2</v>
      </c>
      <c r="R15" s="90">
        <f t="shared" si="0"/>
        <v>0.11139689608953497</v>
      </c>
    </row>
    <row r="16" spans="1:18" s="93" customFormat="1" ht="18.75" customHeight="1" x14ac:dyDescent="0.2">
      <c r="A16" s="96"/>
      <c r="B16" s="92" t="s">
        <v>412</v>
      </c>
      <c r="C16" s="92"/>
      <c r="D16" s="97">
        <f>68095188/10^5</f>
        <v>680.95187999999996</v>
      </c>
      <c r="E16" s="97">
        <f>D16/$D$11*$E$11</f>
        <v>745.9328167069948</v>
      </c>
      <c r="F16" s="97">
        <f>'Assumptions on Steel Plant'!F103</f>
        <v>60</v>
      </c>
      <c r="G16" s="97">
        <f>'Assumptions on Steel Plant'!G103</f>
        <v>64.800000000000011</v>
      </c>
      <c r="H16" s="97">
        <f>'Assumptions on Steel Plant'!H103</f>
        <v>69.984000000000009</v>
      </c>
      <c r="I16" s="97">
        <f>'Assumptions on Steel Plant'!I103</f>
        <v>75.582720000000023</v>
      </c>
      <c r="J16" s="97">
        <f>'Assumptions on Steel Plant'!J103</f>
        <v>81.629337600000014</v>
      </c>
      <c r="K16" s="97">
        <f>'Assumptions on Steel Plant'!K103</f>
        <v>88.15968460800002</v>
      </c>
      <c r="L16" s="97">
        <f>'Assumptions on Steel Plant'!L103</f>
        <v>95.212459376640041</v>
      </c>
      <c r="M16" s="97">
        <f>'Assumptions on Steel Plant'!M103</f>
        <v>102.82945612677125</v>
      </c>
      <c r="N16" s="97">
        <f>'Assumptions on Steel Plant'!N103</f>
        <v>111.05581261691296</v>
      </c>
      <c r="O16" s="97">
        <f>'Assumptions on Steel Plant'!O103</f>
        <v>119.940277626266</v>
      </c>
      <c r="P16" s="97">
        <f>'Assumptions on Steel Plant'!P103</f>
        <v>129.53549983636731</v>
      </c>
      <c r="Q16" s="90">
        <f t="shared" si="1"/>
        <v>1.4312115299571703E-2</v>
      </c>
      <c r="R16" s="90">
        <f t="shared" si="0"/>
        <v>1.1512121450363985E-3</v>
      </c>
    </row>
    <row r="17" spans="1:18" ht="18.75" customHeight="1" x14ac:dyDescent="0.25">
      <c r="A17" s="1"/>
      <c r="B17" s="4" t="s">
        <v>478</v>
      </c>
      <c r="C17" s="4"/>
      <c r="D17" s="43">
        <f>673988629.3536/10^5-D18-D21-D14-D15+0.1211</f>
        <v>550.29747133600051</v>
      </c>
      <c r="E17" s="43">
        <f>D17/$D$11*$E$11</f>
        <v>602.81049935628278</v>
      </c>
      <c r="F17" s="43">
        <f>'Assumptions on Steel Plant'!F102+'Assumptions on Steel Plant'!F104</f>
        <v>726.54670880000003</v>
      </c>
      <c r="G17" s="43">
        <f>'Assumptions on Steel Plant'!G102+'Assumptions on Steel Plant'!G104</f>
        <v>476.13661721599999</v>
      </c>
      <c r="H17" s="43">
        <f>'Assumptions on Steel Plant'!H102+'Assumptions on Steel Plant'!H104</f>
        <v>433.38736486528001</v>
      </c>
      <c r="I17" s="43">
        <f>'Assumptions on Steel Plant'!I102+'Assumptions on Steel Plant'!I104</f>
        <v>389.8654058536448</v>
      </c>
      <c r="J17" s="43">
        <f>'Assumptions on Steel Plant'!J102+'Assumptions on Steel Plant'!J104</f>
        <v>345.61782497559813</v>
      </c>
      <c r="K17" s="43">
        <f>'Assumptions on Steel Plant'!K102+'Assumptions on Steel Plant'!K104</f>
        <v>217.52869173755505</v>
      </c>
      <c r="L17" s="43">
        <f>'Assumptions on Steel Plant'!L102+'Assumptions on Steel Plant'!L104</f>
        <v>225.73816477230616</v>
      </c>
      <c r="M17" s="43">
        <f>'Assumptions on Steel Plant'!M102+'Assumptions on Steel Plant'!M104</f>
        <v>234.7431471877523</v>
      </c>
      <c r="N17" s="43">
        <f>'Assumptions on Steel Plant'!N102+'Assumptions on Steel Plant'!N104</f>
        <v>244.62268116350737</v>
      </c>
      <c r="O17" s="43">
        <f>'Assumptions on Steel Plant'!O102+'Assumptions on Steel Plant'!O104</f>
        <v>255.46370292197753</v>
      </c>
      <c r="P17" s="43">
        <f>'Assumptions on Steel Plant'!P102+'Assumptions on Steel Plant'!P104</f>
        <v>267.36183192913711</v>
      </c>
      <c r="Q17" s="90">
        <f t="shared" si="1"/>
        <v>1.156604613357348E-2</v>
      </c>
      <c r="R17" s="90">
        <f t="shared" si="0"/>
        <v>1.3940156585113059E-2</v>
      </c>
    </row>
    <row r="18" spans="1:18" ht="18.75" customHeight="1" x14ac:dyDescent="0.25">
      <c r="A18" s="1"/>
      <c r="B18" s="4" t="s">
        <v>430</v>
      </c>
      <c r="C18" s="4"/>
      <c r="D18" s="43">
        <f>50410338.12/10^5</f>
        <v>504.1033812</v>
      </c>
      <c r="E18" s="43">
        <f>E11*'Assumptions on Steel Plant'!$D$105</f>
        <v>625.42773120000004</v>
      </c>
      <c r="F18" s="43">
        <f>F11*'Assumptions on Steel Plant'!$D$105</f>
        <v>625.42773120000004</v>
      </c>
      <c r="G18" s="43">
        <f>G11*'Assumptions on Steel Plant'!$D$105</f>
        <v>633.35492582400002</v>
      </c>
      <c r="H18" s="43">
        <f>H11*'Assumptions on Steel Plant'!$D$105</f>
        <v>641.30976834047999</v>
      </c>
      <c r="I18" s="43">
        <f>I11*'Assumptions on Steel Plant'!$D$105</f>
        <v>649.2928117072895</v>
      </c>
      <c r="J18" s="43">
        <f>J11*'Assumptions on Steel Plant'!$D$105</f>
        <v>657.30461994143536</v>
      </c>
      <c r="K18" s="43">
        <f>K11*'Assumptions on Steel Plant'!$D$105</f>
        <v>665.34576834026416</v>
      </c>
      <c r="L18" s="43">
        <f>L11*'Assumptions on Steel Plant'!$D$105</f>
        <v>666.87204370706934</v>
      </c>
      <c r="M18" s="43">
        <f>M11*'Assumptions on Steel Plant'!$D$105</f>
        <v>668.42884458121091</v>
      </c>
      <c r="N18" s="43">
        <f>N11*'Assumptions on Steel Plant'!$D$105</f>
        <v>670.01678147283508</v>
      </c>
      <c r="O18" s="43">
        <f>O11*'Assumptions on Steel Plant'!$D$105</f>
        <v>671.63647710229168</v>
      </c>
      <c r="P18" s="43">
        <f>P11*'Assumptions on Steel Plant'!$D$105</f>
        <v>673.28856664433749</v>
      </c>
      <c r="Q18" s="90">
        <f t="shared" si="1"/>
        <v>1.2000000000000002E-2</v>
      </c>
      <c r="R18" s="90">
        <f t="shared" si="0"/>
        <v>1.2000000000000002E-2</v>
      </c>
    </row>
    <row r="19" spans="1:18" ht="18.75" customHeight="1" x14ac:dyDescent="0.25">
      <c r="A19" s="1"/>
      <c r="B19" s="392" t="s">
        <v>449</v>
      </c>
      <c r="C19" s="4"/>
      <c r="D19" s="43"/>
      <c r="E19" s="43"/>
      <c r="F19" s="43"/>
      <c r="G19" s="43">
        <f>'Expenses Modeling_Hybrid Plant'!G64</f>
        <v>0</v>
      </c>
      <c r="H19" s="43">
        <f>'Expenses Modeling_Hybrid Plant'!H64</f>
        <v>0</v>
      </c>
      <c r="I19" s="43">
        <f>'Expenses Modeling_Hybrid Plant'!I64</f>
        <v>23.25</v>
      </c>
      <c r="J19" s="43">
        <f>'Expenses Modeling_Hybrid Plant'!J64</f>
        <v>23.25</v>
      </c>
      <c r="K19" s="43">
        <f>'Expenses Modeling_Hybrid Plant'!K64</f>
        <v>24.877499999999998</v>
      </c>
      <c r="L19" s="43">
        <f>'Expenses Modeling_Hybrid Plant'!L64</f>
        <v>24.945657534246575</v>
      </c>
      <c r="M19" s="43">
        <f>'Expenses Modeling_Hybrid Plant'!M64</f>
        <v>26.618924999999997</v>
      </c>
      <c r="N19" s="43">
        <f>'Expenses Modeling_Hybrid Plant'!N64</f>
        <v>26.618924999999997</v>
      </c>
      <c r="O19" s="43">
        <f>'Expenses Modeling_Hybrid Plant'!O64</f>
        <v>28.482249750000001</v>
      </c>
      <c r="P19" s="43">
        <f>'Expenses Modeling_Hybrid Plant'!P64</f>
        <v>28.560283310958901</v>
      </c>
      <c r="Q19" s="90">
        <f t="shared" si="1"/>
        <v>0</v>
      </c>
      <c r="R19" s="90">
        <f t="shared" si="0"/>
        <v>0</v>
      </c>
    </row>
    <row r="20" spans="1:18" ht="18.75" customHeight="1" x14ac:dyDescent="0.25">
      <c r="A20" s="1"/>
      <c r="B20" s="392" t="s">
        <v>447</v>
      </c>
      <c r="C20" s="4"/>
      <c r="D20" s="43"/>
      <c r="E20" s="43"/>
      <c r="F20" s="43">
        <f>'Expenses Modeling_Hybrid Plant'!F53</f>
        <v>0</v>
      </c>
      <c r="G20" s="43">
        <f>'Expenses Modeling_Hybrid Plant'!G53</f>
        <v>0</v>
      </c>
      <c r="H20" s="43">
        <f>'Expenses Modeling_Hybrid Plant'!H53</f>
        <v>0</v>
      </c>
      <c r="I20" s="43">
        <f>'Expenses Modeling_Hybrid Plant'!I53</f>
        <v>124.068</v>
      </c>
      <c r="J20" s="43">
        <f>'Expenses Modeling_Hybrid Plant'!J53</f>
        <v>130.2714</v>
      </c>
      <c r="K20" s="43">
        <f>'Expenses Modeling_Hybrid Plant'!K53</f>
        <v>136.78496999999999</v>
      </c>
      <c r="L20" s="43">
        <f>'Expenses Modeling_Hybrid Plant'!L53</f>
        <v>143.62421849999998</v>
      </c>
      <c r="M20" s="43">
        <f>'Expenses Modeling_Hybrid Plant'!M53</f>
        <v>150.805429425</v>
      </c>
      <c r="N20" s="43">
        <f>'Expenses Modeling_Hybrid Plant'!N53</f>
        <v>158.34570089625001</v>
      </c>
      <c r="O20" s="43">
        <f>'Expenses Modeling_Hybrid Plant'!O53</f>
        <v>166.26298594106254</v>
      </c>
      <c r="P20" s="43">
        <f>'Expenses Modeling_Hybrid Plant'!P53</f>
        <v>174.57613523811565</v>
      </c>
      <c r="Q20" s="90">
        <f t="shared" si="1"/>
        <v>0</v>
      </c>
      <c r="R20" s="90">
        <f t="shared" si="0"/>
        <v>0</v>
      </c>
    </row>
    <row r="21" spans="1:18" ht="18.75" customHeight="1" x14ac:dyDescent="0.25">
      <c r="A21" s="1"/>
      <c r="B21" s="392" t="s">
        <v>39</v>
      </c>
      <c r="C21" s="4"/>
      <c r="D21" s="43">
        <f>1895886/10^5</f>
        <v>18.958860000000001</v>
      </c>
      <c r="E21" s="43">
        <f>'Expenses Modeling_Hybrid Plant'!F69</f>
        <v>0</v>
      </c>
      <c r="F21" s="43">
        <f>'Expenses Modeling_Hybrid Plant'!F69</f>
        <v>0</v>
      </c>
      <c r="G21" s="43">
        <f>'Expenses Modeling_Hybrid Plant'!G69</f>
        <v>20.619741378334613</v>
      </c>
      <c r="H21" s="43">
        <f>'Expenses Modeling_Hybrid Plant'!H69</f>
        <v>18.204286917351428</v>
      </c>
      <c r="I21" s="43">
        <f>'Expenses Modeling_Hybrid Plant'!I69</f>
        <v>15.795432058720657</v>
      </c>
      <c r="J21" s="43">
        <f>'Expenses Modeling_Hybrid Plant'!J69</f>
        <v>13.386577200089883</v>
      </c>
      <c r="K21" s="43">
        <f>'Expenses Modeling_Hybrid Plant'!K69</f>
        <v>10.97772234145911</v>
      </c>
      <c r="L21" s="43">
        <f>'Expenses Modeling_Hybrid Plant'!L69</f>
        <v>8.5622678804759236</v>
      </c>
      <c r="M21" s="43">
        <f>'Expenses Modeling_Hybrid Plant'!M69</f>
        <v>6.1534130218451502</v>
      </c>
      <c r="N21" s="43">
        <f>'Expenses Modeling_Hybrid Plant'!N69</f>
        <v>3.7445581632143767</v>
      </c>
      <c r="O21" s="43">
        <f>'Expenses Modeling_Hybrid Plant'!O69</f>
        <v>1.3357033045836033</v>
      </c>
      <c r="P21" s="43">
        <f>'Expenses Modeling_Hybrid Plant'!P69</f>
        <v>-1.0797511563995832</v>
      </c>
      <c r="Q21" s="90">
        <f t="shared" si="1"/>
        <v>0</v>
      </c>
      <c r="R21" s="90">
        <f t="shared" si="0"/>
        <v>0</v>
      </c>
    </row>
    <row r="22" spans="1:18" ht="18.75" customHeight="1" x14ac:dyDescent="0.25">
      <c r="A22" s="1"/>
      <c r="B22" s="392" t="s">
        <v>448</v>
      </c>
      <c r="C22" s="4"/>
      <c r="D22" s="43">
        <f>'Expenses Modeling_Hybrid Plant'!C84</f>
        <v>0</v>
      </c>
      <c r="E22" s="43">
        <f>'Expenses Modeling_Hybrid Plant'!F84</f>
        <v>0</v>
      </c>
      <c r="F22" s="43">
        <f>'Expenses Modeling_Hybrid Plant'!F84</f>
        <v>0</v>
      </c>
      <c r="G22" s="43">
        <f>'Expenses Modeling_Hybrid Plant'!G84</f>
        <v>206.68467067238365</v>
      </c>
      <c r="H22" s="43">
        <f>'Expenses Modeling_Hybrid Plant'!H84</f>
        <v>225.09530933756565</v>
      </c>
      <c r="I22" s="43">
        <f>'Expenses Modeling_Hybrid Plant'!I84</f>
        <v>224.07524639991473</v>
      </c>
      <c r="J22" s="43">
        <f>'Expenses Modeling_Hybrid Plant'!J84</f>
        <v>223.64753062846518</v>
      </c>
      <c r="K22" s="43">
        <f>'Expenses Modeling_Hybrid Plant'!K84</f>
        <v>223.22216729375864</v>
      </c>
      <c r="L22" s="43">
        <f>'Expenses Modeling_Hybrid Plant'!L84</f>
        <v>223.38445069974199</v>
      </c>
      <c r="M22" s="43">
        <f>'Expenses Modeling_Hybrid Plant'!M84</f>
        <v>222.37844625212733</v>
      </c>
      <c r="N22" s="43">
        <f>'Expenses Modeling_Hybrid Plant'!N84</f>
        <v>221.96006288149061</v>
      </c>
      <c r="O22" s="43">
        <f>'Expenses Modeling_Hybrid Plant'!O84</f>
        <v>221.54398061939244</v>
      </c>
      <c r="P22" s="43">
        <f>'Expenses Modeling_Hybrid Plant'!P84</f>
        <v>221.71092156811864</v>
      </c>
      <c r="Q22" s="90">
        <f t="shared" si="1"/>
        <v>0</v>
      </c>
      <c r="R22" s="90">
        <f t="shared" si="0"/>
        <v>0</v>
      </c>
    </row>
    <row r="23" spans="1:18" s="53" customFormat="1" ht="18.75" customHeight="1" x14ac:dyDescent="0.25">
      <c r="A23" s="72"/>
      <c r="B23" s="393" t="s">
        <v>106</v>
      </c>
      <c r="C23" s="65"/>
      <c r="D23" s="43">
        <f>169253924.83/10^5</f>
        <v>1692.5392483000001</v>
      </c>
      <c r="E23" s="43">
        <f>'Dep Schedule'!E46</f>
        <v>1284.5903242307727</v>
      </c>
      <c r="F23" s="43">
        <f>'Dep Schedule'!F46</f>
        <v>1284.5903242307727</v>
      </c>
      <c r="G23" s="43">
        <f>'Dep Schedule'!G46</f>
        <v>1346.7933035038416</v>
      </c>
      <c r="H23" s="43">
        <f>'Dep Schedule'!H46</f>
        <v>2415.454460983186</v>
      </c>
      <c r="I23" s="43">
        <f>'Dep Schedule'!I46</f>
        <v>2408.8548586307725</v>
      </c>
      <c r="J23" s="43">
        <f>'Dep Schedule'!J46</f>
        <v>2408.8548586307725</v>
      </c>
      <c r="K23" s="43">
        <f>'Dep Schedule'!K46</f>
        <v>2408.8548586307725</v>
      </c>
      <c r="L23" s="43">
        <f>'Dep Schedule'!L46</f>
        <v>2415.454460983186</v>
      </c>
      <c r="M23" s="43">
        <f>'Dep Schedule'!M46</f>
        <v>2408.8548586307725</v>
      </c>
      <c r="N23" s="43">
        <f>'Dep Schedule'!N46</f>
        <v>2408.8548586307725</v>
      </c>
      <c r="O23" s="43">
        <f>'Dep Schedule'!O46</f>
        <v>2408.8548586307725</v>
      </c>
      <c r="P23" s="43">
        <f>'Dep Schedule'!P46</f>
        <v>2415.454460983186</v>
      </c>
      <c r="Q23" s="90">
        <f t="shared" si="1"/>
        <v>2.4647266377511839E-2</v>
      </c>
      <c r="R23" s="90">
        <f t="shared" si="0"/>
        <v>2.4647266377511839E-2</v>
      </c>
    </row>
    <row r="24" spans="1:18" ht="18.75" customHeight="1" x14ac:dyDescent="0.25">
      <c r="A24" s="268">
        <v>0</v>
      </c>
      <c r="B24" s="29" t="s">
        <v>107</v>
      </c>
      <c r="C24" s="29"/>
      <c r="D24" s="51">
        <f>SUM(D13:D23)*(1+$A$24)</f>
        <v>45313.166075636007</v>
      </c>
      <c r="E24" s="51">
        <f>SUM(E13:E23)*(1+$A$24)</f>
        <v>49120.237586578929</v>
      </c>
      <c r="F24" s="51">
        <f t="shared" ref="F24:O24" si="2">SUM(F13:F23)*(1+$A$24)</f>
        <v>50792.70958103078</v>
      </c>
      <c r="G24" s="51">
        <f t="shared" si="2"/>
        <v>48324.397322938785</v>
      </c>
      <c r="H24" s="51">
        <f t="shared" si="2"/>
        <v>49723.975074374088</v>
      </c>
      <c r="I24" s="51">
        <f t="shared" si="2"/>
        <v>50491.865850451766</v>
      </c>
      <c r="J24" s="51">
        <f t="shared" si="2"/>
        <v>51119.52340895716</v>
      </c>
      <c r="K24" s="51">
        <f t="shared" si="2"/>
        <v>51669.211091825549</v>
      </c>
      <c r="L24" s="51">
        <f t="shared" si="2"/>
        <v>51849.449204259523</v>
      </c>
      <c r="M24" s="51">
        <f t="shared" si="2"/>
        <v>52040.646045779584</v>
      </c>
      <c r="N24" s="51">
        <f t="shared" si="2"/>
        <v>52233.828151034686</v>
      </c>
      <c r="O24" s="51">
        <f t="shared" si="2"/>
        <v>52434.794449251698</v>
      </c>
      <c r="P24" s="51">
        <f t="shared" ref="P24" si="3">SUM(P13:P23)*(1+$A$24)</f>
        <v>52963.617047282285</v>
      </c>
      <c r="Q24" s="98">
        <f>SUM(Q13:Q23)</f>
        <v>0.9424635679457174</v>
      </c>
      <c r="R24" s="98">
        <f>SUM(R13:R23)</f>
        <v>0.97455306914982109</v>
      </c>
    </row>
    <row r="25" spans="1:18" ht="18.75" customHeight="1" x14ac:dyDescent="0.25">
      <c r="A25" s="1"/>
      <c r="B25" s="4" t="s">
        <v>108</v>
      </c>
      <c r="C25" s="4"/>
      <c r="D25" s="52">
        <f t="shared" ref="D25:O25" si="4">D11-D24</f>
        <v>2265.5367049639972</v>
      </c>
      <c r="E25" s="52">
        <f t="shared" si="4"/>
        <v>2998.7400134210693</v>
      </c>
      <c r="F25" s="52">
        <f t="shared" si="4"/>
        <v>1326.2680189692182</v>
      </c>
      <c r="G25" s="52">
        <f t="shared" si="4"/>
        <v>4455.1798290612132</v>
      </c>
      <c r="H25" s="52">
        <f t="shared" si="4"/>
        <v>3718.5056206659137</v>
      </c>
      <c r="I25" s="52">
        <f t="shared" si="4"/>
        <v>3615.8684584890289</v>
      </c>
      <c r="J25" s="52">
        <f t="shared" si="4"/>
        <v>3655.8615861624567</v>
      </c>
      <c r="K25" s="52">
        <f t="shared" si="4"/>
        <v>3776.2696031964588</v>
      </c>
      <c r="L25" s="52">
        <f t="shared" si="4"/>
        <v>3723.2211046629236</v>
      </c>
      <c r="M25" s="52">
        <f t="shared" si="4"/>
        <v>3661.7576693213196</v>
      </c>
      <c r="N25" s="52">
        <f t="shared" si="4"/>
        <v>3600.9036383682324</v>
      </c>
      <c r="O25" s="52">
        <f t="shared" si="4"/>
        <v>3534.9119759392779</v>
      </c>
      <c r="P25" s="52">
        <f t="shared" ref="P25" si="5">P11-P24</f>
        <v>3143.7635064125061</v>
      </c>
    </row>
    <row r="26" spans="1:18" ht="18.75" customHeight="1" x14ac:dyDescent="0.25">
      <c r="A26" s="1"/>
      <c r="B26" s="28" t="s">
        <v>109</v>
      </c>
      <c r="C26" s="4"/>
      <c r="D26" s="94">
        <f>D25/D11</f>
        <v>4.7616613580472804E-2</v>
      </c>
      <c r="E26" s="94">
        <f t="shared" ref="E26:O26" si="6">E25/E11</f>
        <v>5.7536432054282459E-2</v>
      </c>
      <c r="F26" s="94">
        <f t="shared" si="6"/>
        <v>2.5446930850178809E-2</v>
      </c>
      <c r="G26" s="94">
        <f t="shared" si="6"/>
        <v>8.4411055742844104E-2</v>
      </c>
      <c r="H26" s="94">
        <f t="shared" si="6"/>
        <v>6.9579584860308116E-2</v>
      </c>
      <c r="I26" s="94">
        <f t="shared" si="6"/>
        <v>6.6827201409753734E-2</v>
      </c>
      <c r="J26" s="94">
        <f t="shared" si="6"/>
        <v>6.6742782118066113E-2</v>
      </c>
      <c r="K26" s="94">
        <f t="shared" si="6"/>
        <v>6.8107798072269188E-2</v>
      </c>
      <c r="L26" s="94">
        <f t="shared" si="6"/>
        <v>6.6997340310730819E-2</v>
      </c>
      <c r="M26" s="94">
        <f t="shared" si="6"/>
        <v>6.5737875299780257E-2</v>
      </c>
      <c r="N26" s="94">
        <f t="shared" si="6"/>
        <v>6.4492181174078123E-2</v>
      </c>
      <c r="O26" s="94">
        <f t="shared" si="6"/>
        <v>6.3157593664780715E-2</v>
      </c>
      <c r="P26" s="94">
        <f t="shared" ref="P26" si="7">P25/P11</f>
        <v>5.6031193675205045E-2</v>
      </c>
    </row>
    <row r="27" spans="1:18" s="53" customFormat="1" ht="18.75" customHeight="1" x14ac:dyDescent="0.25">
      <c r="A27" s="72"/>
      <c r="B27" s="65" t="s">
        <v>110</v>
      </c>
      <c r="C27" s="65"/>
      <c r="D27" s="43">
        <f>101488959.57/10^5</f>
        <v>1014.8895957</v>
      </c>
      <c r="E27" s="52">
        <f>40076192.23/10^5</f>
        <v>400.76192229999998</v>
      </c>
      <c r="F27" s="52">
        <v>0</v>
      </c>
      <c r="G27" s="52">
        <v>0</v>
      </c>
      <c r="H27" s="52">
        <v>0</v>
      </c>
      <c r="I27" s="52">
        <v>0</v>
      </c>
      <c r="J27" s="52">
        <v>0</v>
      </c>
      <c r="K27" s="52">
        <v>0</v>
      </c>
      <c r="L27" s="52">
        <v>0</v>
      </c>
      <c r="M27" s="52">
        <v>0</v>
      </c>
      <c r="N27" s="52">
        <v>0</v>
      </c>
      <c r="O27" s="52">
        <v>0</v>
      </c>
      <c r="P27" s="52">
        <v>1</v>
      </c>
    </row>
    <row r="28" spans="1:18" ht="18.75" customHeight="1" x14ac:dyDescent="0.25">
      <c r="A28" s="1"/>
      <c r="B28" s="29" t="s">
        <v>111</v>
      </c>
      <c r="C28" s="29"/>
      <c r="D28" s="48">
        <f>D25-D27</f>
        <v>1250.6471092639972</v>
      </c>
      <c r="E28" s="48">
        <f>E25-E27</f>
        <v>2597.9780911210692</v>
      </c>
      <c r="F28" s="48">
        <f>F25-F27</f>
        <v>1326.2680189692182</v>
      </c>
      <c r="G28" s="48">
        <f>G25-G27</f>
        <v>4455.1798290612132</v>
      </c>
      <c r="H28" s="48">
        <f t="shared" ref="H28:O28" si="8">H25-H27</f>
        <v>3718.5056206659137</v>
      </c>
      <c r="I28" s="48">
        <f t="shared" si="8"/>
        <v>3615.8684584890289</v>
      </c>
      <c r="J28" s="48">
        <f t="shared" si="8"/>
        <v>3655.8615861624567</v>
      </c>
      <c r="K28" s="48">
        <f t="shared" si="8"/>
        <v>3776.2696031964588</v>
      </c>
      <c r="L28" s="48">
        <f t="shared" si="8"/>
        <v>3723.2211046629236</v>
      </c>
      <c r="M28" s="48">
        <f t="shared" si="8"/>
        <v>3661.7576693213196</v>
      </c>
      <c r="N28" s="48">
        <f t="shared" si="8"/>
        <v>3600.9036383682324</v>
      </c>
      <c r="O28" s="48">
        <f t="shared" si="8"/>
        <v>3534.9119759392779</v>
      </c>
      <c r="P28" s="48">
        <f t="shared" ref="P28" si="9">P25-P27</f>
        <v>3142.7635064125061</v>
      </c>
    </row>
    <row r="29" spans="1:18" s="53" customFormat="1" ht="18.75" customHeight="1" x14ac:dyDescent="0.25">
      <c r="A29" s="72"/>
      <c r="B29" s="65" t="s">
        <v>112</v>
      </c>
      <c r="C29" s="73"/>
      <c r="D29" s="52">
        <f>33644258.2396619/10^5</f>
        <v>336.442582396619</v>
      </c>
      <c r="E29" s="52">
        <f>'Tax Schedule'!E37</f>
        <v>453.91873208067324</v>
      </c>
      <c r="F29" s="52">
        <f>'Tax Schedule'!F37</f>
        <v>231.72554827430184</v>
      </c>
      <c r="G29" s="52">
        <f>'Tax Schedule'!G37</f>
        <v>1348.7202548226553</v>
      </c>
      <c r="H29" s="52">
        <f>'Tax Schedule'!H37</f>
        <v>1412.038373462955</v>
      </c>
      <c r="I29" s="52">
        <f>'Tax Schedule'!I37</f>
        <v>1436.9467099781371</v>
      </c>
      <c r="J29" s="52">
        <f>'Tax Schedule'!J37</f>
        <v>1494.615560514452</v>
      </c>
      <c r="K29" s="52">
        <f>'Tax Schedule'!K37</f>
        <v>1569.8274337349844</v>
      </c>
      <c r="L29" s="52">
        <f>'Tax Schedule'!L37</f>
        <v>1586.142665559415</v>
      </c>
      <c r="M29" s="52">
        <f>'Tax Schedule'!M37</f>
        <v>1596.2703864875737</v>
      </c>
      <c r="N29" s="52">
        <f>'Tax Schedule'!N37</f>
        <v>1602.4550232587678</v>
      </c>
      <c r="O29" s="52">
        <f>'Tax Schedule'!O37</f>
        <v>1605.2442468284919</v>
      </c>
      <c r="P29" s="52">
        <f>'Tax Schedule'!P37</f>
        <v>915.17273306732181</v>
      </c>
    </row>
    <row r="30" spans="1:18" ht="18.75" customHeight="1" x14ac:dyDescent="0.25">
      <c r="A30" s="1"/>
      <c r="B30" s="38" t="s">
        <v>113</v>
      </c>
      <c r="C30" s="38"/>
      <c r="D30" s="50">
        <f>D28-D29</f>
        <v>914.20452686737826</v>
      </c>
      <c r="E30" s="50">
        <f>E28-E29</f>
        <v>2144.059359040396</v>
      </c>
      <c r="F30" s="50">
        <f>F28-F29</f>
        <v>1094.5424706949163</v>
      </c>
      <c r="G30" s="50">
        <f>G28-G29</f>
        <v>3106.4595742385582</v>
      </c>
      <c r="H30" s="50">
        <f t="shared" ref="H30:O30" si="10">H28-H29</f>
        <v>2306.4672472029588</v>
      </c>
      <c r="I30" s="50">
        <f t="shared" si="10"/>
        <v>2178.921748510892</v>
      </c>
      <c r="J30" s="50">
        <f t="shared" si="10"/>
        <v>2161.2460256480044</v>
      </c>
      <c r="K30" s="50">
        <f t="shared" si="10"/>
        <v>2206.4421694614744</v>
      </c>
      <c r="L30" s="50">
        <f t="shared" si="10"/>
        <v>2137.0784391035086</v>
      </c>
      <c r="M30" s="50">
        <f t="shared" si="10"/>
        <v>2065.4872828337457</v>
      </c>
      <c r="N30" s="50">
        <f t="shared" si="10"/>
        <v>1998.4486151094645</v>
      </c>
      <c r="O30" s="50">
        <f t="shared" si="10"/>
        <v>1929.667729110786</v>
      </c>
      <c r="P30" s="50">
        <f t="shared" ref="P30" si="11">P28-P29</f>
        <v>2227.5907733451841</v>
      </c>
    </row>
    <row r="31" spans="1:18" ht="18.75" customHeight="1" x14ac:dyDescent="0.25">
      <c r="A31" s="1"/>
      <c r="G31" s="45"/>
    </row>
    <row r="32" spans="1:18" ht="18.75" customHeight="1" x14ac:dyDescent="0.25">
      <c r="A32" s="1"/>
      <c r="B32" s="28" t="s">
        <v>536</v>
      </c>
      <c r="G32" s="45"/>
    </row>
    <row r="33" spans="1:17" ht="18.75" customHeight="1" x14ac:dyDescent="0.25">
      <c r="A33" s="1"/>
      <c r="B33" s="4" t="s">
        <v>514</v>
      </c>
      <c r="D33" s="237">
        <f>D30</f>
        <v>914.20452686737826</v>
      </c>
      <c r="E33" s="237">
        <f t="shared" ref="E33:O33" si="12">E30</f>
        <v>2144.059359040396</v>
      </c>
      <c r="F33" s="237">
        <f t="shared" si="12"/>
        <v>1094.5424706949163</v>
      </c>
      <c r="G33" s="237">
        <f t="shared" si="12"/>
        <v>3106.4595742385582</v>
      </c>
      <c r="H33" s="237">
        <f t="shared" si="12"/>
        <v>2306.4672472029588</v>
      </c>
      <c r="I33" s="237">
        <f t="shared" si="12"/>
        <v>2178.921748510892</v>
      </c>
      <c r="J33" s="237">
        <f t="shared" si="12"/>
        <v>2161.2460256480044</v>
      </c>
      <c r="K33" s="237">
        <f t="shared" si="12"/>
        <v>2206.4421694614744</v>
      </c>
      <c r="L33" s="237">
        <f t="shared" si="12"/>
        <v>2137.0784391035086</v>
      </c>
      <c r="M33" s="237">
        <f t="shared" si="12"/>
        <v>2065.4872828337457</v>
      </c>
      <c r="N33" s="237">
        <f t="shared" si="12"/>
        <v>1998.4486151094645</v>
      </c>
      <c r="O33" s="237">
        <f t="shared" si="12"/>
        <v>1929.667729110786</v>
      </c>
      <c r="P33" s="237">
        <f t="shared" ref="P33" si="13">P30</f>
        <v>2227.5907733451841</v>
      </c>
    </row>
    <row r="34" spans="1:17" ht="18.75" customHeight="1" x14ac:dyDescent="0.25">
      <c r="A34" s="1"/>
      <c r="B34" s="4" t="s">
        <v>555</v>
      </c>
      <c r="D34" s="237">
        <f>D23</f>
        <v>1692.5392483000001</v>
      </c>
      <c r="E34" s="237">
        <f t="shared" ref="E34:O34" si="14">E23</f>
        <v>1284.5903242307727</v>
      </c>
      <c r="F34" s="237">
        <f t="shared" si="14"/>
        <v>1284.5903242307727</v>
      </c>
      <c r="G34" s="237">
        <f t="shared" si="14"/>
        <v>1346.7933035038416</v>
      </c>
      <c r="H34" s="237">
        <f t="shared" si="14"/>
        <v>2415.454460983186</v>
      </c>
      <c r="I34" s="237">
        <f t="shared" si="14"/>
        <v>2408.8548586307725</v>
      </c>
      <c r="J34" s="237">
        <f t="shared" si="14"/>
        <v>2408.8548586307725</v>
      </c>
      <c r="K34" s="237">
        <f t="shared" si="14"/>
        <v>2408.8548586307725</v>
      </c>
      <c r="L34" s="237">
        <f t="shared" si="14"/>
        <v>2415.454460983186</v>
      </c>
      <c r="M34" s="237">
        <f t="shared" si="14"/>
        <v>2408.8548586307725</v>
      </c>
      <c r="N34" s="237">
        <f t="shared" si="14"/>
        <v>2408.8548586307725</v>
      </c>
      <c r="O34" s="237">
        <f t="shared" si="14"/>
        <v>2408.8548586307725</v>
      </c>
      <c r="P34" s="237">
        <f t="shared" ref="P34" si="15">P23</f>
        <v>2415.454460983186</v>
      </c>
    </row>
    <row r="35" spans="1:17" ht="18.75" customHeight="1" x14ac:dyDescent="0.25">
      <c r="A35" s="1"/>
      <c r="B35" s="29" t="s">
        <v>536</v>
      </c>
      <c r="C35" s="262"/>
      <c r="D35" s="48">
        <f>SUM(D33:D34)</f>
        <v>2606.7437751673783</v>
      </c>
      <c r="E35" s="48">
        <f t="shared" ref="E35:O35" si="16">SUM(E33:E34)</f>
        <v>3428.6496832711687</v>
      </c>
      <c r="F35" s="48">
        <f t="shared" si="16"/>
        <v>2379.1327949256893</v>
      </c>
      <c r="G35" s="48">
        <f t="shared" si="16"/>
        <v>4453.2528777423995</v>
      </c>
      <c r="H35" s="48">
        <f t="shared" si="16"/>
        <v>4721.9217081861443</v>
      </c>
      <c r="I35" s="48">
        <f t="shared" si="16"/>
        <v>4587.7766071416645</v>
      </c>
      <c r="J35" s="48">
        <f t="shared" si="16"/>
        <v>4570.1008842787769</v>
      </c>
      <c r="K35" s="48">
        <f t="shared" si="16"/>
        <v>4615.2970280922473</v>
      </c>
      <c r="L35" s="48">
        <f t="shared" si="16"/>
        <v>4552.532900086695</v>
      </c>
      <c r="M35" s="48">
        <f t="shared" si="16"/>
        <v>4474.3421414645181</v>
      </c>
      <c r="N35" s="48">
        <f t="shared" si="16"/>
        <v>4407.3034737402368</v>
      </c>
      <c r="O35" s="48">
        <f t="shared" si="16"/>
        <v>4338.5225877415587</v>
      </c>
      <c r="P35" s="48">
        <f t="shared" ref="P35" si="17">SUM(P33:P34)</f>
        <v>4643.0452343283705</v>
      </c>
    </row>
    <row r="36" spans="1:17" ht="18.75" customHeight="1" x14ac:dyDescent="0.25">
      <c r="A36" s="1"/>
      <c r="B36" s="4" t="s">
        <v>556</v>
      </c>
      <c r="C36" s="262"/>
      <c r="D36" s="263">
        <v>0</v>
      </c>
      <c r="E36" s="263">
        <v>0</v>
      </c>
      <c r="F36" s="263">
        <v>0</v>
      </c>
      <c r="G36" s="263">
        <v>0</v>
      </c>
      <c r="H36" s="263">
        <v>0</v>
      </c>
      <c r="I36" s="263">
        <v>0</v>
      </c>
      <c r="J36" s="263">
        <v>0</v>
      </c>
      <c r="K36" s="263">
        <v>0</v>
      </c>
      <c r="L36" s="263">
        <v>0</v>
      </c>
      <c r="M36" s="263">
        <v>0</v>
      </c>
      <c r="N36" s="263">
        <v>0</v>
      </c>
      <c r="O36" s="263">
        <v>0</v>
      </c>
      <c r="P36" s="263">
        <v>1</v>
      </c>
    </row>
    <row r="37" spans="1:17" ht="18.75" customHeight="1" x14ac:dyDescent="0.25">
      <c r="A37" s="1"/>
      <c r="B37" s="29" t="s">
        <v>557</v>
      </c>
      <c r="C37" s="262"/>
      <c r="D37" s="59">
        <f>D35-D36</f>
        <v>2606.7437751673783</v>
      </c>
      <c r="E37" s="59">
        <f t="shared" ref="E37:O37" si="18">E35-E36</f>
        <v>3428.6496832711687</v>
      </c>
      <c r="F37" s="59">
        <f t="shared" si="18"/>
        <v>2379.1327949256893</v>
      </c>
      <c r="G37" s="59">
        <f t="shared" si="18"/>
        <v>4453.2528777423995</v>
      </c>
      <c r="H37" s="59">
        <f t="shared" si="18"/>
        <v>4721.9217081861443</v>
      </c>
      <c r="I37" s="59">
        <f t="shared" si="18"/>
        <v>4587.7766071416645</v>
      </c>
      <c r="J37" s="59">
        <f t="shared" si="18"/>
        <v>4570.1008842787769</v>
      </c>
      <c r="K37" s="59">
        <f t="shared" si="18"/>
        <v>4615.2970280922473</v>
      </c>
      <c r="L37" s="59">
        <f t="shared" si="18"/>
        <v>4552.532900086695</v>
      </c>
      <c r="M37" s="59">
        <f t="shared" si="18"/>
        <v>4474.3421414645181</v>
      </c>
      <c r="N37" s="59">
        <f t="shared" si="18"/>
        <v>4407.3034737402368</v>
      </c>
      <c r="O37" s="59">
        <f t="shared" si="18"/>
        <v>4338.5225877415587</v>
      </c>
      <c r="P37" s="59">
        <f t="shared" ref="P37" si="19">P35-P36</f>
        <v>4642.0452343283705</v>
      </c>
    </row>
    <row r="38" spans="1:17" ht="18.75" customHeight="1" x14ac:dyDescent="0.25">
      <c r="A38" s="1"/>
      <c r="B38" s="261" t="s">
        <v>558</v>
      </c>
      <c r="C38" s="264"/>
      <c r="D38" s="265">
        <f>C38+D37</f>
        <v>2606.7437751673783</v>
      </c>
      <c r="E38" s="265">
        <f t="shared" ref="E38:P38" si="20">D38+E37</f>
        <v>6035.393458438547</v>
      </c>
      <c r="F38" s="265">
        <f t="shared" si="20"/>
        <v>8414.5262533642363</v>
      </c>
      <c r="G38" s="265">
        <f t="shared" si="20"/>
        <v>12867.779131106636</v>
      </c>
      <c r="H38" s="265">
        <f t="shared" si="20"/>
        <v>17589.700839292782</v>
      </c>
      <c r="I38" s="265">
        <f t="shared" si="20"/>
        <v>22177.477446434445</v>
      </c>
      <c r="J38" s="265">
        <f t="shared" si="20"/>
        <v>26747.578330713222</v>
      </c>
      <c r="K38" s="265">
        <f t="shared" si="20"/>
        <v>31362.875358805468</v>
      </c>
      <c r="L38" s="265">
        <f t="shared" si="20"/>
        <v>35915.408258892159</v>
      </c>
      <c r="M38" s="265">
        <f t="shared" si="20"/>
        <v>40389.750400356679</v>
      </c>
      <c r="N38" s="265">
        <f t="shared" si="20"/>
        <v>44797.053874096913</v>
      </c>
      <c r="O38" s="265">
        <f t="shared" si="20"/>
        <v>49135.576461838471</v>
      </c>
      <c r="P38" s="265">
        <f t="shared" si="20"/>
        <v>53777.62169616684</v>
      </c>
    </row>
    <row r="39" spans="1:17" ht="18.75" customHeight="1" x14ac:dyDescent="0.25">
      <c r="A39" s="1"/>
      <c r="G39" s="45"/>
    </row>
    <row r="40" spans="1:17" ht="18.75" customHeight="1" x14ac:dyDescent="0.25">
      <c r="B40" s="41" t="s">
        <v>105</v>
      </c>
      <c r="C40" s="41"/>
      <c r="D40" s="176">
        <f t="shared" ref="D40:O40" si="21">D11</f>
        <v>47578.702780600004</v>
      </c>
      <c r="E40" s="176">
        <f t="shared" si="21"/>
        <v>52118.977599999998</v>
      </c>
      <c r="F40" s="176">
        <f t="shared" si="21"/>
        <v>52118.977599999998</v>
      </c>
      <c r="G40" s="176">
        <f t="shared" si="21"/>
        <v>52779.577151999998</v>
      </c>
      <c r="H40" s="176">
        <f t="shared" si="21"/>
        <v>53442.480695040002</v>
      </c>
      <c r="I40" s="176">
        <f t="shared" si="21"/>
        <v>54107.734308940795</v>
      </c>
      <c r="J40" s="176">
        <f t="shared" si="21"/>
        <v>54775.384995119617</v>
      </c>
      <c r="K40" s="176">
        <f t="shared" si="21"/>
        <v>55445.480695022008</v>
      </c>
      <c r="L40" s="176">
        <f t="shared" si="21"/>
        <v>55572.670308922447</v>
      </c>
      <c r="M40" s="176">
        <f t="shared" si="21"/>
        <v>55702.403715100903</v>
      </c>
      <c r="N40" s="176">
        <f t="shared" si="21"/>
        <v>55834.731789402918</v>
      </c>
      <c r="O40" s="176">
        <f t="shared" si="21"/>
        <v>55969.706425190976</v>
      </c>
      <c r="P40" s="176">
        <f t="shared" ref="P40" si="22">P11</f>
        <v>56107.380553694791</v>
      </c>
    </row>
    <row r="41" spans="1:17" ht="18.75" customHeight="1" x14ac:dyDescent="0.25">
      <c r="B41" s="41" t="s">
        <v>513</v>
      </c>
      <c r="C41" s="41"/>
      <c r="D41" s="176">
        <f t="shared" ref="D41:O41" si="23">D25+D23</f>
        <v>3958.0759532639972</v>
      </c>
      <c r="E41" s="176">
        <f t="shared" si="23"/>
        <v>4283.3303376518415</v>
      </c>
      <c r="F41" s="176">
        <f t="shared" si="23"/>
        <v>2610.8583431999909</v>
      </c>
      <c r="G41" s="176">
        <f t="shared" si="23"/>
        <v>5801.9731325650546</v>
      </c>
      <c r="H41" s="176">
        <f t="shared" si="23"/>
        <v>6133.9600816491002</v>
      </c>
      <c r="I41" s="176">
        <f t="shared" si="23"/>
        <v>6024.7233171198013</v>
      </c>
      <c r="J41" s="176">
        <f t="shared" si="23"/>
        <v>6064.7164447932291</v>
      </c>
      <c r="K41" s="176">
        <f t="shared" si="23"/>
        <v>6185.1244618272312</v>
      </c>
      <c r="L41" s="176">
        <f t="shared" si="23"/>
        <v>6138.67556564611</v>
      </c>
      <c r="M41" s="176">
        <f t="shared" si="23"/>
        <v>6070.612527952092</v>
      </c>
      <c r="N41" s="176">
        <f t="shared" si="23"/>
        <v>6009.7584969990048</v>
      </c>
      <c r="O41" s="176">
        <f t="shared" si="23"/>
        <v>5943.7668345700504</v>
      </c>
      <c r="P41" s="176">
        <f t="shared" ref="P41" si="24">P25+P23</f>
        <v>5559.2179673956925</v>
      </c>
    </row>
    <row r="42" spans="1:17" ht="18.75" customHeight="1" x14ac:dyDescent="0.25">
      <c r="B42" s="41" t="s">
        <v>108</v>
      </c>
      <c r="C42" s="41"/>
      <c r="D42" s="176">
        <f t="shared" ref="D42:O42" si="25">D25</f>
        <v>2265.5367049639972</v>
      </c>
      <c r="E42" s="176">
        <f t="shared" si="25"/>
        <v>2998.7400134210693</v>
      </c>
      <c r="F42" s="176">
        <f t="shared" si="25"/>
        <v>1326.2680189692182</v>
      </c>
      <c r="G42" s="176">
        <f t="shared" si="25"/>
        <v>4455.1798290612132</v>
      </c>
      <c r="H42" s="176">
        <f t="shared" si="25"/>
        <v>3718.5056206659137</v>
      </c>
      <c r="I42" s="176">
        <f t="shared" si="25"/>
        <v>3615.8684584890289</v>
      </c>
      <c r="J42" s="176">
        <f t="shared" si="25"/>
        <v>3655.8615861624567</v>
      </c>
      <c r="K42" s="176">
        <f t="shared" si="25"/>
        <v>3776.2696031964588</v>
      </c>
      <c r="L42" s="176">
        <f t="shared" si="25"/>
        <v>3723.2211046629236</v>
      </c>
      <c r="M42" s="176">
        <f t="shared" si="25"/>
        <v>3661.7576693213196</v>
      </c>
      <c r="N42" s="176">
        <f t="shared" si="25"/>
        <v>3600.9036383682324</v>
      </c>
      <c r="O42" s="176">
        <f t="shared" si="25"/>
        <v>3534.9119759392779</v>
      </c>
      <c r="P42" s="176">
        <f t="shared" ref="P42" si="26">P25</f>
        <v>3143.7635064125061</v>
      </c>
    </row>
    <row r="43" spans="1:17" ht="18.75" customHeight="1" x14ac:dyDescent="0.25">
      <c r="B43" s="41" t="s">
        <v>514</v>
      </c>
      <c r="C43" s="41"/>
      <c r="D43" s="176">
        <f t="shared" ref="D43:O43" si="27">D30</f>
        <v>914.20452686737826</v>
      </c>
      <c r="E43" s="176">
        <f t="shared" si="27"/>
        <v>2144.059359040396</v>
      </c>
      <c r="F43" s="176">
        <f t="shared" si="27"/>
        <v>1094.5424706949163</v>
      </c>
      <c r="G43" s="176">
        <f t="shared" si="27"/>
        <v>3106.4595742385582</v>
      </c>
      <c r="H43" s="176">
        <f t="shared" si="27"/>
        <v>2306.4672472029588</v>
      </c>
      <c r="I43" s="176">
        <f t="shared" si="27"/>
        <v>2178.921748510892</v>
      </c>
      <c r="J43" s="176">
        <f t="shared" si="27"/>
        <v>2161.2460256480044</v>
      </c>
      <c r="K43" s="176">
        <f t="shared" si="27"/>
        <v>2206.4421694614744</v>
      </c>
      <c r="L43" s="176">
        <f t="shared" si="27"/>
        <v>2137.0784391035086</v>
      </c>
      <c r="M43" s="176">
        <f t="shared" si="27"/>
        <v>2065.4872828337457</v>
      </c>
      <c r="N43" s="176">
        <f t="shared" si="27"/>
        <v>1998.4486151094645</v>
      </c>
      <c r="O43" s="176">
        <f t="shared" si="27"/>
        <v>1929.667729110786</v>
      </c>
      <c r="P43" s="176">
        <f t="shared" ref="P43" si="28">P30</f>
        <v>2227.5907733451841</v>
      </c>
    </row>
    <row r="44" spans="1:17" ht="18.75" customHeight="1" x14ac:dyDescent="0.25">
      <c r="B44" s="41"/>
      <c r="C44" s="41"/>
      <c r="D44" s="41"/>
      <c r="E44" s="41"/>
      <c r="F44" s="41"/>
      <c r="G44" s="41"/>
      <c r="H44" s="41"/>
      <c r="I44" s="41"/>
      <c r="J44" s="41"/>
      <c r="K44" s="41"/>
      <c r="L44" s="41"/>
      <c r="M44" s="41"/>
      <c r="N44" s="41"/>
      <c r="O44" s="41"/>
      <c r="P44" s="41"/>
    </row>
    <row r="45" spans="1:17" ht="18.75" customHeight="1" x14ac:dyDescent="0.25">
      <c r="B45" s="41" t="s">
        <v>515</v>
      </c>
      <c r="C45" s="41"/>
      <c r="D45" s="177">
        <f>D41/D40</f>
        <v>8.319007711319705E-2</v>
      </c>
      <c r="E45" s="177">
        <f t="shared" ref="E45:O45" si="29">E41/E40</f>
        <v>8.2183698431794294E-2</v>
      </c>
      <c r="F45" s="177">
        <f t="shared" si="29"/>
        <v>5.0094197227690651E-2</v>
      </c>
      <c r="G45" s="177">
        <f t="shared" si="29"/>
        <v>0.10992837467901537</v>
      </c>
      <c r="H45" s="177">
        <f t="shared" si="29"/>
        <v>0.11477685919281051</v>
      </c>
      <c r="I45" s="177">
        <f t="shared" si="29"/>
        <v>0.11134680455700161</v>
      </c>
      <c r="J45" s="177">
        <f t="shared" si="29"/>
        <v>0.11071974109052056</v>
      </c>
      <c r="K45" s="177">
        <f t="shared" si="29"/>
        <v>0.11155326609662783</v>
      </c>
      <c r="L45" s="177">
        <f t="shared" si="29"/>
        <v>0.11046213060344011</v>
      </c>
      <c r="M45" s="177">
        <f t="shared" si="29"/>
        <v>0.10898295446999447</v>
      </c>
      <c r="N45" s="177">
        <f t="shared" si="29"/>
        <v>0.10763476969257367</v>
      </c>
      <c r="O45" s="177">
        <f t="shared" si="29"/>
        <v>0.1061961409877052</v>
      </c>
      <c r="P45" s="177">
        <f t="shared" ref="P45" si="30">P41/P40</f>
        <v>9.9081759164919819E-2</v>
      </c>
      <c r="Q45" s="231">
        <f>AVERAGEA(E45:O45)</f>
        <v>0.10217081245719767</v>
      </c>
    </row>
    <row r="46" spans="1:17" ht="18.75" customHeight="1" x14ac:dyDescent="0.25">
      <c r="B46" s="41" t="s">
        <v>516</v>
      </c>
      <c r="C46" s="41"/>
      <c r="D46" s="177">
        <f>D42/D40</f>
        <v>4.7616613580472804E-2</v>
      </c>
      <c r="E46" s="177">
        <f t="shared" ref="E46:O46" si="31">E42/E40</f>
        <v>5.7536432054282459E-2</v>
      </c>
      <c r="F46" s="177">
        <f t="shared" si="31"/>
        <v>2.5446930850178809E-2</v>
      </c>
      <c r="G46" s="177">
        <f t="shared" si="31"/>
        <v>8.4411055742844104E-2</v>
      </c>
      <c r="H46" s="177">
        <f t="shared" si="31"/>
        <v>6.9579584860308116E-2</v>
      </c>
      <c r="I46" s="177">
        <f t="shared" si="31"/>
        <v>6.6827201409753734E-2</v>
      </c>
      <c r="J46" s="177">
        <f t="shared" si="31"/>
        <v>6.6742782118066113E-2</v>
      </c>
      <c r="K46" s="177">
        <f t="shared" si="31"/>
        <v>6.8107798072269188E-2</v>
      </c>
      <c r="L46" s="177">
        <f t="shared" si="31"/>
        <v>6.6997340310730819E-2</v>
      </c>
      <c r="M46" s="177">
        <f t="shared" si="31"/>
        <v>6.5737875299780257E-2</v>
      </c>
      <c r="N46" s="177">
        <f t="shared" si="31"/>
        <v>6.4492181174078123E-2</v>
      </c>
      <c r="O46" s="177">
        <f t="shared" si="31"/>
        <v>6.3157593664780715E-2</v>
      </c>
      <c r="P46" s="177">
        <f t="shared" ref="P46" si="32">P42/P40</f>
        <v>5.6031193675205045E-2</v>
      </c>
      <c r="Q46" s="231">
        <f t="shared" ref="Q46:Q48" si="33">AVERAGEA(E46:O46)</f>
        <v>6.354879777791568E-2</v>
      </c>
    </row>
    <row r="47" spans="1:17" ht="18.75" customHeight="1" x14ac:dyDescent="0.25">
      <c r="B47" s="41" t="s">
        <v>517</v>
      </c>
      <c r="C47" s="41"/>
      <c r="D47" s="177">
        <f>D43/D40</f>
        <v>1.9214574451158449E-2</v>
      </c>
      <c r="E47" s="177">
        <f t="shared" ref="E47:O47" si="34">E43/E40</f>
        <v>4.1137786230104327E-2</v>
      </c>
      <c r="F47" s="177">
        <f t="shared" si="34"/>
        <v>2.1000843092035565E-2</v>
      </c>
      <c r="G47" s="177">
        <f t="shared" si="34"/>
        <v>5.8857227394836072E-2</v>
      </c>
      <c r="H47" s="177">
        <f t="shared" si="34"/>
        <v>4.315793760331605E-2</v>
      </c>
      <c r="I47" s="177">
        <f t="shared" si="34"/>
        <v>4.0270060765616747E-2</v>
      </c>
      <c r="J47" s="177">
        <f t="shared" si="34"/>
        <v>3.9456519125161189E-2</v>
      </c>
      <c r="K47" s="177">
        <f t="shared" si="34"/>
        <v>3.9794806390046726E-2</v>
      </c>
      <c r="L47" s="177">
        <f t="shared" si="34"/>
        <v>3.8455565068651935E-2</v>
      </c>
      <c r="M47" s="177">
        <f t="shared" si="34"/>
        <v>3.7080756755094806E-2</v>
      </c>
      <c r="N47" s="177">
        <f t="shared" si="34"/>
        <v>3.5792213037705634E-2</v>
      </c>
      <c r="O47" s="177">
        <f t="shared" si="34"/>
        <v>3.4477002871008029E-2</v>
      </c>
      <c r="P47" s="177">
        <f t="shared" ref="P47" si="35">P43/P40</f>
        <v>3.9702277157875485E-2</v>
      </c>
      <c r="Q47" s="231">
        <f t="shared" si="33"/>
        <v>3.9043701666688829E-2</v>
      </c>
    </row>
    <row r="48" spans="1:17" ht="18.75" customHeight="1" x14ac:dyDescent="0.25">
      <c r="B48" s="41" t="s">
        <v>518</v>
      </c>
      <c r="C48" s="41"/>
      <c r="D48" s="177"/>
      <c r="E48" s="177">
        <f t="shared" ref="E48:P48" si="36">E40/D40-1</f>
        <v>9.5426620610834956E-2</v>
      </c>
      <c r="F48" s="177">
        <f t="shared" si="36"/>
        <v>0</v>
      </c>
      <c r="G48" s="177">
        <f t="shared" si="36"/>
        <v>1.2674837121133375E-2</v>
      </c>
      <c r="H48" s="177">
        <f t="shared" si="36"/>
        <v>1.2559849449549576E-2</v>
      </c>
      <c r="I48" s="177">
        <f t="shared" si="36"/>
        <v>1.24480302046035E-2</v>
      </c>
      <c r="J48" s="177">
        <f t="shared" si="36"/>
        <v>1.2339283740226747E-2</v>
      </c>
      <c r="K48" s="177">
        <f t="shared" si="36"/>
        <v>1.2233518759605211E-2</v>
      </c>
      <c r="L48" s="177">
        <f t="shared" si="36"/>
        <v>2.2939581784859886E-3</v>
      </c>
      <c r="M48" s="177">
        <f t="shared" si="36"/>
        <v>2.3344821376638514E-3</v>
      </c>
      <c r="N48" s="177">
        <f t="shared" si="36"/>
        <v>2.3756259241312083E-3</v>
      </c>
      <c r="O48" s="177">
        <f t="shared" si="36"/>
        <v>2.4173956149222686E-3</v>
      </c>
      <c r="P48" s="177">
        <f t="shared" si="36"/>
        <v>2.4597972241970911E-3</v>
      </c>
      <c r="Q48" s="231">
        <f t="shared" si="33"/>
        <v>1.5191236521923335E-2</v>
      </c>
    </row>
  </sheetData>
  <dataValidations count="1">
    <dataValidation type="list" allowBlank="1" showInputMessage="1" showErrorMessage="1" sqref="A11 A24">
      <formula1>"0%,5%,10%"</formula1>
    </dataValidation>
  </dataValidations>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S41"/>
  <sheetViews>
    <sheetView showGridLines="0" workbookViewId="0">
      <pane xSplit="2" ySplit="8" topLeftCell="C9" activePane="bottomRight" state="frozen"/>
      <selection activeCell="A9" sqref="A9"/>
      <selection pane="topRight" activeCell="A9" sqref="A9"/>
      <selection pane="bottomLeft" activeCell="A9" sqref="A9"/>
      <selection pane="bottomRight"/>
    </sheetView>
  </sheetViews>
  <sheetFormatPr defaultColWidth="13.7109375" defaultRowHeight="15" x14ac:dyDescent="0.25"/>
  <cols>
    <col min="1" max="1" width="5.140625" style="140" customWidth="1"/>
    <col min="2" max="2" width="40.5703125" style="140" customWidth="1"/>
    <col min="3" max="3" width="9.85546875" style="140" bestFit="1" customWidth="1"/>
    <col min="4" max="15" width="13" style="140" customWidth="1"/>
    <col min="16" max="16" width="13" style="140" hidden="1" customWidth="1"/>
    <col min="17" max="16384" width="13.7109375" style="140"/>
  </cols>
  <sheetData>
    <row r="2" spans="1:19" s="143" customFormat="1" ht="19.899999999999999" customHeight="1" x14ac:dyDescent="0.25">
      <c r="B2" s="153" t="str">
        <f>'Assumptions on Steel Plant'!B2</f>
        <v>M/s. Sai Infinium Limited</v>
      </c>
      <c r="C2" s="100"/>
      <c r="D2" s="100"/>
      <c r="E2" s="100"/>
      <c r="F2" s="100"/>
      <c r="G2" s="100"/>
      <c r="H2" s="100"/>
      <c r="I2" s="100"/>
      <c r="J2" s="100"/>
      <c r="K2" s="100"/>
      <c r="L2" s="100"/>
      <c r="M2" s="100"/>
      <c r="N2" s="100"/>
      <c r="O2" s="100"/>
      <c r="P2" s="100"/>
    </row>
    <row r="3" spans="1:19" s="143" customFormat="1" ht="9" customHeight="1" x14ac:dyDescent="0.25">
      <c r="B3" s="144"/>
      <c r="C3" s="144"/>
      <c r="D3" s="144"/>
      <c r="E3" s="144"/>
      <c r="F3" s="144"/>
      <c r="G3" s="144"/>
      <c r="H3" s="144"/>
      <c r="I3" s="144"/>
      <c r="J3" s="144"/>
      <c r="K3" s="144"/>
      <c r="L3" s="144"/>
      <c r="M3" s="144"/>
      <c r="N3" s="144"/>
      <c r="O3" s="144"/>
      <c r="P3" s="144"/>
    </row>
    <row r="4" spans="1:19" s="143" customFormat="1" ht="19.899999999999999" customHeight="1" x14ac:dyDescent="0.25">
      <c r="B4" s="130" t="str">
        <f>'Assumptions on Steel Plant'!B4</f>
        <v>Business Projections</v>
      </c>
      <c r="C4" s="103"/>
      <c r="D4" s="103"/>
      <c r="E4" s="103"/>
      <c r="F4" s="103"/>
      <c r="G4" s="103"/>
      <c r="H4" s="103"/>
      <c r="I4" s="103"/>
      <c r="J4" s="103"/>
      <c r="K4" s="103"/>
      <c r="L4" s="103"/>
      <c r="M4" s="103"/>
      <c r="N4" s="103"/>
      <c r="O4" s="103"/>
      <c r="P4" s="103"/>
    </row>
    <row r="5" spans="1:19" s="143" customFormat="1" ht="9" customHeight="1" x14ac:dyDescent="0.25">
      <c r="B5" s="144"/>
      <c r="C5" s="144"/>
      <c r="D5" s="144"/>
      <c r="E5" s="144"/>
      <c r="F5" s="144"/>
      <c r="G5" s="144"/>
      <c r="H5" s="144"/>
      <c r="I5" s="135"/>
    </row>
    <row r="6" spans="1:19" s="141" customFormat="1" ht="15.75" x14ac:dyDescent="0.25">
      <c r="B6" s="145" t="s">
        <v>195</v>
      </c>
      <c r="C6" s="56"/>
      <c r="D6" s="56"/>
      <c r="E6" s="146"/>
      <c r="F6" s="146"/>
      <c r="G6" s="146"/>
      <c r="H6" s="146"/>
      <c r="I6" s="146"/>
      <c r="J6" s="146"/>
      <c r="K6" s="146"/>
      <c r="L6" s="146"/>
      <c r="M6" s="146"/>
      <c r="N6" s="146"/>
      <c r="O6" s="146"/>
      <c r="P6" s="146"/>
    </row>
    <row r="7" spans="1:19" s="141" customFormat="1" x14ac:dyDescent="0.25">
      <c r="B7" s="147" t="str">
        <f>'Expenses Modeling_Hybrid Plant'!B7</f>
        <v>(All Values in INR Lakhs, unless specified)</v>
      </c>
      <c r="C7" s="148"/>
      <c r="D7" s="142"/>
      <c r="E7" s="142"/>
      <c r="F7" s="142"/>
      <c r="G7" s="142"/>
      <c r="H7" s="142"/>
      <c r="I7" s="142"/>
      <c r="J7" s="142"/>
      <c r="K7" s="142"/>
      <c r="L7" s="142"/>
      <c r="M7" s="142"/>
      <c r="N7" s="142"/>
      <c r="O7" s="142"/>
      <c r="P7" s="142"/>
    </row>
    <row r="8" spans="1:19" ht="18.75" customHeight="1" x14ac:dyDescent="0.25">
      <c r="B8" s="56" t="s">
        <v>519</v>
      </c>
      <c r="C8" s="131" t="s">
        <v>64</v>
      </c>
      <c r="D8" s="178">
        <f>IS!D8</f>
        <v>45382</v>
      </c>
      <c r="E8" s="178">
        <f>IS!E8</f>
        <v>45747</v>
      </c>
      <c r="F8" s="150">
        <f>IS!F8</f>
        <v>46112</v>
      </c>
      <c r="G8" s="150">
        <f>IS!G8</f>
        <v>46477</v>
      </c>
      <c r="H8" s="150">
        <f>IS!H8</f>
        <v>46843</v>
      </c>
      <c r="I8" s="150">
        <f>IS!I8</f>
        <v>47208</v>
      </c>
      <c r="J8" s="150">
        <f>IS!J8</f>
        <v>47573</v>
      </c>
      <c r="K8" s="150">
        <f>IS!K8</f>
        <v>47938</v>
      </c>
      <c r="L8" s="150">
        <f>IS!L8</f>
        <v>48304</v>
      </c>
      <c r="M8" s="150">
        <f>IS!M8</f>
        <v>48669</v>
      </c>
      <c r="N8" s="150">
        <f>IS!N8</f>
        <v>49034</v>
      </c>
      <c r="O8" s="150">
        <f>IS!O8</f>
        <v>49399</v>
      </c>
      <c r="P8" s="150">
        <f>IS!P8</f>
        <v>49765</v>
      </c>
    </row>
    <row r="9" spans="1:19" s="152" customFormat="1" ht="18.75" customHeight="1" x14ac:dyDescent="0.25">
      <c r="B9" s="41"/>
      <c r="C9" s="42"/>
      <c r="D9" s="178" t="s">
        <v>463</v>
      </c>
      <c r="E9" s="178" t="str">
        <f>IS!E9</f>
        <v>Estimated</v>
      </c>
      <c r="F9" s="151" t="s">
        <v>464</v>
      </c>
      <c r="G9" s="151" t="s">
        <v>464</v>
      </c>
      <c r="H9" s="151" t="s">
        <v>464</v>
      </c>
      <c r="I9" s="151" t="s">
        <v>464</v>
      </c>
      <c r="J9" s="151" t="s">
        <v>464</v>
      </c>
      <c r="K9" s="151" t="s">
        <v>464</v>
      </c>
      <c r="L9" s="151" t="s">
        <v>464</v>
      </c>
      <c r="M9" s="151" t="s">
        <v>464</v>
      </c>
      <c r="N9" s="151" t="s">
        <v>464</v>
      </c>
      <c r="O9" s="151" t="s">
        <v>464</v>
      </c>
      <c r="P9" s="151" t="s">
        <v>464</v>
      </c>
    </row>
    <row r="10" spans="1:19" ht="18.75" customHeight="1" x14ac:dyDescent="0.25">
      <c r="B10" s="54" t="s">
        <v>114</v>
      </c>
      <c r="G10" s="162"/>
    </row>
    <row r="11" spans="1:19" ht="18.75" customHeight="1" x14ac:dyDescent="0.25">
      <c r="A11" s="162"/>
      <c r="B11" s="140" t="s">
        <v>115</v>
      </c>
      <c r="C11" s="62"/>
      <c r="D11" s="62">
        <f>526644700/10^5</f>
        <v>5266.4470000000001</v>
      </c>
      <c r="E11" s="62">
        <f>D11+CFS!E12-915710400/10^5</f>
        <v>5272.3165300000001</v>
      </c>
      <c r="F11" s="62">
        <f>E11+CFS!F12</f>
        <v>18272.31653</v>
      </c>
      <c r="G11" s="62">
        <f>F11+CFS!G12</f>
        <v>18272.31653</v>
      </c>
      <c r="H11" s="62">
        <f t="shared" ref="H11:P11" si="0">G11</f>
        <v>18272.31653</v>
      </c>
      <c r="I11" s="62">
        <f t="shared" si="0"/>
        <v>18272.31653</v>
      </c>
      <c r="J11" s="62">
        <f t="shared" si="0"/>
        <v>18272.31653</v>
      </c>
      <c r="K11" s="62">
        <f t="shared" si="0"/>
        <v>18272.31653</v>
      </c>
      <c r="L11" s="62">
        <f t="shared" si="0"/>
        <v>18272.31653</v>
      </c>
      <c r="M11" s="62">
        <f t="shared" si="0"/>
        <v>18272.31653</v>
      </c>
      <c r="N11" s="62">
        <f t="shared" si="0"/>
        <v>18272.31653</v>
      </c>
      <c r="O11" s="62">
        <f t="shared" si="0"/>
        <v>18272.31653</v>
      </c>
      <c r="P11" s="62">
        <f t="shared" si="0"/>
        <v>18272.31653</v>
      </c>
      <c r="Q11" s="53"/>
      <c r="R11" s="95"/>
      <c r="S11" s="53"/>
    </row>
    <row r="12" spans="1:19" ht="18.75" customHeight="1" x14ac:dyDescent="0.25">
      <c r="A12" s="162"/>
      <c r="B12" s="140" t="s">
        <v>116</v>
      </c>
      <c r="C12" s="62"/>
      <c r="D12" s="62">
        <f>1010801119.3842/10^5</f>
        <v>10108.011193842</v>
      </c>
      <c r="E12" s="62">
        <f>D12+IS!E30+(915710400/10^5)</f>
        <v>21409.174552882396</v>
      </c>
      <c r="F12" s="62">
        <f>E12+IS!F30</f>
        <v>22503.717023577312</v>
      </c>
      <c r="G12" s="62">
        <f>F12+IS!G30</f>
        <v>25610.176597815869</v>
      </c>
      <c r="H12" s="62">
        <f>G12+IS!H30</f>
        <v>27916.643845018829</v>
      </c>
      <c r="I12" s="62">
        <f>H12+IS!I30</f>
        <v>30095.565593529722</v>
      </c>
      <c r="J12" s="62">
        <f>I12+IS!J30</f>
        <v>32256.811619177726</v>
      </c>
      <c r="K12" s="62">
        <f>J12+IS!K30</f>
        <v>34463.253788639202</v>
      </c>
      <c r="L12" s="62">
        <f>K12+IS!L30</f>
        <v>36600.332227742707</v>
      </c>
      <c r="M12" s="62">
        <f>L12+IS!M30</f>
        <v>38665.819510576453</v>
      </c>
      <c r="N12" s="62">
        <f>M12+IS!N30</f>
        <v>40664.268125685921</v>
      </c>
      <c r="O12" s="62">
        <f>N12+IS!O30</f>
        <v>42593.935854796706</v>
      </c>
      <c r="P12" s="62">
        <f>O12+IS!P30</f>
        <v>44821.526628141888</v>
      </c>
      <c r="Q12" s="53"/>
      <c r="R12" s="53"/>
      <c r="S12" s="53"/>
    </row>
    <row r="13" spans="1:19" ht="18.75" customHeight="1" x14ac:dyDescent="0.25">
      <c r="A13" s="162"/>
      <c r="B13" s="140" t="s">
        <v>117</v>
      </c>
      <c r="C13" s="62"/>
      <c r="D13" s="62">
        <f>522510520.79/10^5</f>
        <v>5225.1052079000001</v>
      </c>
      <c r="E13" s="62">
        <f>D13-CFS!E22-BS!E17+D17</f>
        <v>0</v>
      </c>
      <c r="F13" s="62">
        <f>E13+CFS!F13-BS!F17</f>
        <v>0</v>
      </c>
      <c r="G13" s="62">
        <f>F13+CFS!G13-BS!G17</f>
        <v>0</v>
      </c>
      <c r="H13" s="62">
        <f>G13+CFS!H13-BS!H17</f>
        <v>0</v>
      </c>
      <c r="I13" s="62">
        <f>H13+CFS!I13-BS!I17</f>
        <v>0</v>
      </c>
      <c r="J13" s="62">
        <f>I13+CFS!J13-BS!J17</f>
        <v>0</v>
      </c>
      <c r="K13" s="62">
        <f>J13+CFS!K13-BS!K17</f>
        <v>0</v>
      </c>
      <c r="L13" s="62">
        <f>K13+CFS!L13-BS!L17</f>
        <v>0</v>
      </c>
      <c r="M13" s="62">
        <f>L13+CFS!M13-BS!M17</f>
        <v>0</v>
      </c>
      <c r="N13" s="62">
        <f>M13+CFS!N13-BS!N17</f>
        <v>0</v>
      </c>
      <c r="O13" s="62">
        <f>N13+CFS!O13-BS!O17</f>
        <v>0</v>
      </c>
      <c r="P13" s="62">
        <f>O13+CFS!P13-BS!P17</f>
        <v>0</v>
      </c>
      <c r="Q13" s="53"/>
      <c r="R13" s="53"/>
      <c r="S13" s="53"/>
    </row>
    <row r="14" spans="1:19" ht="18.75" customHeight="1" x14ac:dyDescent="0.25">
      <c r="A14" s="162"/>
      <c r="B14" s="140" t="s">
        <v>451</v>
      </c>
      <c r="C14" s="62"/>
      <c r="D14" s="62">
        <f>(39022001+3747701+8071508)/10^5</f>
        <v>508.41210000000001</v>
      </c>
      <c r="E14" s="62">
        <f t="shared" ref="E14:P14" si="1">D14</f>
        <v>508.41210000000001</v>
      </c>
      <c r="F14" s="62">
        <f>E14</f>
        <v>508.41210000000001</v>
      </c>
      <c r="G14" s="62">
        <f>F14</f>
        <v>508.41210000000001</v>
      </c>
      <c r="H14" s="62">
        <f t="shared" si="1"/>
        <v>508.41210000000001</v>
      </c>
      <c r="I14" s="62">
        <f t="shared" si="1"/>
        <v>508.41210000000001</v>
      </c>
      <c r="J14" s="62">
        <f t="shared" si="1"/>
        <v>508.41210000000001</v>
      </c>
      <c r="K14" s="62">
        <f t="shared" si="1"/>
        <v>508.41210000000001</v>
      </c>
      <c r="L14" s="62">
        <f t="shared" si="1"/>
        <v>508.41210000000001</v>
      </c>
      <c r="M14" s="62">
        <f t="shared" si="1"/>
        <v>508.41210000000001</v>
      </c>
      <c r="N14" s="62">
        <f t="shared" si="1"/>
        <v>508.41210000000001</v>
      </c>
      <c r="O14" s="62">
        <f t="shared" si="1"/>
        <v>508.41210000000001</v>
      </c>
      <c r="P14" s="62">
        <f t="shared" si="1"/>
        <v>508.41210000000001</v>
      </c>
      <c r="Q14" s="53"/>
      <c r="R14" s="53"/>
      <c r="S14" s="53"/>
    </row>
    <row r="15" spans="1:19" ht="18.75" customHeight="1" x14ac:dyDescent="0.25">
      <c r="B15" s="54" t="s">
        <v>118</v>
      </c>
      <c r="C15" s="53"/>
      <c r="D15" s="53"/>
      <c r="E15" s="53"/>
      <c r="F15" s="53"/>
      <c r="G15" s="53"/>
      <c r="H15" s="53"/>
      <c r="I15" s="53"/>
      <c r="J15" s="53"/>
      <c r="K15" s="53"/>
      <c r="L15" s="53"/>
      <c r="M15" s="53"/>
      <c r="N15" s="53"/>
      <c r="O15" s="53"/>
      <c r="P15" s="53"/>
      <c r="Q15" s="53"/>
      <c r="R15" s="53"/>
      <c r="S15" s="53"/>
    </row>
    <row r="16" spans="1:19" ht="18.75" customHeight="1" x14ac:dyDescent="0.25">
      <c r="A16" s="162"/>
      <c r="B16" s="140" t="s">
        <v>119</v>
      </c>
      <c r="C16" s="62"/>
      <c r="D16" s="62">
        <f>(132477027.81+126680889.24)/10^5</f>
        <v>2591.5791705000001</v>
      </c>
      <c r="E16" s="62">
        <f>WC!E16</f>
        <v>3401.8406288232027</v>
      </c>
      <c r="F16" s="62">
        <f>WC!F16</f>
        <v>3185.5834354739727</v>
      </c>
      <c r="G16" s="62">
        <f>WC!G16</f>
        <v>3158.99118237013</v>
      </c>
      <c r="H16" s="62">
        <f>WC!H16</f>
        <v>3191.3241846784331</v>
      </c>
      <c r="I16" s="62">
        <f>WC!I16</f>
        <v>3229.7067742547019</v>
      </c>
      <c r="J16" s="62">
        <f>WC!J16</f>
        <v>3267.963223552611</v>
      </c>
      <c r="K16" s="62">
        <f>WC!K16</f>
        <v>3304.6814208502128</v>
      </c>
      <c r="L16" s="62">
        <f>WC!L16</f>
        <v>3307.9712942970314</v>
      </c>
      <c r="M16" s="62">
        <f>WC!M16</f>
        <v>3311.7022744836981</v>
      </c>
      <c r="N16" s="62">
        <f>WC!N16</f>
        <v>3315.3507691685381</v>
      </c>
      <c r="O16" s="62">
        <f>WC!O16</f>
        <v>3319.0967546646116</v>
      </c>
      <c r="P16" s="62">
        <f>WC!P16</f>
        <v>3329.0097008093639</v>
      </c>
      <c r="Q16" s="53"/>
      <c r="R16" s="53"/>
      <c r="S16" s="53"/>
    </row>
    <row r="17" spans="1:19" ht="18.75" customHeight="1" x14ac:dyDescent="0.25">
      <c r="A17" s="162"/>
      <c r="B17" s="140" t="s">
        <v>120</v>
      </c>
      <c r="C17" s="62"/>
      <c r="D17" s="62">
        <f>384275612.11/10^5</f>
        <v>3842.7561211000002</v>
      </c>
      <c r="E17" s="62">
        <v>0</v>
      </c>
      <c r="F17" s="62">
        <v>0</v>
      </c>
      <c r="G17" s="62">
        <v>0</v>
      </c>
      <c r="H17" s="62">
        <v>0</v>
      </c>
      <c r="I17" s="62">
        <v>0</v>
      </c>
      <c r="J17" s="62">
        <v>0</v>
      </c>
      <c r="K17" s="62">
        <v>0</v>
      </c>
      <c r="L17" s="62">
        <v>0</v>
      </c>
      <c r="M17" s="62">
        <v>0</v>
      </c>
      <c r="N17" s="62">
        <v>0</v>
      </c>
      <c r="O17" s="62">
        <v>0</v>
      </c>
      <c r="P17" s="62">
        <v>0</v>
      </c>
      <c r="Q17" s="53"/>
      <c r="R17" s="53"/>
      <c r="S17" s="53"/>
    </row>
    <row r="18" spans="1:19" ht="18.75" customHeight="1" x14ac:dyDescent="0.25">
      <c r="A18" s="162"/>
      <c r="B18" s="140" t="s">
        <v>121</v>
      </c>
      <c r="C18" s="62"/>
      <c r="D18" s="62">
        <f>(25835044+298151134+23074969)/10^5</f>
        <v>3470.6114699999998</v>
      </c>
      <c r="E18" s="62">
        <f t="shared" ref="E18" si="2">D18</f>
        <v>3470.6114699999998</v>
      </c>
      <c r="F18" s="62">
        <f>E18</f>
        <v>3470.6114699999998</v>
      </c>
      <c r="G18" s="62">
        <f>F18</f>
        <v>3470.6114699999998</v>
      </c>
      <c r="H18" s="62">
        <f t="shared" ref="H18:P18" si="3">G18</f>
        <v>3470.6114699999998</v>
      </c>
      <c r="I18" s="62">
        <f t="shared" si="3"/>
        <v>3470.6114699999998</v>
      </c>
      <c r="J18" s="62">
        <f t="shared" si="3"/>
        <v>3470.6114699999998</v>
      </c>
      <c r="K18" s="62">
        <f t="shared" si="3"/>
        <v>3470.6114699999998</v>
      </c>
      <c r="L18" s="62">
        <f t="shared" si="3"/>
        <v>3470.6114699999998</v>
      </c>
      <c r="M18" s="62">
        <f t="shared" si="3"/>
        <v>3470.6114699999998</v>
      </c>
      <c r="N18" s="62">
        <f t="shared" si="3"/>
        <v>3470.6114699999998</v>
      </c>
      <c r="O18" s="62">
        <f t="shared" si="3"/>
        <v>3470.6114699999998</v>
      </c>
      <c r="P18" s="62">
        <f t="shared" si="3"/>
        <v>3470.6114699999998</v>
      </c>
      <c r="Q18" s="53"/>
      <c r="R18" s="53"/>
      <c r="S18" s="53"/>
    </row>
    <row r="19" spans="1:19" ht="18.75" customHeight="1" x14ac:dyDescent="0.25">
      <c r="B19" s="56" t="s">
        <v>122</v>
      </c>
      <c r="C19" s="57"/>
      <c r="D19" s="57">
        <f>SUM(D10:D18)</f>
        <v>31012.922263342003</v>
      </c>
      <c r="E19" s="57">
        <f t="shared" ref="E19:P19" si="4">SUM(E10:E18)</f>
        <v>34062.355281705604</v>
      </c>
      <c r="F19" s="57">
        <f t="shared" si="4"/>
        <v>47940.640559051288</v>
      </c>
      <c r="G19" s="57">
        <f t="shared" si="4"/>
        <v>51020.507880186007</v>
      </c>
      <c r="H19" s="57">
        <f t="shared" si="4"/>
        <v>53359.308129697267</v>
      </c>
      <c r="I19" s="57">
        <f t="shared" si="4"/>
        <v>55576.61246778442</v>
      </c>
      <c r="J19" s="57">
        <f t="shared" si="4"/>
        <v>57776.114942730332</v>
      </c>
      <c r="K19" s="57">
        <f t="shared" si="4"/>
        <v>60019.275309489414</v>
      </c>
      <c r="L19" s="57">
        <f t="shared" si="4"/>
        <v>62159.64362203973</v>
      </c>
      <c r="M19" s="57">
        <f t="shared" si="4"/>
        <v>64228.861885060163</v>
      </c>
      <c r="N19" s="57">
        <f t="shared" si="4"/>
        <v>66230.95899485446</v>
      </c>
      <c r="O19" s="57">
        <f t="shared" si="4"/>
        <v>68164.372709461328</v>
      </c>
      <c r="P19" s="57">
        <f t="shared" si="4"/>
        <v>70401.876428951247</v>
      </c>
    </row>
    <row r="20" spans="1:19" ht="18.75" customHeight="1" x14ac:dyDescent="0.25">
      <c r="B20" s="54" t="s">
        <v>123</v>
      </c>
    </row>
    <row r="21" spans="1:19" ht="18.75" customHeight="1" x14ac:dyDescent="0.25">
      <c r="A21" s="162"/>
      <c r="B21" s="140" t="s">
        <v>452</v>
      </c>
      <c r="C21" s="142"/>
      <c r="D21" s="142">
        <f>'Dep Schedule'!D45</f>
        <v>17572.325605599999</v>
      </c>
      <c r="E21" s="142">
        <f>'Dep Schedule'!E45</f>
        <v>16596.7550543</v>
      </c>
      <c r="F21" s="142">
        <f>'Dep Schedule'!F45-'Dep Schedule'!F26</f>
        <v>16596.7550543</v>
      </c>
      <c r="G21" s="142">
        <f>'Dep Schedule'!G45</f>
        <v>29630.195054300002</v>
      </c>
      <c r="H21" s="142">
        <f>'Dep Schedule'!H45</f>
        <v>29630.195054300002</v>
      </c>
      <c r="I21" s="142">
        <f>'Dep Schedule'!I45</f>
        <v>29630.195054300002</v>
      </c>
      <c r="J21" s="142">
        <f>'Dep Schedule'!J45</f>
        <v>29630.195054300002</v>
      </c>
      <c r="K21" s="142">
        <f>'Dep Schedule'!K45</f>
        <v>29630.195054300002</v>
      </c>
      <c r="L21" s="142">
        <f>'Dep Schedule'!L45</f>
        <v>29630.195054300002</v>
      </c>
      <c r="M21" s="142">
        <f>'Dep Schedule'!M45</f>
        <v>29630.195054300002</v>
      </c>
      <c r="N21" s="142">
        <f>'Dep Schedule'!N45</f>
        <v>29630.195054300002</v>
      </c>
      <c r="O21" s="142">
        <f>'Dep Schedule'!O45</f>
        <v>29630.195054300002</v>
      </c>
      <c r="P21" s="142">
        <f>'Dep Schedule'!P45</f>
        <v>29630.195054300002</v>
      </c>
    </row>
    <row r="22" spans="1:19" ht="18.75" customHeight="1" x14ac:dyDescent="0.25">
      <c r="A22" s="162"/>
      <c r="B22" s="140" t="s">
        <v>470</v>
      </c>
      <c r="C22" s="142"/>
      <c r="D22" s="142">
        <f>(340308185/10^5)+'Dep Schedule'!D46</f>
        <v>5094.4797239999998</v>
      </c>
      <c r="E22" s="142">
        <f>IS!E23+D22</f>
        <v>6379.070048230773</v>
      </c>
      <c r="F22" s="142">
        <f>IS!F23+E22</f>
        <v>7663.6603724615452</v>
      </c>
      <c r="G22" s="142">
        <f>IS!G23+F22</f>
        <v>9010.4536759653874</v>
      </c>
      <c r="H22" s="142">
        <f>IS!H23+G22</f>
        <v>11425.908136948574</v>
      </c>
      <c r="I22" s="142">
        <f>IS!I23+H22</f>
        <v>13834.762995579345</v>
      </c>
      <c r="J22" s="142">
        <f>IS!J23+I22</f>
        <v>16243.617854210119</v>
      </c>
      <c r="K22" s="142">
        <f>IS!K23+J22</f>
        <v>18652.472712840892</v>
      </c>
      <c r="L22" s="142">
        <f>IS!L23+K22</f>
        <v>21067.927173824079</v>
      </c>
      <c r="M22" s="142">
        <f>IS!M23+L22</f>
        <v>23476.782032454852</v>
      </c>
      <c r="N22" s="142">
        <f>IS!N23+M22</f>
        <v>25885.636891085625</v>
      </c>
      <c r="O22" s="142">
        <f>IS!O23+N22</f>
        <v>28294.491749716399</v>
      </c>
      <c r="P22" s="142">
        <f>IS!P23+O22</f>
        <v>30709.946210699585</v>
      </c>
    </row>
    <row r="23" spans="1:19" ht="18.75" customHeight="1" x14ac:dyDescent="0.25">
      <c r="B23" s="60" t="s">
        <v>126</v>
      </c>
      <c r="C23" s="61"/>
      <c r="D23" s="61">
        <f>D21-D22</f>
        <v>12477.845881599998</v>
      </c>
      <c r="E23" s="61">
        <f t="shared" ref="E23:O23" si="5">E21-E22</f>
        <v>10217.685006069227</v>
      </c>
      <c r="F23" s="61">
        <f t="shared" si="5"/>
        <v>8933.0946818384546</v>
      </c>
      <c r="G23" s="61">
        <f t="shared" si="5"/>
        <v>20619.741378334613</v>
      </c>
      <c r="H23" s="61">
        <f t="shared" si="5"/>
        <v>18204.286917351426</v>
      </c>
      <c r="I23" s="61">
        <f t="shared" si="5"/>
        <v>15795.432058720657</v>
      </c>
      <c r="J23" s="61">
        <f t="shared" si="5"/>
        <v>13386.577200089883</v>
      </c>
      <c r="K23" s="61">
        <f t="shared" si="5"/>
        <v>10977.72234145911</v>
      </c>
      <c r="L23" s="61">
        <f t="shared" si="5"/>
        <v>8562.2678804759234</v>
      </c>
      <c r="M23" s="61">
        <f t="shared" si="5"/>
        <v>6153.4130218451501</v>
      </c>
      <c r="N23" s="61">
        <f t="shared" si="5"/>
        <v>3744.5581632143767</v>
      </c>
      <c r="O23" s="61">
        <f t="shared" si="5"/>
        <v>1335.7033045836033</v>
      </c>
      <c r="P23" s="61">
        <f>P21-P22</f>
        <v>-1079.7511563995831</v>
      </c>
    </row>
    <row r="24" spans="1:19" ht="18.75" customHeight="1" x14ac:dyDescent="0.25">
      <c r="A24" s="162"/>
      <c r="B24" s="140" t="s">
        <v>453</v>
      </c>
      <c r="C24" s="142"/>
      <c r="D24" s="142">
        <f>10876169.98/10^5</f>
        <v>108.7616998</v>
      </c>
      <c r="E24" s="142">
        <f>D24</f>
        <v>108.7616998</v>
      </c>
      <c r="F24" s="142">
        <f>E24+'COP &amp; MOF'!D19</f>
        <v>13142.2016998</v>
      </c>
      <c r="G24" s="142">
        <f>E24</f>
        <v>108.7616998</v>
      </c>
      <c r="H24" s="142">
        <f t="shared" ref="H24:P24" si="6">G24</f>
        <v>108.7616998</v>
      </c>
      <c r="I24" s="142">
        <f t="shared" si="6"/>
        <v>108.7616998</v>
      </c>
      <c r="J24" s="142">
        <f t="shared" si="6"/>
        <v>108.7616998</v>
      </c>
      <c r="K24" s="142">
        <f t="shared" si="6"/>
        <v>108.7616998</v>
      </c>
      <c r="L24" s="142">
        <f t="shared" si="6"/>
        <v>108.7616998</v>
      </c>
      <c r="M24" s="142">
        <f t="shared" si="6"/>
        <v>108.7616998</v>
      </c>
      <c r="N24" s="142">
        <f t="shared" si="6"/>
        <v>108.7616998</v>
      </c>
      <c r="O24" s="142">
        <f t="shared" si="6"/>
        <v>108.7616998</v>
      </c>
      <c r="P24" s="142">
        <f t="shared" si="6"/>
        <v>108.7616998</v>
      </c>
    </row>
    <row r="25" spans="1:19" ht="18.75" customHeight="1" x14ac:dyDescent="0.25">
      <c r="A25" s="162"/>
      <c r="B25" s="140" t="s">
        <v>244</v>
      </c>
      <c r="D25" s="142">
        <f>'Tax Schedule'!D42</f>
        <v>0</v>
      </c>
      <c r="E25" s="142">
        <f>'Tax Schedule'!E42</f>
        <v>-19.087200961380063</v>
      </c>
      <c r="F25" s="142">
        <f>'Tax Schedule'!F42</f>
        <v>212.63834731292178</v>
      </c>
      <c r="G25" s="142">
        <f>'Tax Schedule'!G42</f>
        <v>0</v>
      </c>
      <c r="H25" s="142">
        <f>'Tax Schedule'!H42</f>
        <v>0</v>
      </c>
      <c r="I25" s="142">
        <f>'Tax Schedule'!I42</f>
        <v>0</v>
      </c>
      <c r="J25" s="142">
        <f>'Tax Schedule'!J42</f>
        <v>0</v>
      </c>
      <c r="K25" s="142">
        <f>'Tax Schedule'!K42</f>
        <v>0</v>
      </c>
      <c r="L25" s="142">
        <f>'Tax Schedule'!L42</f>
        <v>0</v>
      </c>
      <c r="M25" s="142">
        <f>'Tax Schedule'!M42</f>
        <v>0</v>
      </c>
      <c r="N25" s="142">
        <f>'Tax Schedule'!N42</f>
        <v>0</v>
      </c>
      <c r="O25" s="142">
        <f>'Tax Schedule'!O42</f>
        <v>0</v>
      </c>
      <c r="P25" s="142">
        <f>'Tax Schedule'!P42</f>
        <v>0</v>
      </c>
    </row>
    <row r="26" spans="1:19" ht="18.75" customHeight="1" x14ac:dyDescent="0.25">
      <c r="A26" s="162"/>
      <c r="B26" s="140" t="s">
        <v>454</v>
      </c>
      <c r="C26" s="142"/>
      <c r="D26" s="142">
        <f>237850000/10^5</f>
        <v>2378.5</v>
      </c>
      <c r="E26" s="142">
        <f t="shared" ref="E26:G27" si="7">D26</f>
        <v>2378.5</v>
      </c>
      <c r="F26" s="142">
        <f t="shared" si="7"/>
        <v>2378.5</v>
      </c>
      <c r="G26" s="142">
        <f t="shared" si="7"/>
        <v>2378.5</v>
      </c>
      <c r="H26" s="142">
        <f t="shared" ref="H26:P27" si="8">G26</f>
        <v>2378.5</v>
      </c>
      <c r="I26" s="142">
        <f t="shared" si="8"/>
        <v>2378.5</v>
      </c>
      <c r="J26" s="142">
        <f t="shared" si="8"/>
        <v>2378.5</v>
      </c>
      <c r="K26" s="142">
        <f t="shared" si="8"/>
        <v>2378.5</v>
      </c>
      <c r="L26" s="142">
        <f t="shared" si="8"/>
        <v>2378.5</v>
      </c>
      <c r="M26" s="142">
        <f t="shared" si="8"/>
        <v>2378.5</v>
      </c>
      <c r="N26" s="142">
        <f t="shared" si="8"/>
        <v>2378.5</v>
      </c>
      <c r="O26" s="142">
        <f t="shared" si="8"/>
        <v>2378.5</v>
      </c>
      <c r="P26" s="142">
        <f t="shared" si="8"/>
        <v>2378.5</v>
      </c>
    </row>
    <row r="27" spans="1:19" ht="18.75" customHeight="1" x14ac:dyDescent="0.25">
      <c r="A27" s="162"/>
      <c r="B27" s="140" t="s">
        <v>455</v>
      </c>
      <c r="C27" s="142"/>
      <c r="D27" s="142">
        <f>(12010468+9658863)/10^5</f>
        <v>216.69331</v>
      </c>
      <c r="E27" s="142">
        <f t="shared" ref="E27" si="9">D27</f>
        <v>216.69331</v>
      </c>
      <c r="F27" s="142">
        <f t="shared" si="7"/>
        <v>216.69331</v>
      </c>
      <c r="G27" s="142">
        <f t="shared" si="7"/>
        <v>216.69331</v>
      </c>
      <c r="H27" s="142">
        <f t="shared" si="8"/>
        <v>216.69331</v>
      </c>
      <c r="I27" s="142">
        <f t="shared" si="8"/>
        <v>216.69331</v>
      </c>
      <c r="J27" s="142">
        <f t="shared" ref="J27:P27" si="10">I27</f>
        <v>216.69331</v>
      </c>
      <c r="K27" s="142">
        <f t="shared" si="10"/>
        <v>216.69331</v>
      </c>
      <c r="L27" s="142">
        <f t="shared" si="10"/>
        <v>216.69331</v>
      </c>
      <c r="M27" s="142">
        <f t="shared" si="10"/>
        <v>216.69331</v>
      </c>
      <c r="N27" s="142">
        <f t="shared" si="10"/>
        <v>216.69331</v>
      </c>
      <c r="O27" s="142">
        <f t="shared" si="10"/>
        <v>216.69331</v>
      </c>
      <c r="P27" s="142">
        <f t="shared" si="10"/>
        <v>216.69331</v>
      </c>
    </row>
    <row r="28" spans="1:19" ht="18.75" customHeight="1" x14ac:dyDescent="0.25">
      <c r="D28" s="142"/>
      <c r="E28" s="142"/>
      <c r="F28" s="142"/>
      <c r="G28" s="142"/>
      <c r="H28" s="142"/>
      <c r="I28" s="142"/>
      <c r="J28" s="142"/>
      <c r="K28" s="142"/>
      <c r="L28" s="142"/>
      <c r="M28" s="142"/>
      <c r="N28" s="142"/>
      <c r="O28" s="142"/>
      <c r="P28" s="142"/>
    </row>
    <row r="29" spans="1:19" ht="18.75" customHeight="1" x14ac:dyDescent="0.25">
      <c r="B29" s="60" t="s">
        <v>128</v>
      </c>
      <c r="C29" s="61"/>
      <c r="D29" s="61">
        <f>SUM(D23:D27)</f>
        <v>15181.800891399998</v>
      </c>
      <c r="E29" s="61">
        <f t="shared" ref="E29:I29" si="11">SUM(E23:E27)</f>
        <v>12902.552814907847</v>
      </c>
      <c r="F29" s="61">
        <f t="shared" si="11"/>
        <v>24883.128038951374</v>
      </c>
      <c r="G29" s="61">
        <f t="shared" si="11"/>
        <v>23323.696388134613</v>
      </c>
      <c r="H29" s="61">
        <f t="shared" si="11"/>
        <v>20908.241927151426</v>
      </c>
      <c r="I29" s="61">
        <f t="shared" si="11"/>
        <v>18499.387068520653</v>
      </c>
      <c r="J29" s="61">
        <f t="shared" ref="J29:P29" si="12">SUM(J23:J27)</f>
        <v>16090.532209889883</v>
      </c>
      <c r="K29" s="61">
        <f t="shared" si="12"/>
        <v>13681.67735125911</v>
      </c>
      <c r="L29" s="61">
        <f t="shared" si="12"/>
        <v>11266.222890275923</v>
      </c>
      <c r="M29" s="61">
        <f t="shared" si="12"/>
        <v>8857.3680316451519</v>
      </c>
      <c r="N29" s="61">
        <f t="shared" si="12"/>
        <v>6448.5131730143758</v>
      </c>
      <c r="O29" s="61">
        <f t="shared" si="12"/>
        <v>4039.6583143836037</v>
      </c>
      <c r="P29" s="61">
        <f t="shared" si="12"/>
        <v>1624.2038534004168</v>
      </c>
    </row>
    <row r="30" spans="1:19" ht="18.75" customHeight="1" x14ac:dyDescent="0.25">
      <c r="B30" s="54" t="s">
        <v>129</v>
      </c>
    </row>
    <row r="31" spans="1:19" ht="18.75" customHeight="1" x14ac:dyDescent="0.25">
      <c r="A31" s="162"/>
      <c r="B31" s="140" t="s">
        <v>130</v>
      </c>
      <c r="C31" s="142"/>
      <c r="D31" s="142">
        <f>443775320.9644/10^5</f>
        <v>4437.753209644</v>
      </c>
      <c r="E31" s="142">
        <f>WC!E14</f>
        <v>4283.7515835616441</v>
      </c>
      <c r="F31" s="142">
        <f>WC!F14</f>
        <v>4283.7515835616441</v>
      </c>
      <c r="G31" s="142">
        <f>WC!G14</f>
        <v>4338.0474371506843</v>
      </c>
      <c r="H31" s="142">
        <f>WC!H14</f>
        <v>4392.5326598663014</v>
      </c>
      <c r="I31" s="142">
        <f>WC!I14</f>
        <v>4447.2110390910238</v>
      </c>
      <c r="J31" s="142">
        <f>WC!J14</f>
        <v>4502.0864379550367</v>
      </c>
      <c r="K31" s="142">
        <f>WC!K14</f>
        <v>4557.1627968511239</v>
      </c>
      <c r="L31" s="142">
        <f>WC!L14</f>
        <v>4567.6167377196534</v>
      </c>
      <c r="M31" s="142">
        <f>WC!M14</f>
        <v>4578.279757405553</v>
      </c>
      <c r="N31" s="142">
        <f>WC!N14</f>
        <v>4589.1560374851715</v>
      </c>
      <c r="O31" s="142">
        <f>WC!O14</f>
        <v>4600.2498431663817</v>
      </c>
      <c r="P31" s="142">
        <f>WC!P14</f>
        <v>4611.5655249612155</v>
      </c>
    </row>
    <row r="32" spans="1:19" ht="18.75" customHeight="1" x14ac:dyDescent="0.25">
      <c r="A32" s="162"/>
      <c r="B32" s="140" t="s">
        <v>131</v>
      </c>
      <c r="C32" s="142"/>
      <c r="D32" s="142">
        <f>1078937247/10^5</f>
        <v>10789.37247</v>
      </c>
      <c r="E32" s="142">
        <f>(WC!E12+WC!E13)</f>
        <v>7398.0139814994063</v>
      </c>
      <c r="F32" s="142">
        <f>(WC!F12+WC!F13)</f>
        <v>6758.7309665906851</v>
      </c>
      <c r="G32" s="142">
        <f>(WC!G12+WC!G13)</f>
        <v>6779.2417340278616</v>
      </c>
      <c r="H32" s="142">
        <f>(WC!H12+WC!H13)</f>
        <v>6854.7000617716894</v>
      </c>
      <c r="I32" s="142">
        <f>(WC!I12+WC!I13)</f>
        <v>6936.2277341834197</v>
      </c>
      <c r="J32" s="142">
        <f>(WC!J12+WC!J13)</f>
        <v>7017.6482194880291</v>
      </c>
      <c r="K32" s="142">
        <f>(WC!K12+WC!K13)</f>
        <v>7099.1435108527312</v>
      </c>
      <c r="L32" s="142">
        <f>(WC!L12+WC!L13)</f>
        <v>7102.5432147724759</v>
      </c>
      <c r="M32" s="142">
        <f>(WC!M12+WC!M13)</f>
        <v>7106.3741145362137</v>
      </c>
      <c r="N32" s="142">
        <f>(WC!N12+WC!N13)</f>
        <v>7110.1112089338185</v>
      </c>
      <c r="O32" s="142">
        <f>(WC!O12+WC!O13)</f>
        <v>7113.9329160554817</v>
      </c>
      <c r="P32" s="142">
        <f>(WC!P12+WC!P13)</f>
        <v>7123.9069831687611</v>
      </c>
    </row>
    <row r="33" spans="1:16" ht="18.75" customHeight="1" x14ac:dyDescent="0.25">
      <c r="A33" s="162"/>
      <c r="B33" s="140" t="s">
        <v>132</v>
      </c>
      <c r="C33" s="142"/>
      <c r="D33" s="142">
        <f>5853237.82/10^5</f>
        <v>58.532378200000004</v>
      </c>
      <c r="E33" s="142">
        <f>CFS!E30</f>
        <v>8932.5735876386989</v>
      </c>
      <c r="F33" s="142">
        <f>CFS!F30</f>
        <v>11469.566655849578</v>
      </c>
      <c r="G33" s="142">
        <f>CFS!G30</f>
        <v>16034.059006774838</v>
      </c>
      <c r="H33" s="142">
        <f>CFS!H30</f>
        <v>20658.37016680984</v>
      </c>
      <c r="I33" s="142">
        <f>CFS!I30</f>
        <v>25148.323311891319</v>
      </c>
      <c r="J33" s="142">
        <f>CFS!J30</f>
        <v>29620.384761299385</v>
      </c>
      <c r="K33" s="142">
        <f>CFS!K30</f>
        <v>34135.828336428443</v>
      </c>
      <c r="L33" s="142">
        <f>CFS!L30</f>
        <v>38677.79746517368</v>
      </c>
      <c r="M33" s="142">
        <f>CFS!M30</f>
        <v>43141.376667375225</v>
      </c>
      <c r="N33" s="142">
        <f>CFS!N30</f>
        <v>47537.715261323079</v>
      </c>
      <c r="O33" s="142">
        <f>CFS!O30</f>
        <v>51865.068321757841</v>
      </c>
      <c r="P33" s="142">
        <f>CFS!P30</f>
        <v>56496.736753322853</v>
      </c>
    </row>
    <row r="34" spans="1:16" ht="18.75" customHeight="1" x14ac:dyDescent="0.25">
      <c r="A34" s="162"/>
      <c r="B34" s="140" t="s">
        <v>133</v>
      </c>
      <c r="C34" s="154"/>
      <c r="D34" s="154">
        <f>(7338+7049000+47489987)/10^5</f>
        <v>545.46325000000002</v>
      </c>
      <c r="E34" s="154">
        <f>D34</f>
        <v>545.46325000000002</v>
      </c>
      <c r="F34" s="154">
        <f t="shared" ref="F34:G34" si="13">E34</f>
        <v>545.46325000000002</v>
      </c>
      <c r="G34" s="154">
        <f t="shared" si="13"/>
        <v>545.46325000000002</v>
      </c>
      <c r="H34" s="154">
        <f t="shared" ref="H34:P34" si="14">G34</f>
        <v>545.46325000000002</v>
      </c>
      <c r="I34" s="154">
        <f t="shared" si="14"/>
        <v>545.46325000000002</v>
      </c>
      <c r="J34" s="154">
        <f t="shared" si="14"/>
        <v>545.46325000000002</v>
      </c>
      <c r="K34" s="154">
        <f t="shared" si="14"/>
        <v>545.46325000000002</v>
      </c>
      <c r="L34" s="154">
        <f t="shared" si="14"/>
        <v>545.46325000000002</v>
      </c>
      <c r="M34" s="154">
        <f t="shared" si="14"/>
        <v>545.46325000000002</v>
      </c>
      <c r="N34" s="154">
        <f t="shared" si="14"/>
        <v>545.46325000000002</v>
      </c>
      <c r="O34" s="154">
        <f t="shared" si="14"/>
        <v>545.46325000000002</v>
      </c>
      <c r="P34" s="154">
        <f t="shared" si="14"/>
        <v>545.46325000000002</v>
      </c>
    </row>
    <row r="35" spans="1:16" ht="18.75" customHeight="1" x14ac:dyDescent="0.25">
      <c r="B35" s="60" t="s">
        <v>134</v>
      </c>
      <c r="C35" s="61"/>
      <c r="D35" s="61">
        <f>SUM(D31:D34)</f>
        <v>15831.121307844</v>
      </c>
      <c r="E35" s="61">
        <f t="shared" ref="E35:G35" si="15">SUM(E31:E34)</f>
        <v>21159.802402699752</v>
      </c>
      <c r="F35" s="61">
        <f t="shared" si="15"/>
        <v>23057.51245600191</v>
      </c>
      <c r="G35" s="61">
        <f t="shared" si="15"/>
        <v>27696.811427953384</v>
      </c>
      <c r="H35" s="61">
        <f t="shared" ref="H35:P35" si="16">SUM(H31:H34)</f>
        <v>32451.06613844783</v>
      </c>
      <c r="I35" s="61">
        <f t="shared" si="16"/>
        <v>37077.225335165764</v>
      </c>
      <c r="J35" s="61">
        <f t="shared" si="16"/>
        <v>41685.582668742456</v>
      </c>
      <c r="K35" s="61">
        <f t="shared" si="16"/>
        <v>46337.597894132297</v>
      </c>
      <c r="L35" s="61">
        <f t="shared" si="16"/>
        <v>50893.420667665807</v>
      </c>
      <c r="M35" s="61">
        <f t="shared" si="16"/>
        <v>55371.493789316992</v>
      </c>
      <c r="N35" s="61">
        <f t="shared" si="16"/>
        <v>59782.445757742069</v>
      </c>
      <c r="O35" s="61">
        <f t="shared" si="16"/>
        <v>64124.714330979703</v>
      </c>
      <c r="P35" s="61">
        <f t="shared" si="16"/>
        <v>68777.672511452838</v>
      </c>
    </row>
    <row r="36" spans="1:16" ht="18.75" customHeight="1" x14ac:dyDescent="0.25">
      <c r="B36" s="56" t="s">
        <v>135</v>
      </c>
      <c r="C36" s="57"/>
      <c r="D36" s="57">
        <f>D35+D29</f>
        <v>31012.922199244</v>
      </c>
      <c r="E36" s="57">
        <f>E35+E29</f>
        <v>34062.355217607597</v>
      </c>
      <c r="F36" s="57">
        <f t="shared" ref="F36:H36" si="17">F35+F29</f>
        <v>47940.640494953288</v>
      </c>
      <c r="G36" s="57">
        <f t="shared" si="17"/>
        <v>51020.507816087993</v>
      </c>
      <c r="H36" s="57">
        <f t="shared" si="17"/>
        <v>53359.308065599253</v>
      </c>
      <c r="I36" s="57">
        <f t="shared" ref="I36:P36" si="18">I35+I29</f>
        <v>55576.61240368642</v>
      </c>
      <c r="J36" s="57">
        <f t="shared" si="18"/>
        <v>57776.114878632339</v>
      </c>
      <c r="K36" s="57">
        <f t="shared" si="18"/>
        <v>60019.275245391407</v>
      </c>
      <c r="L36" s="57">
        <f t="shared" si="18"/>
        <v>62159.64355794173</v>
      </c>
      <c r="M36" s="57">
        <f t="shared" si="18"/>
        <v>64228.861820962142</v>
      </c>
      <c r="N36" s="57">
        <f t="shared" si="18"/>
        <v>66230.958930756446</v>
      </c>
      <c r="O36" s="57">
        <f t="shared" si="18"/>
        <v>68164.372645363313</v>
      </c>
      <c r="P36" s="57">
        <f t="shared" si="18"/>
        <v>70401.876364853262</v>
      </c>
    </row>
    <row r="37" spans="1:16" ht="18.75" customHeight="1" x14ac:dyDescent="0.25"/>
    <row r="38" spans="1:16" ht="18.75" customHeight="1" x14ac:dyDescent="0.25">
      <c r="B38" s="172" t="s">
        <v>136</v>
      </c>
      <c r="C38" s="173">
        <f>SUM(E38:P38)</f>
        <v>7.6917606929782778E-4</v>
      </c>
      <c r="D38" s="174">
        <f t="shared" ref="D38:P38" si="19">D19-D36</f>
        <v>6.4098003349499777E-5</v>
      </c>
      <c r="E38" s="174">
        <f t="shared" si="19"/>
        <v>6.4098006987478584E-5</v>
      </c>
      <c r="F38" s="174">
        <f t="shared" si="19"/>
        <v>6.409799971152097E-5</v>
      </c>
      <c r="G38" s="174">
        <f t="shared" si="19"/>
        <v>6.4098014263436198E-5</v>
      </c>
      <c r="H38" s="174">
        <f t="shared" si="19"/>
        <v>6.4098014263436198E-5</v>
      </c>
      <c r="I38" s="174">
        <f t="shared" si="19"/>
        <v>6.409799971152097E-5</v>
      </c>
      <c r="J38" s="174">
        <f t="shared" si="19"/>
        <v>6.4097992435563356E-5</v>
      </c>
      <c r="K38" s="174">
        <f t="shared" si="19"/>
        <v>6.4098006987478584E-5</v>
      </c>
      <c r="L38" s="174">
        <f t="shared" si="19"/>
        <v>6.409799971152097E-5</v>
      </c>
      <c r="M38" s="174">
        <f t="shared" si="19"/>
        <v>6.4098021539393812E-5</v>
      </c>
      <c r="N38" s="174">
        <f t="shared" si="19"/>
        <v>6.4098014263436198E-5</v>
      </c>
      <c r="O38" s="174">
        <f t="shared" si="19"/>
        <v>6.4098014263436198E-5</v>
      </c>
      <c r="P38" s="174">
        <f t="shared" si="19"/>
        <v>6.4097985159605742E-5</v>
      </c>
    </row>
    <row r="39" spans="1:16" x14ac:dyDescent="0.25">
      <c r="E39" s="162"/>
      <c r="F39" s="162"/>
    </row>
    <row r="41" spans="1:16" x14ac:dyDescent="0.25">
      <c r="H41" s="75"/>
      <c r="I41" s="75"/>
      <c r="J41" s="75"/>
      <c r="K41" s="75"/>
      <c r="L41" s="75"/>
      <c r="M41" s="75"/>
      <c r="N41" s="75"/>
      <c r="O41" s="75"/>
      <c r="P41" s="75"/>
    </row>
  </sheetData>
  <conditionalFormatting sqref="D33:P33">
    <cfRule type="cellIs" dxfId="2" priority="1" operator="lessThan">
      <formula>0</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1</vt:i4>
      </vt:variant>
    </vt:vector>
  </HeadingPairs>
  <TitlesOfParts>
    <vt:vector size="16" baseType="lpstr">
      <vt:lpstr>Sheet4</vt:lpstr>
      <vt:lpstr>Pending Points</vt:lpstr>
      <vt:lpstr>COP &amp; MOF</vt:lpstr>
      <vt:lpstr>Assumptions on Steel Plant</vt:lpstr>
      <vt:lpstr>Assumptions Hybrid Plant</vt:lpstr>
      <vt:lpstr>Sheet2</vt:lpstr>
      <vt:lpstr>Expenses Modeling_Hybrid Plant</vt:lpstr>
      <vt:lpstr>IS</vt:lpstr>
      <vt:lpstr>BS</vt:lpstr>
      <vt:lpstr>CFS</vt:lpstr>
      <vt:lpstr>WC</vt:lpstr>
      <vt:lpstr>Dep Schedule</vt:lpstr>
      <vt:lpstr>Tax Schedule</vt:lpstr>
      <vt:lpstr>Ratio</vt:lpstr>
      <vt:lpstr>Sheet1</vt:lpstr>
      <vt:lpstr>'COP &amp; MOF'!Print_Area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krunal kansara</dc:creator>
  <cp:lastModifiedBy>Gaurav Kumar</cp:lastModifiedBy>
  <dcterms:created xsi:type="dcterms:W3CDTF">2024-10-04T06:45:08Z</dcterms:created>
  <dcterms:modified xsi:type="dcterms:W3CDTF">2025-03-19T09:22:51Z</dcterms:modified>
</cp:coreProperties>
</file>