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2\Desktop\VIS(2024-25)-PL609-556-778_Al Saqib TEV Revised\RK Working Dec 2024\"/>
    </mc:Choice>
  </mc:AlternateContent>
  <xr:revisionPtr revIDLastSave="0" documentId="13_ncr:1_{D239C0C6-91A5-4D59-8247-FF7944865506}" xr6:coauthVersionLast="47" xr6:coauthVersionMax="47" xr10:uidLastSave="{00000000-0000-0000-0000-000000000000}"/>
  <bookViews>
    <workbookView xWindow="-120" yWindow="-120" windowWidth="21840" windowHeight="13140" tabRatio="903" firstSheet="1" activeTab="6" xr2:uid="{00000000-000D-0000-FFFF-FFFF00000000}"/>
  </bookViews>
  <sheets>
    <sheet name="Sheet11" sheetId="16" state="hidden" r:id="rId1"/>
    <sheet name="Historicals" sheetId="2" r:id="rId2"/>
    <sheet name="Projected P&amp;L" sheetId="7" r:id="rId3"/>
    <sheet name="Projected BS" sheetId="8" r:id="rId4"/>
    <sheet name="Projected CFS" sheetId="9" r:id="rId5"/>
    <sheet name="Dep-WDV" sheetId="3" r:id="rId6"/>
    <sheet name="Debt Schedule" sheetId="5" r:id="rId7"/>
    <sheet name="DSCR" sheetId="10" r:id="rId8"/>
    <sheet name="Ratio Analysis" sheetId="13" r:id="rId9"/>
    <sheet name="NPV" sheetId="14" r:id="rId10"/>
    <sheet name="Breakeven" sheetId="12" r:id="rId11"/>
    <sheet name="Sensitivity" sheetId="15" r:id="rId12"/>
    <sheet name="Other Expenses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Nov09" localSheetId="6" hidden="1">{"'August 2000'!$A$1:$J$101"}</definedName>
    <definedName name="______Nov09" hidden="1">{"'August 2000'!$A$1:$J$101"}</definedName>
    <definedName name="_____as10" localSheetId="6" hidden="1">{"'August 2000'!$A$1:$J$101"}</definedName>
    <definedName name="_____as10" hidden="1">{"'August 2000'!$A$1:$J$101"}</definedName>
    <definedName name="_____Nov09" localSheetId="6" hidden="1">{"'August 2000'!$A$1:$J$101"}</definedName>
    <definedName name="_____Nov09" hidden="1">{"'August 2000'!$A$1:$J$101"}</definedName>
    <definedName name="____as10" localSheetId="6" hidden="1">{"'August 2000'!$A$1:$J$101"}</definedName>
    <definedName name="____as10" hidden="1">{"'August 2000'!$A$1:$J$101"}</definedName>
    <definedName name="___as10" localSheetId="6" hidden="1">{"'August 2000'!$A$1:$J$101"}</definedName>
    <definedName name="___as10" hidden="1">{"'August 2000'!$A$1:$J$101"}</definedName>
    <definedName name="___Nov09" localSheetId="6" hidden="1">{"'August 2000'!$A$1:$J$101"}</definedName>
    <definedName name="___Nov09" hidden="1">{"'August 2000'!$A$1:$J$101"}</definedName>
    <definedName name="__1" hidden="1">'[1]APR''04'!#REF!</definedName>
    <definedName name="__123Graph_A" hidden="1">'[2]TRIAL BALANCE'!#REF!</definedName>
    <definedName name="__123Graph_AChart1" hidden="1">'[1]APR''04'!#REF!</definedName>
    <definedName name="__123Graph_AChart10" hidden="1">'[1]APR''04'!#REF!</definedName>
    <definedName name="__123Graph_AChart11" hidden="1">'[1]APR''04'!#REF!</definedName>
    <definedName name="__123Graph_AChart12" hidden="1">'[1]APR''04'!#REF!</definedName>
    <definedName name="__123Graph_AChart2" hidden="1">'[1]APR''04'!#REF!</definedName>
    <definedName name="__123Graph_AChart3" hidden="1">'[1]APR''04'!#REF!</definedName>
    <definedName name="__123Graph_AChart4" hidden="1">'[1]APR''04'!#REF!</definedName>
    <definedName name="__123Graph_AChart5" hidden="1">'[1]APR''04'!#REF!</definedName>
    <definedName name="__123Graph_AChart6" hidden="1">'[1]APR''04'!#REF!</definedName>
    <definedName name="__123Graph_AChart7" hidden="1">'[1]APR''04'!#REF!</definedName>
    <definedName name="__123Graph_AChart8" hidden="1">'[1]APR''04'!#REF!</definedName>
    <definedName name="__123Graph_AChart9" hidden="1">'[1]APR''04'!#REF!</definedName>
    <definedName name="__123Graph_ACurrent" hidden="1">'[1]APR''04'!#REF!</definedName>
    <definedName name="__123Graph_B" hidden="1">'[2]TRIAL BALANCE'!#REF!</definedName>
    <definedName name="__123Graph_C" hidden="1">[3]concil!#REF!</definedName>
    <definedName name="__123Graph_D" hidden="1">'[1]APR''04'!#REF!</definedName>
    <definedName name="__123Graph_E" hidden="1">[4]Folder!#REF!</definedName>
    <definedName name="__123Graph_F" hidden="1">[3]concil!#REF!</definedName>
    <definedName name="__123Graph_X" hidden="1">'[2]TRIAL BALANCE'!#REF!</definedName>
    <definedName name="__drs8" localSheetId="6" hidden="1">{"'August 2000'!$A$1:$J$101"}</definedName>
    <definedName name="__drs8" hidden="1">{"'August 2000'!$A$1:$J$101"}</definedName>
    <definedName name="__fa1" localSheetId="6" hidden="1">{"plansummary",#N/A,FALSE,"PlanSummary";"sales",#N/A,FALSE,"Sales Rec";"productivity",#N/A,FALSE,"Productivity Rec";"capitalspending",#N/A,FALSE,"Capital Spending"}</definedName>
    <definedName name="__fa1" hidden="1">{"plansummary",#N/A,FALSE,"PlanSummary";"sales",#N/A,FALSE,"Sales Rec";"productivity",#N/A,FALSE,"Productivity Rec";"capitalspending",#N/A,FALSE,"Capital Spending"}</definedName>
    <definedName name="__fa2" localSheetId="6" hidden="1">{"plansummary",#N/A,FALSE,"PlanSummary";"sales",#N/A,FALSE,"Sales Rec";"productivity",#N/A,FALSE,"Productivity Rec";"capitalspending",#N/A,FALSE,"Capital Spending"}</definedName>
    <definedName name="__fa2" hidden="1">{"plansummary",#N/A,FALSE,"PlanSummary";"sales",#N/A,FALSE,"Sales Rec";"productivity",#N/A,FALSE,"Productivity Rec";"capitalspending",#N/A,FALSE,"Capital Spending"}</definedName>
    <definedName name="__fa3" localSheetId="6" hidden="1">{"plansummary",#N/A,FALSE,"PlanSummary";"sales",#N/A,FALSE,"Sales Rec";"productivity",#N/A,FALSE,"Productivity Rec";"capitalspending",#N/A,FALSE,"Capital Spending"}</definedName>
    <definedName name="__fa3" hidden="1">{"plansummary",#N/A,FALSE,"PlanSummary";"sales",#N/A,FALSE,"Sales Rec";"productivity",#N/A,FALSE,"Productivity Rec";"capitalspending",#N/A,FALSE,"Capital Spending"}</definedName>
    <definedName name="__FDS_HYPERLINK_TOGGLE_STATE__" hidden="1">"ON"</definedName>
    <definedName name="__Nov09" localSheetId="6" hidden="1">{"'August 2000'!$A$1:$J$101"}</definedName>
    <definedName name="__Nov09" hidden="1">{"'August 2000'!$A$1:$J$101"}</definedName>
    <definedName name="__xlfn.BAHTTEXT" hidden="1">#NAME?</definedName>
    <definedName name="_1__123Graph_ACHART_1" hidden="1">[5]Accidents!$C$4:$C$16</definedName>
    <definedName name="_10__123Graph_FCHART_1" hidden="1">[5]Accidents!$H$4:$H$16</definedName>
    <definedName name="_11__123Graph_LBL_ACHART_1" hidden="1">[5]Accidents!$H$15:$H$15</definedName>
    <definedName name="_12__123Graph_LBL_CCHART_1" hidden="1">[5]Accidents!$H$16:$H$16</definedName>
    <definedName name="_123" localSheetId="6" hidden="1">[6]Folder!#REF!</definedName>
    <definedName name="_123" hidden="1">[6]Folder!#REF!</definedName>
    <definedName name="_13__123Graph_LBL_DCHART_1" hidden="1">[5]Accidents!$H$18:$H$18</definedName>
    <definedName name="_14__123Graph_LBL_ECHART_1" hidden="1">[5]Accidents!$H$19:$H$19</definedName>
    <definedName name="_15__123Graph_XCHART_1" hidden="1">[5]Accidents!$A$4:$A$16</definedName>
    <definedName name="_2__123Graph_ACHART_2" hidden="1">'[5]ACC costs'!$B$2:$B$8</definedName>
    <definedName name="_3__123Graph_ACHART_3" hidden="1">[5]Accidents!$C$20:$K$20</definedName>
    <definedName name="_4__123Graph_BCHART_1" hidden="1">[5]Accidents!$D$4:$D$16</definedName>
    <definedName name="_5__123Graph_BCHART_3" hidden="1">[5]Accidents!$C$20:$K$20</definedName>
    <definedName name="_6__123Graph_CCHART_1" hidden="1">[5]Accidents!$E$4:$E$16</definedName>
    <definedName name="_7__123Graph_CCHART_3" hidden="1">[5]Accidents!$C$20:$K$20</definedName>
    <definedName name="_8__123Graph_DCHART_1" hidden="1">[5]Accidents!$F$4:$F$16</definedName>
    <definedName name="_9__123Graph_ECHART_1" hidden="1">[5]Accidents!$G$4:$G$16</definedName>
    <definedName name="_as10" localSheetId="6" hidden="1">{"'August 2000'!$A$1:$J$101"}</definedName>
    <definedName name="_as10" hidden="1">{"'August 2000'!$A$1:$J$101"}</definedName>
    <definedName name="_bdm.37A8781564CE406BBBA912C3F309BF50.edm" hidden="1">#REF!</definedName>
    <definedName name="_bdm.A6745B57B7754BAEBFCBA9DD822111E7.edm" hidden="1">'[7]Page 10,24,48_fig 2,10,34'!$A:$IV</definedName>
    <definedName name="_Dist_Bin" hidden="1">#REF!</definedName>
    <definedName name="_Dist_Values" hidden="1">#REF!</definedName>
    <definedName name="_fa1" localSheetId="6" hidden="1">{"plansummary",#N/A,FALSE,"PlanSummary";"sales",#N/A,FALSE,"Sales Rec";"productivity",#N/A,FALSE,"Productivity Rec";"capitalspending",#N/A,FALSE,"Capital Spending"}</definedName>
    <definedName name="_fa1" hidden="1">{"plansummary",#N/A,FALSE,"PlanSummary";"sales",#N/A,FALSE,"Sales Rec";"productivity",#N/A,FALSE,"Productivity Rec";"capitalspending",#N/A,FALSE,"Capital Spending"}</definedName>
    <definedName name="_fa2" localSheetId="6" hidden="1">{"plansummary",#N/A,FALSE,"PlanSummary";"sales",#N/A,FALSE,"Sales Rec";"productivity",#N/A,FALSE,"Productivity Rec";"capitalspending",#N/A,FALSE,"Capital Spending"}</definedName>
    <definedName name="_fa2" hidden="1">{"plansummary",#N/A,FALSE,"PlanSummary";"sales",#N/A,FALSE,"Sales Rec";"productivity",#N/A,FALSE,"Productivity Rec";"capitalspending",#N/A,FALSE,"Capital Spending"}</definedName>
    <definedName name="_fa3" localSheetId="6" hidden="1">{"plansummary",#N/A,FALSE,"PlanSummary";"sales",#N/A,FALSE,"Sales Rec";"productivity",#N/A,FALSE,"Productivity Rec";"capitalspending",#N/A,FALSE,"Capital Spending"}</definedName>
    <definedName name="_fa3" hidden="1">{"plansummary",#N/A,FALSE,"PlanSummary";"sales",#N/A,FALSE,"Sales Rec";"productivity",#N/A,FALSE,"Productivity Rec";"capitalspending",#N/A,FALSE,"Capital Spending"}</definedName>
    <definedName name="_Fill" localSheetId="6" hidden="1">[8]Cmiec!#REF!</definedName>
    <definedName name="_Fill" hidden="1">[8]Cmiec!#REF!</definedName>
    <definedName name="_xlnm._FilterDatabase" localSheetId="6" hidden="1">#REF!</definedName>
    <definedName name="_xlnm._FilterDatabase" hidden="1">#REF!</definedName>
    <definedName name="_Key1" localSheetId="6" hidden="1">[9]depreciation!#REF!</definedName>
    <definedName name="_Key1" hidden="1">[9]depreciation!#REF!</definedName>
    <definedName name="_Key2" localSheetId="6" hidden="1">[9]depreciation!#REF!</definedName>
    <definedName name="_Key2" hidden="1">[9]depreciation!#REF!</definedName>
    <definedName name="_Nov09" localSheetId="6" hidden="1">{"'August 2000'!$A$1:$J$101"}</definedName>
    <definedName name="_Nov09" hidden="1">{"'August 2000'!$A$1:$J$101"}</definedName>
    <definedName name="_Order2" hidden="1">255</definedName>
    <definedName name="_Parse_Out" hidden="1">[10]BS!$E$3</definedName>
    <definedName name="_Regression_X" hidden="1">[11]ENGG_VAL!#REF!</definedName>
    <definedName name="_sale" hidden="1">#REF!</definedName>
    <definedName name="_Sort" localSheetId="6" hidden="1">[9]depreciation!#REF!</definedName>
    <definedName name="_Sort" hidden="1">[9]depreciation!#REF!</definedName>
    <definedName name="_Table1_In1" localSheetId="6" hidden="1">[12]BUDGET!#REF!</definedName>
    <definedName name="_Table1_In1" hidden="1">[12]BUDGET!#REF!</definedName>
    <definedName name="_Table1_Out" localSheetId="6" hidden="1">[12]BUDGET!#REF!</definedName>
    <definedName name="_Table1_Out" hidden="1">[12]BUDGET!#REF!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.doc" localSheetId="6" hidden="1">{"'Income Statement'!$D$96:$E$101"}</definedName>
    <definedName name="abc.doc" hidden="1">{"'Income Statement'!$D$96:$E$101"}</definedName>
    <definedName name="AKA" localSheetId="6" hidden="1">{"'August 2000'!$A$1:$J$101"}</definedName>
    <definedName name="AKA" hidden="1">{"'August 2000'!$A$1:$J$101"}</definedName>
    <definedName name="anscount" hidden="1">1</definedName>
    <definedName name="ar" hidden="1">[6]Folder!#REF!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as" hidden="1">[6]Folder!#REF!</definedName>
    <definedName name="atish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BG_Del" hidden="1">15</definedName>
    <definedName name="BG_Ins" hidden="1">4</definedName>
    <definedName name="BG_Mod" hidden="1">6</definedName>
    <definedName name="Bgr" localSheetId="6" hidden="1">[13]pendrr!#REF!</definedName>
    <definedName name="Bgr" hidden="1">[13]pendrr!#REF!</definedName>
    <definedName name="BSDEC02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DEC02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s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s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envat" localSheetId="6" hidden="1">{"'August 2000'!$A$1:$J$101"}</definedName>
    <definedName name="cenvat" hidden="1">{"'August 2000'!$A$1:$J$101"}</definedName>
    <definedName name="CIQWBGuid" hidden="1">"7e008688-8c01-4423-bae3-1c1436774555"</definedName>
    <definedName name="Code" localSheetId="5" hidden="1">#REF!</definedName>
    <definedName name="Code" hidden="1">#REF!</definedName>
    <definedName name="comp2003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omp2003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opy" localSheetId="6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copy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Csdfs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Csdfs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data1" localSheetId="5" hidden="1">#REF!</definedName>
    <definedName name="data1" hidden="1">#REF!</definedName>
    <definedName name="data2" localSheetId="5" hidden="1">#REF!</definedName>
    <definedName name="data2" hidden="1">#REF!</definedName>
    <definedName name="data3" localSheetId="5" hidden="1">#REF!</definedName>
    <definedName name="data3" hidden="1">#REF!</definedName>
    <definedName name="ÐCompanyName" hidden="1">[14]ÐLists!$E$2</definedName>
    <definedName name="DDDD" localSheetId="6" hidden="1">#REF!</definedName>
    <definedName name="DDDD" hidden="1">#REF!</definedName>
    <definedName name="ddddddggg" localSheetId="6" hidden="1">#REF!</definedName>
    <definedName name="ddddddggg" hidden="1">#REF!</definedName>
    <definedName name="dev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hakjs" localSheetId="6" hidden="1">{"'August 2000'!$A$1:$J$101"}</definedName>
    <definedName name="dhakjs" hidden="1">{"'August 2000'!$A$1:$J$101"}</definedName>
    <definedName name="Discount" localSheetId="5" hidden="1">#REF!</definedName>
    <definedName name="Discount" hidden="1">#REF!</definedName>
    <definedName name="display_area_2" localSheetId="6" hidden="1">#REF!</definedName>
    <definedName name="display_area_2" localSheetId="5" hidden="1">#REF!</definedName>
    <definedName name="display_area_2" hidden="1">#REF!</definedName>
    <definedName name="DM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DM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DME_BeforeCloseCompleted" hidden="1">"True"</definedName>
    <definedName name="DME_DocumentFlags" hidden="1">"1"</definedName>
    <definedName name="DME_DocumentID" hidden="1">"::ODMA\DME-MSE\London-24631"</definedName>
    <definedName name="DME_DocumentOpened" hidden="1">"True"</definedName>
    <definedName name="DME_DocumentTitle" hidden="1">"London-24631 - Standard Model"</definedName>
    <definedName name="DME_LocalFile" hidden="1">"False"</definedName>
    <definedName name="DME_NextWindowNumber" hidden="1">"2"</definedName>
    <definedName name="ÐYesNoDropdown" hidden="1">[14]ÐLists!$AK$2:$AK$3</definedName>
    <definedName name="Electricity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ectricit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NGEL" localSheetId="6" hidden="1">#REF!</definedName>
    <definedName name="ENGEL" hidden="1">#REF!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"Mi8WGb7wvvl3MZvnSdtx0OvCbbhCY1/PqqmMwge7ju5EvNr3KxIy8GSHy7fyE27WKk/7o|OTky69evPkhOhP/L/cllCChE3u8u7Oz//Dn7erwEE12d/d|RJMunzzc/xFNujTZvfcjmnRlZ//g//M0|Qb9UR/Nr2HGnrw6fvH0A0JiUu/kDN7eiO3|v9uICTlCnnvykJ7/r3PcN0qQ/z|stf2/RwRPjt|cfv7lq9/nawvhvXv37|/v799eCPf|3y"</definedName>
    <definedName name="EPMWorkbookOptions_11" hidden="1">"2EhiAd1X/y5iuKLH/Edl6zW7UaYLunx2|OX786|dpc9|mD3Z2Dgwe357p7/|/mOqVHyHRvvqQ0wu//|asvv/p/82K6DOlnyQJE6XLy5avT3//sxcuv3vxIIP1mt2o1IJBE27M3X98KkCv26af37r2HL7b//26BFHo4vtujX093dh/8f977/6YIsisEuf8jgvgEeXP6|v/zSukbJQjSTT8iiKdD7n366af/XyfI/3vM1stXXz796uTNB|QQ3jsTf"</definedName>
    <definedName name="EPMWorkbookOptions_12" hidden="1">"v//3YbLUCSUw5c/n9MIAyT5USLhm5TEV25B8ocojJ/|v1sYPaJ8/31WaRXg/ytZ7hujxelXP6KFocXzk/|vk|L/PZrozdkXpz9EFfTg/90qCNQIDd8eDXC8c|//6wz3TRNk/0cE8QiyN97d|xFBDEGe/T57OzsPx5yQ/f86Vf7fo6i/OD1|/dWr0x9m8Hbw/25lbSgiTsHv8|bpj5jtfRoF2MQbPb57vFqVxTRrCY79PPjUNCdo1XJJiNNnT7M2"</definedName>
    <definedName name="EPMWorkbookOptions_13" hidden="1">"44/9D99U3cE/fpWf13kz/3L55SpfHp1nZZM/vht|yO1OyjyrAfTL5evsMjctux9z2|9W9dtJVb0lxmyZjKZ1/4uw/dWMZ801/HIl4/t/AMtf0Z6zeQAA"</definedName>
    <definedName name="EPMWorkbookOptions_15" hidden="1">"v8vM6b|ZfLL1f50qzYhR9yu5Myz2oA/XL5OrvMTcvux9z2u1X9dlJVb4kxWyajad3/Imx/NdNZe3zW/GRWF9mkzL/I6wsHoff5b5w4sF|uhBr/DzxHj7hvfAAA"</definedName>
    <definedName name="EPMWorkbookOptions_2" hidden="1">"jqr64u7ezs3v39/7i|evpPF9k28WyabPlNP/IvjW7|a2PqNc0ffwqP6/zZv7l8stVvjw6z8omf3w3/JDbnZR5Vj/N2uzL5evsMjctux9zWzOWl3XV5tM2n5nW/S/C9lez9C6IYRsqNY7|H0p|MExIAQAA"</definedName>
    <definedName name="EPMWorkbookOptions_3" hidden="1">"4tb42ngRFC8T7W4R8FmHQQEOL16HmLr|jLL/LFJK|/Wha/aJ0z1O|dHL85/fzLV7/P98ffe3n86vTFm2/v0q/HJ2||On5OY||90AP57SKvs3o6v3aNUmKuR8ui/Oyjtl4T79ztv/W0WORLsO7t33p895sb9dPjN8evX52Eg37z5Zvj57//y1env//ZyZf//x07DffsjTffe/Tr6c7ug53//w752fMvvxvO9bPnL758cfr/4xF/9eLkzdmXL153h"</definedName>
    <definedName name="EPMWorkbookOptions_4" hidden="1">"v3/71GfvXhz|opkNxjz2e///|9Bf3F6/PqrV6eYafrf7/Pm6f9XhrrhG||LbxezWb60HTcbqGUb/WTRFJOiLNrrWw3h6Pjk5MuvXrx5fDf2ZYR0wOgIw318V//YMOabsfpGxmAM|f|nB6F2|f/TYxD7|v/pIcBe/n97AMb8/X96FGrO/j89hlcv35x89YqM8cn/t0Xi9cmXL0//Pz2CN2df/H97AMbR|bkZRNB4o1PiD9alAHqOy|t55To9qcqq"</definedName>
    <definedName name="EPMWorkbookOptions_5" hidden="1">"PuKMw|O7kW82vcvDj70aoYsj7DBmt201ME3v5Uz5MGSklLe6v7N772DXAxCjAb/7ZT3L66Odx3fllyj0ZlVm1y/rapXX7XXEqaVGz7OmfZ2XlI7KZ|I6x0Ybzmy0QRpz0JUgnQzL7s5Dem7jqyvgr|Wx67uRqbjdu5sCFW3xTdJkd2fndnkIBfzzgyYP9n9Ek4Amezv3DvZ|RJMOn/z/QZ88vnsbXeyZhp81M/Z|8bQPxNixnZ19Wmi4vRnb/X|"</definedName>
    <definedName name="EPMWorkbookOptions_6" hidden="1">"3GfvQlQIF/P9KtvtmafL89Pd/uXPwI5r0aPL/efX0s0CT/R/RpEeT3f|v0|Rn34zd1oy9V0Y1YsXu3bt/f39///ZWbO//3VZsw8rvq9PPKWX4/3XW|1kgzOevvvzq5Y/o4tHl5MtXp7//2YuXX735EVk8snz55tunr35EEY8ip8/Pvnj9/3WK/L/Hmr3P2poPQo3Zpw92dw4OHtzemN37f7cxE3I4jtsDx|3s/vxNoXUJwiJIgfj9HxEkJMjP20"</definedName>
    <definedName name="EPMWorkbookOptions_7" hidden="1">"gsSpB7|7sPfkSQkCD/n89f/L/Haj17/uV3v7bNImH99NN7994jj7j//26jBWqE7Pbs|YsvX5z|f53fvkl60KT/f96G/79I/r56cfKGQvvXX18I33tN|v7/y4XQkKTDeT|vBXGAJns7P3/XGodpsvsjmnRo8qP1129SaZ|9eHP66uTLH6LK/vT/3SpbCRIy3dnv//8Hjf3/Hq579fLNyVeviLwnXz/L9P6c9|D/3ZznEYVYjv73/OT/6xz3jZHi7"</definedName>
    <definedName name="EPMWorkbookOptions_8" hidden="1">"MXP24R3jxafP/n//CrR/3s00euTL1|e/hB10MH/u3UQkyO0fa///2D6vi49IvQ4|/z4|P/zAvhN0uPZqx8tvQXNbtVqQB|9Ofvih6mOHv6/Wx2BGiG3UUR8b7zz83YZYYgg/59fRviGCbK79yOCeATZ|xFBeiKz//91gvy/x2h9cXr8|qtXpz/MxP/uzv|7LZchiYRsv8|bp/9f57ZvhhAvT1|dffn07OdtYiOkxk/8f58tvkEldItGATbxRo/v"</definedName>
    <definedName name="EPMWorkbookOptions_9" hidden="1">"Hq9WZTHNWoJjPw8|Nc0JWrVcEuL02dOszczH0U/pc6Haolw2n300b9vVo7t323yxWtfFuKov7n7V5LXDafyumX109Ps/e/nF7//k5cmL7|7u/P7f05dm071ZM5le7uyO28nF|KKsJllZNOOLevXogJak7zbZ6u5kNb37/d//e28|f0L/fvvLV2c/9eWLN8fP6Y/zrGxy4puAVx7743tPJD3ixWhnx37k0Oj0LmQbZJSNsnKblNct039fT0S|jnA"</definedName>
    <definedName name="ev.Calculation" hidden="1">2</definedName>
    <definedName name="ev.Initialized" hidden="1">FALSE</definedName>
    <definedName name="excise" localSheetId="6" hidden="1">{"'August 2000'!$A$1:$J$101"}</definedName>
    <definedName name="excise" hidden="1">{"'August 2000'!$A$1:$J$101"}</definedName>
    <definedName name="FA_SCHEDULE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A_SCHEDULE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Code" localSheetId="5" hidden="1">#REF!</definedName>
    <definedName name="FCode" hidden="1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" hidden="1">#REF!</definedName>
    <definedName name="fffffffffffffff" localSheetId="6" hidden="1">#REF!</definedName>
    <definedName name="fffffffffffffff" hidden="1">#REF!</definedName>
    <definedName name="FFFYYJ" localSheetId="6" hidden="1">#REF!</definedName>
    <definedName name="FFFYYJ" hidden="1">#REF!</definedName>
    <definedName name="FHDFDFH" localSheetId="6" hidden="1">#REF!</definedName>
    <definedName name="FHDFDFH" hidden="1">#REF!</definedName>
    <definedName name="fix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fix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FixedAssets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ixedAssets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ORM4B1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FORM4B1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fr" localSheetId="6" hidden="1">'[1]APR''04'!#REF!</definedName>
    <definedName name="fr" hidden="1">'[1]APR''04'!#REF!</definedName>
    <definedName name="ggggg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ggggg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gh" localSheetId="6" hidden="1">#REF!</definedName>
    <definedName name="gh" hidden="1">#REF!</definedName>
    <definedName name="ghh" localSheetId="6" hidden="1">#REF!</definedName>
    <definedName name="ghh" hidden="1">#REF!</definedName>
    <definedName name="gsfds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urudhan" localSheetId="6" hidden="1">#REF!</definedName>
    <definedName name="gurudhan" hidden="1">#REF!</definedName>
    <definedName name="Header1" hidden="1">IF(COUNTA(#REF!)=0,0,INDEX(#REF!,MATCH(ROW(#REF!),#REF!,TRUE)))+1</definedName>
    <definedName name="Header2" localSheetId="6" hidden="1">[0]!Header1-1 &amp; "." &amp; MAX(1,COUNTA(INDEX('[15]#REF'!#REF!,MATCH([0]!Header1-1,'[15]#REF'!#REF!,FALSE)):'[15]#REF'!#REF!))</definedName>
    <definedName name="Header2" hidden="1">[0]!Header1-1 &amp; "." &amp; MAX(1,COUNTA(INDEX('[15]#REF'!#REF!,MATCH([0]!Header1-1,'[15]#REF'!#REF!,FALSE)):'[15]#REF'!#REF!))</definedName>
    <definedName name="Header3Find" localSheetId="6" hidden="1">MID('Debt Schedule'!Header2,1,FIND(".",'Debt Schedule'!Header2,1))&amp;MID('Debt Schedule'!Header2,FIND(".",'Debt Schedule'!Header2,1)+1,LEN('Debt Schedule'!Header2))-1</definedName>
    <definedName name="Header3Find" hidden="1">MID([0]!Header2,1,FIND(".",[0]!Header2,1))&amp;MID([0]!Header2,FIND(".",[0]!Header2,1)+1,LEN([0]!Header2))-1</definedName>
    <definedName name="hi" localSheetId="5" hidden="1">#REF!</definedName>
    <definedName name="hi" hidden="1">#REF!</definedName>
    <definedName name="HiddenRows" localSheetId="5" hidden="1">#REF!</definedName>
    <definedName name="HiddenRows" hidden="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t" localSheetId="6" hidden="1">{"'August 2000'!$A$1:$J$101"}</definedName>
    <definedName name="ht" hidden="1">{"'August 2000'!$A$1:$J$101"}</definedName>
    <definedName name="HTML_CodePage" hidden="1">1252</definedName>
    <definedName name="HTML_Control" localSheetId="6" hidden="1">{"'Income Statement'!$D$96:$E$101"}</definedName>
    <definedName name="HTML_Control" hidden="1">{"'Income Statement'!$D$96:$E$101"}</definedName>
    <definedName name="HTML_Control_1" localSheetId="6" hidden="1">{"'August 2000'!$A$1:$J$101"}</definedName>
    <definedName name="HTML_Control_1" hidden="1">{"'August 2000'!$A$1:$J$101"}</definedName>
    <definedName name="HTML_CONTROL_15" localSheetId="6" hidden="1">{"'August 2000'!$A$1:$J$101"}</definedName>
    <definedName name="HTML_CONTROL_15" hidden="1">{"'August 2000'!$A$1:$J$101"}</definedName>
    <definedName name="HTML_CONTROL_16" localSheetId="6" hidden="1">{"'August 2000'!$A$1:$J$101"}</definedName>
    <definedName name="HTML_CONTROL_16" hidden="1">{"'August 2000'!$A$1:$J$101"}</definedName>
    <definedName name="HTML_CONTROL_19" localSheetId="6" hidden="1">{"'August 2000'!$A$1:$J$101"}</definedName>
    <definedName name="HTML_CONTROL_19" hidden="1">{"'August 2000'!$A$1:$J$101"}</definedName>
    <definedName name="HTML_Control_2" localSheetId="6" hidden="1">{"'August 2000'!$A$1:$J$101"}</definedName>
    <definedName name="HTML_Control_2" hidden="1">{"'August 2000'!$A$1:$J$101"}</definedName>
    <definedName name="HTML_control_3" localSheetId="6" hidden="1">{"'August 2000'!$A$1:$J$101"}</definedName>
    <definedName name="HTML_control_3" hidden="1">{"'August 2000'!$A$1:$J$101"}</definedName>
    <definedName name="HTML_control1" localSheetId="6" hidden="1">{"'August 2000'!$A$1:$J$101"}</definedName>
    <definedName name="HTML_control1" hidden="1">{"'August 2000'!$A$1:$J$101"}</definedName>
    <definedName name="HTML_control1_1" localSheetId="6" hidden="1">{"'August 2000'!$A$1:$J$101"}</definedName>
    <definedName name="HTML_control1_1" hidden="1">{"'August 2000'!$A$1:$J$101"}</definedName>
    <definedName name="HTML_control1_2" localSheetId="6" hidden="1">{"'August 2000'!$A$1:$J$101"}</definedName>
    <definedName name="HTML_control1_2" hidden="1">{"'August 2000'!$A$1:$J$101"}</definedName>
    <definedName name="HTML_Description" hidden="1">"Profit &amp; Loss Account"</definedName>
    <definedName name="HTML_Email" hidden="1">""</definedName>
    <definedName name="HTML_Header" hidden="1">"Income Statement"</definedName>
    <definedName name="HTML_LastUpdate" hidden="1">"6/14/99"</definedName>
    <definedName name="HTML_LineAfter" hidden="1">TRUE</definedName>
    <definedName name="HTML_LineBefore" hidden="1">TRUE</definedName>
    <definedName name="HTML_Name" hidden="1">"Prakash Mishra"</definedName>
    <definedName name="HTML_OBDlg2" hidden="1">TRUE</definedName>
    <definedName name="HTML_OBDlg4" hidden="1">TRUE</definedName>
    <definedName name="HTML_OS" hidden="1">0</definedName>
    <definedName name="HTML_PathFile" hidden="1">"D:\Temp\MyHTML.htm"</definedName>
    <definedName name="HTML_PathFileMac" hidden="1">"Macintosh HD:HomePageStuff:New_Home_Page:datafile:ctryprem.html"</definedName>
    <definedName name="HTML_Title" hidden="1">"Forecast Book2"</definedName>
    <definedName name="huy" localSheetId="6" hidden="1">{"'Sheet1'!$L$16"}</definedName>
    <definedName name="huy" hidden="1">{"'Sheet1'!$L$16"}</definedName>
    <definedName name="Insurance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"interior specialists"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"07/24/2022 09:17:48"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39191.5891666667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RAA10" hidden="1">"$AA$11"</definedName>
    <definedName name="IQRAA11" hidden="1">"$AA$12"</definedName>
    <definedName name="IQRAB11" hidden="1">"$AB$12"</definedName>
    <definedName name="IQRAC10" hidden="1">"$AC$11"</definedName>
    <definedName name="IQRAC11" hidden="1">"$AC$12"</definedName>
    <definedName name="IQRAD11" hidden="1">"$AD$12"</definedName>
    <definedName name="IQRAE10" hidden="1">"$AE$11"</definedName>
    <definedName name="IQRAE11" hidden="1">"$AE$12"</definedName>
    <definedName name="IQRAF11" hidden="1">"$AF$12"</definedName>
    <definedName name="IQRAF1709" hidden="1">"$AF$1710"</definedName>
    <definedName name="IQRAF23" hidden="1">"$AF$24"</definedName>
    <definedName name="IQRAF864" hidden="1">"$AF$865"</definedName>
    <definedName name="IQRAG10" hidden="1">"$AG$11"</definedName>
    <definedName name="IQRAI10" hidden="1">"$AI$11"</definedName>
    <definedName name="IQRAK10" hidden="1">"$AK$11"</definedName>
    <definedName name="IQRAM10" hidden="1">"$AM$11"</definedName>
    <definedName name="IQRAO10" hidden="1">"$AO$11"</definedName>
    <definedName name="IQRAQ10" hidden="1">"$AQ$11"</definedName>
    <definedName name="IQRAS10" hidden="1">"$AS$11"</definedName>
    <definedName name="IQRAU10" hidden="1">"$AU$11"</definedName>
    <definedName name="IQRAU1709" hidden="1">"$AU$1710"</definedName>
    <definedName name="IQRAU23" hidden="1">"$AU$24"</definedName>
    <definedName name="IQRAU864" hidden="1">"$AU$865"</definedName>
    <definedName name="IQRAW10" hidden="1">"$AW$11"</definedName>
    <definedName name="IQRAY10" hidden="1">"$AY$11"</definedName>
    <definedName name="IQRAZ865" hidden="1">"$AZ$866:$AZ$1624"</definedName>
    <definedName name="IQRB1709" hidden="1">"$B$1710"</definedName>
    <definedName name="IQRB23" hidden="1">"$B$24"</definedName>
    <definedName name="IQRB24" hidden="1">"$B$25:$B$780"</definedName>
    <definedName name="IQRB864" hidden="1">"$B$865"</definedName>
    <definedName name="IQRBA10" hidden="1">"$BA$11"</definedName>
    <definedName name="IQRBetaAC13" hidden="1">#REF!</definedName>
    <definedName name="IQRBetaAC14" hidden="1">#REF!</definedName>
    <definedName name="IQRBetaAL14" hidden="1">#REF!</definedName>
    <definedName name="IQRBetaAU13" hidden="1">#REF!</definedName>
    <definedName name="IQRBetaAU14" hidden="1">#REF!</definedName>
    <definedName name="IQRBetaB13" hidden="1">#REF!</definedName>
    <definedName name="IQRBetaB14" hidden="1">#REF!</definedName>
    <definedName name="IQRBetaBD13" hidden="1">#REF!</definedName>
    <definedName name="IQRBetaBD14" hidden="1">#REF!</definedName>
    <definedName name="IQRBetaBM13" hidden="1">#REF!</definedName>
    <definedName name="IQRBetaBM14" hidden="1">#REF!</definedName>
    <definedName name="IQRBetaBV13" hidden="1">#REF!</definedName>
    <definedName name="IQRBetaBV14" hidden="1">#REF!</definedName>
    <definedName name="IQRBetaCE13" hidden="1">#REF!</definedName>
    <definedName name="IQRBetaCE14" hidden="1">#REF!</definedName>
    <definedName name="IQRBetaCN13" hidden="1">#REF!</definedName>
    <definedName name="IQRBetaCN14" hidden="1">#REF!</definedName>
    <definedName name="IQRBetaCW13" hidden="1">#REF!</definedName>
    <definedName name="IQRBetaCW14" hidden="1">#REF!</definedName>
    <definedName name="IQRBetaDF13" hidden="1">#REF!</definedName>
    <definedName name="IQRBetaDF14" hidden="1">#REF!</definedName>
    <definedName name="IQRBetaDO13" hidden="1">#REF!</definedName>
    <definedName name="IQRBetaDO14" hidden="1">#REF!</definedName>
    <definedName name="IQRBetaDX13" hidden="1">#REF!</definedName>
    <definedName name="IQRBetaDX14" hidden="1">#REF!</definedName>
    <definedName name="IQRBetaEG13" hidden="1">#REF!</definedName>
    <definedName name="IQRBetaEG14" hidden="1">#REF!</definedName>
    <definedName name="IQRBetaEP13" hidden="1">#REF!</definedName>
    <definedName name="IQRBetaEP14" hidden="1">#REF!</definedName>
    <definedName name="IQRBetaEY13" hidden="1">#REF!</definedName>
    <definedName name="IQRBetaEY14" hidden="1">#REF!</definedName>
    <definedName name="IQRBetaFH13" hidden="1">#REF!</definedName>
    <definedName name="IQRBetaFH14" hidden="1">#REF!</definedName>
    <definedName name="IQRBetaFQ13" hidden="1">#REF!</definedName>
    <definedName name="IQRBetaFQ14" hidden="1">#REF!</definedName>
    <definedName name="IQRBetaK13" hidden="1">#REF!</definedName>
    <definedName name="IQRBetaK14" hidden="1">#REF!</definedName>
    <definedName name="IQRBetaT13" hidden="1">#REF!</definedName>
    <definedName name="IQRBetaT14" hidden="1">#REF!</definedName>
    <definedName name="IQRBJ1709" hidden="1">"$BJ$1710"</definedName>
    <definedName name="IQRBJ23" hidden="1">"$BJ$24"</definedName>
    <definedName name="IQRBJ864" hidden="1">"$BJ$865"</definedName>
    <definedName name="IQRBY1709" hidden="1">"$BY$1710"</definedName>
    <definedName name="IQRBY23" hidden="1">"$BY$24"</definedName>
    <definedName name="IQRBY864" hidden="1">"$BY$865"</definedName>
    <definedName name="IQRC23" hidden="1">"$C$24:$C$778"</definedName>
    <definedName name="IQRC24" hidden="1">"$C$25:$C$779"</definedName>
    <definedName name="IQRCapStruA5" hidden="1">#REF!</definedName>
    <definedName name="IQRCapStruA6" hidden="1">#REF!</definedName>
    <definedName name="IQRCapStruA7" hidden="1">#REF!</definedName>
    <definedName name="IQRCapStruA8" hidden="1">#REF!</definedName>
    <definedName name="IQRCapStruAG5" hidden="1">#REF!</definedName>
    <definedName name="IQRCapStruAG6" hidden="1">#REF!</definedName>
    <definedName name="IQRCapStruAG7" hidden="1">#REF!</definedName>
    <definedName name="IQRCapStruAG8" hidden="1">#REF!</definedName>
    <definedName name="IQRCapStruAO5" hidden="1">#REF!</definedName>
    <definedName name="IQRCapStruAO6" hidden="1">#REF!</definedName>
    <definedName name="IQRCapStruAO7" hidden="1">#REF!</definedName>
    <definedName name="IQRCapStruAO8" hidden="1">#REF!</definedName>
    <definedName name="IQRCapStruAW5" hidden="1">#REF!</definedName>
    <definedName name="IQRCapStruAW6" hidden="1">#REF!</definedName>
    <definedName name="IQRCapStruAW7" hidden="1">#REF!</definedName>
    <definedName name="IQRCapStruAW8" hidden="1">#REF!</definedName>
    <definedName name="IQRCapStruBE5" hidden="1">#REF!</definedName>
    <definedName name="IQRCapStruBE6" hidden="1">#REF!</definedName>
    <definedName name="IQRCapStruBE7" hidden="1">#REF!</definedName>
    <definedName name="IQRCapStruBE8" hidden="1">#REF!</definedName>
    <definedName name="IQRCapStruBM5" hidden="1">#REF!</definedName>
    <definedName name="IQRCapStruBM6" hidden="1">#REF!</definedName>
    <definedName name="IQRCapStruBM7" hidden="1">#REF!</definedName>
    <definedName name="IQRCapStruBM8" hidden="1">#REF!</definedName>
    <definedName name="IQRCapStruBU5" hidden="1">#REF!</definedName>
    <definedName name="IQRCapStruBU6" hidden="1">#REF!</definedName>
    <definedName name="IQRCapStruBU7" hidden="1">#REF!</definedName>
    <definedName name="IQRCapStruBU8" hidden="1">#REF!</definedName>
    <definedName name="IQRCapStruCC5" hidden="1">#REF!</definedName>
    <definedName name="IQRCapStruCC6" hidden="1">#REF!</definedName>
    <definedName name="IQRCapStruCC7" hidden="1">#REF!</definedName>
    <definedName name="IQRCapStruCC8" hidden="1">#REF!</definedName>
    <definedName name="IQRCapStruCK5" hidden="1">#REF!</definedName>
    <definedName name="IQRCapStruCK6" hidden="1">#REF!</definedName>
    <definedName name="IQRCapStruCK7" hidden="1">#REF!</definedName>
    <definedName name="IQRCapStruCK8" hidden="1">#REF!</definedName>
    <definedName name="IQRCapStruCS5" hidden="1">#REF!</definedName>
    <definedName name="IQRCapStruCS6" hidden="1">#REF!</definedName>
    <definedName name="IQRCapStruCS7" hidden="1">#REF!</definedName>
    <definedName name="IQRCapStruCS8" hidden="1">#REF!</definedName>
    <definedName name="IQRCapStruDA5" hidden="1">#REF!</definedName>
    <definedName name="IQRCapStruDA6" hidden="1">#REF!</definedName>
    <definedName name="IQRCapStruDA7" hidden="1">#REF!</definedName>
    <definedName name="IQRCapStruDA8" hidden="1">#REF!</definedName>
    <definedName name="IQRCapStruDI5" hidden="1">#REF!</definedName>
    <definedName name="IQRCapStruDI6" hidden="1">#REF!</definedName>
    <definedName name="IQRCapStruDI7" hidden="1">#REF!</definedName>
    <definedName name="IQRCapStruDI8" hidden="1">#REF!</definedName>
    <definedName name="IQRCapStruDQ5" hidden="1">#REF!</definedName>
    <definedName name="IQRCapStruDQ6" hidden="1">#REF!</definedName>
    <definedName name="IQRCapStruDQ7" hidden="1">#REF!</definedName>
    <definedName name="IQRCapStruDQ8" hidden="1">#REF!</definedName>
    <definedName name="IQRCapStruDY5" hidden="1">#REF!</definedName>
    <definedName name="IQRCapStruDY6" hidden="1">#REF!</definedName>
    <definedName name="IQRCapStruDY7" hidden="1">#REF!</definedName>
    <definedName name="IQRCapStruDY8" hidden="1">#REF!</definedName>
    <definedName name="IQRCapStruEG5" hidden="1">#REF!</definedName>
    <definedName name="IQRCapStruEG6" hidden="1">#REF!</definedName>
    <definedName name="IQRCapStruEG7" hidden="1">#REF!</definedName>
    <definedName name="IQRCapStruEG8" hidden="1">#REF!</definedName>
    <definedName name="IQRCapStruEO5" hidden="1">#REF!</definedName>
    <definedName name="IQRCapStruEO6" hidden="1">#REF!</definedName>
    <definedName name="IQRCapStruEO7" hidden="1">#REF!</definedName>
    <definedName name="IQRCapStruEO8" hidden="1">#REF!</definedName>
    <definedName name="IQRCapStruEW5" hidden="1">#REF!</definedName>
    <definedName name="IQRCapStruEW6" hidden="1">#REF!</definedName>
    <definedName name="IQRCapStruEW7" hidden="1">#REF!</definedName>
    <definedName name="IQRCapStruEW8" hidden="1">#REF!</definedName>
    <definedName name="IQRCapStruI5" hidden="1">#REF!</definedName>
    <definedName name="IQRCapStruI6" hidden="1">#REF!</definedName>
    <definedName name="IQRCapStruI7" hidden="1">#REF!</definedName>
    <definedName name="IQRCapStruI8" hidden="1">#REF!</definedName>
    <definedName name="IQRCapStruQ5" hidden="1">#REF!</definedName>
    <definedName name="IQRCapStruQ6" hidden="1">#REF!</definedName>
    <definedName name="IQRCapStruQ7" hidden="1">#REF!</definedName>
    <definedName name="IQRCapStruQ8" hidden="1">#REF!</definedName>
    <definedName name="IQRCapStruY5" hidden="1">#REF!</definedName>
    <definedName name="IQRCapStruY6" hidden="1">#REF!</definedName>
    <definedName name="IQRCapStruY7" hidden="1">#REF!</definedName>
    <definedName name="IQRCapStruY8" hidden="1">#REF!</definedName>
    <definedName name="IQRCN1709" hidden="1">"$CN$1710"</definedName>
    <definedName name="IQRCN23" hidden="1">"$CN$24"</definedName>
    <definedName name="IQRCN864" hidden="1">"$CN$865"</definedName>
    <definedName name="IQRCompsPLAAN67" hidden="1">#REF!</definedName>
    <definedName name="IQRD10" hidden="1">"$D$11"</definedName>
    <definedName name="IQRD23" hidden="1">"$D$24:$D$778"</definedName>
    <definedName name="IQRD24" hidden="1">"$D$25:$D$779"</definedName>
    <definedName name="IQRDC1709" hidden="1">"$DC$1710"</definedName>
    <definedName name="IQRDC23" hidden="1">"$DC$24"</definedName>
    <definedName name="IQRDC864" hidden="1">"$DC$865"</definedName>
    <definedName name="IQRDR23" hidden="1">"$DR$24"</definedName>
    <definedName name="IQRDR864" hidden="1">"$DR$865"</definedName>
    <definedName name="IQRE23" hidden="1">"$E$24:$E$778"</definedName>
    <definedName name="IQRE24" hidden="1">"$E$25:$E$779"</definedName>
    <definedName name="IQREG23" hidden="1">"$EG$24"</definedName>
    <definedName name="IQREG864" hidden="1">"$EG$865"</definedName>
    <definedName name="IQREV23" hidden="1">"$EV$24"</definedName>
    <definedName name="IQREV864" hidden="1">"$EV$865"</definedName>
    <definedName name="IQRExchangerateAC9" hidden="1">#REF!</definedName>
    <definedName name="IQRExchangerateAF9" hidden="1">#REF!</definedName>
    <definedName name="IQRExchangerateAI9" hidden="1">#REF!</definedName>
    <definedName name="IQRExchangerateAL9" hidden="1">#REF!</definedName>
    <definedName name="IQRExchangerateAO9" hidden="1">#REF!</definedName>
    <definedName name="IQRExchangerateAR9" hidden="1">#REF!</definedName>
    <definedName name="IQRExchangerateAU9" hidden="1">#REF!</definedName>
    <definedName name="IQRExchangerateAX9" hidden="1">#REF!</definedName>
    <definedName name="IQRExchangerateB8" hidden="1">#REF!</definedName>
    <definedName name="IQRExchangerateB9" hidden="1">#REF!</definedName>
    <definedName name="IQRExchangerateBA9" hidden="1">#REF!</definedName>
    <definedName name="IQRExchangerateBD9" hidden="1">#REF!</definedName>
    <definedName name="IQRExchangerateBG9" hidden="1">#REF!</definedName>
    <definedName name="IQRExchangerateE9" hidden="1">#REF!</definedName>
    <definedName name="IQRExchangerateH9" hidden="1">#REF!</definedName>
    <definedName name="IQRExchangerateK9" hidden="1">#REF!</definedName>
    <definedName name="IQRExchangerateN9" hidden="1">#REF!</definedName>
    <definedName name="IQRExchangerateQ9" hidden="1">#REF!</definedName>
    <definedName name="IQRExchangerateT9" hidden="1">#REF!</definedName>
    <definedName name="IQRExchangerateW9" hidden="1">#REF!</definedName>
    <definedName name="IQRExchangerateZ9" hidden="1">#REF!</definedName>
    <definedName name="IQRF23" hidden="1">"$F$24:$F$778"</definedName>
    <definedName name="IQRF24" hidden="1">"$F$25:$F$779"</definedName>
    <definedName name="IQRFK23" hidden="1">"$FK$24"</definedName>
    <definedName name="IQRFK864" hidden="1">"$FK$865"</definedName>
    <definedName name="IQRFZ23" hidden="1">"$FZ$24"</definedName>
    <definedName name="IQRFZ864" hidden="1">"$FZ$865"</definedName>
    <definedName name="IQRG23" hidden="1">"$G$24:$G$778"</definedName>
    <definedName name="IQRG24" hidden="1">"$G$25:$G$779"</definedName>
    <definedName name="IQRGO23" hidden="1">"$GO$24"</definedName>
    <definedName name="IQRGO864" hidden="1">"$GO$865"</definedName>
    <definedName name="IQRGS6AF1365" hidden="1">#REF!</definedName>
    <definedName name="IQRGS6AF1366" hidden="1">#REF!</definedName>
    <definedName name="IQRGS6AF1709" hidden="1">#REF!</definedName>
    <definedName name="IQRGS6AF1710" hidden="1">#REF!</definedName>
    <definedName name="IQRGS6AF2210" hidden="1">#REF!</definedName>
    <definedName name="IQRGS6AF23" hidden="1">#REF!</definedName>
    <definedName name="IQRGS6AF24" hidden="1">#REF!</definedName>
    <definedName name="IQRGS6AF25" hidden="1">#REF!</definedName>
    <definedName name="IQRGS6AF2710" hidden="1">#REF!</definedName>
    <definedName name="IQRGS6AF2711" hidden="1">#REF!</definedName>
    <definedName name="IQRGS6AF2712" hidden="1">#REF!</definedName>
    <definedName name="IQRGS6AF864" hidden="1">#REF!</definedName>
    <definedName name="IQRGS6AF865" hidden="1">#REF!</definedName>
    <definedName name="IQRGS6AH1366" hidden="1">#REF!</definedName>
    <definedName name="IQRGS6AH24" hidden="1">#REF!</definedName>
    <definedName name="IQRGS6AH2712" hidden="1">#REF!</definedName>
    <definedName name="IQRGS6AU1365" hidden="1">#REF!</definedName>
    <definedName name="IQRGS6AU1366" hidden="1">#REF!</definedName>
    <definedName name="IQRGS6AU1709" hidden="1">#REF!</definedName>
    <definedName name="IQRGS6AU1710" hidden="1">#REF!</definedName>
    <definedName name="IQRGS6AU2210" hidden="1">#REF!</definedName>
    <definedName name="IQRGS6AU23" hidden="1">#REF!</definedName>
    <definedName name="IQRGS6AU24" hidden="1">#REF!</definedName>
    <definedName name="IQRGS6AU25" hidden="1">#REF!</definedName>
    <definedName name="IQRGS6AU2710" hidden="1">#REF!</definedName>
    <definedName name="IQRGS6AU2711" hidden="1">#REF!</definedName>
    <definedName name="IQRGS6AU2712" hidden="1">#REF!</definedName>
    <definedName name="IQRGS6AU864" hidden="1">#REF!</definedName>
    <definedName name="IQRGS6AU865" hidden="1">#REF!</definedName>
    <definedName name="IQRGS6AX1366" hidden="1">#REF!</definedName>
    <definedName name="IQRGS6AX24" hidden="1">#REF!</definedName>
    <definedName name="IQRGS6AX2712" hidden="1">#REF!</definedName>
    <definedName name="IQRGS6B1365" hidden="1">#REF!</definedName>
    <definedName name="IQRGS6B1366" hidden="1">#REF!</definedName>
    <definedName name="IQRGS6B1709" hidden="1">#REF!</definedName>
    <definedName name="IQRGS6B1710" hidden="1">#REF!</definedName>
    <definedName name="IQRGS6B2210" hidden="1">#REF!</definedName>
    <definedName name="IQRGS6B23" hidden="1">#REF!</definedName>
    <definedName name="IQRGS6B24" hidden="1">#REF!</definedName>
    <definedName name="IQRGS6B25" hidden="1">#REF!</definedName>
    <definedName name="IQRGS6B2710" hidden="1">#REF!</definedName>
    <definedName name="IQRGS6B2711" hidden="1">#REF!</definedName>
    <definedName name="IQRGS6B2712" hidden="1">#REF!</definedName>
    <definedName name="IQRGS6B864" hidden="1">#REF!</definedName>
    <definedName name="IQRGS6B865" hidden="1">#REF!</definedName>
    <definedName name="IQRGS6BetasheetAC24" hidden="1">#REF!</definedName>
    <definedName name="IQRGS6BetasheetAD24" hidden="1">#REF!</definedName>
    <definedName name="IQRGS6BetasheetAF1366" hidden="1">#REF!</definedName>
    <definedName name="IQRGS6BetasheetAF24" hidden="1">#REF!</definedName>
    <definedName name="IQRGS6BetasheetAF2712" hidden="1">#REF!</definedName>
    <definedName name="IQRGS6BetasheetAL24" hidden="1">#REF!</definedName>
    <definedName name="IQRGS6BetasheetAN24" hidden="1">#REF!</definedName>
    <definedName name="IQRGS6BetasheetAP1366" hidden="1">#REF!</definedName>
    <definedName name="IQRGS6BetasheetAP24" hidden="1">#REF!</definedName>
    <definedName name="IQRGS6BetasheetAU24" hidden="1">#REF!</definedName>
    <definedName name="IQRGS6BetasheetAX24" hidden="1">#REF!</definedName>
    <definedName name="IQRGS6BetasheetAZ1366" hidden="1">#REF!</definedName>
    <definedName name="IQRGS6BetasheetAZ24" hidden="1">#REF!</definedName>
    <definedName name="IQRGS6BetasheetB1366" hidden="1">#REF!</definedName>
    <definedName name="IQRGS6BetasheetB24" hidden="1">#REF!</definedName>
    <definedName name="IQRGS6BetasheetB2712" hidden="1">#REF!</definedName>
    <definedName name="IQRGS6BetasheetBD24" hidden="1">#REF!</definedName>
    <definedName name="IQRGS6BetasheetBH24" hidden="1">#REF!</definedName>
    <definedName name="IQRGS6BetasheetBJ1366" hidden="1">#REF!</definedName>
    <definedName name="IQRGS6BetasheetBJ24" hidden="1">#REF!</definedName>
    <definedName name="IQRGS6BetasheetBM24" hidden="1">#REF!</definedName>
    <definedName name="IQRGS6BetasheetBR24" hidden="1">#REF!</definedName>
    <definedName name="IQRGS6BetasheetBT1366" hidden="1">#REF!</definedName>
    <definedName name="IQRGS6BetasheetBT24" hidden="1">#REF!</definedName>
    <definedName name="IQRGS6BetasheetBV24" hidden="1">#REF!</definedName>
    <definedName name="IQRGS6BetasheetCB24" hidden="1">#REF!</definedName>
    <definedName name="IQRGS6BetasheetCD24" hidden="1">#REF!</definedName>
    <definedName name="IQRGS6BetasheetCE24" hidden="1">#REF!</definedName>
    <definedName name="IQRGS6BetasheetCL24" hidden="1">#REF!</definedName>
    <definedName name="IQRGS6BetasheetCN24" hidden="1">#REF!</definedName>
    <definedName name="IQRGS6BetasheetCV24" hidden="1">#REF!</definedName>
    <definedName name="IQRGS6BetasheetCW24" hidden="1">#REF!</definedName>
    <definedName name="IQRGS6BetasheetCX24" hidden="1">#REF!</definedName>
    <definedName name="IQRGS6BetasheetDF24" hidden="1">#REF!</definedName>
    <definedName name="IQRGS6BetasheetDH24" hidden="1">#REF!</definedName>
    <definedName name="IQRGS6BetasheetDO24" hidden="1">#REF!</definedName>
    <definedName name="IQRGS6BetasheetDP24" hidden="1">#REF!</definedName>
    <definedName name="IQRGS6BetasheetDR24" hidden="1">#REF!</definedName>
    <definedName name="IQRGS6BetasheetDX24" hidden="1">#REF!</definedName>
    <definedName name="IQRGS6BetasheetDZ24" hidden="1">#REF!</definedName>
    <definedName name="IQRGS6BetasheetEB24" hidden="1">#REF!</definedName>
    <definedName name="IQRGS6BetasheetEG24" hidden="1">#REF!</definedName>
    <definedName name="IQRGS6BetasheetEJ24" hidden="1">#REF!</definedName>
    <definedName name="IQRGS6BetasheetEL24" hidden="1">#REF!</definedName>
    <definedName name="IQRGS6BetasheetEP24" hidden="1">#REF!</definedName>
    <definedName name="IQRGS6BetasheetET24" hidden="1">#REF!</definedName>
    <definedName name="IQRGS6BetasheetEV24" hidden="1">#REF!</definedName>
    <definedName name="IQRGS6BetasheetEY24" hidden="1">#REF!</definedName>
    <definedName name="IQRGS6BetasheetFD24" hidden="1">#REF!</definedName>
    <definedName name="IQRGS6BetasheetFF24" hidden="1">#REF!</definedName>
    <definedName name="IQRGS6BetasheetFH24" hidden="1">#REF!</definedName>
    <definedName name="IQRGS6BetasheetFN24" hidden="1">#REF!</definedName>
    <definedName name="IQRGS6BetasheetFP24" hidden="1">#REF!</definedName>
    <definedName name="IQRGS6BetasheetFQ24" hidden="1">#REF!</definedName>
    <definedName name="IQRGS6BetasheetFX24" hidden="1">#REF!</definedName>
    <definedName name="IQRGS6BetasheetFZ24" hidden="1">#REF!</definedName>
    <definedName name="IQRGS6BetasheetGH24" hidden="1">#REF!</definedName>
    <definedName name="IQRGS6BetasheetGJ24" hidden="1">#REF!</definedName>
    <definedName name="IQRGS6BetasheetK24" hidden="1">#REF!</definedName>
    <definedName name="IQRGS6BetasheetL1366" hidden="1">#REF!</definedName>
    <definedName name="IQRGS6BetasheetL24" hidden="1">#REF!</definedName>
    <definedName name="IQRGS6BetasheetL2712" hidden="1">#REF!</definedName>
    <definedName name="IQRGS6BetasheetT24" hidden="1">#REF!</definedName>
    <definedName name="IQRGS6BetasheetV1366" hidden="1">#REF!</definedName>
    <definedName name="IQRGS6BetasheetV24" hidden="1">#REF!</definedName>
    <definedName name="IQRGS6BetasheetV2712" hidden="1">#REF!</definedName>
    <definedName name="IQRGS6Betashet1AH1366" hidden="1">#REF!</definedName>
    <definedName name="IQRGS6Betashet1AH2712" hidden="1">#REF!</definedName>
    <definedName name="IQRGS6Betashet1AX1366" hidden="1">#REF!</definedName>
    <definedName name="IQRGS6Betashet1AX2712" hidden="1">#REF!</definedName>
    <definedName name="IQRGS6Betashet1B1366" hidden="1">#REF!</definedName>
    <definedName name="IQRGS6Betashet1B2712" hidden="1">#REF!</definedName>
    <definedName name="IQRGS6Betashet1BN1366" hidden="1">#REF!</definedName>
    <definedName name="IQRGS6Betashet1CD1366" hidden="1">#REF!</definedName>
    <definedName name="IQRGS6Betashet1CT1366" hidden="1">#REF!</definedName>
    <definedName name="IQRGS6Betashet1DJ1366" hidden="1">#REF!</definedName>
    <definedName name="IQRGS6Betashet1R1366" hidden="1">#REF!</definedName>
    <definedName name="IQRGS6Betashet1R2712" hidden="1">#REF!</definedName>
    <definedName name="IQRGS6BetashetA1366" hidden="1">#REF!</definedName>
    <definedName name="IQRGS6BetashetAF1366" hidden="1">#REF!</definedName>
    <definedName name="IQRGS6BetashetAF24" hidden="1">#REF!</definedName>
    <definedName name="IQRGS6BetashetAF2712" hidden="1">#REF!</definedName>
    <definedName name="IQRGS6BetashetAH1366" hidden="1">#REF!</definedName>
    <definedName name="IQRGS6BetashetAH24" hidden="1">#REF!</definedName>
    <definedName name="IQRGS6BetashetAH2712" hidden="1">#REF!</definedName>
    <definedName name="IQRGS6BetashetAP1366" hidden="1">#REF!</definedName>
    <definedName name="IQRGS6BetashetAP24" hidden="1">#REF!</definedName>
    <definedName name="IQRGS6BetashetAX1366" hidden="1">#REF!</definedName>
    <definedName name="IQRGS6BetashetAX24" hidden="1">#REF!</definedName>
    <definedName name="IQRGS6BetashetAX2712" hidden="1">#REF!</definedName>
    <definedName name="IQRGS6BetashetAZ1366" hidden="1">#REF!</definedName>
    <definedName name="IQRGS6BetashetAZ24" hidden="1">#REF!</definedName>
    <definedName name="IQRGS6BetashetB1366" hidden="1">#REF!</definedName>
    <definedName name="IQRGS6BetashetB24" hidden="1">#REF!</definedName>
    <definedName name="IQRGS6BetashetB2712" hidden="1">#REF!</definedName>
    <definedName name="IQRGS6BetashetBJ1366" hidden="1">#REF!</definedName>
    <definedName name="IQRGS6BetashetBJ24" hidden="1">#REF!</definedName>
    <definedName name="IQRGS6BetashetBN1366" hidden="1">#REF!</definedName>
    <definedName name="IQRGS6BetashetBN24" hidden="1">#REF!</definedName>
    <definedName name="IQRGS6BetashetBT1366" hidden="1">#REF!</definedName>
    <definedName name="IQRGS6BetashetBT24" hidden="1">#REF!</definedName>
    <definedName name="IQRGS6BetashetCD1366" hidden="1">#REF!</definedName>
    <definedName name="IQRGS6BetashetCD24" hidden="1">#REF!</definedName>
    <definedName name="IQRGS6BetashetCT1366" hidden="1">#REF!</definedName>
    <definedName name="IQRGS6BetashetCT24" hidden="1">#REF!</definedName>
    <definedName name="IQRGS6BetashetDJ1366" hidden="1">#REF!</definedName>
    <definedName name="IQRGS6BetashetDJ24" hidden="1">#REF!</definedName>
    <definedName name="IQRGS6BetashetL1366" hidden="1">#REF!</definedName>
    <definedName name="IQRGS6BetashetL24" hidden="1">#REF!</definedName>
    <definedName name="IQRGS6BetashetL2712" hidden="1">#REF!</definedName>
    <definedName name="IQRGS6BetashetR1366" hidden="1">#REF!</definedName>
    <definedName name="IQRGS6BetashetR24" hidden="1">#REF!</definedName>
    <definedName name="IQRGS6BetashetR2712" hidden="1">#REF!</definedName>
    <definedName name="IQRGS6BetashetV1366" hidden="1">#REF!</definedName>
    <definedName name="IQRGS6BetashetV24" hidden="1">#REF!</definedName>
    <definedName name="IQRGS6BetashetV2712" hidden="1">#REF!</definedName>
    <definedName name="IQRGS6BJ1365" hidden="1">#REF!</definedName>
    <definedName name="IQRGS6BJ1366" hidden="1">#REF!</definedName>
    <definedName name="IQRGS6BJ1709" hidden="1">#REF!</definedName>
    <definedName name="IQRGS6BJ1710" hidden="1">#REF!</definedName>
    <definedName name="IQRGS6BJ2210" hidden="1">#REF!</definedName>
    <definedName name="IQRGS6BJ23" hidden="1">#REF!</definedName>
    <definedName name="IQRGS6BJ24" hidden="1">#REF!</definedName>
    <definedName name="IQRGS6BJ25" hidden="1">#REF!</definedName>
    <definedName name="IQRGS6BJ2710" hidden="1">#REF!</definedName>
    <definedName name="IQRGS6BJ2711" hidden="1">#REF!</definedName>
    <definedName name="IQRGS6BJ2712" hidden="1">#REF!</definedName>
    <definedName name="IQRGS6BJ864" hidden="1">#REF!</definedName>
    <definedName name="IQRGS6BJ865" hidden="1">#REF!</definedName>
    <definedName name="IQRGS6BN1366" hidden="1">#REF!</definedName>
    <definedName name="IQRGS6BN24" hidden="1">#REF!</definedName>
    <definedName name="IQRGS6BY1365" hidden="1">#REF!</definedName>
    <definedName name="IQRGS6BY1366" hidden="1">#REF!</definedName>
    <definedName name="IQRGS6BY1709" hidden="1">#REF!</definedName>
    <definedName name="IQRGS6BY1710" hidden="1">#REF!</definedName>
    <definedName name="IQRGS6BY2210" hidden="1">#REF!</definedName>
    <definedName name="IQRGS6BY23" hidden="1">#REF!</definedName>
    <definedName name="IQRGS6BY24" hidden="1">#REF!</definedName>
    <definedName name="IQRGS6BY25" hidden="1">#REF!</definedName>
    <definedName name="IQRGS6BY2710" hidden="1">#REF!</definedName>
    <definedName name="IQRGS6BY2711" hidden="1">#REF!</definedName>
    <definedName name="IQRGS6BY2712" hidden="1">#REF!</definedName>
    <definedName name="IQRGS6BY864" hidden="1">#REF!</definedName>
    <definedName name="IQRGS6BY865" hidden="1">#REF!</definedName>
    <definedName name="IQRGS6CD1366" hidden="1">#REF!</definedName>
    <definedName name="IQRGS6CD24" hidden="1">#REF!</definedName>
    <definedName name="IQRGS6CN1365" hidden="1">#REF!</definedName>
    <definedName name="IQRGS6CN1366" hidden="1">#REF!</definedName>
    <definedName name="IQRGS6CN1709" hidden="1">#REF!</definedName>
    <definedName name="IQRGS6CN1710" hidden="1">#REF!</definedName>
    <definedName name="IQRGS6CN2210" hidden="1">#REF!</definedName>
    <definedName name="IQRGS6CN23" hidden="1">#REF!</definedName>
    <definedName name="IQRGS6CN24" hidden="1">#REF!</definedName>
    <definedName name="IQRGS6CN25" hidden="1">#REF!</definedName>
    <definedName name="IQRGS6CN2710" hidden="1">#REF!</definedName>
    <definedName name="IQRGS6CN2711" hidden="1">#REF!</definedName>
    <definedName name="IQRGS6CN2712" hidden="1">#REF!</definedName>
    <definedName name="IQRGS6CN864" hidden="1">#REF!</definedName>
    <definedName name="IQRGS6CN865" hidden="1">#REF!</definedName>
    <definedName name="IQRGS6CT1366" hidden="1">#REF!</definedName>
    <definedName name="IQRGS6CT24" hidden="1">#REF!</definedName>
    <definedName name="IQRGS6DC1365" hidden="1">#REF!</definedName>
    <definedName name="IQRGS6DC1366" hidden="1">#REF!</definedName>
    <definedName name="IQRGS6DC1709" hidden="1">#REF!</definedName>
    <definedName name="IQRGS6DC1710" hidden="1">#REF!</definedName>
    <definedName name="IQRGS6DC2210" hidden="1">#REF!</definedName>
    <definedName name="IQRGS6DC23" hidden="1">#REF!</definedName>
    <definedName name="IQRGS6DC24" hidden="1">#REF!</definedName>
    <definedName name="IQRGS6DC25" hidden="1">#REF!</definedName>
    <definedName name="IQRGS6DC2710" hidden="1">#REF!</definedName>
    <definedName name="IQRGS6DC2711" hidden="1">#REF!</definedName>
    <definedName name="IQRGS6DC2712" hidden="1">#REF!</definedName>
    <definedName name="IQRGS6DC864" hidden="1">#REF!</definedName>
    <definedName name="IQRGS6DC865" hidden="1">#REF!</definedName>
    <definedName name="IQRGS6DJ1366" hidden="1">#REF!</definedName>
    <definedName name="IQRGS6DJ24" hidden="1">#REF!</definedName>
    <definedName name="IQRGS6DR1365" hidden="1">#REF!</definedName>
    <definedName name="IQRGS6DR1366" hidden="1">#REF!</definedName>
    <definedName name="IQRGS6DR23" hidden="1">#REF!</definedName>
    <definedName name="IQRGS6DR24" hidden="1">#REF!</definedName>
    <definedName name="IQRGS6DR25" hidden="1">#REF!</definedName>
    <definedName name="IQRGS6DR864" hidden="1">#REF!</definedName>
    <definedName name="IQRGS6DR865" hidden="1">#REF!</definedName>
    <definedName name="IQRGS6EG1365" hidden="1">#REF!</definedName>
    <definedName name="IQRGS6EG1366" hidden="1">#REF!</definedName>
    <definedName name="IQRGS6EG23" hidden="1">#REF!</definedName>
    <definedName name="IQRGS6EG24" hidden="1">#REF!</definedName>
    <definedName name="IQRGS6EG25" hidden="1">#REF!</definedName>
    <definedName name="IQRGS6EG864" hidden="1">#REF!</definedName>
    <definedName name="IQRGS6EG865" hidden="1">#REF!</definedName>
    <definedName name="IQRGS6EV1365" hidden="1">#REF!</definedName>
    <definedName name="IQRGS6EV1366" hidden="1">#REF!</definedName>
    <definedName name="IQRGS6EV23" hidden="1">#REF!</definedName>
    <definedName name="IQRGS6EV24" hidden="1">#REF!</definedName>
    <definedName name="IQRGS6EV25" hidden="1">#REF!</definedName>
    <definedName name="IQRGS6EV864" hidden="1">#REF!</definedName>
    <definedName name="IQRGS6EV865" hidden="1">#REF!</definedName>
    <definedName name="IQRGS6FK1365" hidden="1">#REF!</definedName>
    <definedName name="IQRGS6FK1366" hidden="1">#REF!</definedName>
    <definedName name="IQRGS6FK23" hidden="1">#REF!</definedName>
    <definedName name="IQRGS6FK24" hidden="1">#REF!</definedName>
    <definedName name="IQRGS6FK25" hidden="1">#REF!</definedName>
    <definedName name="IQRGS6FK864" hidden="1">#REF!</definedName>
    <definedName name="IQRGS6FK865" hidden="1">#REF!</definedName>
    <definedName name="IQRGS6FZ1365" hidden="1">#REF!</definedName>
    <definedName name="IQRGS6FZ1366" hidden="1">#REF!</definedName>
    <definedName name="IQRGS6FZ23" hidden="1">#REF!</definedName>
    <definedName name="IQRGS6FZ24" hidden="1">#REF!</definedName>
    <definedName name="IQRGS6FZ25" hidden="1">#REF!</definedName>
    <definedName name="IQRGS6FZ864" hidden="1">#REF!</definedName>
    <definedName name="IQRGS6FZ865" hidden="1">#REF!</definedName>
    <definedName name="IQRGS6GO1365" hidden="1">#REF!</definedName>
    <definedName name="IQRGS6GO1366" hidden="1">#REF!</definedName>
    <definedName name="IQRGS6GO23" hidden="1">#REF!</definedName>
    <definedName name="IQRGS6GO24" hidden="1">#REF!</definedName>
    <definedName name="IQRGS6GO25" hidden="1">#REF!</definedName>
    <definedName name="IQRGS6GO864" hidden="1">#REF!</definedName>
    <definedName name="IQRGS6GO865" hidden="1">#REF!</definedName>
    <definedName name="IQRGS6HD1365" hidden="1">#REF!</definedName>
    <definedName name="IQRGS6HD1366" hidden="1">#REF!</definedName>
    <definedName name="IQRGS6HD23" hidden="1">#REF!</definedName>
    <definedName name="IQRGS6HD24" hidden="1">#REF!</definedName>
    <definedName name="IQRGS6HD25" hidden="1">#REF!</definedName>
    <definedName name="IQRGS6HD864" hidden="1">#REF!</definedName>
    <definedName name="IQRGS6HD865" hidden="1">#REF!</definedName>
    <definedName name="IQRGS6HS1365" hidden="1">#REF!</definedName>
    <definedName name="IQRGS6HS1366" hidden="1">#REF!</definedName>
    <definedName name="IQRGS6HS23" hidden="1">#REF!</definedName>
    <definedName name="IQRGS6HS24" hidden="1">#REF!</definedName>
    <definedName name="IQRGS6HS25" hidden="1">#REF!</definedName>
    <definedName name="IQRGS6HS864" hidden="1">#REF!</definedName>
    <definedName name="IQRGS6HS865" hidden="1">#REF!</definedName>
    <definedName name="IQRGS6MktCapAC22" hidden="1">#REF!</definedName>
    <definedName name="IQRGS6MktCapAD15" hidden="1">#REF!</definedName>
    <definedName name="IQRGS6MktCapAE15" hidden="1">#REF!</definedName>
    <definedName name="IQRGS6MktCapAF15" hidden="1">#REF!</definedName>
    <definedName name="IQRGS6MktCapAG15" hidden="1">#REF!</definedName>
    <definedName name="IQRGS6MktCapAH15" hidden="1">#REF!</definedName>
    <definedName name="IQRGS6MktCapAK15" hidden="1">#REF!</definedName>
    <definedName name="IQRGS6MktCapAL15" hidden="1">#REF!</definedName>
    <definedName name="IQRGS6MktCapAL22" hidden="1">#REF!</definedName>
    <definedName name="IQRGS6MktCapAM15" hidden="1">#REF!</definedName>
    <definedName name="IQRGS6MktCapAN15" hidden="1">#REF!</definedName>
    <definedName name="IQRGS6MktCapAO15" hidden="1">#REF!</definedName>
    <definedName name="IQRGS6MktCapAP15" hidden="1">#REF!</definedName>
    <definedName name="IQRGS6MktCapAR15" hidden="1">#REF!</definedName>
    <definedName name="IQRGS6MktCapAS15" hidden="1">#REF!</definedName>
    <definedName name="IQRGS6MktCapAT15" hidden="1">#REF!</definedName>
    <definedName name="IQRGS6MktCapAU15" hidden="1">#REF!</definedName>
    <definedName name="IQRGS6MktCapAU22" hidden="1">#REF!</definedName>
    <definedName name="IQRGS6MktCapAV15" hidden="1">#REF!</definedName>
    <definedName name="IQRGS6MktCapAW15" hidden="1">#REF!</definedName>
    <definedName name="IQRGS6MktCapAX15" hidden="1">#REF!</definedName>
    <definedName name="IQRGS6MktCapAY15" hidden="1">#REF!</definedName>
    <definedName name="IQRGS6MktCapAZ15" hidden="1">#REF!</definedName>
    <definedName name="IQRGS6MktCapB15" hidden="1">#REF!</definedName>
    <definedName name="IQRGS6MktCapB22" hidden="1">#REF!</definedName>
    <definedName name="IQRGS6MktCapBA15" hidden="1">#REF!</definedName>
    <definedName name="IQRGS6MktCapBB15" hidden="1">#REF!</definedName>
    <definedName name="IQRGS6MktCapBC15" hidden="1">#REF!</definedName>
    <definedName name="IQRGS6MktCapBD15" hidden="1">#REF!</definedName>
    <definedName name="IQRGS6MktCapBD22" hidden="1">#REF!</definedName>
    <definedName name="IQRGS6MktCapBE15" hidden="1">#REF!</definedName>
    <definedName name="IQRGS6MktCapBF15" hidden="1">#REF!</definedName>
    <definedName name="IQRGS6MktCapBG15" hidden="1">#REF!</definedName>
    <definedName name="IQRGS6MktCapBH15" hidden="1">#REF!</definedName>
    <definedName name="IQRGS6MktCapBI15" hidden="1">#REF!</definedName>
    <definedName name="IQRGS6MktCapBJ15" hidden="1">#REF!</definedName>
    <definedName name="IQRGS6MktCapBK15" hidden="1">#REF!</definedName>
    <definedName name="IQRGS6MktCapBL15" hidden="1">#REF!</definedName>
    <definedName name="IQRGS6MktCapBM15" hidden="1">#REF!</definedName>
    <definedName name="IQRGS6MktCapBM22" hidden="1">#REF!</definedName>
    <definedName name="IQRGS6MktCapBN15" hidden="1">#REF!</definedName>
    <definedName name="IQRGS6MktCapBO15" hidden="1">#REF!</definedName>
    <definedName name="IQRGS6MktCapBP15" hidden="1">#REF!</definedName>
    <definedName name="IQRGS6MktCapBQ15" hidden="1">#REF!</definedName>
    <definedName name="IQRGS6MktCapBR15" hidden="1">#REF!</definedName>
    <definedName name="IQRGS6MktCapBS15" hidden="1">#REF!</definedName>
    <definedName name="IQRGS6MktCapBT15" hidden="1">#REF!</definedName>
    <definedName name="IQRGS6MktCapBU15" hidden="1">#REF!</definedName>
    <definedName name="IQRGS6MktCapBV15" hidden="1">#REF!</definedName>
    <definedName name="IQRGS6MktCapBV22" hidden="1">#REF!</definedName>
    <definedName name="IQRGS6MktCapBW15" hidden="1">#REF!</definedName>
    <definedName name="IQRGS6MktCapBX15" hidden="1">#REF!</definedName>
    <definedName name="IQRGS6MktCapBY15" hidden="1">#REF!</definedName>
    <definedName name="IQRGS6MktCapBZ15" hidden="1">#REF!</definedName>
    <definedName name="IQRGS6MktCapCA15" hidden="1">#REF!</definedName>
    <definedName name="IQRGS6MktCapCB15" hidden="1">#REF!</definedName>
    <definedName name="IQRGS6MktCapCC15" hidden="1">#REF!</definedName>
    <definedName name="IQRGS6MktCapCD15" hidden="1">#REF!</definedName>
    <definedName name="IQRGS6MktCapCE15" hidden="1">#REF!</definedName>
    <definedName name="IQRGS6MktCapCE22" hidden="1">#REF!</definedName>
    <definedName name="IQRGS6MktCapCF15" hidden="1">#REF!</definedName>
    <definedName name="IQRGS6MktCapCG15" hidden="1">#REF!</definedName>
    <definedName name="IQRGS6MktCapCH15" hidden="1">#REF!</definedName>
    <definedName name="IQRGS6MktCapCI15" hidden="1">#REF!</definedName>
    <definedName name="IQRGS6MktCapCJ15" hidden="1">#REF!</definedName>
    <definedName name="IQRGS6MktCapCK15" hidden="1">#REF!</definedName>
    <definedName name="IQRGS6MktCapCL15" hidden="1">#REF!</definedName>
    <definedName name="IQRGS6MktCapCM15" hidden="1">#REF!</definedName>
    <definedName name="IQRGS6MktCapCN15" hidden="1">#REF!</definedName>
    <definedName name="IQRGS6MktCapCN22" hidden="1">#REF!</definedName>
    <definedName name="IQRGS6MktCapCO15" hidden="1">#REF!</definedName>
    <definedName name="IQRGS6MktCapCP15" hidden="1">#REF!</definedName>
    <definedName name="IQRGS6MktCapCQ15" hidden="1">#REF!</definedName>
    <definedName name="IQRGS6MktCapCR15" hidden="1">#REF!</definedName>
    <definedName name="IQRGS6MktCapCS15" hidden="1">#REF!</definedName>
    <definedName name="IQRGS6MktCapCT15" hidden="1">#REF!</definedName>
    <definedName name="IQRGS6MktCapCU15" hidden="1">#REF!</definedName>
    <definedName name="IQRGS6MktCapCV15" hidden="1">#REF!</definedName>
    <definedName name="IQRGS6MktCapCW15" hidden="1">#REF!</definedName>
    <definedName name="IQRGS6MktCapCW22" hidden="1">#REF!</definedName>
    <definedName name="IQRGS6MktCapCX15" hidden="1">#REF!</definedName>
    <definedName name="IQRGS6MktCapCY15" hidden="1">#REF!</definedName>
    <definedName name="IQRGS6MktCapCZ15" hidden="1">#REF!</definedName>
    <definedName name="IQRGS6MktCapDA15" hidden="1">#REF!</definedName>
    <definedName name="IQRGS6MktCapDB15" hidden="1">#REF!</definedName>
    <definedName name="IQRGS6MktCapDC15" hidden="1">#REF!</definedName>
    <definedName name="IQRGS6MktCapDD15" hidden="1">#REF!</definedName>
    <definedName name="IQRGS6MktCapDE15" hidden="1">#REF!</definedName>
    <definedName name="IQRGS6MktCapDF15" hidden="1">#REF!</definedName>
    <definedName name="IQRGS6MktCapDF22" hidden="1">#REF!</definedName>
    <definedName name="IQRGS6MktCapDG15" hidden="1">#REF!</definedName>
    <definedName name="IQRGS6MktCapDH15" hidden="1">#REF!</definedName>
    <definedName name="IQRGS6MktCapDI15" hidden="1">#REF!</definedName>
    <definedName name="IQRGS6MktCapDJ15" hidden="1">#REF!</definedName>
    <definedName name="IQRGS6MktCapDK15" hidden="1">#REF!</definedName>
    <definedName name="IQRGS6MktCapDL15" hidden="1">#REF!</definedName>
    <definedName name="IQRGS6MktCapDM15" hidden="1">#REF!</definedName>
    <definedName name="IQRGS6MktCapDN15" hidden="1">#REF!</definedName>
    <definedName name="IQRGS6MktCapDO15" hidden="1">#REF!</definedName>
    <definedName name="IQRGS6MktCapDO22" hidden="1">#REF!</definedName>
    <definedName name="IQRGS6MktCapDP15" hidden="1">#REF!</definedName>
    <definedName name="IQRGS6MktCapDQ15" hidden="1">#REF!</definedName>
    <definedName name="IQRGS6MktCapDR15" hidden="1">#REF!</definedName>
    <definedName name="IQRGS6MktCapDS15" hidden="1">#REF!</definedName>
    <definedName name="IQRGS6MktCapDT15" hidden="1">#REF!</definedName>
    <definedName name="IQRGS6MktCapDU15" hidden="1">#REF!</definedName>
    <definedName name="IQRGS6MktCapDV15" hidden="1">#REF!</definedName>
    <definedName name="IQRGS6MktCapDW15" hidden="1">#REF!</definedName>
    <definedName name="IQRGS6MktCapDX15" hidden="1">#REF!</definedName>
    <definedName name="IQRGS6MktCapDX22" hidden="1">#REF!</definedName>
    <definedName name="IQRGS6MktCapDY15" hidden="1">#REF!</definedName>
    <definedName name="IQRGS6MktCapDZ15" hidden="1">#REF!</definedName>
    <definedName name="IQRGS6MktCapEA15" hidden="1">#REF!</definedName>
    <definedName name="IQRGS6MktCapEB15" hidden="1">#REF!</definedName>
    <definedName name="IQRGS6MktCapEC15" hidden="1">#REF!</definedName>
    <definedName name="IQRGS6MktCapED15" hidden="1">#REF!</definedName>
    <definedName name="IQRGS6MktCapEE15" hidden="1">#REF!</definedName>
    <definedName name="IQRGS6MktCapEF15" hidden="1">#REF!</definedName>
    <definedName name="IQRGS6MktCapEG15" hidden="1">#REF!</definedName>
    <definedName name="IQRGS6MktCapEG22" hidden="1">#REF!</definedName>
    <definedName name="IQRGS6MktCapEH15" hidden="1">#REF!</definedName>
    <definedName name="IQRGS6MktCapEI15" hidden="1">#REF!</definedName>
    <definedName name="IQRGS6MktCapEJ15" hidden="1">#REF!</definedName>
    <definedName name="IQRGS6MktCapEK15" hidden="1">#REF!</definedName>
    <definedName name="IQRGS6MktCapEL15" hidden="1">#REF!</definedName>
    <definedName name="IQRGS6MktCapEM15" hidden="1">#REF!</definedName>
    <definedName name="IQRGS6MktCapEN15" hidden="1">#REF!</definedName>
    <definedName name="IQRGS6MktCapEO15" hidden="1">#REF!</definedName>
    <definedName name="IQRGS6MktCapEP15" hidden="1">#REF!</definedName>
    <definedName name="IQRGS6MktCapEP22" hidden="1">#REF!</definedName>
    <definedName name="IQRGS6MktCapEQ15" hidden="1">#REF!</definedName>
    <definedName name="IQRGS6MktCapER15" hidden="1">#REF!</definedName>
    <definedName name="IQRGS6MktCapES15" hidden="1">#REF!</definedName>
    <definedName name="IQRGS6MktCapET15" hidden="1">#REF!</definedName>
    <definedName name="IQRGS6MktCapEU15" hidden="1">#REF!</definedName>
    <definedName name="IQRGS6MktCapEV15" hidden="1">#REF!</definedName>
    <definedName name="IQRGS6MktCapEW15" hidden="1">#REF!</definedName>
    <definedName name="IQRGS6MktCapEX15" hidden="1">#REF!</definedName>
    <definedName name="IQRGS6MktCapEY22" hidden="1">#REF!</definedName>
    <definedName name="IQRGS6MktCapFH22" hidden="1">#REF!</definedName>
    <definedName name="IQRGS6MktCapFQ22" hidden="1">#REF!</definedName>
    <definedName name="IQRGS6MktCapI15" hidden="1">#REF!</definedName>
    <definedName name="IQRGS6MktCapJ15" hidden="1">#REF!</definedName>
    <definedName name="IQRGS6MktCapK22" hidden="1">#REF!</definedName>
    <definedName name="IQRGS6MktCapP15" hidden="1">#REF!</definedName>
    <definedName name="IQRGS6MktCapQ15" hidden="1">#REF!</definedName>
    <definedName name="IQRGS6MktCapR15" hidden="1">#REF!</definedName>
    <definedName name="IQRGS6MktCapT22" hidden="1">#REF!</definedName>
    <definedName name="IQRGS6MktCapW15" hidden="1">#REF!</definedName>
    <definedName name="IQRGS6MktCapX15" hidden="1">#REF!</definedName>
    <definedName name="IQRGS6MktCapY15" hidden="1">#REF!</definedName>
    <definedName name="IQRGS6MktCapZ15" hidden="1">#REF!</definedName>
    <definedName name="IQRGS6Q1365" hidden="1">#REF!</definedName>
    <definedName name="IQRGS6Q1366" hidden="1">#REF!</definedName>
    <definedName name="IQRGS6Q1709" hidden="1">#REF!</definedName>
    <definedName name="IQRGS6Q1710" hidden="1">#REF!</definedName>
    <definedName name="IQRGS6Q2210" hidden="1">#REF!</definedName>
    <definedName name="IQRGS6Q23" hidden="1">#REF!</definedName>
    <definedName name="IQRGS6Q24" hidden="1">#REF!</definedName>
    <definedName name="IQRGS6Q25" hidden="1">#REF!</definedName>
    <definedName name="IQRGS6Q2710" hidden="1">#REF!</definedName>
    <definedName name="IQRGS6Q2711" hidden="1">#REF!</definedName>
    <definedName name="IQRGS6Q2712" hidden="1">#REF!</definedName>
    <definedName name="IQRGS6Q864" hidden="1">#REF!</definedName>
    <definedName name="IQRGS6Q865" hidden="1">#REF!</definedName>
    <definedName name="IQRGS6R1366" hidden="1">#REF!</definedName>
    <definedName name="IQRGS6R2712" hidden="1">#REF!</definedName>
    <definedName name="IQRH10" hidden="1">"$H$11:$H$24"</definedName>
    <definedName name="IQRH11" hidden="1">"$H$12:$H$21"</definedName>
    <definedName name="IQRHD23" hidden="1">"$HD$24"</definedName>
    <definedName name="IQRHD864" hidden="1">"$HD$865"</definedName>
    <definedName name="IQRHS23" hidden="1">"$HS$24"</definedName>
    <definedName name="IQRHS864" hidden="1">"$HS$865"</definedName>
    <definedName name="IQRM10" hidden="1">"$M$11:$M$24"</definedName>
    <definedName name="IQRM11" hidden="1">"$M$12:$M$25"</definedName>
    <definedName name="IQRMktCapAH14" hidden="1">#REF!</definedName>
    <definedName name="IQRMktCapAH15" hidden="1">#REF!</definedName>
    <definedName name="IQRMktCapAH16" hidden="1">#REF!</definedName>
    <definedName name="IQRMktCapAP14" hidden="1">#REF!</definedName>
    <definedName name="IQRMktCapAP15" hidden="1">#REF!</definedName>
    <definedName name="IQRMktCapAP16" hidden="1">#REF!</definedName>
    <definedName name="IQRMktCapAX14" hidden="1">#REF!</definedName>
    <definedName name="IQRMktCapAX15" hidden="1">#REF!</definedName>
    <definedName name="IQRMktCapAX16" hidden="1">#REF!</definedName>
    <definedName name="IQRMktCapB14" hidden="1">#REF!</definedName>
    <definedName name="IQRMktCapB15" hidden="1">#REF!</definedName>
    <definedName name="IQRMktCapB16" hidden="1">#REF!</definedName>
    <definedName name="IQRMktCapBF14" hidden="1">#REF!</definedName>
    <definedName name="IQRMktCapBF15" hidden="1">#REF!</definedName>
    <definedName name="IQRMktCapBF16" hidden="1">#REF!</definedName>
    <definedName name="IQRMktCapBN14" hidden="1">#REF!</definedName>
    <definedName name="IQRMktCapBN15" hidden="1">#REF!</definedName>
    <definedName name="IQRMktCapBN16" hidden="1">#REF!</definedName>
    <definedName name="IQRMktCapBV14" hidden="1">#REF!</definedName>
    <definedName name="IQRMktCapBV15" hidden="1">#REF!</definedName>
    <definedName name="IQRMktCapBV16" hidden="1">#REF!</definedName>
    <definedName name="IQRMktCapCD14" hidden="1">#REF!</definedName>
    <definedName name="IQRMktCapCD15" hidden="1">#REF!</definedName>
    <definedName name="IQRMktCapCD16" hidden="1">#REF!</definedName>
    <definedName name="IQRMktCapCL14" hidden="1">#REF!</definedName>
    <definedName name="IQRMktCapCL15" hidden="1">#REF!</definedName>
    <definedName name="IQRMktCapCL16" hidden="1">#REF!</definedName>
    <definedName name="IQRMktCapCT14" hidden="1">#REF!</definedName>
    <definedName name="IQRMktCapCT15" hidden="1">#REF!</definedName>
    <definedName name="IQRMktCapCT16" hidden="1">#REF!</definedName>
    <definedName name="IQRMktCapDB14" hidden="1">#REF!</definedName>
    <definedName name="IQRMktCapDB15" hidden="1">#REF!</definedName>
    <definedName name="IQRMktCapDB16" hidden="1">#REF!</definedName>
    <definedName name="IQRMktCapDJ14" hidden="1">#REF!</definedName>
    <definedName name="IQRMktCapDJ15" hidden="1">#REF!</definedName>
    <definedName name="IQRMktCapDJ16" hidden="1">#REF!</definedName>
    <definedName name="IQRMktCapDR14" hidden="1">#REF!</definedName>
    <definedName name="IQRMktCapDR15" hidden="1">#REF!</definedName>
    <definedName name="IQRMktCapDR16" hidden="1">#REF!</definedName>
    <definedName name="IQRMktCapDZ14" hidden="1">#REF!</definedName>
    <definedName name="IQRMktCapDZ15" hidden="1">#REF!</definedName>
    <definedName name="IQRMktCapDZ16" hidden="1">#REF!</definedName>
    <definedName name="IQRMktCapEH14" hidden="1">#REF!</definedName>
    <definedName name="IQRMktCapEH15" hidden="1">#REF!</definedName>
    <definedName name="IQRMktCapEH16" hidden="1">#REF!</definedName>
    <definedName name="IQRMktCapEP14" hidden="1">#REF!</definedName>
    <definedName name="IQRMktCapEP15" hidden="1">#REF!</definedName>
    <definedName name="IQRMktCapEP16" hidden="1">#REF!</definedName>
    <definedName name="IQRMktCapEX14" hidden="1">#REF!</definedName>
    <definedName name="IQRMktCapEX15" hidden="1">#REF!</definedName>
    <definedName name="IQRMktCapEX16" hidden="1">#REF!</definedName>
    <definedName name="IQRMktCapJ14" hidden="1">#REF!</definedName>
    <definedName name="IQRMktCapJ15" hidden="1">#REF!</definedName>
    <definedName name="IQRMktCapJ16" hidden="1">#REF!</definedName>
    <definedName name="IQRMktCapR14" hidden="1">#REF!</definedName>
    <definedName name="IQRMktCapR15" hidden="1">#REF!</definedName>
    <definedName name="IQRMktCapR16" hidden="1">#REF!</definedName>
    <definedName name="IQRMktCapZ14" hidden="1">#REF!</definedName>
    <definedName name="IQRMktCapZ15" hidden="1">#REF!</definedName>
    <definedName name="IQRMktCapZ16" hidden="1">#REF!</definedName>
    <definedName name="IQRN11" hidden="1">"$N$12:$N$16"</definedName>
    <definedName name="IQRO10" hidden="1">"$O$11:$O$24"</definedName>
    <definedName name="IQRO11" hidden="1">"$O$12"</definedName>
    <definedName name="IQRP11" hidden="1">"$P$12"</definedName>
    <definedName name="IQRPrefShareAA6" hidden="1">#REF!</definedName>
    <definedName name="IQRPrefShareAC6" hidden="1">#REF!</definedName>
    <definedName name="IQRPrefShareAE6" hidden="1">#REF!</definedName>
    <definedName name="IQRPrefShareAG6" hidden="1">#REF!</definedName>
    <definedName name="IQRPrefShareAI6" hidden="1">#REF!</definedName>
    <definedName name="IQRPrefShareAK6" hidden="1">#REF!</definedName>
    <definedName name="IQRPrefShareAM6" hidden="1">#REF!</definedName>
    <definedName name="IQRPrefShareAO6" hidden="1">#REF!</definedName>
    <definedName name="IQRPrefShareAQ6" hidden="1">#REF!</definedName>
    <definedName name="IQRPrefShareAS6" hidden="1">#REF!</definedName>
    <definedName name="IQRPrefShareAU6" hidden="1">#REF!</definedName>
    <definedName name="IQRPrefShareAW6" hidden="1">#REF!</definedName>
    <definedName name="IQRPrefShareAY6" hidden="1">#REF!</definedName>
    <definedName name="IQRPrefShareB6" hidden="1">#REF!</definedName>
    <definedName name="IQRPrefShareBA6" hidden="1">#REF!</definedName>
    <definedName name="IQRPrefShareBC6" hidden="1">#REF!</definedName>
    <definedName name="IQRPrefShareQ5" hidden="1">#REF!</definedName>
    <definedName name="IQRPrefShareQ6" hidden="1">#REF!</definedName>
    <definedName name="IQRPrefShareS6" hidden="1">#REF!</definedName>
    <definedName name="IQRPrefShareU6" hidden="1">#REF!</definedName>
    <definedName name="IQRPrefShareW6" hidden="1">#REF!</definedName>
    <definedName name="IQRPrefShareY6" hidden="1">#REF!</definedName>
    <definedName name="IQRQ10" hidden="1">"$Q$11:$Q$15"</definedName>
    <definedName name="IQRQ11" hidden="1">"$Q$12"</definedName>
    <definedName name="IQRQ1709" hidden="1">"$Q$1710"</definedName>
    <definedName name="IQRQ23" hidden="1">"$Q$24"</definedName>
    <definedName name="IQRQ864" hidden="1">"$Q$865"</definedName>
    <definedName name="IQRR11" hidden="1">"$R$12"</definedName>
    <definedName name="IQRS10" hidden="1">"$S$11"</definedName>
    <definedName name="IQRS11" hidden="1">"$S$12"</definedName>
    <definedName name="IQRSheet1A6" hidden="1">#REF!</definedName>
    <definedName name="IQRSheet1A7" hidden="1">#REF!</definedName>
    <definedName name="IQRSheet1A8" hidden="1">#REF!</definedName>
    <definedName name="IQRSheet1A9" hidden="1">#REF!</definedName>
    <definedName name="IQRSheet1AG8" hidden="1">#REF!</definedName>
    <definedName name="IQRSheet1AO8" hidden="1">#REF!</definedName>
    <definedName name="IQRSheet1AW8" hidden="1">#REF!</definedName>
    <definedName name="IQRSheet1B6" hidden="1">#REF!</definedName>
    <definedName name="IQRSheet1B7" hidden="1">#REF!</definedName>
    <definedName name="IQRSheet1B8" hidden="1">#REF!</definedName>
    <definedName name="IQRSheet1BE8" hidden="1">#REF!</definedName>
    <definedName name="IQRSheet1BM8" hidden="1">#REF!</definedName>
    <definedName name="IQRSheet1BU8" hidden="1">#REF!</definedName>
    <definedName name="IQRSheet1CB8" hidden="1">#REF!</definedName>
    <definedName name="IQRSheet1CC8" hidden="1">#REF!</definedName>
    <definedName name="IQRSheet1CJ8" hidden="1">#REF!</definedName>
    <definedName name="IQRSheet1CK8" hidden="1">#REF!</definedName>
    <definedName name="IQRSheet1CR8" hidden="1">#REF!</definedName>
    <definedName name="IQRSheet1CS8" hidden="1">#REF!</definedName>
    <definedName name="IQRSheet1CZ8" hidden="1">#REF!</definedName>
    <definedName name="IQRSheet1DA8" hidden="1">#REF!</definedName>
    <definedName name="IQRSheet1DH8" hidden="1">#REF!</definedName>
    <definedName name="IQRSheet1DI8" hidden="1">#REF!</definedName>
    <definedName name="IQRSheet1DP8" hidden="1">#REF!</definedName>
    <definedName name="IQRSheet1DQ8" hidden="1">#REF!</definedName>
    <definedName name="IQRSheet1DX8" hidden="1">#REF!</definedName>
    <definedName name="IQRSheet1DY8" hidden="1">#REF!</definedName>
    <definedName name="IQRSheet1EF8" hidden="1">#REF!</definedName>
    <definedName name="IQRSheet1EG8" hidden="1">#REF!</definedName>
    <definedName name="IQRSheet1EN8" hidden="1">#REF!</definedName>
    <definedName name="IQRSheet1EO8" hidden="1">#REF!</definedName>
    <definedName name="IQRSheet1EV8" hidden="1">#REF!</definedName>
    <definedName name="IQRSheet1EW8" hidden="1">#REF!</definedName>
    <definedName name="IQRSheet1I8" hidden="1">#REF!</definedName>
    <definedName name="IQRSheet1Q8" hidden="1">#REF!</definedName>
    <definedName name="IQRSheet1Y8" hidden="1">#REF!</definedName>
    <definedName name="IQRT11" hidden="1">"$T$12"</definedName>
    <definedName name="IQRTradingVolA6" hidden="1">#REF!</definedName>
    <definedName name="IQRTradingVolA7" hidden="1">#REF!</definedName>
    <definedName name="IQRTradingVolA8" hidden="1">#REF!</definedName>
    <definedName name="IQRTradingVolAA10" hidden="1">#REF!</definedName>
    <definedName name="IQRTradingVolAA6" hidden="1">#REF!</definedName>
    <definedName name="IQRTradingVolAA7" hidden="1">#REF!</definedName>
    <definedName name="IQRTradingVolAA8" hidden="1">#REF!</definedName>
    <definedName name="IQRTradingVolAA9" hidden="1">#REF!</definedName>
    <definedName name="IQRTradingVolAB11" hidden="1">#REF!</definedName>
    <definedName name="IQRTradingVolAB6" hidden="1">#REF!</definedName>
    <definedName name="IQRTradingVolAB7" hidden="1">#REF!</definedName>
    <definedName name="IQRTradingVolAB8" hidden="1">#REF!</definedName>
    <definedName name="IQRTradingVolAB9" hidden="1">#REF!</definedName>
    <definedName name="IQRTradingVolAC10" hidden="1">#REF!</definedName>
    <definedName name="IQRTradingVolAC6" hidden="1">#REF!</definedName>
    <definedName name="IQRTradingVolAC7" hidden="1">#REF!</definedName>
    <definedName name="IQRTradingVolAC8" hidden="1">#REF!</definedName>
    <definedName name="IQRTradingVolAC9" hidden="1">#REF!</definedName>
    <definedName name="IQRTradingVolAD11" hidden="1">#REF!</definedName>
    <definedName name="IQRTradingVolAD6" hidden="1">#REF!</definedName>
    <definedName name="IQRTradingVolAD7" hidden="1">#REF!</definedName>
    <definedName name="IQRTradingVolAD8" hidden="1">#REF!</definedName>
    <definedName name="IQRTradingVolAD9" hidden="1">#REF!</definedName>
    <definedName name="IQRTradingVolAE10" hidden="1">#REF!</definedName>
    <definedName name="IQRTradingVolAE6" hidden="1">#REF!</definedName>
    <definedName name="IQRTradingVolAE7" hidden="1">#REF!</definedName>
    <definedName name="IQRTradingVolAE8" hidden="1">#REF!</definedName>
    <definedName name="IQRTradingVolAE9" hidden="1">#REF!</definedName>
    <definedName name="IQRTradingVolAF11" hidden="1">#REF!</definedName>
    <definedName name="IQRTradingVolAF6" hidden="1">#REF!</definedName>
    <definedName name="IQRTradingVolAF7" hidden="1">#REF!</definedName>
    <definedName name="IQRTradingVolAF8" hidden="1">#REF!</definedName>
    <definedName name="IQRTradingVolAF9" hidden="1">#REF!</definedName>
    <definedName name="IQRTradingVolAG10" hidden="1">#REF!</definedName>
    <definedName name="IQRTradingVolAG6" hidden="1">#REF!</definedName>
    <definedName name="IQRTradingVolAG7" hidden="1">#REF!</definedName>
    <definedName name="IQRTradingVolAG8" hidden="1">#REF!</definedName>
    <definedName name="IQRTradingVolAG9" hidden="1">#REF!</definedName>
    <definedName name="IQRTradingVolAH11" hidden="1">#REF!</definedName>
    <definedName name="IQRTradingVolAH6" hidden="1">#REF!</definedName>
    <definedName name="IQRTradingVolAH7" hidden="1">#REF!</definedName>
    <definedName name="IQRTradingVolAH8" hidden="1">#REF!</definedName>
    <definedName name="IQRTradingVolAH9" hidden="1">#REF!</definedName>
    <definedName name="IQRTradingVolAI10" hidden="1">#REF!</definedName>
    <definedName name="IQRTradingVolAI6" hidden="1">#REF!</definedName>
    <definedName name="IQRTradingVolAI7" hidden="1">#REF!</definedName>
    <definedName name="IQRTradingVolAI8" hidden="1">#REF!</definedName>
    <definedName name="IQRTradingVolAI9" hidden="1">#REF!</definedName>
    <definedName name="IQRTradingVolAJ11" hidden="1">#REF!</definedName>
    <definedName name="IQRTradingVolAJ6" hidden="1">#REF!</definedName>
    <definedName name="IQRTradingVolAJ7" hidden="1">#REF!</definedName>
    <definedName name="IQRTradingVolAJ8" hidden="1">#REF!</definedName>
    <definedName name="IQRTradingVolAJ9" hidden="1">#REF!</definedName>
    <definedName name="IQRTradingVolAK10" hidden="1">#REF!</definedName>
    <definedName name="IQRTradingVolAK6" hidden="1">#REF!</definedName>
    <definedName name="IQRTradingVolAK7" hidden="1">#REF!</definedName>
    <definedName name="IQRTradingVolAK8" hidden="1">#REF!</definedName>
    <definedName name="IQRTradingVolAK9" hidden="1">#REF!</definedName>
    <definedName name="IQRTradingVolAL11" hidden="1">#REF!</definedName>
    <definedName name="IQRTradingVolAL6" hidden="1">#REF!</definedName>
    <definedName name="IQRTradingVolAL7" hidden="1">#REF!</definedName>
    <definedName name="IQRTradingVolAL8" hidden="1">#REF!</definedName>
    <definedName name="IQRTradingVolAL9" hidden="1">#REF!</definedName>
    <definedName name="IQRTradingVolAM10" hidden="1">#REF!</definedName>
    <definedName name="IQRTradingVolAM6" hidden="1">#REF!</definedName>
    <definedName name="IQRTradingVolAM7" hidden="1">#REF!</definedName>
    <definedName name="IQRTradingVolAM8" hidden="1">#REF!</definedName>
    <definedName name="IQRTradingVolAM9" hidden="1">#REF!</definedName>
    <definedName name="IQRTradingVolAN11" hidden="1">#REF!</definedName>
    <definedName name="IQRTradingVolAN6" hidden="1">#REF!</definedName>
    <definedName name="IQRTradingVolAN7" hidden="1">#REF!</definedName>
    <definedName name="IQRTradingVolAN8" hidden="1">#REF!</definedName>
    <definedName name="IQRTradingVolAN9" hidden="1">#REF!</definedName>
    <definedName name="IQRTradingVolAO10" hidden="1">#REF!</definedName>
    <definedName name="IQRTradingVolAO8" hidden="1">#REF!</definedName>
    <definedName name="IQRTradingVolAO9" hidden="1">#REF!</definedName>
    <definedName name="IQRTradingVolAR8" hidden="1">#REF!</definedName>
    <definedName name="IQRTradingVolAR9" hidden="1">#REF!</definedName>
    <definedName name="IQRTradingVolAU8" hidden="1">#REF!</definedName>
    <definedName name="IQRTradingVolAU9" hidden="1">#REF!</definedName>
    <definedName name="IQRTradingVolAX8" hidden="1">#REF!</definedName>
    <definedName name="IQRTradingVolAX9" hidden="1">#REF!</definedName>
    <definedName name="IQRTradingVolB10" hidden="1">#REF!</definedName>
    <definedName name="IQRTradingVolB11" hidden="1">#REF!</definedName>
    <definedName name="IQRTradingVolB6" hidden="1">#REF!</definedName>
    <definedName name="IQRTradingVolB7" hidden="1">#REF!</definedName>
    <definedName name="IQRTradingVolB8" hidden="1">#REF!</definedName>
    <definedName name="IQRTradingVolB9" hidden="1">#REF!</definedName>
    <definedName name="IQRTradingVolBA8" hidden="1">#REF!</definedName>
    <definedName name="IQRTradingVolBA9" hidden="1">#REF!</definedName>
    <definedName name="IQRTradingVolBD8" hidden="1">#REF!</definedName>
    <definedName name="IQRTradingVolBD9" hidden="1">#REF!</definedName>
    <definedName name="IQRTradingVolBG8" hidden="1">#REF!</definedName>
    <definedName name="IQRTradingVolBG9" hidden="1">#REF!</definedName>
    <definedName name="IQRTradingVolC6" hidden="1">#REF!</definedName>
    <definedName name="IQRTradingVolC7" hidden="1">#REF!</definedName>
    <definedName name="IQRTradingVolC8" hidden="1">#REF!</definedName>
    <definedName name="IQRTradingVolD11" hidden="1">#REF!</definedName>
    <definedName name="IQRTradingVolD6" hidden="1">#REF!</definedName>
    <definedName name="IQRTradingVolD7" hidden="1">#REF!</definedName>
    <definedName name="IQRTradingVolD8" hidden="1">#REF!</definedName>
    <definedName name="IQRTradingVolD9" hidden="1">#REF!</definedName>
    <definedName name="IQRTradingVolE10" hidden="1">#REF!</definedName>
    <definedName name="IQRTradingVolE6" hidden="1">#REF!</definedName>
    <definedName name="IQRTradingVolE7" hidden="1">#REF!</definedName>
    <definedName name="IQRTradingVolE8" hidden="1">#REF!</definedName>
    <definedName name="IQRTradingVolE9" hidden="1">#REF!</definedName>
    <definedName name="IQRTradingVolF11" hidden="1">#REF!</definedName>
    <definedName name="IQRTradingVolF6" hidden="1">#REF!</definedName>
    <definedName name="IQRTradingVolF7" hidden="1">#REF!</definedName>
    <definedName name="IQRTradingVolF8" hidden="1">#REF!</definedName>
    <definedName name="IQRTradingVolF9" hidden="1">#REF!</definedName>
    <definedName name="IQRTradingVolG10" hidden="1">#REF!</definedName>
    <definedName name="IQRTradingVolG6" hidden="1">#REF!</definedName>
    <definedName name="IQRTradingVolG7" hidden="1">#REF!</definedName>
    <definedName name="IQRTradingVolG8" hidden="1">#REF!</definedName>
    <definedName name="IQRTradingVolG9" hidden="1">#REF!</definedName>
    <definedName name="IQRTradingVolH11" hidden="1">#REF!</definedName>
    <definedName name="IQRTradingVolH6" hidden="1">#REF!</definedName>
    <definedName name="IQRTradingVolH7" hidden="1">#REF!</definedName>
    <definedName name="IQRTradingVolH8" hidden="1">#REF!</definedName>
    <definedName name="IQRTradingVolH9" hidden="1">#REF!</definedName>
    <definedName name="IQRTradingVolI10" hidden="1">#REF!</definedName>
    <definedName name="IQRTradingVolI6" hidden="1">#REF!</definedName>
    <definedName name="IQRTradingVolI7" hidden="1">#REF!</definedName>
    <definedName name="IQRTradingVolI8" hidden="1">#REF!</definedName>
    <definedName name="IQRTradingVolI9" hidden="1">#REF!</definedName>
    <definedName name="IQRTradingVolJ11" hidden="1">#REF!</definedName>
    <definedName name="IQRTradingVolJ6" hidden="1">#REF!</definedName>
    <definedName name="IQRTradingVolJ7" hidden="1">#REF!</definedName>
    <definedName name="IQRTradingVolJ8" hidden="1">#REF!</definedName>
    <definedName name="IQRTradingVolJ9" hidden="1">#REF!</definedName>
    <definedName name="IQRTradingVolK10" hidden="1">#REF!</definedName>
    <definedName name="IQRTradingVolK6" hidden="1">#REF!</definedName>
    <definedName name="IQRTradingVolK7" hidden="1">#REF!</definedName>
    <definedName name="IQRTradingVolK8" hidden="1">#REF!</definedName>
    <definedName name="IQRTradingVolK9" hidden="1">#REF!</definedName>
    <definedName name="IQRTradingVolL11" hidden="1">#REF!</definedName>
    <definedName name="IQRTradingVolL6" hidden="1">#REF!</definedName>
    <definedName name="IQRTradingVolL7" hidden="1">#REF!</definedName>
    <definedName name="IQRTradingVolL8" hidden="1">#REF!</definedName>
    <definedName name="IQRTradingVolL9" hidden="1">#REF!</definedName>
    <definedName name="IQRTradingVolM10" hidden="1">#REF!</definedName>
    <definedName name="IQRTradingVolM6" hidden="1">#REF!</definedName>
    <definedName name="IQRTradingVolM7" hidden="1">#REF!</definedName>
    <definedName name="IQRTradingVolM8" hidden="1">#REF!</definedName>
    <definedName name="IQRTradingVolM9" hidden="1">#REF!</definedName>
    <definedName name="IQRTradingVolN11" hidden="1">#REF!</definedName>
    <definedName name="IQRTradingVolN6" hidden="1">#REF!</definedName>
    <definedName name="IQRTradingVolN7" hidden="1">#REF!</definedName>
    <definedName name="IQRTradingVolN8" hidden="1">#REF!</definedName>
    <definedName name="IQRTradingVolN9" hidden="1">#REF!</definedName>
    <definedName name="IQRTradingVolO10" hidden="1">#REF!</definedName>
    <definedName name="IQRTradingVolO6" hidden="1">#REF!</definedName>
    <definedName name="IQRTradingVolO7" hidden="1">#REF!</definedName>
    <definedName name="IQRTradingVolO8" hidden="1">#REF!</definedName>
    <definedName name="IQRTradingVolO9" hidden="1">#REF!</definedName>
    <definedName name="IQRTradingVolP11" hidden="1">#REF!</definedName>
    <definedName name="IQRTradingVolP6" hidden="1">#REF!</definedName>
    <definedName name="IQRTradingVolP7" hidden="1">#REF!</definedName>
    <definedName name="IQRTradingVolP8" hidden="1">#REF!</definedName>
    <definedName name="IQRTradingVolP9" hidden="1">#REF!</definedName>
    <definedName name="IQRTradingVolQ10" hidden="1">#REF!</definedName>
    <definedName name="IQRTradingVolQ6" hidden="1">#REF!</definedName>
    <definedName name="IQRTradingVolQ7" hidden="1">#REF!</definedName>
    <definedName name="IQRTradingVolQ8" hidden="1">#REF!</definedName>
    <definedName name="IQRTradingVolQ9" hidden="1">#REF!</definedName>
    <definedName name="IQRTradingVolR11" hidden="1">#REF!</definedName>
    <definedName name="IQRTradingVolR6" hidden="1">#REF!</definedName>
    <definedName name="IQRTradingVolR7" hidden="1">#REF!</definedName>
    <definedName name="IQRTradingVolR8" hidden="1">#REF!</definedName>
    <definedName name="IQRTradingVolR9" hidden="1">#REF!</definedName>
    <definedName name="IQRTradingVolS10" hidden="1">#REF!</definedName>
    <definedName name="IQRTradingVolS6" hidden="1">#REF!</definedName>
    <definedName name="IQRTradingVolS7" hidden="1">#REF!</definedName>
    <definedName name="IQRTradingVolS8" hidden="1">#REF!</definedName>
    <definedName name="IQRTradingVolS9" hidden="1">#REF!</definedName>
    <definedName name="IQRTradingVolT11" hidden="1">#REF!</definedName>
    <definedName name="IQRTradingVolT6" hidden="1">#REF!</definedName>
    <definedName name="IQRTradingVolT7" hidden="1">#REF!</definedName>
    <definedName name="IQRTradingVolT8" hidden="1">#REF!</definedName>
    <definedName name="IQRTradingVolT9" hidden="1">#REF!</definedName>
    <definedName name="IQRTradingVolU10" hidden="1">#REF!</definedName>
    <definedName name="IQRTradingVolU6" hidden="1">#REF!</definedName>
    <definedName name="IQRTradingVolU7" hidden="1">#REF!</definedName>
    <definedName name="IQRTradingVolU8" hidden="1">#REF!</definedName>
    <definedName name="IQRTradingVolU9" hidden="1">#REF!</definedName>
    <definedName name="IQRTradingVolV11" hidden="1">#REF!</definedName>
    <definedName name="IQRTradingVolV6" hidden="1">#REF!</definedName>
    <definedName name="IQRTradingVolV7" hidden="1">#REF!</definedName>
    <definedName name="IQRTradingVolV8" hidden="1">#REF!</definedName>
    <definedName name="IQRTradingVolV9" hidden="1">#REF!</definedName>
    <definedName name="IQRTradingVolW10" hidden="1">#REF!</definedName>
    <definedName name="IQRTradingVolW6" hidden="1">#REF!</definedName>
    <definedName name="IQRTradingVolW7" hidden="1">#REF!</definedName>
    <definedName name="IQRTradingVolW8" hidden="1">#REF!</definedName>
    <definedName name="IQRTradingVolW9" hidden="1">#REF!</definedName>
    <definedName name="IQRTradingVolX11" hidden="1">#REF!</definedName>
    <definedName name="IQRTradingVolX6" hidden="1">#REF!</definedName>
    <definedName name="IQRTradingVolX7" hidden="1">#REF!</definedName>
    <definedName name="IQRTradingVolX8" hidden="1">#REF!</definedName>
    <definedName name="IQRTradingVolX9" hidden="1">#REF!</definedName>
    <definedName name="IQRTradingVolY10" hidden="1">#REF!</definedName>
    <definedName name="IQRTradingVolY6" hidden="1">#REF!</definedName>
    <definedName name="IQRTradingVolY7" hidden="1">#REF!</definedName>
    <definedName name="IQRTradingVolY8" hidden="1">#REF!</definedName>
    <definedName name="IQRTradingVolY9" hidden="1">#REF!</definedName>
    <definedName name="IQRTradingVolZ11" hidden="1">#REF!</definedName>
    <definedName name="IQRTradingVolZ6" hidden="1">#REF!</definedName>
    <definedName name="IQRTradingVolZ7" hidden="1">#REF!</definedName>
    <definedName name="IQRTradingVolZ8" hidden="1">#REF!</definedName>
    <definedName name="IQRTradingVolZ9" hidden="1">#REF!</definedName>
    <definedName name="IQRU10" hidden="1">"$U$11"</definedName>
    <definedName name="IQRU11" hidden="1">"$U$12"</definedName>
    <definedName name="IQRV11" hidden="1">"$V$12"</definedName>
    <definedName name="IQRW10" hidden="1">"$W$11"</definedName>
    <definedName name="IQRW11" hidden="1">"$W$12"</definedName>
    <definedName name="IQRX11" hidden="1">"$X$12"</definedName>
    <definedName name="IQRY10" hidden="1">"$Y$11"</definedName>
    <definedName name="IQRY11" hidden="1">"$Y$12"</definedName>
    <definedName name="IQRZ11" hidden="1">"$Z$12"</definedName>
    <definedName name="IsColHidden" hidden="1">FALSE</definedName>
    <definedName name="IsLTMColHidden" hidden="1">FALSE</definedName>
    <definedName name="jjj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jjj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jkl" hidden="1">'[1]APR''04'!#REF!</definedName>
    <definedName name="june15_Ajustmenst" hidden="1">#REF!</definedName>
    <definedName name="KUULSD" localSheetId="6" hidden="1">{#N/A,#N/A,FALSE,"COMP"}</definedName>
    <definedName name="KUULSD" hidden="1">{#N/A,#N/A,FALSE,"COMP"}</definedName>
    <definedName name="limcount" hidden="1">1</definedName>
    <definedName name="ListOffset" hidden="1">1</definedName>
    <definedName name="madhavi" localSheetId="6" hidden="1">{"plansummary",#N/A,FALSE,"PlanSummary";"sales",#N/A,FALSE,"Sales Rec";"productivity",#N/A,FALSE,"Productivity Rec";"capitalspending",#N/A,FALSE,"Capital Spending"}</definedName>
    <definedName name="madhavi" hidden="1">{"plansummary",#N/A,FALSE,"PlanSummary";"sales",#N/A,FALSE,"Sales Rec";"productivity",#N/A,FALSE,"Productivity Rec";"capitalspending",#N/A,FALSE,"Capital Spending"}</definedName>
    <definedName name="March2008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March2008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navneet" localSheetId="6" hidden="1">{"'Sheet3'!$A$1:$B$30"}</definedName>
    <definedName name="navneet" hidden="1">{"'Sheet3'!$A$1:$B$30"}</definedName>
    <definedName name="new" localSheetId="6" hidden="1">'[1]APR''04'!#REF!</definedName>
    <definedName name="new" hidden="1">'[1]APR''04'!#REF!</definedName>
    <definedName name="Nil" localSheetId="6" hidden="1">{#N/A,#N/A,FALSE,"Aging Summary";#N/A,#N/A,FALSE,"Ratio Analysis";#N/A,#N/A,FALSE,"Test 120 Day Accts";#N/A,#N/A,FALSE,"Tickmarks"}</definedName>
    <definedName name="Nil" hidden="1">{#N/A,#N/A,FALSE,"Aging Summary";#N/A,#N/A,FALSE,"Ratio Analysis";#N/A,#N/A,FALSE,"Test 120 Day Accts";#N/A,#N/A,FALSE,"Tickmarks"}</definedName>
    <definedName name="nnn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nnn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open" localSheetId="6" hidden="1">{"plansummary",#N/A,FALSE,"PlanSummary";"sales",#N/A,FALSE,"Sales Rec";"productivity",#N/A,FALSE,"Productivity Rec";"capitalspending",#N/A,FALSE,"Capital Spending"}</definedName>
    <definedName name="open" hidden="1">{"plansummary",#N/A,FALSE,"PlanSummary";"sales",#N/A,FALSE,"Sales Rec";"productivity",#N/A,FALSE,"Productivity Rec";"capitalspending",#N/A,FALSE,"Capital Spending"}</definedName>
    <definedName name="OrderTable" localSheetId="5" hidden="1">#REF!</definedName>
    <definedName name="OrderTable" hidden="1">#REF!</definedName>
    <definedName name="payal" localSheetId="6" hidden="1">{"'Sheet3'!$A$1:$B$30"}</definedName>
    <definedName name="payal" hidden="1">{"'Sheet3'!$A$1:$B$30"}</definedName>
    <definedName name="pd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pd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ProdForm" localSheetId="5" hidden="1">#REF!</definedName>
    <definedName name="ProdForm" hidden="1">#REF!</definedName>
    <definedName name="Product" localSheetId="5" hidden="1">#REF!</definedName>
    <definedName name="Product" hidden="1">#REF!</definedName>
    <definedName name="Provision2" localSheetId="6" hidden="1">{"plansummary",#N/A,FALSE,"PlanSummary";"sales",#N/A,FALSE,"Sales Rec";"productivity",#N/A,FALSE,"Productivity Rec";"capitalspending",#N/A,FALSE,"Capital Spending"}</definedName>
    <definedName name="Provision2" hidden="1">{"plansummary",#N/A,FALSE,"PlanSummary";"sales",#N/A,FALSE,"Sales Rec";"productivity",#N/A,FALSE,"Productivity Rec";"capitalspending",#N/A,FALSE,"Capital Spending"}</definedName>
    <definedName name="ptl" localSheetId="6" hidden="1">{"'August 2000'!$A$1:$J$101"}</definedName>
    <definedName name="ptl" hidden="1">{"'August 2000'!$A$1:$J$101"}</definedName>
    <definedName name="PUB_UserID" hidden="1">"MAYERX"</definedName>
    <definedName name="RCArea" localSheetId="5" hidden="1">#REF!</definedName>
    <definedName name="RCArea" hidden="1">#REF!</definedName>
    <definedName name="REF" localSheetId="6" hidden="1">{#N/A,#N/A,FALSE,"COMP"}</definedName>
    <definedName name="REF" hidden="1">{#N/A,#N/A,FALSE,"COMP"}</definedName>
    <definedName name="rr" localSheetId="6" hidden="1">{"plansummary",#N/A,FALSE,"PlanSummary";"sales",#N/A,FALSE,"Sales Rec";"productivity",#N/A,FALSE,"Productivity Rec";"capitalspending",#N/A,FALSE,"Capital Spending"}</definedName>
    <definedName name="rr" hidden="1">{"plansummary",#N/A,FALSE,"PlanSummary";"sales",#N/A,FALSE,"Sales Rec";"productivity",#N/A,FALSE,"Productivity Rec";"capitalspending",#N/A,FALSE,"Capital Spending"}</definedName>
    <definedName name="SAPBEXrevision" hidden="1">1</definedName>
    <definedName name="SAPBEXsysID" hidden="1">"CSR"</definedName>
    <definedName name="SAPBEXwbID" hidden="1">"3XQBW78D16A2EDUNTS3NPBKLN"</definedName>
    <definedName name="sds" localSheetId="6" hidden="1">{"plansummary",#N/A,FALSE,"PlanSummary";"sales",#N/A,FALSE,"Sales Rec";"productivity",#N/A,FALSE,"Productivity Rec";"capitalspending",#N/A,FALSE,"Capital Spending"}</definedName>
    <definedName name="sds" hidden="1">{"plansummary",#N/A,FALSE,"PlanSummary";"sales",#N/A,FALSE,"Sales Rec";"productivity",#N/A,FALSE,"Productivity Rec";"capitalspending",#N/A,FALSE,"Capital Spending"}</definedName>
    <definedName name="sencount" hidden="1">1</definedName>
    <definedName name="sf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sf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SLFHDOJHGDLKJGBD" hidden="1">#REF!</definedName>
    <definedName name="SpecialPrice" localSheetId="5" hidden="1">#REF!</definedName>
    <definedName name="SpecialPrice" hidden="1">#REF!</definedName>
    <definedName name="SSSA" hidden="1">#REF!</definedName>
    <definedName name="tbl_ProdInfo" localSheetId="5" hidden="1">#REF!</definedName>
    <definedName name="tbl_ProdInfo" hidden="1">#REF!</definedName>
    <definedName name="TextRefCopyRangeCount" hidden="1">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vip" localSheetId="6" hidden="1">#REF!</definedName>
    <definedName name="vip" hidden="1">#REF!</definedName>
    <definedName name="we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Reports.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Belgium_Total." localSheetId="6" hidden="1">{"Belgium_Total",#N/A,FALSE,"Belg Wksheet"}</definedName>
    <definedName name="wrn.Belgium_Total." hidden="1">{"Belgium_Total",#N/A,FALSE,"Belg Wksheet"}</definedName>
    <definedName name="wrn.BelgSummary." localSheetId="6" hidden="1">{"BelgSummary",#N/A,FALSE,"Belg Summary"}</definedName>
    <definedName name="wrn.BelgSummary." hidden="1">{"BelgSummary",#N/A,FALSE,"Belg Summary"}</definedName>
    <definedName name="wrn.BSPL." localSheetId="6" hidden="1">{"BS",#N/A,FALSE,"Accounts2002 New";"PL",#N/A,FALSE,"Accounts2002 New"}</definedName>
    <definedName name="wrn.BSPL." hidden="1">{"BS",#N/A,FALSE,"Accounts2002 New";"PL",#N/A,FALSE,"Accounts2002 New"}</definedName>
    <definedName name="wrn.Country._.Summary." localSheetId="6" hidden="1">{"Summary",#N/A,FALSE,"Country Summary"}</definedName>
    <definedName name="wrn.Country._.Summary." hidden="1">{"Summary",#N/A,FALSE,"Country Summary"}</definedName>
    <definedName name="wrn.Country._.Worksheet." localSheetId="6" hidden="1">{"WkSheet",#N/A,FALSE,"Country Wksheet"}</definedName>
    <definedName name="wrn.Country._.Worksheet." hidden="1">{"WkSheet",#N/A,FALSE,"Country Wksheet"}</definedName>
    <definedName name="wrn.final.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wrn.final.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wrn.Financials._.April._.02._.Rs._.000." localSheetId="6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ood._.Packaging." localSheetId="6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wrn.Food._.Packaging." hidden="1">{#N/A,#N/A,TRUE,"Cover";#N/A,#N/A,TRUE,"Results-Summ";#N/A,#N/A,TRUE,"Top10-FP";#N/A,#N/A,TRUE,"3MthFor";#N/A,#N/A,TRUE,"Bus-Dev";#N/A,#N/A,TRUE,"Top5-Dai";#N/A,#N/A,TRUE,"Top5-ICR";#N/A,#N/A,TRUE,"Top5-EFats";#N/A,#N/A,TRUE,"Top5-OP"}</definedName>
    <definedName name="wrn.Food._.Service." localSheetId="6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wrn.Food._.Service." hidden="1">{#N/A,#N/A,TRUE,"Cover";#N/A,#N/A,TRUE,"Results-Summ";#N/A,#N/A,TRUE,"Top10-FS";#N/A,#N/A,TRUE,"Top10-TP";#N/A,#N/A,TRUE,"3MthFor";#N/A,#N/A,TRUE,"Bus-Dev";#N/A,#N/A,TRUE,"Top10-Cat";#N/A,#N/A,TRUE,"Top10-Con";#N/A,#N/A,TRUE,"Top10-QSR";#N/A,#N/A,TRUE,"Top10-RM";#N/A,#N/A,TRUE,"Top10-FrF"}</definedName>
    <definedName name="wrn.FORM1." localSheetId="6" hidden="1">{#N/A,#N/A,FALSE,"COMP"}</definedName>
    <definedName name="wrn.FORM1." hidden="1">{#N/A,#N/A,FALSE,"COMP"}</definedName>
    <definedName name="wrn.imprim." localSheetId="6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MDS1." localSheetId="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pp97schedules." localSheetId="6" hidden="1">{"plansummary",#N/A,FALSE,"PlanSummary";"sales",#N/A,FALSE,"Sales Rec";"productivity",#N/A,FALSE,"Productivity Rec";"capitalspending",#N/A,FALSE,"Capital Spending"}</definedName>
    <definedName name="wrn.pp97schedules." hidden="1">{"plansummary",#N/A,FALSE,"PlanSummary";"sales",#N/A,FALSE,"Sales Rec";"productivity",#N/A,FALSE,"Productivity Rec";"capitalspending",#N/A,FALSE,"Capital Spending"}</definedName>
    <definedName name="wrn.PrintAll." localSheetId="6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PrintAll.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REPORT." localSheetId="6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";#N/A,#N/A,FALSE,"Schedule-5";#N/A,#N/A,FALSE,"Schedule-6,7,8,9";#N/A,#N/A,FALSE,"Schedule-10,11";#N/A,#N/A,FALSE,"Schedule-12,13,14,15";#N/A,#N/A,FALSE,"Scdedule-16"}</definedName>
    <definedName name="wrn.REPORT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";#N/A,#N/A,FALSE,"Schedule-5";#N/A,#N/A,FALSE,"Schedule-6,7,8,9";#N/A,#N/A,FALSE,"Schedule-10,11";#N/A,#N/A,FALSE,"Schedule-12,13,14,15";#N/A,#N/A,FALSE,"Scdedule-16"}</definedName>
    <definedName name="wrn.Schedules." localSheetId="6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wrn.Schedules.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wrn.TRAVELLING." localSheetId="6" hidden="1">{#N/A,#N/A,FALSE,"Sheet3"}</definedName>
    <definedName name="wrn.TRAVELLING." hidden="1">{#N/A,#N/A,FALSE,"Sheet3"}</definedName>
    <definedName name="wvu.BTP." localSheetId="6" hidden="1">{TRUE,TRUE,7.75,2.5,467.25,234,FALSE,TRUE,TRUE,TRUE,0,21,#N/A,70,#N/A,3.96551724137931,9.21428571428571,1,FALSE,FALSE,1,TRUE,1,FALSE,100,"Swvu.BTP.","ACwvu.BTP.",#N/A,FALSE,FALSE,0.5,0.75,0.5,0.5,2,"","",TRUE,TRUE,FALSE,FALSE,1,#N/A,1,1,"=R2C1:R75C2",FALSE,"Rwvu.BTP.",#N/A,FALSE,FALSE,FALSE,8,180,180,FALSE,FALSE,TRUE,TRUE,TRUE}</definedName>
    <definedName name="wvu.BTP." hidden="1">{TRUE,TRUE,7.75,2.5,467.25,234,FALSE,TRUE,TRUE,TRUE,0,21,#N/A,70,#N/A,3.96551724137931,9.21428571428571,1,FALSE,FALSE,1,TRUE,1,FALSE,100,"Swvu.BTP.","ACwvu.BTP.",#N/A,FALSE,FALSE,0.5,0.75,0.5,0.5,2,"","",TRUE,TRUE,FALSE,FALSE,1,#N/A,1,1,"=R2C1:R75C2",FALSE,"Rwvu.BTP.",#N/A,FALSE,FALSE,FALSE,8,180,180,FALSE,FALSE,TRUE,TRUE,TRUE}</definedName>
    <definedName name="wvu.KTP." localSheetId="6" hidden="1">{TRUE,TRUE,7.75,2.5,467.25,234,FALSE,TRUE,TRUE,TRUE,0,10,#N/A,73,#N/A,3.96551724137931,9.17857142857143,1,FALSE,FALSE,1,TRUE,1,FALSE,100,"Swvu.KTP.","ACwvu.KTP.",#N/A,FALSE,FALSE,0.5,0.75,0.5,0.5,2,"","",TRUE,TRUE,FALSE,FALSE,1,#N/A,1,1,"=R2C1:R75C2",FALSE,#N/A,#N/A,FALSE,FALSE,FALSE,8,180,180,FALSE,FALSE,TRUE,TRUE,TRUE}</definedName>
    <definedName name="wvu.KTP." hidden="1">{TRUE,TRUE,7.75,2.5,467.25,234,FALSE,TRUE,TRUE,TRUE,0,10,#N/A,73,#N/A,3.96551724137931,9.17857142857143,1,FALSE,FALSE,1,TRUE,1,FALSE,100,"Swvu.KTP.","ACwvu.KTP.",#N/A,FALSE,FALSE,0.5,0.75,0.5,0.5,2,"","",TRUE,TRUE,FALSE,FALSE,1,#N/A,1,1,"=R2C1:R75C2",FALSE,#N/A,#N/A,FALSE,FALSE,FALSE,8,180,180,FALSE,FALSE,TRUE,TRUE,TRUE}</definedName>
    <definedName name="wvu.TOTAL." localSheetId="6" hidden="1">{TRUE,TRUE,7.75,2.5,467.25,234,FALSE,TRUE,TRUE,TRUE,0,32,#N/A,69,#N/A,4.55555555555556,9.21428571428571,1,FALSE,FALSE,1,TRUE,1,FALSE,100,"Swvu.TOTAL.","ACwvu.TOTAL.",#N/A,FALSE,FALSE,0.5,0.75,0.5,0.5,2,"","",TRUE,TRUE,FALSE,FALSE,1,#N/A,1,1,"=R2C1:R75C2",FALSE,"Rwvu.TOTAL.",#N/A,FALSE,FALSE,FALSE,8,180,180,FALSE,FALSE,TRUE,TRUE,TRUE}</definedName>
    <definedName name="wvu.TOTAL." hidden="1">{TRUE,TRUE,7.75,2.5,467.25,234,FALSE,TRUE,TRUE,TRUE,0,32,#N/A,69,#N/A,4.55555555555556,9.21428571428571,1,FALSE,FALSE,1,TRUE,1,FALSE,100,"Swvu.TOTAL.","ACwvu.TOTAL.",#N/A,FALSE,FALSE,0.5,0.75,0.5,0.5,2,"","",TRUE,TRUE,FALSE,FALSE,1,#N/A,1,1,"=R2C1:R75C2",FALSE,"Rwvu.TOTAL.",#N/A,FALSE,FALSE,FALSE,8,180,180,FALSE,FALSE,TRUE,TRUE,TRUE}</definedName>
    <definedName name="xa" localSheetId="6" hidden="1">{#N/A,#N/A,FALSE,"Aging Summary";#N/A,#N/A,FALSE,"Ratio Analysis";#N/A,#N/A,FALSE,"Test 120 Day Accts";#N/A,#N/A,FALSE,"Tickmarks"}</definedName>
    <definedName name="xa" hidden="1">{#N/A,#N/A,FALSE,"Aging Summary";#N/A,#N/A,FALSE,"Ratio Analysis";#N/A,#N/A,FALSE,"Test 120 Day Accts";#N/A,#N/A,FALSE,"Tickmarks"}</definedName>
    <definedName name="XREF_COLUMN_1" localSheetId="6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'[16]Schedule Final'!#REF!</definedName>
    <definedName name="XREF_COLUMN_2" localSheetId="6" hidden="1">#REF!</definedName>
    <definedName name="XREF_COLUMN_2" hidden="1">#REF!</definedName>
    <definedName name="XREF_COLUMN_20" localSheetId="6" hidden="1">#REF!</definedName>
    <definedName name="XREF_COLUMN_20" hidden="1">#REF!</definedName>
    <definedName name="XREF_COLUMN_3" localSheetId="6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3Row" hidden="1">[17]XREF!#REF!</definedName>
    <definedName name="XRefCopy14" hidden="1">'[17]Fixed asset register'!#REF!</definedName>
    <definedName name="XRefCopy14Row" hidden="1">[17]XREF!#REF!</definedName>
    <definedName name="XRefCopy15Row" hidden="1">[17]XREF!#REF!</definedName>
    <definedName name="XRefCopy16" localSheetId="6" hidden="1">#REF!</definedName>
    <definedName name="XRefCopy16" hidden="1">#REF!</definedName>
    <definedName name="XRefCopy16Row" localSheetId="6" hidden="1">#REF!</definedName>
    <definedName name="XRefCopy16Row" hidden="1">#REF!</definedName>
    <definedName name="XRefCopy17" localSheetId="6" hidden="1">[18]Stockchange_Leadsheet!#REF!</definedName>
    <definedName name="XRefCopy17" hidden="1">[18]Stockchange_Leadsheet!#REF!</definedName>
    <definedName name="XRefCopy1Row" localSheetId="6" hidden="1">#REF!</definedName>
    <definedName name="XRefCopy1Row" hidden="1">#REF!</definedName>
    <definedName name="XRefCopy2" localSheetId="6" hidden="1">#REF!</definedName>
    <definedName name="XRefCopy2" hidden="1">#REF!</definedName>
    <definedName name="XRefCopy20" localSheetId="6" hidden="1">#REF!</definedName>
    <definedName name="XRefCopy20" hidden="1">#REF!</definedName>
    <definedName name="XRefCopy21" hidden="1">#REF!</definedName>
    <definedName name="XRefCopy22" hidden="1">#REF!</definedName>
    <definedName name="XRefCopy23" hidden="1">#REF!</definedName>
    <definedName name="XRefCopy24" hidden="1">#REF!</definedName>
    <definedName name="XRefCopy24Row" hidden="1">[19]XREF!#REF!</definedName>
    <definedName name="XRefCopy25" localSheetId="6" hidden="1">#REF!</definedName>
    <definedName name="XRefCopy25" hidden="1">#REF!</definedName>
    <definedName name="XRefCopy26" localSheetId="6" hidden="1">#REF!</definedName>
    <definedName name="XRefCopy26" hidden="1">#REF!</definedName>
    <definedName name="XRefCopy27" localSheetId="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[20]XREF!#REF!</definedName>
    <definedName name="XRefCopy3" localSheetId="6" hidden="1">#REF!</definedName>
    <definedName name="XRefCopy3" hidden="1">#REF!</definedName>
    <definedName name="XRefCopy30" localSheetId="6" hidden="1">#REF!</definedName>
    <definedName name="XRefCopy30" hidden="1">#REF!</definedName>
    <definedName name="XRefCopy31" localSheetId="6" hidden="1">#REF!</definedName>
    <definedName name="XRefCopy31" hidden="1">#REF!</definedName>
    <definedName name="XRefCopy32" hidden="1">#REF!</definedName>
    <definedName name="XRefCopy33" hidden="1">#REF!</definedName>
    <definedName name="XRefCopy34" hidden="1">#REF!</definedName>
    <definedName name="XRefCopy35" hidden="1">#REF!</definedName>
    <definedName name="XRefCopy36" hidden="1">#REF!</definedName>
    <definedName name="XRefCopy37" hidden="1">#REF!</definedName>
    <definedName name="XRefCopy38" hidden="1">#REF!</definedName>
    <definedName name="XRefCopy39" hidden="1">'[21]Notes 14(v)-(xi)'!#REF!</definedName>
    <definedName name="XRefCopy3Row" hidden="1">[20]XREF!#REF!</definedName>
    <definedName name="XRefCopy4" localSheetId="6" hidden="1">#REF!</definedName>
    <definedName name="XRefCopy4" hidden="1">#REF!</definedName>
    <definedName name="XRefCopy40" localSheetId="6" hidden="1">#REF!</definedName>
    <definedName name="XRefCopy40" hidden="1">#REF!</definedName>
    <definedName name="XRefCopy41" localSheetId="6" hidden="1">#REF!</definedName>
    <definedName name="XRefCopy41" hidden="1">#REF!</definedName>
    <definedName name="XRefCopy42" hidden="1">#REF!</definedName>
    <definedName name="XRefCopy43" hidden="1">#REF!</definedName>
    <definedName name="XRefCopy44" hidden="1">#REF!</definedName>
    <definedName name="XRefCopy45" hidden="1">#REF!</definedName>
    <definedName name="XRefCopy46" hidden="1">#REF!</definedName>
    <definedName name="XRefCopy47" hidden="1">#REF!</definedName>
    <definedName name="XRefCopy48" hidden="1">#REF!</definedName>
    <definedName name="XRefCopy49" hidden="1">#REF!</definedName>
    <definedName name="XRefCopy4Row" hidden="1">#REF!</definedName>
    <definedName name="XRefCopy5" hidden="1">#REF!</definedName>
    <definedName name="XRefCopy50" hidden="1">#REF!</definedName>
    <definedName name="XRefCopy53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'[22]cost of sales'!#REF!</definedName>
    <definedName name="XRefCopy59Row" localSheetId="6" hidden="1">#REF!</definedName>
    <definedName name="XRefCopy59Row" hidden="1">#REF!</definedName>
    <definedName name="XRefCopy5Row" localSheetId="6" hidden="1">#REF!</definedName>
    <definedName name="XRefCopy5Row" hidden="1">#REF!</definedName>
    <definedName name="XRefCopy6" localSheetId="6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'[22]cost of sales'!#REF!</definedName>
    <definedName name="XRefCopy63" localSheetId="6" hidden="1">#REF!</definedName>
    <definedName name="XRefCopy63" hidden="1">#REF!</definedName>
    <definedName name="XRefCopy63Row" localSheetId="6" hidden="1">#REF!</definedName>
    <definedName name="XRefCopy63Row" hidden="1">#REF!</definedName>
    <definedName name="XRefCopy64" localSheetId="6" hidden="1">#REF!</definedName>
    <definedName name="XRefCopy64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'[23]Notes 1-11'!#REF!</definedName>
    <definedName name="XRefCopy70" localSheetId="6" hidden="1">#REF!</definedName>
    <definedName name="XRefCopy70" hidden="1">#REF!</definedName>
    <definedName name="XRefCopy70Row" localSheetId="6" hidden="1">#REF!</definedName>
    <definedName name="XRefCopy70Row" hidden="1">#REF!</definedName>
    <definedName name="XRefCopy71" localSheetId="6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'[23]Notes 1-11'!#REF!</definedName>
    <definedName name="XRefCopy90" localSheetId="6" hidden="1">#REF!</definedName>
    <definedName name="XRefCopy90" hidden="1">#REF!</definedName>
    <definedName name="XRefCopy90Row" localSheetId="6" hidden="1">#REF!</definedName>
    <definedName name="XRefCopy90Row" hidden="1">#REF!</definedName>
    <definedName name="XRefCopy91" localSheetId="6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50</definedName>
    <definedName name="XRefPaste1" hidden="1">[18]Inventories_Leadsheet!#REF!</definedName>
    <definedName name="XRefPaste10" localSheetId="6" hidden="1">#REF!</definedName>
    <definedName name="XRefPaste10" hidden="1">#REF!</definedName>
    <definedName name="XRefPaste10Row" localSheetId="6" hidden="1">#REF!</definedName>
    <definedName name="XRefPaste10Row" hidden="1">#REF!</definedName>
    <definedName name="XRefPaste11" localSheetId="6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Row" hidden="1">[17]XREF!#REF!</definedName>
    <definedName name="XRefPaste14" localSheetId="6" hidden="1">#REF!</definedName>
    <definedName name="XRefPaste14" hidden="1">#REF!</definedName>
    <definedName name="XRefPaste14Row" localSheetId="6" hidden="1">#REF!</definedName>
    <definedName name="XRefPaste14Row" hidden="1">#REF!</definedName>
    <definedName name="XRefPaste15" localSheetId="6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[20]XREF!#REF!</definedName>
    <definedName name="XRefPaste2" localSheetId="6" hidden="1">#REF!</definedName>
    <definedName name="XRefPaste2" hidden="1">#REF!</definedName>
    <definedName name="XRefPaste20" localSheetId="6" hidden="1">#REF!</definedName>
    <definedName name="XRefPaste20" hidden="1">#REF!</definedName>
    <definedName name="XRefPaste20Row" localSheetId="6" hidden="1">#REF!</definedName>
    <definedName name="XRefPaste20Row" hidden="1">#REF!</definedName>
    <definedName name="XRefPaste21" hidden="1">#REF!</definedName>
    <definedName name="XRefPaste21Row" hidden="1">#REF!</definedName>
    <definedName name="XRefPaste23" hidden="1">#REF!</definedName>
    <definedName name="XRefPaste23Row" hidden="1">#REF!</definedName>
    <definedName name="XRefPaste2Row" hidden="1">[20]XREF!#REF!</definedName>
    <definedName name="XRefPaste3" localSheetId="6" hidden="1">#REF!</definedName>
    <definedName name="XRefPaste3" hidden="1">#REF!</definedName>
    <definedName name="XRefPaste31Row" localSheetId="6" hidden="1">#REF!</definedName>
    <definedName name="XRefPaste31Row" hidden="1">#REF!</definedName>
    <definedName name="XRefPaste3Row" localSheetId="6" hidden="1">[20]XREF!#REF!</definedName>
    <definedName name="XRefPaste3Row" hidden="1">[20]XREF!#REF!</definedName>
    <definedName name="XRefPaste4" localSheetId="6" hidden="1">#REF!</definedName>
    <definedName name="XRefPaste4" hidden="1">#REF!</definedName>
    <definedName name="XRefPaste4Row" localSheetId="6" hidden="1">#REF!</definedName>
    <definedName name="XRefPaste4Row" hidden="1">#REF!</definedName>
    <definedName name="XRefPaste5" localSheetId="6" hidden="1">#REF!</definedName>
    <definedName name="XRefPaste5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Row" hidden="1">#REF!</definedName>
    <definedName name="XRefPasteRangeCount" hidden="1">8</definedName>
    <definedName name="xss" hidden="1">[4]Folder!#REF!</definedName>
    <definedName name="xy" localSheetId="6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xy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Z_14975FFC_4F72_4AAC_B05A_7E3F2538B3AD_.wvu.FilterData" localSheetId="6" hidden="1">#REF!</definedName>
    <definedName name="Z_14975FFC_4F72_4AAC_B05A_7E3F2538B3AD_.wvu.FilterData" hidden="1">#REF!</definedName>
    <definedName name="Z_1A3E9F40_4FCC_11D2_A7FF_0060971217C0_.wvu.PrintArea" localSheetId="6" hidden="1">[4]Folder!#REF!</definedName>
    <definedName name="Z_1A3E9F40_4FCC_11D2_A7FF_0060971217C0_.wvu.PrintArea" hidden="1">[4]Folder!#REF!</definedName>
    <definedName name="Z_1A3E9F40_4FCC_11D2_A7FF_0060971217C0_.wvu.PrintTitles" localSheetId="6" hidden="1">#REF!</definedName>
    <definedName name="Z_1A3E9F40_4FCC_11D2_A7FF_0060971217C0_.wvu.PrintTitles" hidden="1">#REF!</definedName>
    <definedName name="Z_2F0BD9A2_457D_11D2_8EE8_0060971217D4_.wvu.PrintArea" localSheetId="6" hidden="1">[4]Folder!#REF!</definedName>
    <definedName name="Z_2F0BD9A2_457D_11D2_8EE8_0060971217D4_.wvu.PrintArea" hidden="1">[4]Folder!#REF!</definedName>
    <definedName name="Z_2F0BD9A2_457D_11D2_8EE8_0060971217D4_.wvu.PrintTitles" localSheetId="6" hidden="1">#REF!</definedName>
    <definedName name="Z_2F0BD9A2_457D_11D2_8EE8_0060971217D4_.wvu.PrintTitles" hidden="1">#REF!</definedName>
    <definedName name="Z_3AB84060_44C7_11D2_8EE8_0060971217D4_.wvu.PrintArea" localSheetId="6" hidden="1">[4]Folder!#REF!</definedName>
    <definedName name="Z_3AB84060_44C7_11D2_8EE8_0060971217D4_.wvu.PrintArea" hidden="1">[4]Folder!#REF!</definedName>
    <definedName name="Z_3AB84060_44C7_11D2_8EE8_0060971217D4_.wvu.PrintTitles" localSheetId="6" hidden="1">#REF!</definedName>
    <definedName name="Z_3AB84060_44C7_11D2_8EE8_0060971217D4_.wvu.PrintTitles" hidden="1">#REF!</definedName>
    <definedName name="Z_40BD8C62_D3AE_11D2_BB99_006097121403_.wvu.Cols" localSheetId="6" hidden="1">#REF!,#REF!,#REF!,#REF!,#REF!,#REF!</definedName>
    <definedName name="Z_40BD8C62_D3AE_11D2_BB99_006097121403_.wvu.Cols" hidden="1">#REF!,#REF!,#REF!,#REF!,#REF!,#REF!</definedName>
    <definedName name="Z_40BD8C62_D3AE_11D2_BB99_006097121403_.wvu.FilterData" hidden="1">#REF!</definedName>
    <definedName name="Z_40BD8C62_D3AE_11D2_BB99_006097121403_.wvu.PrintArea" hidden="1">#REF!</definedName>
    <definedName name="Z_42082262_47C5_4083_A75E_526FAD58A78A_.wvu.Rows" localSheetId="6" hidden="1">#REF!,#REF!,#REF!,#REF!,#REF!,#REF!</definedName>
    <definedName name="Z_42082262_47C5_4083_A75E_526FAD58A78A_.wvu.Rows" hidden="1">#REF!,#REF!,#REF!,#REF!,#REF!,#REF!</definedName>
    <definedName name="Z_42CB23D9_FE0D_4360_B7CD_56A3AF127F7C_.wvu.Rows" localSheetId="6" hidden="1">#REF!,#REF!,#REF!,#REF!,#REF!,#REF!</definedName>
    <definedName name="Z_42CB23D9_FE0D_4360_B7CD_56A3AF127F7C_.wvu.Rows" hidden="1">#REF!,#REF!,#REF!,#REF!,#REF!,#REF!</definedName>
    <definedName name="Z_53D5D240_D3BC_11D2_B7DD_000001014838_.wvu.Cols" localSheetId="6" hidden="1">#REF!,#REF!,#REF!,#REF!,#REF!,#REF!,#REF!</definedName>
    <definedName name="Z_53D5D240_D3BC_11D2_B7DD_000001014838_.wvu.Cols" hidden="1">#REF!,#REF!,#REF!,#REF!,#REF!,#REF!,#REF!</definedName>
    <definedName name="Z_53D5D240_D3BC_11D2_B7DD_000001014838_.wvu.FilterData" hidden="1">#REF!</definedName>
    <definedName name="Z_5F72E90E_5306_4453_8ECA_43061516744D_.wvu.Rows" hidden="1">#REF!,#REF!,#REF!,#REF!,#REF!,#REF!</definedName>
    <definedName name="Z_7268092C_48A6_11D6_BF00_0048545546A4_.wvu.PrintArea" hidden="1">#REF!</definedName>
    <definedName name="Z_7268092C_48A6_11D6_BF00_0048545546A4_.wvu.Rows" hidden="1">#REF!,#REF!,#REF!,#REF!,#REF!,#REF!</definedName>
    <definedName name="Z_746852D3_BFD6_47E8_9DA9_56CF052FA174_.wvu.Rows" hidden="1">#REF!</definedName>
    <definedName name="Z_7CC30400_52D6_11D2_91E6_0060971217D4_.wvu.PrintArea" hidden="1">[4]Folder!#REF!</definedName>
    <definedName name="Z_7CC30400_52D6_11D2_91E6_0060971217D4_.wvu.PrintTitles" hidden="1">#REF!</definedName>
    <definedName name="Z_95199381_509B_11D2_A368_00001C3AD7D3_.wvu.PrintArea" hidden="1">[4]Folder!#REF!</definedName>
    <definedName name="Z_95199381_509B_11D2_A368_00001C3AD7D3_.wvu.PrintTitles" hidden="1">#REF!</definedName>
    <definedName name="Z_A1FB87D3_2893_43D1_8E7A_26B23B8067F7_.wvu.FilterData" hidden="1">#REF!</definedName>
    <definedName name="Z_A3876EF3_8056_414D_9895_185A0A47AC3D_.wvu.Rows" hidden="1">#REF!,#REF!,#REF!,#REF!,#REF!,#REF!</definedName>
    <definedName name="Z_BF010B80_D537_11D2_8F10_000001014271_.wvu.Cols" localSheetId="6" hidden="1">#REF!,#REF!,#REF!,#REF!,#REF!,#REF!,#REF!</definedName>
    <definedName name="Z_BF010B80_D537_11D2_8F10_000001014271_.wvu.Cols" hidden="1">#REF!,#REF!,#REF!,#REF!,#REF!,#REF!,#REF!</definedName>
    <definedName name="Z_C2C0FF43_603F_11D2_A368_00001C3AD7D3_.wvu.PrintArea" hidden="1">#REF!</definedName>
    <definedName name="Z_C2C0FF43_603F_11D2_A368_00001C3AD7D3_.wvu.PrintTitles" hidden="1">#REF!</definedName>
    <definedName name="Z_D068BBA0_44C0_11D2_8EE8_0060971217D4_.wvu.Cols" hidden="1">[4]Folder!#REF!,[4]Folder!#REF!,[4]Folder!#REF!,[4]Folder!#REF!</definedName>
    <definedName name="Z_D068BBA0_44C0_11D2_8EE8_0060971217D4_.wvu.PrintArea" hidden="1">[4]Folder!#REF!</definedName>
    <definedName name="Z_D068BBA0_44C0_11D2_8EE8_0060971217D4_.wvu.PrintTitles" hidden="1">#REF!</definedName>
    <definedName name="Z_DE54EB4E_7288_4CBC_B1F8_54C2468A83E6_.wvu.Cols" hidden="1">#REF!,#REF!</definedName>
    <definedName name="Z_DE54EB4E_7288_4CBC_B1F8_54C2468A83E6_.wvu.PrintArea" hidden="1">#REF!</definedName>
    <definedName name="Z_DE54EB4E_7288_4CBC_B1F8_54C2468A83E6_.wvu.Rows" hidden="1">#REF!,#REF!,#REF!,#REF!</definedName>
    <definedName name="Z_F3F2DB71_7CF8_11D4_AF24_0080AD91B2FE_.wvu.Rows" hidden="1">#REF!,#REF!,#REF!,#REF!,#REF!,#REF!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5" l="1"/>
  <c r="G141" i="5"/>
  <c r="L139" i="5"/>
  <c r="E232" i="5" s="1"/>
  <c r="L38" i="5"/>
  <c r="F144" i="3"/>
  <c r="G144" i="3"/>
  <c r="H144" i="3"/>
  <c r="I144" i="3"/>
  <c r="J144" i="3"/>
  <c r="K144" i="3"/>
  <c r="L144" i="3"/>
  <c r="M144" i="3"/>
  <c r="E144" i="3"/>
  <c r="E138" i="3"/>
  <c r="F138" i="3"/>
  <c r="G138" i="3"/>
  <c r="H138" i="3"/>
  <c r="I138" i="3"/>
  <c r="J138" i="3"/>
  <c r="K138" i="3"/>
  <c r="L138" i="3"/>
  <c r="M138" i="3"/>
  <c r="E139" i="3"/>
  <c r="F139" i="3"/>
  <c r="G139" i="3"/>
  <c r="H139" i="3"/>
  <c r="I139" i="3"/>
  <c r="J139" i="3"/>
  <c r="K139" i="3"/>
  <c r="L139" i="3"/>
  <c r="M139" i="3"/>
  <c r="E140" i="3"/>
  <c r="F140" i="3"/>
  <c r="G140" i="3"/>
  <c r="H140" i="3"/>
  <c r="I140" i="3"/>
  <c r="J140" i="3"/>
  <c r="K140" i="3"/>
  <c r="L140" i="3"/>
  <c r="M140" i="3"/>
  <c r="E141" i="3"/>
  <c r="F141" i="3"/>
  <c r="G141" i="3"/>
  <c r="H141" i="3"/>
  <c r="I141" i="3"/>
  <c r="J141" i="3"/>
  <c r="K141" i="3"/>
  <c r="L141" i="3"/>
  <c r="M141" i="3"/>
  <c r="E142" i="3"/>
  <c r="F142" i="3"/>
  <c r="G142" i="3"/>
  <c r="H142" i="3"/>
  <c r="I142" i="3"/>
  <c r="J142" i="3"/>
  <c r="K142" i="3"/>
  <c r="L142" i="3"/>
  <c r="M142" i="3"/>
  <c r="E143" i="3"/>
  <c r="F143" i="3"/>
  <c r="G143" i="3"/>
  <c r="H143" i="3"/>
  <c r="I143" i="3"/>
  <c r="J143" i="3"/>
  <c r="K143" i="3"/>
  <c r="L143" i="3"/>
  <c r="M143" i="3"/>
  <c r="F137" i="3"/>
  <c r="G137" i="3"/>
  <c r="H137" i="3"/>
  <c r="I137" i="3"/>
  <c r="J137" i="3"/>
  <c r="K137" i="3"/>
  <c r="L137" i="3"/>
  <c r="M137" i="3"/>
  <c r="E137" i="3"/>
  <c r="F136" i="3"/>
  <c r="G136" i="3"/>
  <c r="H136" i="3"/>
  <c r="I136" i="3"/>
  <c r="J136" i="3"/>
  <c r="K136" i="3"/>
  <c r="L136" i="3"/>
  <c r="M136" i="3"/>
  <c r="E136" i="3"/>
  <c r="F135" i="3"/>
  <c r="G135" i="3"/>
  <c r="H135" i="3"/>
  <c r="I135" i="3"/>
  <c r="J135" i="3"/>
  <c r="K135" i="3"/>
  <c r="L135" i="3"/>
  <c r="M135" i="3"/>
  <c r="E135" i="3"/>
  <c r="F134" i="3"/>
  <c r="G134" i="3"/>
  <c r="H134" i="3"/>
  <c r="I134" i="3"/>
  <c r="J134" i="3"/>
  <c r="K134" i="3"/>
  <c r="L134" i="3"/>
  <c r="M134" i="3"/>
  <c r="E134" i="3"/>
  <c r="O35" i="7"/>
  <c r="O34" i="7"/>
  <c r="C23" i="10"/>
  <c r="G35" i="7"/>
  <c r="G34" i="7"/>
  <c r="F21" i="7"/>
  <c r="F13" i="7"/>
  <c r="F8" i="5"/>
  <c r="E233" i="5"/>
  <c r="E230" i="5"/>
  <c r="E229" i="5"/>
  <c r="E226" i="5"/>
  <c r="E225" i="5"/>
  <c r="E221" i="5"/>
  <c r="E220" i="5"/>
  <c r="E217" i="5"/>
  <c r="E216" i="5"/>
  <c r="E213" i="5"/>
  <c r="E212" i="5"/>
  <c r="E208" i="5"/>
  <c r="E207" i="5"/>
  <c r="E204" i="5"/>
  <c r="E203" i="5"/>
  <c r="E200" i="5"/>
  <c r="E199" i="5"/>
  <c r="E195" i="5"/>
  <c r="E194" i="5"/>
  <c r="E191" i="5"/>
  <c r="E190" i="5"/>
  <c r="E187" i="5"/>
  <c r="E186" i="5"/>
  <c r="E182" i="5"/>
  <c r="E181" i="5"/>
  <c r="E178" i="5"/>
  <c r="E177" i="5"/>
  <c r="E174" i="5"/>
  <c r="E173" i="5"/>
  <c r="E169" i="5"/>
  <c r="E168" i="5"/>
  <c r="E165" i="5"/>
  <c r="E164" i="5"/>
  <c r="E161" i="5"/>
  <c r="E160" i="5"/>
  <c r="E156" i="5"/>
  <c r="E155" i="5"/>
  <c r="E152" i="5"/>
  <c r="E151" i="5"/>
  <c r="E148" i="5"/>
  <c r="E147" i="5"/>
  <c r="B147" i="5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H146" i="5"/>
  <c r="C146" i="5"/>
  <c r="C147" i="5" s="1"/>
  <c r="C148" i="5" s="1"/>
  <c r="C149" i="5" s="1"/>
  <c r="C150" i="5" s="1"/>
  <c r="C151" i="5" s="1"/>
  <c r="C152" i="5" s="1"/>
  <c r="C153" i="5" s="1"/>
  <c r="C154" i="5" s="1"/>
  <c r="C155" i="5" s="1"/>
  <c r="C156" i="5" s="1"/>
  <c r="C157" i="5" s="1"/>
  <c r="C159" i="5" s="1"/>
  <c r="C160" i="5" s="1"/>
  <c r="C161" i="5" s="1"/>
  <c r="C162" i="5" s="1"/>
  <c r="C163" i="5" s="1"/>
  <c r="C164" i="5" s="1"/>
  <c r="C165" i="5" s="1"/>
  <c r="C166" i="5" s="1"/>
  <c r="C167" i="5" s="1"/>
  <c r="C168" i="5" s="1"/>
  <c r="C169" i="5" s="1"/>
  <c r="C170" i="5" s="1"/>
  <c r="C172" i="5" s="1"/>
  <c r="C173" i="5" s="1"/>
  <c r="C174" i="5" s="1"/>
  <c r="C175" i="5" s="1"/>
  <c r="C176" i="5" s="1"/>
  <c r="C177" i="5" s="1"/>
  <c r="C178" i="5" s="1"/>
  <c r="C179" i="5" s="1"/>
  <c r="C180" i="5" s="1"/>
  <c r="C181" i="5" s="1"/>
  <c r="C182" i="5" s="1"/>
  <c r="C183" i="5" s="1"/>
  <c r="C185" i="5" s="1"/>
  <c r="C186" i="5" s="1"/>
  <c r="C187" i="5" s="1"/>
  <c r="C188" i="5" s="1"/>
  <c r="C189" i="5" s="1"/>
  <c r="C190" i="5" s="1"/>
  <c r="C191" i="5" s="1"/>
  <c r="C192" i="5" s="1"/>
  <c r="C193" i="5" s="1"/>
  <c r="C194" i="5" s="1"/>
  <c r="C195" i="5" s="1"/>
  <c r="C196" i="5" s="1"/>
  <c r="C198" i="5" s="1"/>
  <c r="C199" i="5" s="1"/>
  <c r="C200" i="5" s="1"/>
  <c r="C201" i="5" s="1"/>
  <c r="C202" i="5" s="1"/>
  <c r="C203" i="5" s="1"/>
  <c r="C204" i="5" s="1"/>
  <c r="C205" i="5" s="1"/>
  <c r="C206" i="5" s="1"/>
  <c r="C207" i="5" s="1"/>
  <c r="C208" i="5" s="1"/>
  <c r="C209" i="5" s="1"/>
  <c r="C211" i="5" s="1"/>
  <c r="C212" i="5" s="1"/>
  <c r="C213" i="5" s="1"/>
  <c r="C214" i="5" s="1"/>
  <c r="C215" i="5" s="1"/>
  <c r="C216" i="5" s="1"/>
  <c r="C217" i="5" s="1"/>
  <c r="C218" i="5" s="1"/>
  <c r="C219" i="5" s="1"/>
  <c r="C220" i="5" s="1"/>
  <c r="C221" i="5" s="1"/>
  <c r="C222" i="5" s="1"/>
  <c r="C224" i="5" s="1"/>
  <c r="C225" i="5" s="1"/>
  <c r="C226" i="5" s="1"/>
  <c r="C227" i="5" s="1"/>
  <c r="C228" i="5" s="1"/>
  <c r="C229" i="5" s="1"/>
  <c r="C230" i="5" s="1"/>
  <c r="C231" i="5" s="1"/>
  <c r="C232" i="5" s="1"/>
  <c r="C233" i="5" s="1"/>
  <c r="C234" i="5" s="1"/>
  <c r="B146" i="5"/>
  <c r="F144" i="5"/>
  <c r="F145" i="5" s="1"/>
  <c r="H144" i="5"/>
  <c r="G144" i="5" s="1"/>
  <c r="E143" i="5"/>
  <c r="E144" i="5"/>
  <c r="C144" i="5"/>
  <c r="C140" i="5"/>
  <c r="C141" i="5" s="1"/>
  <c r="C142" i="5" s="1"/>
  <c r="C143" i="5" s="1"/>
  <c r="H140" i="5"/>
  <c r="F31" i="5"/>
  <c r="I31" i="5" s="1"/>
  <c r="C31" i="5"/>
  <c r="F24" i="5"/>
  <c r="C24" i="5"/>
  <c r="L21" i="5"/>
  <c r="L20" i="5"/>
  <c r="L19" i="5"/>
  <c r="L22" i="5" s="1"/>
  <c r="F140" i="5" s="1"/>
  <c r="I140" i="5" s="1"/>
  <c r="J6" i="12"/>
  <c r="J8" i="12"/>
  <c r="J10" i="12"/>
  <c r="J16" i="12"/>
  <c r="J27" i="12"/>
  <c r="J16" i="14"/>
  <c r="J9" i="14"/>
  <c r="J10" i="14"/>
  <c r="J11" i="14"/>
  <c r="J11" i="15"/>
  <c r="J16" i="15"/>
  <c r="J34" i="15"/>
  <c r="C14" i="15"/>
  <c r="C37" i="15"/>
  <c r="C27" i="12"/>
  <c r="C16" i="12"/>
  <c r="C10" i="12"/>
  <c r="C9" i="14"/>
  <c r="D10" i="14"/>
  <c r="E10" i="14"/>
  <c r="F10" i="14"/>
  <c r="G10" i="14"/>
  <c r="H10" i="14"/>
  <c r="I10" i="14"/>
  <c r="C10" i="14"/>
  <c r="D44" i="8"/>
  <c r="E44" i="8"/>
  <c r="F44" i="8"/>
  <c r="G44" i="8"/>
  <c r="H44" i="8"/>
  <c r="I44" i="8"/>
  <c r="J44" i="8"/>
  <c r="K44" i="8"/>
  <c r="L44" i="8"/>
  <c r="C44" i="8"/>
  <c r="D42" i="8"/>
  <c r="E42" i="8"/>
  <c r="F42" i="8"/>
  <c r="G42" i="8"/>
  <c r="H42" i="8"/>
  <c r="I42" i="8"/>
  <c r="J42" i="8"/>
  <c r="K42" i="8"/>
  <c r="L42" i="8"/>
  <c r="C42" i="8"/>
  <c r="D41" i="8"/>
  <c r="E41" i="8"/>
  <c r="F41" i="8"/>
  <c r="G41" i="8"/>
  <c r="H41" i="8"/>
  <c r="I41" i="8"/>
  <c r="J41" i="8"/>
  <c r="K41" i="8"/>
  <c r="L41" i="8"/>
  <c r="C41" i="8"/>
  <c r="F17" i="8"/>
  <c r="G17" i="8"/>
  <c r="H17" i="8" s="1"/>
  <c r="I17" i="8" s="1"/>
  <c r="J17" i="8" s="1"/>
  <c r="K17" i="8" s="1"/>
  <c r="L17" i="8" s="1"/>
  <c r="E17" i="8"/>
  <c r="F31" i="8"/>
  <c r="G31" i="8" s="1"/>
  <c r="H31" i="8" s="1"/>
  <c r="I31" i="8" s="1"/>
  <c r="J31" i="8" s="1"/>
  <c r="K31" i="8" s="1"/>
  <c r="L31" i="8" s="1"/>
  <c r="E31" i="8"/>
  <c r="H7" i="7"/>
  <c r="F7" i="7"/>
  <c r="I7" i="7"/>
  <c r="J7" i="7" s="1"/>
  <c r="K7" i="7" s="1"/>
  <c r="L7" i="7" s="1"/>
  <c r="M7" i="7" s="1"/>
  <c r="N7" i="7" s="1"/>
  <c r="D7" i="7"/>
  <c r="D6" i="7"/>
  <c r="T19" i="2"/>
  <c r="T31" i="2"/>
  <c r="J20" i="2"/>
  <c r="J8" i="2"/>
  <c r="F30" i="8"/>
  <c r="G30" i="8" s="1"/>
  <c r="H30" i="8" s="1"/>
  <c r="I30" i="8" s="1"/>
  <c r="J30" i="8" s="1"/>
  <c r="K30" i="8" s="1"/>
  <c r="L30" i="8" s="1"/>
  <c r="C18" i="10"/>
  <c r="I144" i="5" l="1"/>
  <c r="E149" i="5"/>
  <c r="E153" i="5"/>
  <c r="E157" i="5"/>
  <c r="E162" i="5"/>
  <c r="E166" i="5"/>
  <c r="E170" i="5"/>
  <c r="E175" i="5"/>
  <c r="E179" i="5"/>
  <c r="E183" i="5"/>
  <c r="E188" i="5"/>
  <c r="E192" i="5"/>
  <c r="E196" i="5"/>
  <c r="E201" i="5"/>
  <c r="E205" i="5"/>
  <c r="E209" i="5"/>
  <c r="E214" i="5"/>
  <c r="E218" i="5"/>
  <c r="E222" i="5"/>
  <c r="E227" i="5"/>
  <c r="E231" i="5"/>
  <c r="E146" i="5"/>
  <c r="E150" i="5"/>
  <c r="E154" i="5"/>
  <c r="E159" i="5"/>
  <c r="E163" i="5"/>
  <c r="E167" i="5"/>
  <c r="E172" i="5"/>
  <c r="E184" i="5" s="1"/>
  <c r="E176" i="5"/>
  <c r="E180" i="5"/>
  <c r="E185" i="5"/>
  <c r="E189" i="5"/>
  <c r="E193" i="5"/>
  <c r="E198" i="5"/>
  <c r="E202" i="5"/>
  <c r="E206" i="5"/>
  <c r="E210" i="5" s="1"/>
  <c r="E211" i="5"/>
  <c r="E215" i="5"/>
  <c r="E223" i="5" s="1"/>
  <c r="E219" i="5"/>
  <c r="E224" i="5"/>
  <c r="E228" i="5"/>
  <c r="E171" i="5"/>
  <c r="H147" i="5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G146" i="5"/>
  <c r="H141" i="5"/>
  <c r="H142" i="5" s="1"/>
  <c r="H143" i="5" s="1"/>
  <c r="I141" i="5"/>
  <c r="J39" i="15"/>
  <c r="F8" i="7"/>
  <c r="H6" i="7"/>
  <c r="I6" i="7"/>
  <c r="J6" i="7"/>
  <c r="K6" i="7"/>
  <c r="L6" i="7"/>
  <c r="M6" i="7"/>
  <c r="N6" i="7"/>
  <c r="F6" i="7"/>
  <c r="J86" i="17"/>
  <c r="T34" i="2"/>
  <c r="T33" i="2"/>
  <c r="T32" i="2"/>
  <c r="D32" i="8" s="1"/>
  <c r="D31" i="8"/>
  <c r="T25" i="2"/>
  <c r="T17" i="2"/>
  <c r="T13" i="2"/>
  <c r="J18" i="2"/>
  <c r="J16" i="2"/>
  <c r="J13" i="2"/>
  <c r="J12" i="2"/>
  <c r="J7" i="2"/>
  <c r="E25" i="3"/>
  <c r="E45" i="3"/>
  <c r="E35" i="3"/>
  <c r="E55" i="3"/>
  <c r="S34" i="2"/>
  <c r="S33" i="2"/>
  <c r="S31" i="2"/>
  <c r="C31" i="8" s="1"/>
  <c r="S25" i="2"/>
  <c r="S19" i="2"/>
  <c r="C18" i="8" s="1"/>
  <c r="S18" i="2"/>
  <c r="C17" i="8" s="1"/>
  <c r="I16" i="2"/>
  <c r="I7" i="2"/>
  <c r="H39" i="5"/>
  <c r="I7" i="5"/>
  <c r="I16" i="5"/>
  <c r="I15" i="5"/>
  <c r="I14" i="5"/>
  <c r="I13" i="5"/>
  <c r="I12" i="5"/>
  <c r="I11" i="5"/>
  <c r="I10" i="5"/>
  <c r="I9" i="5"/>
  <c r="I8" i="5"/>
  <c r="D13" i="7"/>
  <c r="C19" i="10"/>
  <c r="C15" i="14"/>
  <c r="C23" i="9"/>
  <c r="C6" i="9"/>
  <c r="K8" i="5"/>
  <c r="D40" i="8"/>
  <c r="D30" i="8"/>
  <c r="D33" i="8"/>
  <c r="E33" i="8" s="1"/>
  <c r="D34" i="8"/>
  <c r="E34" i="8" s="1"/>
  <c r="C32" i="8"/>
  <c r="C33" i="8"/>
  <c r="C34" i="8"/>
  <c r="C30" i="8"/>
  <c r="C26" i="8"/>
  <c r="D26" i="8"/>
  <c r="E26" i="8" s="1"/>
  <c r="F26" i="8" s="1"/>
  <c r="G26" i="8" s="1"/>
  <c r="H26" i="8" s="1"/>
  <c r="I26" i="8" s="1"/>
  <c r="J26" i="8" s="1"/>
  <c r="K26" i="8" s="1"/>
  <c r="L26" i="8" s="1"/>
  <c r="C27" i="8"/>
  <c r="D27" i="8"/>
  <c r="E27" i="8" s="1"/>
  <c r="F27" i="8" s="1"/>
  <c r="G27" i="8" s="1"/>
  <c r="H27" i="8" s="1"/>
  <c r="I27" i="8" s="1"/>
  <c r="J27" i="8" s="1"/>
  <c r="K27" i="8" s="1"/>
  <c r="L27" i="8" s="1"/>
  <c r="D25" i="8"/>
  <c r="D28" i="8" s="1"/>
  <c r="C25" i="8"/>
  <c r="C28" i="8" s="1"/>
  <c r="D17" i="8"/>
  <c r="D18" i="8"/>
  <c r="E18" i="8" s="1"/>
  <c r="F18" i="8" s="1"/>
  <c r="G18" i="8" s="1"/>
  <c r="H18" i="8" s="1"/>
  <c r="I18" i="8" s="1"/>
  <c r="J18" i="8" s="1"/>
  <c r="K18" i="8" s="1"/>
  <c r="L18" i="8" s="1"/>
  <c r="D16" i="8"/>
  <c r="C16" i="8"/>
  <c r="C12" i="8"/>
  <c r="D12" i="8"/>
  <c r="E12" i="8" s="1"/>
  <c r="F12" i="8" s="1"/>
  <c r="G12" i="8" s="1"/>
  <c r="H12" i="8" s="1"/>
  <c r="I12" i="8" s="1"/>
  <c r="J12" i="8" s="1"/>
  <c r="K12" i="8" s="1"/>
  <c r="L12" i="8" s="1"/>
  <c r="D11" i="8"/>
  <c r="D14" i="8" s="1"/>
  <c r="C11" i="8"/>
  <c r="C14" i="8" s="1"/>
  <c r="D6" i="8"/>
  <c r="C6" i="8"/>
  <c r="C4" i="8"/>
  <c r="U17" i="2"/>
  <c r="U13" i="2"/>
  <c r="E197" i="5" l="1"/>
  <c r="E158" i="5"/>
  <c r="F146" i="5"/>
  <c r="H40" i="5"/>
  <c r="H41" i="5" s="1"/>
  <c r="H42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E141" i="5"/>
  <c r="I142" i="5"/>
  <c r="C12" i="9"/>
  <c r="G7" i="7"/>
  <c r="G13" i="7"/>
  <c r="H13" i="7" s="1"/>
  <c r="E11" i="9"/>
  <c r="D35" i="8"/>
  <c r="D36" i="8" s="1"/>
  <c r="D19" i="8"/>
  <c r="C35" i="8"/>
  <c r="C36" i="8" s="1"/>
  <c r="C19" i="8"/>
  <c r="A15" i="8"/>
  <c r="U25" i="2"/>
  <c r="D21" i="7"/>
  <c r="E17" i="7"/>
  <c r="D16" i="7"/>
  <c r="D4" i="7"/>
  <c r="J4" i="17" s="1"/>
  <c r="F7" i="5"/>
  <c r="C8" i="5" s="1"/>
  <c r="E13" i="8"/>
  <c r="F13" i="8" s="1"/>
  <c r="G13" i="8" s="1"/>
  <c r="H13" i="8" s="1"/>
  <c r="I13" i="8" s="1"/>
  <c r="J13" i="8" s="1"/>
  <c r="K13" i="8" s="1"/>
  <c r="L13" i="8" s="1"/>
  <c r="Q10" i="7"/>
  <c r="C20" i="10"/>
  <c r="D19" i="10"/>
  <c r="E19" i="10" s="1"/>
  <c r="C19" i="7"/>
  <c r="D18" i="7" s="1"/>
  <c r="P19" i="7"/>
  <c r="M6" i="3"/>
  <c r="M4" i="3" s="1"/>
  <c r="M8" i="3"/>
  <c r="M14" i="3"/>
  <c r="M65" i="3"/>
  <c r="M68" i="3"/>
  <c r="M70" i="3" s="1"/>
  <c r="M75" i="3"/>
  <c r="M81" i="3" s="1"/>
  <c r="M78" i="3"/>
  <c r="M80" i="3"/>
  <c r="M82" i="3" s="1"/>
  <c r="M85" i="3"/>
  <c r="M88" i="3"/>
  <c r="M90" i="3" s="1"/>
  <c r="M95" i="3"/>
  <c r="M105" i="3"/>
  <c r="M108" i="3"/>
  <c r="M110" i="3" s="1"/>
  <c r="M116" i="3"/>
  <c r="J16" i="9" s="1"/>
  <c r="M117" i="3"/>
  <c r="J81" i="17"/>
  <c r="J61" i="17"/>
  <c r="J20" i="17"/>
  <c r="I13" i="7" l="1"/>
  <c r="I146" i="5"/>
  <c r="G143" i="5"/>
  <c r="E142" i="5"/>
  <c r="E8" i="5"/>
  <c r="L8" i="5" s="1"/>
  <c r="H8" i="7"/>
  <c r="D19" i="7"/>
  <c r="E18" i="7" s="1"/>
  <c r="E19" i="7" s="1"/>
  <c r="F18" i="7" s="1"/>
  <c r="G18" i="7"/>
  <c r="G21" i="7"/>
  <c r="F11" i="9"/>
  <c r="M7" i="5"/>
  <c r="J8" i="5" s="1"/>
  <c r="F19" i="10"/>
  <c r="E20" i="10"/>
  <c r="D20" i="10"/>
  <c r="D11" i="9"/>
  <c r="E20" i="7"/>
  <c r="E22" i="7" s="1"/>
  <c r="E23" i="7" s="1"/>
  <c r="E27" i="7" s="1"/>
  <c r="L11" i="8"/>
  <c r="M111" i="3"/>
  <c r="M112" i="3" s="1"/>
  <c r="M91" i="3"/>
  <c r="M92" i="3"/>
  <c r="M71" i="3"/>
  <c r="M72" i="3" s="1"/>
  <c r="J83" i="17"/>
  <c r="C18" i="7"/>
  <c r="C13" i="7"/>
  <c r="C21" i="7"/>
  <c r="D28" i="7"/>
  <c r="C28" i="7"/>
  <c r="C16" i="7"/>
  <c r="D24" i="7"/>
  <c r="C24" i="7"/>
  <c r="C4" i="7"/>
  <c r="S32" i="2"/>
  <c r="T30" i="2"/>
  <c r="S30" i="2"/>
  <c r="T27" i="2"/>
  <c r="S27" i="2"/>
  <c r="T26" i="2"/>
  <c r="S26" i="2"/>
  <c r="T18" i="2"/>
  <c r="S17" i="2"/>
  <c r="T15" i="2"/>
  <c r="S13" i="2"/>
  <c r="T14" i="2"/>
  <c r="S14" i="2"/>
  <c r="I18" i="2"/>
  <c r="I13" i="2"/>
  <c r="I12" i="2"/>
  <c r="I11" i="2"/>
  <c r="I8" i="2"/>
  <c r="T9" i="2"/>
  <c r="J9" i="2"/>
  <c r="J14" i="2"/>
  <c r="L51" i="5"/>
  <c r="L52" i="5" s="1"/>
  <c r="L53" i="5" s="1"/>
  <c r="I86" i="17"/>
  <c r="H21" i="7" l="1"/>
  <c r="C15" i="12"/>
  <c r="J13" i="7"/>
  <c r="G147" i="5"/>
  <c r="G145" i="5"/>
  <c r="D9" i="5" s="1"/>
  <c r="D8" i="7"/>
  <c r="G6" i="7"/>
  <c r="G8" i="7" s="1"/>
  <c r="J25" i="2"/>
  <c r="E45" i="8"/>
  <c r="C19" i="9"/>
  <c r="G19" i="10"/>
  <c r="F20" i="10"/>
  <c r="H11" i="9"/>
  <c r="G11" i="9"/>
  <c r="C17" i="7"/>
  <c r="C20" i="7" s="1"/>
  <c r="C22" i="7" s="1"/>
  <c r="D17" i="7"/>
  <c r="D20" i="7" s="1"/>
  <c r="D22" i="7" s="1"/>
  <c r="T35" i="2"/>
  <c r="T28" i="2"/>
  <c r="T20" i="2"/>
  <c r="J15" i="2"/>
  <c r="C32" i="14"/>
  <c r="C13" i="14" s="1"/>
  <c r="R10" i="2"/>
  <c r="R28" i="7"/>
  <c r="E28" i="7" s="1"/>
  <c r="E29" i="7" s="1"/>
  <c r="E31" i="7" s="1"/>
  <c r="M8" i="5"/>
  <c r="B2" i="5"/>
  <c r="B2" i="15"/>
  <c r="B3" i="14"/>
  <c r="B2" i="13"/>
  <c r="B2" i="12"/>
  <c r="B2" i="3"/>
  <c r="B2" i="10"/>
  <c r="B2" i="9"/>
  <c r="B2" i="8"/>
  <c r="B2" i="7"/>
  <c r="D15" i="12"/>
  <c r="R27" i="2"/>
  <c r="P31" i="2"/>
  <c r="P34" i="2"/>
  <c r="P33" i="2"/>
  <c r="P32" i="2"/>
  <c r="P30" i="2"/>
  <c r="O31" i="2"/>
  <c r="O34" i="2"/>
  <c r="O33" i="2"/>
  <c r="O32" i="2"/>
  <c r="O30" i="2"/>
  <c r="N31" i="2"/>
  <c r="N34" i="2"/>
  <c r="N33" i="2"/>
  <c r="N32" i="2"/>
  <c r="N30" i="2"/>
  <c r="M31" i="2"/>
  <c r="M34" i="2"/>
  <c r="M33" i="2"/>
  <c r="M32" i="2"/>
  <c r="M30" i="2"/>
  <c r="Q13" i="2"/>
  <c r="H20" i="2"/>
  <c r="H18" i="2"/>
  <c r="H16" i="2"/>
  <c r="H13" i="2"/>
  <c r="H12" i="2"/>
  <c r="H11" i="2"/>
  <c r="H10" i="2"/>
  <c r="H8" i="2"/>
  <c r="H7" i="2"/>
  <c r="F20" i="2"/>
  <c r="F18" i="2"/>
  <c r="F16" i="2"/>
  <c r="F13" i="2"/>
  <c r="F12" i="2"/>
  <c r="F11" i="2"/>
  <c r="F10" i="2"/>
  <c r="F8" i="2"/>
  <c r="F7" i="2"/>
  <c r="E20" i="2"/>
  <c r="E18" i="2"/>
  <c r="E16" i="2"/>
  <c r="E13" i="2"/>
  <c r="E12" i="2"/>
  <c r="E11" i="2"/>
  <c r="E10" i="2"/>
  <c r="E8" i="2"/>
  <c r="E7" i="2"/>
  <c r="D20" i="2"/>
  <c r="D18" i="2"/>
  <c r="D16" i="2"/>
  <c r="D13" i="2"/>
  <c r="D12" i="2"/>
  <c r="D11" i="2"/>
  <c r="D10" i="2"/>
  <c r="D8" i="2"/>
  <c r="D7" i="2"/>
  <c r="G18" i="2"/>
  <c r="G16" i="2"/>
  <c r="G13" i="2"/>
  <c r="G12" i="2"/>
  <c r="G11" i="2"/>
  <c r="G10" i="2"/>
  <c r="G8" i="2"/>
  <c r="G7" i="2"/>
  <c r="G20" i="2"/>
  <c r="C20" i="2"/>
  <c r="C18" i="2"/>
  <c r="C16" i="2"/>
  <c r="C13" i="2"/>
  <c r="C12" i="2"/>
  <c r="C10" i="2"/>
  <c r="C11" i="2"/>
  <c r="C14" i="2" s="1"/>
  <c r="C8" i="2"/>
  <c r="C7" i="2"/>
  <c r="F33" i="8"/>
  <c r="R33" i="2"/>
  <c r="R32" i="2"/>
  <c r="R30" i="2"/>
  <c r="R34" i="2"/>
  <c r="R31" i="2"/>
  <c r="Q31" i="2"/>
  <c r="Q34" i="2"/>
  <c r="Q33" i="2"/>
  <c r="Q32" i="2"/>
  <c r="Q30" i="2"/>
  <c r="Q27" i="2"/>
  <c r="R26" i="2"/>
  <c r="Q26" i="2"/>
  <c r="P26" i="2"/>
  <c r="O26" i="2"/>
  <c r="N26" i="2"/>
  <c r="M26" i="2"/>
  <c r="R25" i="2"/>
  <c r="Q25" i="2"/>
  <c r="P25" i="2"/>
  <c r="O25" i="2"/>
  <c r="N25" i="2"/>
  <c r="M25" i="2"/>
  <c r="M19" i="2"/>
  <c r="N19" i="2"/>
  <c r="O19" i="2"/>
  <c r="P19" i="2"/>
  <c r="R19" i="2"/>
  <c r="Q19" i="2"/>
  <c r="Q17" i="2"/>
  <c r="R17" i="2"/>
  <c r="R18" i="2"/>
  <c r="Q18" i="2"/>
  <c r="P18" i="2"/>
  <c r="O18" i="2"/>
  <c r="N18" i="2"/>
  <c r="M18" i="2"/>
  <c r="Q14" i="2"/>
  <c r="P14" i="2"/>
  <c r="O14" i="2"/>
  <c r="N14" i="2"/>
  <c r="M14" i="2"/>
  <c r="R14" i="2"/>
  <c r="R13" i="2"/>
  <c r="P13" i="2"/>
  <c r="O13" i="2"/>
  <c r="N13" i="2"/>
  <c r="M13" i="2"/>
  <c r="M10" i="2"/>
  <c r="P9" i="2"/>
  <c r="Q9" i="2"/>
  <c r="R9" i="2"/>
  <c r="S9" i="2"/>
  <c r="O9" i="2"/>
  <c r="N9" i="2"/>
  <c r="M9" i="2"/>
  <c r="E6" i="8"/>
  <c r="C20" i="17"/>
  <c r="I81" i="17"/>
  <c r="I61" i="17"/>
  <c r="G20" i="17"/>
  <c r="H20" i="17"/>
  <c r="I20" i="17"/>
  <c r="D20" i="17"/>
  <c r="D81" i="17"/>
  <c r="C81" i="17"/>
  <c r="F81" i="17"/>
  <c r="G81" i="17"/>
  <c r="H81" i="17"/>
  <c r="E81" i="17"/>
  <c r="D61" i="17"/>
  <c r="C61" i="17"/>
  <c r="H61" i="17"/>
  <c r="G61" i="17"/>
  <c r="F61" i="17"/>
  <c r="E61" i="17"/>
  <c r="F20" i="17"/>
  <c r="E20" i="17"/>
  <c r="D15" i="14"/>
  <c r="E15" i="14" s="1"/>
  <c r="I8" i="12"/>
  <c r="H8" i="12"/>
  <c r="G8" i="12"/>
  <c r="F8" i="12"/>
  <c r="E8" i="12"/>
  <c r="D8" i="12"/>
  <c r="G6" i="12"/>
  <c r="C6" i="12"/>
  <c r="C8" i="12"/>
  <c r="H6" i="12"/>
  <c r="F6" i="12"/>
  <c r="D6" i="12"/>
  <c r="I21" i="7" l="1"/>
  <c r="D37" i="15"/>
  <c r="D14" i="15"/>
  <c r="K13" i="7"/>
  <c r="F147" i="5"/>
  <c r="D23" i="7"/>
  <c r="D27" i="7" s="1"/>
  <c r="D29" i="7" s="1"/>
  <c r="D31" i="7" s="1"/>
  <c r="I8" i="7"/>
  <c r="E10" i="12" s="1"/>
  <c r="J17" i="2"/>
  <c r="J29" i="2"/>
  <c r="H19" i="10"/>
  <c r="G20" i="10"/>
  <c r="H18" i="9"/>
  <c r="G33" i="8"/>
  <c r="G18" i="9"/>
  <c r="T36" i="2"/>
  <c r="D18" i="9"/>
  <c r="F18" i="9"/>
  <c r="E18" i="9"/>
  <c r="F34" i="8"/>
  <c r="G34" i="8" s="1"/>
  <c r="I83" i="17"/>
  <c r="E83" i="17"/>
  <c r="C83" i="17"/>
  <c r="G83" i="17"/>
  <c r="F83" i="17"/>
  <c r="H83" i="17"/>
  <c r="D83" i="17"/>
  <c r="D11" i="15"/>
  <c r="D34" i="15"/>
  <c r="D10" i="12"/>
  <c r="F15" i="14"/>
  <c r="E16" i="14"/>
  <c r="E34" i="15"/>
  <c r="L14" i="8"/>
  <c r="E6" i="12"/>
  <c r="I6" i="12"/>
  <c r="F6" i="8"/>
  <c r="C34" i="15"/>
  <c r="C11" i="15"/>
  <c r="D16" i="14"/>
  <c r="C16" i="14"/>
  <c r="J21" i="7" l="1"/>
  <c r="E37" i="15"/>
  <c r="E14" i="15"/>
  <c r="L13" i="7"/>
  <c r="I147" i="5"/>
  <c r="E11" i="15"/>
  <c r="J8" i="7"/>
  <c r="J19" i="2"/>
  <c r="J30" i="2"/>
  <c r="I19" i="10"/>
  <c r="H20" i="10"/>
  <c r="I11" i="9"/>
  <c r="F45" i="8"/>
  <c r="H33" i="8"/>
  <c r="H34" i="8"/>
  <c r="G15" i="14"/>
  <c r="F16" i="14"/>
  <c r="E15" i="12"/>
  <c r="G6" i="8"/>
  <c r="K21" i="7" l="1"/>
  <c r="F37" i="15"/>
  <c r="F14" i="15"/>
  <c r="M13" i="7"/>
  <c r="G148" i="5"/>
  <c r="F11" i="15"/>
  <c r="F10" i="12"/>
  <c r="F34" i="15"/>
  <c r="K8" i="7"/>
  <c r="J21" i="2"/>
  <c r="J31" i="2" s="1"/>
  <c r="J23" i="2"/>
  <c r="G45" i="8"/>
  <c r="J19" i="10"/>
  <c r="J20" i="10" s="1"/>
  <c r="I20" i="10"/>
  <c r="J18" i="9"/>
  <c r="I18" i="9"/>
  <c r="J11" i="9"/>
  <c r="I33" i="8"/>
  <c r="H45" i="8"/>
  <c r="F15" i="12"/>
  <c r="H15" i="14"/>
  <c r="G16" i="14"/>
  <c r="I34" i="8"/>
  <c r="H6" i="8"/>
  <c r="L21" i="7" l="1"/>
  <c r="G14" i="15"/>
  <c r="G37" i="15"/>
  <c r="N13" i="7"/>
  <c r="F148" i="5"/>
  <c r="L8" i="7"/>
  <c r="G11" i="15"/>
  <c r="G10" i="12"/>
  <c r="G34" i="15"/>
  <c r="J33" i="8"/>
  <c r="I45" i="8"/>
  <c r="G15" i="12"/>
  <c r="I6" i="8"/>
  <c r="J34" i="8"/>
  <c r="I15" i="14"/>
  <c r="J15" i="14" s="1"/>
  <c r="H16" i="14"/>
  <c r="M21" i="7" l="1"/>
  <c r="H37" i="15"/>
  <c r="H14" i="15"/>
  <c r="I148" i="5"/>
  <c r="H11" i="15"/>
  <c r="H10" i="12"/>
  <c r="H34" i="15"/>
  <c r="N8" i="7"/>
  <c r="M8" i="7"/>
  <c r="K33" i="8"/>
  <c r="J45" i="8"/>
  <c r="I16" i="14"/>
  <c r="K34" i="8"/>
  <c r="J6" i="8"/>
  <c r="H15" i="12"/>
  <c r="N21" i="7" l="1"/>
  <c r="I37" i="15"/>
  <c r="I14" i="15"/>
  <c r="G149" i="5"/>
  <c r="I34" i="15"/>
  <c r="I11" i="15"/>
  <c r="I10" i="12"/>
  <c r="L33" i="8"/>
  <c r="K45" i="8"/>
  <c r="L19" i="8"/>
  <c r="J16" i="13" s="1"/>
  <c r="L34" i="8"/>
  <c r="I15" i="12"/>
  <c r="K6" i="8"/>
  <c r="L6" i="8" s="1"/>
  <c r="J15" i="12" l="1"/>
  <c r="J14" i="15"/>
  <c r="J37" i="15"/>
  <c r="F149" i="5"/>
  <c r="L45" i="8"/>
  <c r="F116" i="3"/>
  <c r="C16" i="9" s="1"/>
  <c r="C11" i="14" s="1"/>
  <c r="G116" i="3"/>
  <c r="D16" i="9" s="1"/>
  <c r="D11" i="14" s="1"/>
  <c r="H116" i="3"/>
  <c r="E16" i="9" s="1"/>
  <c r="E11" i="14" s="1"/>
  <c r="I116" i="3"/>
  <c r="F16" i="9" s="1"/>
  <c r="F11" i="14" s="1"/>
  <c r="J116" i="3"/>
  <c r="G16" i="9" s="1"/>
  <c r="G11" i="14" s="1"/>
  <c r="K116" i="3"/>
  <c r="H16" i="9" s="1"/>
  <c r="H11" i="14" s="1"/>
  <c r="L116" i="3"/>
  <c r="I16" i="9" s="1"/>
  <c r="I11" i="14" s="1"/>
  <c r="F117" i="3"/>
  <c r="G117" i="3"/>
  <c r="H117" i="3"/>
  <c r="I117" i="3"/>
  <c r="J117" i="3"/>
  <c r="K117" i="3"/>
  <c r="L117" i="3"/>
  <c r="E117" i="3"/>
  <c r="E116" i="3"/>
  <c r="E110" i="3"/>
  <c r="E108" i="3"/>
  <c r="E105" i="3"/>
  <c r="E100" i="3"/>
  <c r="E95" i="3"/>
  <c r="E90" i="3"/>
  <c r="E88" i="3"/>
  <c r="E85" i="3"/>
  <c r="E80" i="3"/>
  <c r="E78" i="3"/>
  <c r="E75" i="3"/>
  <c r="E70" i="3"/>
  <c r="E68" i="3"/>
  <c r="E65" i="3"/>
  <c r="E60" i="3"/>
  <c r="E58" i="3"/>
  <c r="E50" i="3"/>
  <c r="E48" i="3"/>
  <c r="E40" i="3"/>
  <c r="E38" i="3"/>
  <c r="E118" i="3" s="1"/>
  <c r="E30" i="3"/>
  <c r="E28" i="3"/>
  <c r="C39" i="5"/>
  <c r="C40" i="5" s="1"/>
  <c r="C41" i="5" s="1"/>
  <c r="C42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B44" i="5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I149" i="5" l="1"/>
  <c r="E121" i="3"/>
  <c r="E120" i="3"/>
  <c r="G150" i="5" l="1"/>
  <c r="I24" i="5"/>
  <c r="F150" i="5" l="1"/>
  <c r="G39" i="5"/>
  <c r="I150" i="5" l="1"/>
  <c r="I39" i="5"/>
  <c r="E39" i="5"/>
  <c r="G151" i="5" l="1"/>
  <c r="F151" i="5" s="1"/>
  <c r="I151" i="5" s="1"/>
  <c r="G40" i="5"/>
  <c r="E40" i="5" s="1"/>
  <c r="I40" i="5"/>
  <c r="G152" i="5" l="1"/>
  <c r="F152" i="5" s="1"/>
  <c r="I152" i="5" s="1"/>
  <c r="G41" i="5"/>
  <c r="E41" i="5" s="1"/>
  <c r="G153" i="5" l="1"/>
  <c r="F153" i="5" s="1"/>
  <c r="I153" i="5" s="1"/>
  <c r="I41" i="5"/>
  <c r="G154" i="5" l="1"/>
  <c r="F154" i="5" s="1"/>
  <c r="I154" i="5" s="1"/>
  <c r="E145" i="5"/>
  <c r="E42" i="5"/>
  <c r="E43" i="5" s="1"/>
  <c r="E70" i="5"/>
  <c r="E130" i="5"/>
  <c r="E52" i="5"/>
  <c r="E71" i="5"/>
  <c r="E88" i="5"/>
  <c r="E105" i="5"/>
  <c r="E123" i="5"/>
  <c r="E53" i="5"/>
  <c r="E74" i="5"/>
  <c r="E91" i="5"/>
  <c r="E109" i="5"/>
  <c r="E126" i="5"/>
  <c r="E63" i="5"/>
  <c r="E80" i="5"/>
  <c r="E98" i="5"/>
  <c r="E115" i="5"/>
  <c r="E46" i="5"/>
  <c r="E64" i="5"/>
  <c r="E81" i="5"/>
  <c r="E99" i="5"/>
  <c r="E116" i="5"/>
  <c r="E66" i="5"/>
  <c r="E84" i="5"/>
  <c r="E118" i="5"/>
  <c r="E65" i="5"/>
  <c r="E122" i="5"/>
  <c r="E76" i="5"/>
  <c r="E128" i="5"/>
  <c r="E94" i="5"/>
  <c r="E47" i="5"/>
  <c r="E131" i="5"/>
  <c r="E58" i="5"/>
  <c r="E75" i="5"/>
  <c r="E92" i="5"/>
  <c r="E110" i="5"/>
  <c r="E127" i="5"/>
  <c r="E55" i="5"/>
  <c r="E78" i="5"/>
  <c r="E96" i="5"/>
  <c r="E113" i="5"/>
  <c r="E45" i="5"/>
  <c r="E67" i="5"/>
  <c r="E85" i="5"/>
  <c r="E102" i="5"/>
  <c r="E119" i="5"/>
  <c r="E50" i="5"/>
  <c r="E68" i="5"/>
  <c r="E86" i="5"/>
  <c r="E103" i="5"/>
  <c r="E120" i="5"/>
  <c r="E48" i="5"/>
  <c r="E104" i="5"/>
  <c r="E111" i="5"/>
  <c r="E77" i="5"/>
  <c r="L45" i="5"/>
  <c r="L46" i="5" s="1"/>
  <c r="L48" i="5" s="1"/>
  <c r="E44" i="5"/>
  <c r="E62" i="5"/>
  <c r="E79" i="5"/>
  <c r="E97" i="5"/>
  <c r="E114" i="5"/>
  <c r="E51" i="5"/>
  <c r="E57" i="5"/>
  <c r="E83" i="5"/>
  <c r="E100" i="5"/>
  <c r="E117" i="5"/>
  <c r="E49" i="5"/>
  <c r="E72" i="5"/>
  <c r="E89" i="5"/>
  <c r="E106" i="5"/>
  <c r="E124" i="5"/>
  <c r="E54" i="5"/>
  <c r="E73" i="5"/>
  <c r="E90" i="5"/>
  <c r="E107" i="5"/>
  <c r="E125" i="5"/>
  <c r="E129" i="5"/>
  <c r="E101" i="5"/>
  <c r="E61" i="5"/>
  <c r="E87" i="5"/>
  <c r="E59" i="5"/>
  <c r="E93" i="5"/>
  <c r="E60" i="5"/>
  <c r="E112" i="5"/>
  <c r="G42" i="5"/>
  <c r="F42" i="5" s="1"/>
  <c r="G155" i="5" l="1"/>
  <c r="F155" i="5" s="1"/>
  <c r="I155" i="5" s="1"/>
  <c r="I143" i="5"/>
  <c r="I42" i="5"/>
  <c r="F43" i="5"/>
  <c r="G43" i="5"/>
  <c r="K9" i="5" s="1"/>
  <c r="C8" i="10" l="1"/>
  <c r="E9" i="5"/>
  <c r="G156" i="5"/>
  <c r="F156" i="5" s="1"/>
  <c r="I156" i="5" s="1"/>
  <c r="L9" i="5"/>
  <c r="F24" i="7"/>
  <c r="G44" i="5"/>
  <c r="F44" i="5" s="1"/>
  <c r="I44" i="5" s="1"/>
  <c r="C24" i="15" l="1"/>
  <c r="C47" i="15" s="1"/>
  <c r="G157" i="5"/>
  <c r="G24" i="7"/>
  <c r="C13" i="12" s="1"/>
  <c r="C23" i="15"/>
  <c r="C6" i="10"/>
  <c r="C9" i="10"/>
  <c r="C10" i="10" s="1"/>
  <c r="C15" i="15"/>
  <c r="C38" i="15" s="1"/>
  <c r="G45" i="5"/>
  <c r="F157" i="5" l="1"/>
  <c r="G158" i="5"/>
  <c r="C46" i="15"/>
  <c r="F45" i="5"/>
  <c r="I45" i="5" s="1"/>
  <c r="F158" i="5" l="1"/>
  <c r="I157" i="5"/>
  <c r="G46" i="5"/>
  <c r="G159" i="5" l="1"/>
  <c r="I159" i="5" s="1"/>
  <c r="F46" i="5"/>
  <c r="I46" i="5" s="1"/>
  <c r="G160" i="5" l="1"/>
  <c r="F160" i="5" s="1"/>
  <c r="I160" i="5" s="1"/>
  <c r="F159" i="5"/>
  <c r="G47" i="5"/>
  <c r="G161" i="5" l="1"/>
  <c r="F161" i="5" s="1"/>
  <c r="I161" i="5" s="1"/>
  <c r="F47" i="5"/>
  <c r="I47" i="5" s="1"/>
  <c r="G162" i="5" l="1"/>
  <c r="F162" i="5" s="1"/>
  <c r="I162" i="5" s="1"/>
  <c r="G48" i="5"/>
  <c r="F48" i="5" s="1"/>
  <c r="I48" i="5" s="1"/>
  <c r="G163" i="5" l="1"/>
  <c r="F163" i="5" s="1"/>
  <c r="I163" i="5" s="1"/>
  <c r="G49" i="5"/>
  <c r="F49" i="5" s="1"/>
  <c r="I49" i="5" s="1"/>
  <c r="G164" i="5" l="1"/>
  <c r="F164" i="5" s="1"/>
  <c r="I164" i="5" s="1"/>
  <c r="J9" i="5"/>
  <c r="C9" i="5"/>
  <c r="F9" i="5" s="1"/>
  <c r="G50" i="5"/>
  <c r="F50" i="5" s="1"/>
  <c r="I50" i="5" s="1"/>
  <c r="G165" i="5" l="1"/>
  <c r="F165" i="5" s="1"/>
  <c r="I165" i="5" s="1"/>
  <c r="M9" i="5"/>
  <c r="C9" i="9" s="1"/>
  <c r="C10" i="5"/>
  <c r="G51" i="5"/>
  <c r="F51" i="5" s="1"/>
  <c r="I51" i="5" s="1"/>
  <c r="G166" i="5" l="1"/>
  <c r="F166" i="5" s="1"/>
  <c r="I166" i="5" s="1"/>
  <c r="J10" i="5"/>
  <c r="E11" i="8"/>
  <c r="A16" i="8" s="1"/>
  <c r="A17" i="8" s="1"/>
  <c r="G52" i="5"/>
  <c r="F52" i="5" s="1"/>
  <c r="I52" i="5" s="1"/>
  <c r="G167" i="5" l="1"/>
  <c r="F167" i="5" s="1"/>
  <c r="I167" i="5" s="1"/>
  <c r="G53" i="5"/>
  <c r="F53" i="5" s="1"/>
  <c r="I53" i="5" s="1"/>
  <c r="G168" i="5" l="1"/>
  <c r="F168" i="5" s="1"/>
  <c r="I168" i="5" s="1"/>
  <c r="G54" i="5"/>
  <c r="F54" i="5" s="1"/>
  <c r="I54" i="5" s="1"/>
  <c r="G169" i="5" l="1"/>
  <c r="F169" i="5" s="1"/>
  <c r="I169" i="5" s="1"/>
  <c r="G55" i="5"/>
  <c r="F55" i="5" s="1"/>
  <c r="I55" i="5" s="1"/>
  <c r="G170" i="5" l="1"/>
  <c r="F56" i="5"/>
  <c r="E10" i="5" s="1"/>
  <c r="E56" i="5"/>
  <c r="G56" i="5"/>
  <c r="D10" i="5" s="1"/>
  <c r="F170" i="5" l="1"/>
  <c r="G171" i="5"/>
  <c r="L10" i="5"/>
  <c r="E19" i="8" s="1"/>
  <c r="C16" i="13" s="1"/>
  <c r="F10" i="5"/>
  <c r="M10" i="5" s="1"/>
  <c r="F11" i="8" s="1"/>
  <c r="K10" i="5"/>
  <c r="H24" i="7" s="1"/>
  <c r="D6" i="10" s="1"/>
  <c r="F171" i="5" l="1"/>
  <c r="I170" i="5"/>
  <c r="E14" i="8"/>
  <c r="D17" i="9"/>
  <c r="D8" i="10" s="1"/>
  <c r="D24" i="15" s="1"/>
  <c r="D9" i="10"/>
  <c r="D23" i="15"/>
  <c r="D15" i="15"/>
  <c r="D38" i="15" s="1"/>
  <c r="D13" i="12"/>
  <c r="G57" i="5"/>
  <c r="C11" i="5"/>
  <c r="J11" i="5"/>
  <c r="G172" i="5" l="1"/>
  <c r="D47" i="15"/>
  <c r="I57" i="5"/>
  <c r="G58" i="5" s="1"/>
  <c r="F58" i="5" s="1"/>
  <c r="F57" i="5"/>
  <c r="D46" i="15"/>
  <c r="D10" i="10"/>
  <c r="F172" i="5" l="1"/>
  <c r="I172" i="5"/>
  <c r="I58" i="5"/>
  <c r="G173" i="5" l="1"/>
  <c r="G59" i="5"/>
  <c r="F59" i="5" s="1"/>
  <c r="F173" i="5" l="1"/>
  <c r="I59" i="5"/>
  <c r="I173" i="5" l="1"/>
  <c r="G60" i="5"/>
  <c r="F60" i="5" s="1"/>
  <c r="G174" i="5" l="1"/>
  <c r="I60" i="5"/>
  <c r="F174" i="5" l="1"/>
  <c r="G61" i="5"/>
  <c r="F61" i="5" s="1"/>
  <c r="I61" i="5" s="1"/>
  <c r="I174" i="5" l="1"/>
  <c r="G62" i="5"/>
  <c r="F62" i="5" s="1"/>
  <c r="I62" i="5" s="1"/>
  <c r="G175" i="5" l="1"/>
  <c r="G63" i="5"/>
  <c r="F63" i="5" s="1"/>
  <c r="I63" i="5" s="1"/>
  <c r="F175" i="5" l="1"/>
  <c r="G64" i="5"/>
  <c r="F64" i="5" s="1"/>
  <c r="I64" i="5" s="1"/>
  <c r="I175" i="5" l="1"/>
  <c r="G65" i="5"/>
  <c r="F65" i="5" s="1"/>
  <c r="I65" i="5" s="1"/>
  <c r="G176" i="5" l="1"/>
  <c r="G66" i="5"/>
  <c r="F66" i="5" s="1"/>
  <c r="I66" i="5" s="1"/>
  <c r="F176" i="5" l="1"/>
  <c r="I176" i="5" s="1"/>
  <c r="G67" i="5"/>
  <c r="F67" i="5" s="1"/>
  <c r="I67" i="5" s="1"/>
  <c r="G177" i="5" l="1"/>
  <c r="F177" i="5" s="1"/>
  <c r="I177" i="5" s="1"/>
  <c r="G68" i="5"/>
  <c r="F68" i="5" s="1"/>
  <c r="F69" i="5" s="1"/>
  <c r="E11" i="5" s="1"/>
  <c r="G178" i="5" l="1"/>
  <c r="F178" i="5" s="1"/>
  <c r="I178" i="5" s="1"/>
  <c r="F11" i="5"/>
  <c r="I68" i="5"/>
  <c r="E69" i="5"/>
  <c r="G69" i="5"/>
  <c r="D11" i="5" s="1"/>
  <c r="G179" i="5" l="1"/>
  <c r="F179" i="5" s="1"/>
  <c r="I179" i="5" s="1"/>
  <c r="L11" i="5"/>
  <c r="K11" i="5"/>
  <c r="I24" i="7" s="1"/>
  <c r="E6" i="10" s="1"/>
  <c r="M11" i="5"/>
  <c r="G180" i="5" l="1"/>
  <c r="F180" i="5" s="1"/>
  <c r="I180" i="5" s="1"/>
  <c r="E17" i="9"/>
  <c r="E8" i="10" s="1"/>
  <c r="E24" i="15" s="1"/>
  <c r="E9" i="10"/>
  <c r="E23" i="15"/>
  <c r="E15" i="15"/>
  <c r="E38" i="15" s="1"/>
  <c r="E13" i="12"/>
  <c r="G70" i="5"/>
  <c r="F70" i="5" s="1"/>
  <c r="G181" i="5" l="1"/>
  <c r="F181" i="5" s="1"/>
  <c r="I181" i="5" s="1"/>
  <c r="E47" i="15"/>
  <c r="F14" i="8"/>
  <c r="F19" i="8"/>
  <c r="D16" i="13" s="1"/>
  <c r="E46" i="15"/>
  <c r="E10" i="10"/>
  <c r="C12" i="5"/>
  <c r="J12" i="5"/>
  <c r="G182" i="5" l="1"/>
  <c r="F182" i="5" s="1"/>
  <c r="I182" i="5" s="1"/>
  <c r="I70" i="5"/>
  <c r="G183" i="5" l="1"/>
  <c r="G71" i="5"/>
  <c r="F71" i="5" s="1"/>
  <c r="I71" i="5" s="1"/>
  <c r="F183" i="5" l="1"/>
  <c r="G184" i="5"/>
  <c r="G72" i="5"/>
  <c r="F72" i="5" s="1"/>
  <c r="I72" i="5" s="1"/>
  <c r="F184" i="5" l="1"/>
  <c r="I183" i="5"/>
  <c r="G73" i="5"/>
  <c r="F73" i="5" s="1"/>
  <c r="I73" i="5" s="1"/>
  <c r="G185" i="5" l="1"/>
  <c r="I185" i="5" s="1"/>
  <c r="G74" i="5"/>
  <c r="F74" i="5" s="1"/>
  <c r="I74" i="5" s="1"/>
  <c r="G186" i="5" l="1"/>
  <c r="F186" i="5" s="1"/>
  <c r="I186" i="5" s="1"/>
  <c r="F185" i="5"/>
  <c r="G75" i="5"/>
  <c r="F75" i="5" s="1"/>
  <c r="I75" i="5" s="1"/>
  <c r="G187" i="5" l="1"/>
  <c r="G76" i="5"/>
  <c r="F76" i="5" s="1"/>
  <c r="I76" i="5" s="1"/>
  <c r="F187" i="5" l="1"/>
  <c r="G77" i="5"/>
  <c r="F77" i="5" s="1"/>
  <c r="I77" i="5" s="1"/>
  <c r="I187" i="5" l="1"/>
  <c r="G78" i="5"/>
  <c r="F78" i="5" s="1"/>
  <c r="I78" i="5" s="1"/>
  <c r="G188" i="5" l="1"/>
  <c r="G79" i="5"/>
  <c r="F79" i="5" s="1"/>
  <c r="I79" i="5" s="1"/>
  <c r="F188" i="5" l="1"/>
  <c r="G80" i="5"/>
  <c r="F80" i="5" s="1"/>
  <c r="I80" i="5" s="1"/>
  <c r="I188" i="5" l="1"/>
  <c r="G81" i="5"/>
  <c r="F81" i="5" s="1"/>
  <c r="F82" i="5" s="1"/>
  <c r="E12" i="5" s="1"/>
  <c r="G189" i="5" l="1"/>
  <c r="F12" i="5"/>
  <c r="I81" i="5"/>
  <c r="E82" i="5"/>
  <c r="G82" i="5"/>
  <c r="D12" i="5" s="1"/>
  <c r="F189" i="5" l="1"/>
  <c r="L12" i="5"/>
  <c r="K12" i="5"/>
  <c r="J24" i="7" s="1"/>
  <c r="F6" i="10" s="1"/>
  <c r="I189" i="5" l="1"/>
  <c r="F17" i="9"/>
  <c r="F8" i="10" s="1"/>
  <c r="F24" i="15" s="1"/>
  <c r="M12" i="5"/>
  <c r="G83" i="5"/>
  <c r="F83" i="5" s="1"/>
  <c r="F23" i="15"/>
  <c r="F13" i="12"/>
  <c r="F9" i="10"/>
  <c r="F15" i="15"/>
  <c r="F38" i="15" s="1"/>
  <c r="G190" i="5" l="1"/>
  <c r="F47" i="15"/>
  <c r="G19" i="8"/>
  <c r="E16" i="13" s="1"/>
  <c r="G11" i="8"/>
  <c r="G14" i="8" s="1"/>
  <c r="J13" i="5"/>
  <c r="F46" i="15"/>
  <c r="F10" i="10"/>
  <c r="C13" i="5"/>
  <c r="I83" i="5"/>
  <c r="F190" i="5" l="1"/>
  <c r="I190" i="5" s="1"/>
  <c r="G84" i="5"/>
  <c r="F84" i="5" s="1"/>
  <c r="G191" i="5" l="1"/>
  <c r="F191" i="5" s="1"/>
  <c r="I191" i="5" s="1"/>
  <c r="I84" i="5"/>
  <c r="G85" i="5" s="1"/>
  <c r="F85" i="5" s="1"/>
  <c r="G192" i="5" l="1"/>
  <c r="F192" i="5" s="1"/>
  <c r="I192" i="5" s="1"/>
  <c r="I85" i="5"/>
  <c r="G86" i="5" s="1"/>
  <c r="F86" i="5" s="1"/>
  <c r="G193" i="5" l="1"/>
  <c r="F193" i="5" s="1"/>
  <c r="I193" i="5" s="1"/>
  <c r="I86" i="5"/>
  <c r="G87" i="5" s="1"/>
  <c r="F87" i="5" s="1"/>
  <c r="G194" i="5" l="1"/>
  <c r="F194" i="5" s="1"/>
  <c r="I194" i="5" s="1"/>
  <c r="I87" i="5"/>
  <c r="G88" i="5" s="1"/>
  <c r="F88" i="5" s="1"/>
  <c r="G195" i="5" l="1"/>
  <c r="F195" i="5" s="1"/>
  <c r="I195" i="5" s="1"/>
  <c r="I88" i="5"/>
  <c r="G89" i="5" s="1"/>
  <c r="F89" i="5" s="1"/>
  <c r="G196" i="5" l="1"/>
  <c r="I89" i="5"/>
  <c r="G90" i="5" s="1"/>
  <c r="F90" i="5" s="1"/>
  <c r="F196" i="5" l="1"/>
  <c r="G197" i="5"/>
  <c r="I90" i="5"/>
  <c r="G91" i="5" s="1"/>
  <c r="F91" i="5" s="1"/>
  <c r="F197" i="5" l="1"/>
  <c r="I196" i="5"/>
  <c r="I91" i="5"/>
  <c r="G92" i="5" s="1"/>
  <c r="F92" i="5" s="1"/>
  <c r="G198" i="5" l="1"/>
  <c r="I92" i="5"/>
  <c r="G93" i="5" s="1"/>
  <c r="F93" i="5" s="1"/>
  <c r="F198" i="5" l="1"/>
  <c r="I93" i="5"/>
  <c r="G94" i="5" s="1"/>
  <c r="F94" i="5" s="1"/>
  <c r="F95" i="5" s="1"/>
  <c r="E13" i="5" s="1"/>
  <c r="I198" i="5" l="1"/>
  <c r="F13" i="5"/>
  <c r="I94" i="5"/>
  <c r="E95" i="5"/>
  <c r="G95" i="5"/>
  <c r="D13" i="5" s="1"/>
  <c r="F95" i="3"/>
  <c r="F65" i="3"/>
  <c r="F105" i="3"/>
  <c r="F85" i="3"/>
  <c r="F75" i="3"/>
  <c r="G75" i="3" s="1"/>
  <c r="H75" i="3" s="1"/>
  <c r="I75" i="3" s="1"/>
  <c r="F45" i="3"/>
  <c r="G45" i="3" s="1"/>
  <c r="H45" i="3" s="1"/>
  <c r="F55" i="3"/>
  <c r="G55" i="3" s="1"/>
  <c r="F25" i="3"/>
  <c r="F17" i="3"/>
  <c r="G17" i="3" s="1"/>
  <c r="H17" i="3" s="1"/>
  <c r="F8" i="3"/>
  <c r="F6" i="3"/>
  <c r="F4" i="3" s="1"/>
  <c r="D127" i="3"/>
  <c r="E127" i="3"/>
  <c r="F127" i="3"/>
  <c r="G127" i="3"/>
  <c r="H127" i="3"/>
  <c r="I127" i="3"/>
  <c r="J127" i="3"/>
  <c r="K127" i="3"/>
  <c r="L127" i="3"/>
  <c r="M127" i="3"/>
  <c r="N127" i="3"/>
  <c r="C128" i="3"/>
  <c r="C129" i="3" s="1"/>
  <c r="G199" i="5" l="1"/>
  <c r="M13" i="5"/>
  <c r="J14" i="5" s="1"/>
  <c r="L13" i="5"/>
  <c r="G96" i="5"/>
  <c r="F96" i="5" s="1"/>
  <c r="I96" i="5" s="1"/>
  <c r="G97" i="5" s="1"/>
  <c r="F97" i="5" s="1"/>
  <c r="G8" i="3"/>
  <c r="K13" i="5"/>
  <c r="K24" i="7" s="1"/>
  <c r="G6" i="10" s="1"/>
  <c r="C14" i="5"/>
  <c r="G105" i="3"/>
  <c r="E111" i="3"/>
  <c r="E91" i="3"/>
  <c r="F88" i="3" s="1"/>
  <c r="F90" i="3" s="1"/>
  <c r="G85" i="3"/>
  <c r="E101" i="3"/>
  <c r="G95" i="3"/>
  <c r="E61" i="3"/>
  <c r="F58" i="3" s="1"/>
  <c r="F60" i="3" s="1"/>
  <c r="F61" i="3" s="1"/>
  <c r="F62" i="3" s="1"/>
  <c r="E71" i="3"/>
  <c r="G65" i="3"/>
  <c r="E31" i="3"/>
  <c r="F28" i="3" s="1"/>
  <c r="F30" i="3" s="1"/>
  <c r="F31" i="3" s="1"/>
  <c r="G28" i="3" s="1"/>
  <c r="G30" i="3" s="1"/>
  <c r="E51" i="3"/>
  <c r="F48" i="3" s="1"/>
  <c r="F50" i="3" s="1"/>
  <c r="F51" i="3" s="1"/>
  <c r="G48" i="3" s="1"/>
  <c r="G50" i="3" s="1"/>
  <c r="E41" i="3"/>
  <c r="F38" i="3" s="1"/>
  <c r="F40" i="3" s="1"/>
  <c r="F35" i="3"/>
  <c r="G35" i="3" s="1"/>
  <c r="H35" i="3" s="1"/>
  <c r="I35" i="3" s="1"/>
  <c r="G25" i="3"/>
  <c r="H25" i="3" s="1"/>
  <c r="E23" i="3"/>
  <c r="F20" i="3" s="1"/>
  <c r="E14" i="3"/>
  <c r="H55" i="3"/>
  <c r="H8" i="3"/>
  <c r="G14" i="3"/>
  <c r="I45" i="3"/>
  <c r="I17" i="3"/>
  <c r="J75" i="3"/>
  <c r="E81" i="3"/>
  <c r="G6" i="3"/>
  <c r="F14" i="3"/>
  <c r="F199" i="5" l="1"/>
  <c r="G17" i="9"/>
  <c r="G8" i="10" s="1"/>
  <c r="G24" i="15" s="1"/>
  <c r="I97" i="5"/>
  <c r="G98" i="5" s="1"/>
  <c r="F98" i="5" s="1"/>
  <c r="E119" i="3"/>
  <c r="A26" i="8" s="1"/>
  <c r="F120" i="3"/>
  <c r="E23" i="8" s="1"/>
  <c r="G120" i="3"/>
  <c r="F23" i="8" s="1"/>
  <c r="G9" i="10"/>
  <c r="G13" i="12"/>
  <c r="G15" i="15"/>
  <c r="G38" i="15" s="1"/>
  <c r="G23" i="15"/>
  <c r="E32" i="3"/>
  <c r="E92" i="3"/>
  <c r="F68" i="3"/>
  <c r="F70" i="3" s="1"/>
  <c r="F71" i="3" s="1"/>
  <c r="F108" i="3"/>
  <c r="E112" i="3"/>
  <c r="F98" i="3"/>
  <c r="F100" i="3" s="1"/>
  <c r="F101" i="3" s="1"/>
  <c r="E102" i="3"/>
  <c r="E72" i="3"/>
  <c r="H105" i="3"/>
  <c r="E62" i="3"/>
  <c r="F91" i="3"/>
  <c r="H85" i="3"/>
  <c r="F41" i="3"/>
  <c r="G38" i="3" s="1"/>
  <c r="G40" i="3" s="1"/>
  <c r="G41" i="3" s="1"/>
  <c r="H38" i="3" s="1"/>
  <c r="H40" i="3" s="1"/>
  <c r="H95" i="3"/>
  <c r="H65" i="3"/>
  <c r="H120" i="3" s="1"/>
  <c r="G23" i="8" s="1"/>
  <c r="E52" i="3"/>
  <c r="F52" i="3"/>
  <c r="E42" i="3"/>
  <c r="G31" i="3"/>
  <c r="H28" i="3" s="1"/>
  <c r="H30" i="3" s="1"/>
  <c r="H31" i="3" s="1"/>
  <c r="I28" i="3" s="1"/>
  <c r="I30" i="3" s="1"/>
  <c r="F32" i="3"/>
  <c r="G51" i="3"/>
  <c r="H48" i="3" s="1"/>
  <c r="H50" i="3" s="1"/>
  <c r="I55" i="3"/>
  <c r="J17" i="3"/>
  <c r="K75" i="3"/>
  <c r="G58" i="3"/>
  <c r="J35" i="3"/>
  <c r="J45" i="3"/>
  <c r="I25" i="3"/>
  <c r="F78" i="3"/>
  <c r="F80" i="3" s="1"/>
  <c r="E82" i="3"/>
  <c r="H14" i="3"/>
  <c r="I8" i="3"/>
  <c r="H6" i="3"/>
  <c r="G4" i="3"/>
  <c r="F22" i="3"/>
  <c r="I199" i="5" l="1"/>
  <c r="G47" i="15"/>
  <c r="H11" i="8"/>
  <c r="H14" i="8" s="1"/>
  <c r="H19" i="8"/>
  <c r="F16" i="13" s="1"/>
  <c r="I98" i="5"/>
  <c r="G99" i="5" s="1"/>
  <c r="F99" i="5" s="1"/>
  <c r="F23" i="3"/>
  <c r="G20" i="3" s="1"/>
  <c r="G22" i="3" s="1"/>
  <c r="F118" i="3"/>
  <c r="F16" i="7" s="1"/>
  <c r="G46" i="15"/>
  <c r="G10" i="10"/>
  <c r="F119" i="3"/>
  <c r="F110" i="3"/>
  <c r="F111" i="3" s="1"/>
  <c r="G68" i="3"/>
  <c r="G70" i="3" s="1"/>
  <c r="G71" i="3" s="1"/>
  <c r="F42" i="3"/>
  <c r="G88" i="3"/>
  <c r="G90" i="3" s="1"/>
  <c r="G91" i="3" s="1"/>
  <c r="G108" i="3"/>
  <c r="G98" i="3"/>
  <c r="G100" i="3" s="1"/>
  <c r="G101" i="3" s="1"/>
  <c r="I105" i="3"/>
  <c r="I85" i="3"/>
  <c r="F92" i="3"/>
  <c r="F102" i="3"/>
  <c r="I95" i="3"/>
  <c r="I65" i="3"/>
  <c r="I120" i="3" s="1"/>
  <c r="H23" i="8" s="1"/>
  <c r="F72" i="3"/>
  <c r="G32" i="3"/>
  <c r="G42" i="3"/>
  <c r="H32" i="3"/>
  <c r="H51" i="3"/>
  <c r="I48" i="3" s="1"/>
  <c r="I50" i="3" s="1"/>
  <c r="H41" i="3"/>
  <c r="I38" i="3" s="1"/>
  <c r="I40" i="3" s="1"/>
  <c r="I6" i="3"/>
  <c r="H4" i="3"/>
  <c r="J25" i="3"/>
  <c r="I31" i="3"/>
  <c r="J28" i="3" s="1"/>
  <c r="J30" i="3" s="1"/>
  <c r="K35" i="3"/>
  <c r="J55" i="3"/>
  <c r="L75" i="3"/>
  <c r="F81" i="3"/>
  <c r="G78" i="3" s="1"/>
  <c r="G80" i="3" s="1"/>
  <c r="K45" i="3"/>
  <c r="J8" i="3"/>
  <c r="I14" i="3"/>
  <c r="G60" i="3"/>
  <c r="K17" i="3"/>
  <c r="G52" i="3"/>
  <c r="G200" i="5" l="1"/>
  <c r="G16" i="7"/>
  <c r="I99" i="5"/>
  <c r="G100" i="5" s="1"/>
  <c r="F100" i="5" s="1"/>
  <c r="F121" i="3"/>
  <c r="E24" i="8" s="1"/>
  <c r="E25" i="8" s="1"/>
  <c r="E28" i="8" s="1"/>
  <c r="G118" i="3"/>
  <c r="H16" i="7" s="1"/>
  <c r="G23" i="3"/>
  <c r="G121" i="3"/>
  <c r="C17" i="12"/>
  <c r="F17" i="7"/>
  <c r="F20" i="7" s="1"/>
  <c r="F22" i="7" s="1"/>
  <c r="F23" i="7" s="1"/>
  <c r="C16" i="15"/>
  <c r="C39" i="15" s="1"/>
  <c r="C40" i="15" s="1"/>
  <c r="C42" i="15" s="1"/>
  <c r="H18" i="7"/>
  <c r="H19" i="7" s="1"/>
  <c r="F112" i="3"/>
  <c r="G110" i="3"/>
  <c r="G111" i="3" s="1"/>
  <c r="H98" i="3"/>
  <c r="H100" i="3" s="1"/>
  <c r="H101" i="3" s="1"/>
  <c r="H88" i="3"/>
  <c r="H90" i="3" s="1"/>
  <c r="H91" i="3" s="1"/>
  <c r="H68" i="3"/>
  <c r="H70" i="3" s="1"/>
  <c r="H71" i="3" s="1"/>
  <c r="J105" i="3"/>
  <c r="G92" i="3"/>
  <c r="J85" i="3"/>
  <c r="G102" i="3"/>
  <c r="J95" i="3"/>
  <c r="I32" i="3"/>
  <c r="G72" i="3"/>
  <c r="J65" i="3"/>
  <c r="J120" i="3" s="1"/>
  <c r="I23" i="8" s="1"/>
  <c r="H42" i="3"/>
  <c r="H52" i="3"/>
  <c r="G81" i="3"/>
  <c r="H78" i="3" s="1"/>
  <c r="H80" i="3" s="1"/>
  <c r="I51" i="3"/>
  <c r="J48" i="3" s="1"/>
  <c r="J50" i="3" s="1"/>
  <c r="H20" i="3"/>
  <c r="L35" i="3"/>
  <c r="M35" i="3" s="1"/>
  <c r="J6" i="3"/>
  <c r="I4" i="3"/>
  <c r="G61" i="3"/>
  <c r="H58" i="3" s="1"/>
  <c r="H60" i="3" s="1"/>
  <c r="L45" i="3"/>
  <c r="M45" i="3" s="1"/>
  <c r="L17" i="3"/>
  <c r="M17" i="3" s="1"/>
  <c r="K8" i="3"/>
  <c r="J14" i="3"/>
  <c r="F82" i="3"/>
  <c r="K55" i="3"/>
  <c r="K25" i="3"/>
  <c r="J31" i="3"/>
  <c r="K28" i="3" s="1"/>
  <c r="K30" i="3" s="1"/>
  <c r="I41" i="3"/>
  <c r="J38" i="3" s="1"/>
  <c r="J40" i="3" s="1"/>
  <c r="F200" i="5" l="1"/>
  <c r="G17" i="7"/>
  <c r="G20" i="7" s="1"/>
  <c r="G22" i="7" s="1"/>
  <c r="G23" i="7" s="1"/>
  <c r="F35" i="7"/>
  <c r="F34" i="7"/>
  <c r="F27" i="7"/>
  <c r="F28" i="7" s="1"/>
  <c r="I100" i="5"/>
  <c r="G101" i="5" s="1"/>
  <c r="F101" i="5" s="1"/>
  <c r="G119" i="3"/>
  <c r="C17" i="15"/>
  <c r="C19" i="15" s="1"/>
  <c r="C20" i="15" s="1"/>
  <c r="C21" i="15" s="1"/>
  <c r="C22" i="15" s="1"/>
  <c r="C25" i="15" s="1"/>
  <c r="F24" i="8"/>
  <c r="F25" i="8" s="1"/>
  <c r="F28" i="8" s="1"/>
  <c r="D9" i="14"/>
  <c r="H17" i="7"/>
  <c r="H20" i="7" s="1"/>
  <c r="H22" i="7" s="1"/>
  <c r="H23" i="7" s="1"/>
  <c r="D18" i="13" s="1"/>
  <c r="D16" i="12"/>
  <c r="D17" i="12" s="1"/>
  <c r="D16" i="15"/>
  <c r="D39" i="15" s="1"/>
  <c r="C43" i="15"/>
  <c r="C44" i="15" s="1"/>
  <c r="C45" i="15" s="1"/>
  <c r="D27" i="12"/>
  <c r="I18" i="7"/>
  <c r="I19" i="7" s="1"/>
  <c r="G112" i="3"/>
  <c r="H108" i="3"/>
  <c r="H110" i="3" s="1"/>
  <c r="H111" i="3" s="1"/>
  <c r="I98" i="3"/>
  <c r="I100" i="3" s="1"/>
  <c r="I101" i="3" s="1"/>
  <c r="I88" i="3"/>
  <c r="I90" i="3" s="1"/>
  <c r="I91" i="3" s="1"/>
  <c r="I68" i="3"/>
  <c r="I70" i="3" s="1"/>
  <c r="I71" i="3" s="1"/>
  <c r="K105" i="3"/>
  <c r="H92" i="3"/>
  <c r="K85" i="3"/>
  <c r="H102" i="3"/>
  <c r="K95" i="3"/>
  <c r="H72" i="3"/>
  <c r="K65" i="3"/>
  <c r="K120" i="3" s="1"/>
  <c r="J23" i="8" s="1"/>
  <c r="G82" i="3"/>
  <c r="I52" i="3"/>
  <c r="G62" i="3"/>
  <c r="I42" i="3"/>
  <c r="H61" i="3"/>
  <c r="I58" i="3" s="1"/>
  <c r="I60" i="3" s="1"/>
  <c r="J51" i="3"/>
  <c r="K48" i="3" s="1"/>
  <c r="K50" i="3" s="1"/>
  <c r="H81" i="3"/>
  <c r="I78" i="3" s="1"/>
  <c r="I80" i="3" s="1"/>
  <c r="L55" i="3"/>
  <c r="M55" i="3" s="1"/>
  <c r="H22" i="3"/>
  <c r="J41" i="3"/>
  <c r="K38" i="3" s="1"/>
  <c r="K40" i="3" s="1"/>
  <c r="J4" i="3"/>
  <c r="K6" i="3"/>
  <c r="L8" i="3"/>
  <c r="K14" i="3"/>
  <c r="L25" i="3"/>
  <c r="M25" i="3" s="1"/>
  <c r="K31" i="3"/>
  <c r="L28" i="3" s="1"/>
  <c r="L30" i="3" s="1"/>
  <c r="J32" i="3"/>
  <c r="C6" i="14" l="1"/>
  <c r="C7" i="14" s="1"/>
  <c r="C8" i="14" s="1"/>
  <c r="C12" i="14" s="1"/>
  <c r="I200" i="5"/>
  <c r="C48" i="15"/>
  <c r="G27" i="7"/>
  <c r="C18" i="13"/>
  <c r="M120" i="3"/>
  <c r="L23" i="8" s="1"/>
  <c r="G28" i="7"/>
  <c r="C26" i="12" s="1"/>
  <c r="C28" i="12" s="1"/>
  <c r="C30" i="12" s="1"/>
  <c r="C32" i="12" s="1"/>
  <c r="C34" i="12" s="1"/>
  <c r="D40" i="15"/>
  <c r="D42" i="15" s="1"/>
  <c r="D43" i="15" s="1"/>
  <c r="D44" i="15" s="1"/>
  <c r="D45" i="15" s="1"/>
  <c r="D48" i="15" s="1"/>
  <c r="D17" i="15"/>
  <c r="D19" i="15" s="1"/>
  <c r="D20" i="15" s="1"/>
  <c r="D21" i="15" s="1"/>
  <c r="D22" i="15" s="1"/>
  <c r="D25" i="15" s="1"/>
  <c r="I101" i="5"/>
  <c r="H118" i="3"/>
  <c r="I16" i="7" s="1"/>
  <c r="H23" i="3"/>
  <c r="H119" i="3" s="1"/>
  <c r="H121" i="3"/>
  <c r="F29" i="7"/>
  <c r="H34" i="7"/>
  <c r="H35" i="7"/>
  <c r="H27" i="7"/>
  <c r="D6" i="14"/>
  <c r="C21" i="9"/>
  <c r="I108" i="3"/>
  <c r="H112" i="3"/>
  <c r="I110" i="3"/>
  <c r="I111" i="3" s="1"/>
  <c r="J98" i="3"/>
  <c r="J100" i="3" s="1"/>
  <c r="J101" i="3" s="1"/>
  <c r="J88" i="3"/>
  <c r="J90" i="3" s="1"/>
  <c r="J91" i="3" s="1"/>
  <c r="J68" i="3"/>
  <c r="J70" i="3" s="1"/>
  <c r="J71" i="3" s="1"/>
  <c r="L105" i="3"/>
  <c r="I92" i="3"/>
  <c r="L85" i="3"/>
  <c r="L95" i="3"/>
  <c r="I102" i="3"/>
  <c r="L65" i="3"/>
  <c r="L120" i="3" s="1"/>
  <c r="K23" i="8" s="1"/>
  <c r="I72" i="3"/>
  <c r="H82" i="3"/>
  <c r="I61" i="3"/>
  <c r="J58" i="3" s="1"/>
  <c r="J60" i="3" s="1"/>
  <c r="I81" i="3"/>
  <c r="J78" i="3" s="1"/>
  <c r="J80" i="3" s="1"/>
  <c r="K51" i="3"/>
  <c r="L48" i="3" s="1"/>
  <c r="L50" i="3" s="1"/>
  <c r="L14" i="3"/>
  <c r="K32" i="3"/>
  <c r="K41" i="3"/>
  <c r="L38" i="3" s="1"/>
  <c r="L40" i="3" s="1"/>
  <c r="L31" i="3"/>
  <c r="M28" i="3" s="1"/>
  <c r="M30" i="3" s="1"/>
  <c r="M31" i="3" s="1"/>
  <c r="M32" i="3" s="1"/>
  <c r="L6" i="3"/>
  <c r="K4" i="3"/>
  <c r="J42" i="3"/>
  <c r="I20" i="3"/>
  <c r="I118" i="3" s="1"/>
  <c r="J16" i="7" s="1"/>
  <c r="J52" i="3"/>
  <c r="H62" i="3"/>
  <c r="G201" i="5" l="1"/>
  <c r="G29" i="7"/>
  <c r="C36" i="12"/>
  <c r="F36" i="7"/>
  <c r="G102" i="5"/>
  <c r="F102" i="5" s="1"/>
  <c r="I102" i="5" s="1"/>
  <c r="G24" i="8"/>
  <c r="G25" i="8" s="1"/>
  <c r="G28" i="8" s="1"/>
  <c r="E16" i="12"/>
  <c r="E17" i="12" s="1"/>
  <c r="I17" i="7"/>
  <c r="I20" i="7" s="1"/>
  <c r="I22" i="7" s="1"/>
  <c r="I23" i="7" s="1"/>
  <c r="E18" i="13" s="1"/>
  <c r="E16" i="15"/>
  <c r="E9" i="14"/>
  <c r="D7" i="14"/>
  <c r="D8" i="14" s="1"/>
  <c r="D12" i="14" s="1"/>
  <c r="D18" i="14" s="1"/>
  <c r="D19" i="14" s="1"/>
  <c r="F31" i="7"/>
  <c r="H28" i="7"/>
  <c r="D26" i="12" s="1"/>
  <c r="D28" i="12" s="1"/>
  <c r="D30" i="12" s="1"/>
  <c r="D21" i="9"/>
  <c r="C18" i="14"/>
  <c r="F16" i="12"/>
  <c r="F17" i="12" s="1"/>
  <c r="F16" i="15"/>
  <c r="F39" i="15" s="1"/>
  <c r="F9" i="14"/>
  <c r="J17" i="7"/>
  <c r="E27" i="12"/>
  <c r="J18" i="7"/>
  <c r="J19" i="7" s="1"/>
  <c r="I112" i="3"/>
  <c r="J108" i="3"/>
  <c r="K98" i="3"/>
  <c r="K100" i="3" s="1"/>
  <c r="K101" i="3" s="1"/>
  <c r="K88" i="3"/>
  <c r="K90" i="3" s="1"/>
  <c r="K91" i="3" s="1"/>
  <c r="K68" i="3"/>
  <c r="K70" i="3" s="1"/>
  <c r="K71" i="3" s="1"/>
  <c r="J92" i="3"/>
  <c r="J102" i="3"/>
  <c r="K42" i="3"/>
  <c r="J72" i="3"/>
  <c r="L51" i="3"/>
  <c r="M48" i="3" s="1"/>
  <c r="M50" i="3" s="1"/>
  <c r="M51" i="3" s="1"/>
  <c r="M52" i="3" s="1"/>
  <c r="J61" i="3"/>
  <c r="K58" i="3" s="1"/>
  <c r="K60" i="3" s="1"/>
  <c r="L41" i="3"/>
  <c r="M38" i="3" s="1"/>
  <c r="M40" i="3" s="1"/>
  <c r="I22" i="3"/>
  <c r="J81" i="3"/>
  <c r="K78" i="3" s="1"/>
  <c r="K80" i="3" s="1"/>
  <c r="L4" i="3"/>
  <c r="L32" i="3"/>
  <c r="I82" i="3"/>
  <c r="K52" i="3"/>
  <c r="I62" i="3"/>
  <c r="G31" i="7" l="1"/>
  <c r="C8" i="9" s="1"/>
  <c r="G36" i="7"/>
  <c r="F201" i="5"/>
  <c r="M41" i="3"/>
  <c r="M42" i="3" s="1"/>
  <c r="G103" i="5"/>
  <c r="F103" i="5" s="1"/>
  <c r="I103" i="5" s="1"/>
  <c r="G104" i="5" s="1"/>
  <c r="F104" i="5" s="1"/>
  <c r="I23" i="3"/>
  <c r="I119" i="3" s="1"/>
  <c r="I121" i="3"/>
  <c r="E39" i="15"/>
  <c r="E40" i="15" s="1"/>
  <c r="E42" i="15" s="1"/>
  <c r="E43" i="15" s="1"/>
  <c r="E44" i="15" s="1"/>
  <c r="E45" i="15" s="1"/>
  <c r="E17" i="15"/>
  <c r="E19" i="15" s="1"/>
  <c r="E20" i="15" s="1"/>
  <c r="E21" i="15" s="1"/>
  <c r="E22" i="15" s="1"/>
  <c r="E25" i="15" s="1"/>
  <c r="H24" i="8"/>
  <c r="H25" i="8" s="1"/>
  <c r="H28" i="8" s="1"/>
  <c r="D36" i="12"/>
  <c r="D32" i="12"/>
  <c r="D34" i="12" s="1"/>
  <c r="C5" i="10"/>
  <c r="C7" i="10" s="1"/>
  <c r="H29" i="7"/>
  <c r="H36" i="7" s="1"/>
  <c r="J20" i="7"/>
  <c r="F27" i="12"/>
  <c r="C19" i="14"/>
  <c r="I34" i="7"/>
  <c r="I35" i="7"/>
  <c r="I27" i="7"/>
  <c r="E6" i="14"/>
  <c r="J110" i="3"/>
  <c r="L98" i="3"/>
  <c r="L100" i="3" s="1"/>
  <c r="L88" i="3"/>
  <c r="L90" i="3" s="1"/>
  <c r="L91" i="3" s="1"/>
  <c r="L68" i="3"/>
  <c r="L70" i="3" s="1"/>
  <c r="L71" i="3" s="1"/>
  <c r="K92" i="3"/>
  <c r="K102" i="3"/>
  <c r="K72" i="3"/>
  <c r="J82" i="3"/>
  <c r="L42" i="3"/>
  <c r="K61" i="3"/>
  <c r="L58" i="3" s="1"/>
  <c r="L60" i="3" s="1"/>
  <c r="K81" i="3"/>
  <c r="L78" i="3" s="1"/>
  <c r="L80" i="3" s="1"/>
  <c r="J62" i="3"/>
  <c r="J20" i="3"/>
  <c r="J118" i="3" s="1"/>
  <c r="K16" i="7" s="1"/>
  <c r="L52" i="3"/>
  <c r="I201" i="5" l="1"/>
  <c r="E48" i="15"/>
  <c r="L101" i="3"/>
  <c r="M98" i="3" s="1"/>
  <c r="M100" i="3" s="1"/>
  <c r="M101" i="3" s="1"/>
  <c r="M102" i="3" s="1"/>
  <c r="C14" i="9"/>
  <c r="C24" i="9" s="1"/>
  <c r="C25" i="9" s="1"/>
  <c r="C21" i="10"/>
  <c r="I24" i="8"/>
  <c r="I25" i="8" s="1"/>
  <c r="I28" i="8" s="1"/>
  <c r="I104" i="5"/>
  <c r="G105" i="5" s="1"/>
  <c r="F105" i="5" s="1"/>
  <c r="E7" i="14"/>
  <c r="E8" i="14" s="1"/>
  <c r="E12" i="14" s="1"/>
  <c r="C15" i="10"/>
  <c r="C11" i="10"/>
  <c r="H31" i="7"/>
  <c r="I28" i="7"/>
  <c r="E26" i="12" s="1"/>
  <c r="E28" i="12" s="1"/>
  <c r="E30" i="12" s="1"/>
  <c r="J22" i="7"/>
  <c r="J23" i="7" s="1"/>
  <c r="E21" i="9"/>
  <c r="K18" i="7"/>
  <c r="K19" i="7" s="1"/>
  <c r="G16" i="15"/>
  <c r="G39" i="15" s="1"/>
  <c r="G16" i="12"/>
  <c r="G17" i="12" s="1"/>
  <c r="G9" i="14"/>
  <c r="K17" i="7"/>
  <c r="F40" i="15"/>
  <c r="F42" i="15" s="1"/>
  <c r="F17" i="15"/>
  <c r="F19" i="15" s="1"/>
  <c r="J111" i="3"/>
  <c r="L92" i="3"/>
  <c r="C5" i="3"/>
  <c r="L72" i="3"/>
  <c r="L61" i="3"/>
  <c r="M58" i="3" s="1"/>
  <c r="M60" i="3" s="1"/>
  <c r="M61" i="3" s="1"/>
  <c r="M62" i="3" s="1"/>
  <c r="J22" i="3"/>
  <c r="K82" i="3"/>
  <c r="L81" i="3"/>
  <c r="K62" i="3"/>
  <c r="G202" i="5" l="1"/>
  <c r="L102" i="3"/>
  <c r="D23" i="9"/>
  <c r="E32" i="8"/>
  <c r="E35" i="8" s="1"/>
  <c r="E36" i="8" s="1"/>
  <c r="C15" i="13" s="1"/>
  <c r="C17" i="13" s="1"/>
  <c r="C9" i="13" s="1"/>
  <c r="F6" i="14"/>
  <c r="F7" i="14" s="1"/>
  <c r="F8" i="14" s="1"/>
  <c r="F18" i="13"/>
  <c r="I105" i="5"/>
  <c r="J23" i="3"/>
  <c r="J119" i="3" s="1"/>
  <c r="J121" i="3"/>
  <c r="E32" i="12"/>
  <c r="E34" i="12" s="1"/>
  <c r="E36" i="12"/>
  <c r="F43" i="15"/>
  <c r="F44" i="15" s="1"/>
  <c r="F45" i="15" s="1"/>
  <c r="F20" i="15"/>
  <c r="F21" i="15" s="1"/>
  <c r="F22" i="15" s="1"/>
  <c r="F25" i="15" s="1"/>
  <c r="D5" i="10"/>
  <c r="D7" i="10" s="1"/>
  <c r="D8" i="9"/>
  <c r="D14" i="9" s="1"/>
  <c r="D24" i="9" s="1"/>
  <c r="I29" i="7"/>
  <c r="K20" i="7"/>
  <c r="J34" i="7"/>
  <c r="J27" i="7"/>
  <c r="J35" i="7"/>
  <c r="E18" i="14"/>
  <c r="K108" i="3"/>
  <c r="J112" i="3"/>
  <c r="L82" i="3"/>
  <c r="L62" i="3"/>
  <c r="K20" i="3"/>
  <c r="K118" i="3" s="1"/>
  <c r="L16" i="7" s="1"/>
  <c r="J24" i="8" s="1"/>
  <c r="F202" i="5" l="1"/>
  <c r="C5" i="13"/>
  <c r="F48" i="15"/>
  <c r="D25" i="9"/>
  <c r="E23" i="9" s="1"/>
  <c r="D21" i="10"/>
  <c r="G106" i="5"/>
  <c r="F106" i="5" s="1"/>
  <c r="I106" i="5" s="1"/>
  <c r="J25" i="8"/>
  <c r="J28" i="8" s="1"/>
  <c r="D15" i="10"/>
  <c r="D11" i="10"/>
  <c r="J28" i="7"/>
  <c r="F26" i="12" s="1"/>
  <c r="F28" i="12" s="1"/>
  <c r="F30" i="12" s="1"/>
  <c r="I31" i="7"/>
  <c r="I36" i="7"/>
  <c r="H16" i="12"/>
  <c r="H9" i="14"/>
  <c r="H16" i="15"/>
  <c r="H39" i="15" s="1"/>
  <c r="L17" i="7"/>
  <c r="L18" i="7"/>
  <c r="L19" i="7" s="1"/>
  <c r="G17" i="15"/>
  <c r="G19" i="15" s="1"/>
  <c r="E19" i="14"/>
  <c r="G40" i="15"/>
  <c r="G42" i="15" s="1"/>
  <c r="F21" i="9"/>
  <c r="F12" i="14"/>
  <c r="K22" i="7"/>
  <c r="K23" i="7" s="1"/>
  <c r="G18" i="13" s="1"/>
  <c r="G27" i="12"/>
  <c r="K110" i="3"/>
  <c r="K22" i="3"/>
  <c r="I202" i="5" l="1"/>
  <c r="F32" i="8"/>
  <c r="F35" i="8" s="1"/>
  <c r="F36" i="8" s="1"/>
  <c r="D15" i="13" s="1"/>
  <c r="D17" i="13" s="1"/>
  <c r="D9" i="13" s="1"/>
  <c r="G107" i="5"/>
  <c r="F107" i="5" s="1"/>
  <c r="F108" i="5" s="1"/>
  <c r="K23" i="3"/>
  <c r="K121" i="3"/>
  <c r="F32" i="12"/>
  <c r="F34" i="12" s="1"/>
  <c r="F36" i="12"/>
  <c r="G43" i="15"/>
  <c r="G44" i="15" s="1"/>
  <c r="G45" i="15" s="1"/>
  <c r="G20" i="15"/>
  <c r="G21" i="15" s="1"/>
  <c r="G22" i="15" s="1"/>
  <c r="G25" i="15" s="1"/>
  <c r="E5" i="10"/>
  <c r="E7" i="10" s="1"/>
  <c r="E8" i="9"/>
  <c r="E14" i="9" s="1"/>
  <c r="E24" i="9" s="1"/>
  <c r="E25" i="9" s="1"/>
  <c r="J29" i="7"/>
  <c r="L20" i="7"/>
  <c r="E108" i="5"/>
  <c r="F18" i="14"/>
  <c r="G6" i="14"/>
  <c r="K34" i="7"/>
  <c r="K35" i="7"/>
  <c r="K27" i="7"/>
  <c r="K111" i="3"/>
  <c r="K112" i="3" s="1"/>
  <c r="L20" i="3"/>
  <c r="G203" i="5" l="1"/>
  <c r="F203" i="5" s="1"/>
  <c r="I203" i="5" s="1"/>
  <c r="G48" i="15"/>
  <c r="D5" i="13"/>
  <c r="E21" i="10"/>
  <c r="G108" i="5"/>
  <c r="I107" i="5"/>
  <c r="K119" i="3"/>
  <c r="G7" i="14"/>
  <c r="G8" i="14" s="1"/>
  <c r="G12" i="14" s="1"/>
  <c r="F23" i="9"/>
  <c r="G32" i="8"/>
  <c r="E15" i="10"/>
  <c r="E11" i="10"/>
  <c r="J31" i="7"/>
  <c r="J36" i="7"/>
  <c r="K28" i="7"/>
  <c r="G26" i="12" s="1"/>
  <c r="G28" i="12" s="1"/>
  <c r="G30" i="12" s="1"/>
  <c r="M18" i="7"/>
  <c r="M19" i="7" s="1"/>
  <c r="N18" i="7" s="1"/>
  <c r="N19" i="7" s="1"/>
  <c r="F19" i="14"/>
  <c r="G21" i="9"/>
  <c r="H27" i="12"/>
  <c r="L22" i="7"/>
  <c r="L23" i="7" s="1"/>
  <c r="H18" i="13" s="1"/>
  <c r="L108" i="3"/>
  <c r="L118" i="3" s="1"/>
  <c r="M16" i="7" s="1"/>
  <c r="L22" i="3"/>
  <c r="G204" i="5" l="1"/>
  <c r="F204" i="5" s="1"/>
  <c r="I204" i="5" s="1"/>
  <c r="G109" i="5"/>
  <c r="F109" i="5" s="1"/>
  <c r="I109" i="5" s="1"/>
  <c r="I19" i="8"/>
  <c r="G16" i="13" s="1"/>
  <c r="I11" i="8"/>
  <c r="I14" i="8" s="1"/>
  <c r="K24" i="8"/>
  <c r="I16" i="15"/>
  <c r="I39" i="15" s="1"/>
  <c r="I9" i="14"/>
  <c r="I16" i="12"/>
  <c r="M17" i="7"/>
  <c r="M20" i="7" s="1"/>
  <c r="L23" i="3"/>
  <c r="M20" i="3" s="1"/>
  <c r="L121" i="3"/>
  <c r="G36" i="12"/>
  <c r="G32" i="12"/>
  <c r="G34" i="12" s="1"/>
  <c r="E5" i="13"/>
  <c r="G35" i="8"/>
  <c r="G36" i="8" s="1"/>
  <c r="E15" i="13" s="1"/>
  <c r="E17" i="13" s="1"/>
  <c r="E9" i="13" s="1"/>
  <c r="F5" i="10"/>
  <c r="F7" i="10" s="1"/>
  <c r="F8" i="9"/>
  <c r="F14" i="9" s="1"/>
  <c r="F24" i="9" s="1"/>
  <c r="F25" i="9" s="1"/>
  <c r="K29" i="7"/>
  <c r="G18" i="14"/>
  <c r="H6" i="14"/>
  <c r="L34" i="7"/>
  <c r="L35" i="7"/>
  <c r="I27" i="12"/>
  <c r="L110" i="3"/>
  <c r="G205" i="5" l="1"/>
  <c r="F205" i="5" s="1"/>
  <c r="I205" i="5" s="1"/>
  <c r="M22" i="3"/>
  <c r="M118" i="3"/>
  <c r="N16" i="7" s="1"/>
  <c r="N17" i="7" s="1"/>
  <c r="N20" i="7" s="1"/>
  <c r="N22" i="7" s="1"/>
  <c r="N23" i="7" s="1"/>
  <c r="J6" i="14" s="1"/>
  <c r="J7" i="14" s="1"/>
  <c r="J8" i="14" s="1"/>
  <c r="J12" i="14" s="1"/>
  <c r="J17" i="14" s="1"/>
  <c r="J18" i="14" s="1"/>
  <c r="J19" i="14" s="1"/>
  <c r="F21" i="10"/>
  <c r="K25" i="8"/>
  <c r="K28" i="8" s="1"/>
  <c r="G110" i="5"/>
  <c r="F110" i="5" s="1"/>
  <c r="I110" i="5" s="1"/>
  <c r="L119" i="3"/>
  <c r="H7" i="14"/>
  <c r="H8" i="14" s="1"/>
  <c r="H12" i="14" s="1"/>
  <c r="F15" i="10"/>
  <c r="F11" i="10"/>
  <c r="G23" i="9"/>
  <c r="H32" i="8"/>
  <c r="K36" i="7"/>
  <c r="K31" i="7"/>
  <c r="M22" i="7"/>
  <c r="M23" i="7" s="1"/>
  <c r="I18" i="13" s="1"/>
  <c r="G19" i="14"/>
  <c r="L111" i="3"/>
  <c r="G206" i="5" l="1"/>
  <c r="F206" i="5" s="1"/>
  <c r="I206" i="5" s="1"/>
  <c r="J18" i="13"/>
  <c r="N35" i="7"/>
  <c r="N34" i="7"/>
  <c r="L24" i="8"/>
  <c r="L25" i="8" s="1"/>
  <c r="L28" i="8" s="1"/>
  <c r="M23" i="3"/>
  <c r="M119" i="3" s="1"/>
  <c r="M121" i="3"/>
  <c r="G111" i="5"/>
  <c r="F111" i="5" s="1"/>
  <c r="I111" i="5" s="1"/>
  <c r="H35" i="8"/>
  <c r="H36" i="8" s="1"/>
  <c r="F15" i="13" s="1"/>
  <c r="F17" i="13" s="1"/>
  <c r="F9" i="13" s="1"/>
  <c r="F5" i="13"/>
  <c r="G5" i="10"/>
  <c r="G7" i="10" s="1"/>
  <c r="G8" i="9"/>
  <c r="G14" i="9" s="1"/>
  <c r="G24" i="9" s="1"/>
  <c r="G25" i="9" s="1"/>
  <c r="H18" i="14"/>
  <c r="M34" i="7"/>
  <c r="M35" i="7"/>
  <c r="I6" i="14"/>
  <c r="L112" i="3"/>
  <c r="G207" i="5" l="1"/>
  <c r="F207" i="5" s="1"/>
  <c r="I207" i="5" s="1"/>
  <c r="G21" i="10"/>
  <c r="G112" i="5"/>
  <c r="F112" i="5" s="1"/>
  <c r="I112" i="5" s="1"/>
  <c r="I7" i="14"/>
  <c r="I8" i="14" s="1"/>
  <c r="I12" i="14" s="1"/>
  <c r="H23" i="9"/>
  <c r="I32" i="8"/>
  <c r="G15" i="10"/>
  <c r="G11" i="10"/>
  <c r="H19" i="14"/>
  <c r="G208" i="5" l="1"/>
  <c r="F208" i="5" s="1"/>
  <c r="I208" i="5" s="1"/>
  <c r="G113" i="5"/>
  <c r="F113" i="5" s="1"/>
  <c r="I113" i="5" s="1"/>
  <c r="I35" i="8"/>
  <c r="I36" i="8" s="1"/>
  <c r="G15" i="13" s="1"/>
  <c r="G17" i="13" s="1"/>
  <c r="G9" i="13" s="1"/>
  <c r="G5" i="13"/>
  <c r="I18" i="14"/>
  <c r="C9" i="2"/>
  <c r="C25" i="2" s="1"/>
  <c r="F9" i="2"/>
  <c r="G9" i="2"/>
  <c r="G25" i="2" s="1"/>
  <c r="D9" i="2"/>
  <c r="D25" i="2" s="1"/>
  <c r="E9" i="2"/>
  <c r="E25" i="2" s="1"/>
  <c r="H9" i="2"/>
  <c r="H25" i="2" s="1"/>
  <c r="I9" i="2"/>
  <c r="E14" i="2"/>
  <c r="I14" i="2"/>
  <c r="M11" i="2"/>
  <c r="D14" i="2"/>
  <c r="G14" i="2"/>
  <c r="H14" i="2"/>
  <c r="F14" i="2"/>
  <c r="M15" i="2"/>
  <c r="N15" i="2"/>
  <c r="Q15" i="2"/>
  <c r="R15" i="2"/>
  <c r="O15" i="2"/>
  <c r="P15" i="2"/>
  <c r="S15" i="2"/>
  <c r="R20" i="2"/>
  <c r="S20" i="2"/>
  <c r="N20" i="2"/>
  <c r="O20" i="2"/>
  <c r="M20" i="2"/>
  <c r="P20" i="2"/>
  <c r="Q20" i="2"/>
  <c r="M28" i="2"/>
  <c r="N28" i="2"/>
  <c r="Q28" i="2"/>
  <c r="R28" i="2"/>
  <c r="O28" i="2"/>
  <c r="P28" i="2"/>
  <c r="S28" i="2"/>
  <c r="P35" i="2"/>
  <c r="N35" i="2"/>
  <c r="O35" i="2"/>
  <c r="R35" i="2"/>
  <c r="S35" i="2"/>
  <c r="M35" i="2"/>
  <c r="Q35" i="2"/>
  <c r="G209" i="5" l="1"/>
  <c r="C21" i="14"/>
  <c r="I25" i="2"/>
  <c r="C8" i="7"/>
  <c r="C23" i="7" s="1"/>
  <c r="C27" i="7" s="1"/>
  <c r="C29" i="7" s="1"/>
  <c r="G114" i="5"/>
  <c r="F114" i="5" s="1"/>
  <c r="I114" i="5" s="1"/>
  <c r="I19" i="14"/>
  <c r="C22" i="14" s="1"/>
  <c r="M36" i="2"/>
  <c r="I15" i="2"/>
  <c r="H15" i="2"/>
  <c r="F15" i="2"/>
  <c r="F25" i="2"/>
  <c r="E15" i="2"/>
  <c r="E17" i="2" s="1"/>
  <c r="D15" i="2"/>
  <c r="S36" i="2"/>
  <c r="Q36" i="2"/>
  <c r="M21" i="2"/>
  <c r="P36" i="2"/>
  <c r="O36" i="2"/>
  <c r="R36" i="2"/>
  <c r="N36" i="2"/>
  <c r="G15" i="2"/>
  <c r="C15" i="2"/>
  <c r="F209" i="5" l="1"/>
  <c r="G210" i="5"/>
  <c r="D14" i="5" s="1"/>
  <c r="K14" i="5" s="1"/>
  <c r="L24" i="7" s="1"/>
  <c r="G115" i="5"/>
  <c r="F115" i="5" s="1"/>
  <c r="I115" i="5" s="1"/>
  <c r="M38" i="2"/>
  <c r="I17" i="2"/>
  <c r="I29" i="2"/>
  <c r="H17" i="2"/>
  <c r="H29" i="2"/>
  <c r="F17" i="2"/>
  <c r="F29" i="2"/>
  <c r="E29" i="2"/>
  <c r="E19" i="2"/>
  <c r="E30" i="2"/>
  <c r="D17" i="2"/>
  <c r="D29" i="2"/>
  <c r="G17" i="2"/>
  <c r="G29" i="2"/>
  <c r="C17" i="2"/>
  <c r="C29" i="2"/>
  <c r="H9" i="10" l="1"/>
  <c r="H13" i="12"/>
  <c r="H17" i="12" s="1"/>
  <c r="H15" i="15"/>
  <c r="H23" i="15"/>
  <c r="H46" i="15" s="1"/>
  <c r="H6" i="10"/>
  <c r="L27" i="7"/>
  <c r="F210" i="5"/>
  <c r="E14" i="5" s="1"/>
  <c r="I209" i="5"/>
  <c r="G116" i="5"/>
  <c r="F116" i="5" s="1"/>
  <c r="I116" i="5" s="1"/>
  <c r="I19" i="2"/>
  <c r="I30" i="2"/>
  <c r="H19" i="2"/>
  <c r="H30" i="2"/>
  <c r="F19" i="2"/>
  <c r="F30" i="2"/>
  <c r="E21" i="2"/>
  <c r="E31" i="2" s="1"/>
  <c r="E23" i="2"/>
  <c r="D19" i="2"/>
  <c r="D30" i="2"/>
  <c r="G19" i="2"/>
  <c r="G30" i="2"/>
  <c r="C19" i="2"/>
  <c r="C30" i="2"/>
  <c r="F14" i="5" l="1"/>
  <c r="L14" i="5"/>
  <c r="H17" i="9" s="1"/>
  <c r="H17" i="15"/>
  <c r="H19" i="15" s="1"/>
  <c r="H20" i="15" s="1"/>
  <c r="H21" i="15" s="1"/>
  <c r="H22" i="15" s="1"/>
  <c r="H38" i="15"/>
  <c r="H40" i="15" s="1"/>
  <c r="H42" i="15" s="1"/>
  <c r="H43" i="15" s="1"/>
  <c r="H44" i="15" s="1"/>
  <c r="H45" i="15" s="1"/>
  <c r="L28" i="7"/>
  <c r="H26" i="12" s="1"/>
  <c r="H28" i="12" s="1"/>
  <c r="H30" i="12" s="1"/>
  <c r="H36" i="12" s="1"/>
  <c r="L29" i="7"/>
  <c r="G211" i="5"/>
  <c r="G117" i="5"/>
  <c r="F117" i="5" s="1"/>
  <c r="I117" i="5" s="1"/>
  <c r="I21" i="2"/>
  <c r="I23" i="2"/>
  <c r="H21" i="2"/>
  <c r="H31" i="2" s="1"/>
  <c r="H23" i="2"/>
  <c r="F21" i="2"/>
  <c r="F31" i="2" s="1"/>
  <c r="F23" i="2"/>
  <c r="D21" i="2"/>
  <c r="D23" i="2"/>
  <c r="G21" i="2"/>
  <c r="G23" i="2"/>
  <c r="C21" i="2"/>
  <c r="C31" i="2" s="1"/>
  <c r="C23" i="2"/>
  <c r="L36" i="7" l="1"/>
  <c r="L31" i="7"/>
  <c r="H8" i="10"/>
  <c r="H21" i="9"/>
  <c r="H32" i="12"/>
  <c r="H34" i="12" s="1"/>
  <c r="M14" i="5"/>
  <c r="J15" i="5" s="1"/>
  <c r="C15" i="5"/>
  <c r="F211" i="5"/>
  <c r="G118" i="5"/>
  <c r="F118" i="5" s="1"/>
  <c r="I118" i="5" s="1"/>
  <c r="I31" i="2"/>
  <c r="S10" i="2"/>
  <c r="C8" i="8" s="1"/>
  <c r="N10" i="2"/>
  <c r="D31" i="2"/>
  <c r="G31" i="2"/>
  <c r="H24" i="15" l="1"/>
  <c r="H10" i="10"/>
  <c r="H5" i="10"/>
  <c r="H7" i="10" s="1"/>
  <c r="H8" i="9"/>
  <c r="H14" i="9" s="1"/>
  <c r="H24" i="9" s="1"/>
  <c r="H25" i="9" s="1"/>
  <c r="I211" i="5"/>
  <c r="C9" i="8"/>
  <c r="C20" i="8" s="1"/>
  <c r="C38" i="8" s="1"/>
  <c r="E8" i="8"/>
  <c r="E9" i="8" s="1"/>
  <c r="T10" i="2"/>
  <c r="G119" i="5"/>
  <c r="F119" i="5" s="1"/>
  <c r="I119" i="5" s="1"/>
  <c r="O10" i="2"/>
  <c r="N11" i="2"/>
  <c r="N21" i="2" s="1"/>
  <c r="N38" i="2" s="1"/>
  <c r="H21" i="10" l="1"/>
  <c r="H11" i="10"/>
  <c r="H15" i="10"/>
  <c r="I23" i="9"/>
  <c r="J32" i="8"/>
  <c r="J35" i="8" s="1"/>
  <c r="J36" i="8" s="1"/>
  <c r="H15" i="13" s="1"/>
  <c r="H47" i="15"/>
  <c r="H48" i="15" s="1"/>
  <c r="H25" i="15"/>
  <c r="G212" i="5"/>
  <c r="D8" i="8"/>
  <c r="D9" i="8" s="1"/>
  <c r="D20" i="8" s="1"/>
  <c r="D38" i="8" s="1"/>
  <c r="T11" i="2"/>
  <c r="T21" i="2" s="1"/>
  <c r="T38" i="2" s="1"/>
  <c r="F8" i="8"/>
  <c r="G8" i="8" s="1"/>
  <c r="G120" i="5"/>
  <c r="E20" i="8"/>
  <c r="E38" i="8" s="1"/>
  <c r="A31" i="8" s="1"/>
  <c r="C6" i="13"/>
  <c r="C8" i="13"/>
  <c r="C7" i="13"/>
  <c r="P10" i="2"/>
  <c r="O11" i="2"/>
  <c r="O21" i="2" s="1"/>
  <c r="O38" i="2" s="1"/>
  <c r="F212" i="5" l="1"/>
  <c r="F9" i="8"/>
  <c r="D7" i="13" s="1"/>
  <c r="G121" i="5"/>
  <c r="F120" i="5"/>
  <c r="I120" i="5" s="1"/>
  <c r="G122" i="5" s="1"/>
  <c r="E121" i="5"/>
  <c r="G9" i="8"/>
  <c r="H8" i="8"/>
  <c r="P11" i="2"/>
  <c r="P21" i="2" s="1"/>
  <c r="P38" i="2" s="1"/>
  <c r="Q10" i="2"/>
  <c r="I212" i="5" l="1"/>
  <c r="F122" i="5"/>
  <c r="F121" i="5"/>
  <c r="D8" i="13"/>
  <c r="F20" i="8"/>
  <c r="F38" i="8" s="1"/>
  <c r="D6" i="13"/>
  <c r="H9" i="8"/>
  <c r="I8" i="8"/>
  <c r="E7" i="13"/>
  <c r="E8" i="13"/>
  <c r="E6" i="13"/>
  <c r="G20" i="8"/>
  <c r="G38" i="8" s="1"/>
  <c r="Q11" i="2"/>
  <c r="Q21" i="2" s="1"/>
  <c r="Q38" i="2" s="1"/>
  <c r="G213" i="5" l="1"/>
  <c r="I122" i="5"/>
  <c r="G123" i="5" s="1"/>
  <c r="I9" i="8"/>
  <c r="J8" i="8"/>
  <c r="J9" i="8" s="1"/>
  <c r="F7" i="13"/>
  <c r="F8" i="13"/>
  <c r="F6" i="13"/>
  <c r="H20" i="8"/>
  <c r="H38" i="8" s="1"/>
  <c r="S11" i="2"/>
  <c r="S21" i="2" s="1"/>
  <c r="S38" i="2" s="1"/>
  <c r="R11" i="2"/>
  <c r="R21" i="2" s="1"/>
  <c r="R38" i="2" s="1"/>
  <c r="F213" i="5" l="1"/>
  <c r="F123" i="5"/>
  <c r="H8" i="13"/>
  <c r="G6" i="13"/>
  <c r="G8" i="13"/>
  <c r="I20" i="8"/>
  <c r="I38" i="8" s="1"/>
  <c r="G7" i="13"/>
  <c r="I213" i="5" l="1"/>
  <c r="I123" i="5"/>
  <c r="G124" i="5" s="1"/>
  <c r="H5" i="13"/>
  <c r="J19" i="8"/>
  <c r="J11" i="8"/>
  <c r="J14" i="8" s="1"/>
  <c r="G214" i="5" l="1"/>
  <c r="H16" i="13"/>
  <c r="H17" i="13" s="1"/>
  <c r="H9" i="13" s="1"/>
  <c r="J20" i="8"/>
  <c r="J38" i="8" s="1"/>
  <c r="H6" i="13"/>
  <c r="H7" i="13"/>
  <c r="F124" i="5"/>
  <c r="F214" i="5" l="1"/>
  <c r="I124" i="5"/>
  <c r="G125" i="5" s="1"/>
  <c r="I214" i="5" l="1"/>
  <c r="F125" i="5"/>
  <c r="G215" i="5" l="1"/>
  <c r="I125" i="5"/>
  <c r="G126" i="5" s="1"/>
  <c r="F215" i="5" l="1"/>
  <c r="F126" i="5"/>
  <c r="I215" i="5" l="1"/>
  <c r="I126" i="5"/>
  <c r="G127" i="5" s="1"/>
  <c r="F127" i="5" s="1"/>
  <c r="I127" i="5" s="1"/>
  <c r="G128" i="5" s="1"/>
  <c r="F128" i="5" s="1"/>
  <c r="I128" i="5" s="1"/>
  <c r="G129" i="5" s="1"/>
  <c r="F129" i="5" s="1"/>
  <c r="I129" i="5" s="1"/>
  <c r="G130" i="5" s="1"/>
  <c r="F130" i="5" s="1"/>
  <c r="I130" i="5" s="1"/>
  <c r="G131" i="5" s="1"/>
  <c r="F131" i="5" s="1"/>
  <c r="I131" i="5" s="1"/>
  <c r="G216" i="5" l="1"/>
  <c r="F216" i="5" s="1"/>
  <c r="I216" i="5" s="1"/>
  <c r="G132" i="5"/>
  <c r="F132" i="5"/>
  <c r="G217" i="5" l="1"/>
  <c r="F217" i="5" s="1"/>
  <c r="I217" i="5" s="1"/>
  <c r="I132" i="5"/>
  <c r="F133" i="5"/>
  <c r="E132" i="5"/>
  <c r="E133" i="5" s="1"/>
  <c r="G133" i="5"/>
  <c r="G218" i="5" l="1"/>
  <c r="F218" i="5" s="1"/>
  <c r="I218" i="5" s="1"/>
  <c r="G219" i="5" l="1"/>
  <c r="F219" i="5" s="1"/>
  <c r="I219" i="5" s="1"/>
  <c r="G220" i="5" l="1"/>
  <c r="F220" i="5" s="1"/>
  <c r="I220" i="5" s="1"/>
  <c r="K19" i="8"/>
  <c r="G221" i="5" l="1"/>
  <c r="F221" i="5" s="1"/>
  <c r="I221" i="5" s="1"/>
  <c r="I16" i="13"/>
  <c r="G222" i="5" l="1"/>
  <c r="F222" i="5" l="1"/>
  <c r="G223" i="5"/>
  <c r="D15" i="5" s="1"/>
  <c r="K15" i="5" s="1"/>
  <c r="M24" i="7" s="1"/>
  <c r="I15" i="15" l="1"/>
  <c r="I6" i="10"/>
  <c r="I23" i="15"/>
  <c r="I46" i="15" s="1"/>
  <c r="M27" i="7"/>
  <c r="I13" i="12"/>
  <c r="I17" i="12" s="1"/>
  <c r="I9" i="10"/>
  <c r="F223" i="5"/>
  <c r="E15" i="5" s="1"/>
  <c r="I222" i="5"/>
  <c r="I38" i="15" l="1"/>
  <c r="I40" i="15" s="1"/>
  <c r="I42" i="15" s="1"/>
  <c r="I43" i="15" s="1"/>
  <c r="I44" i="15" s="1"/>
  <c r="I45" i="15" s="1"/>
  <c r="I17" i="15"/>
  <c r="I19" i="15" s="1"/>
  <c r="I20" i="15" s="1"/>
  <c r="I21" i="15" s="1"/>
  <c r="I22" i="15" s="1"/>
  <c r="M28" i="7"/>
  <c r="I26" i="12" s="1"/>
  <c r="I28" i="12" s="1"/>
  <c r="I30" i="12" s="1"/>
  <c r="I36" i="12" s="1"/>
  <c r="L15" i="5"/>
  <c r="I17" i="9" s="1"/>
  <c r="F15" i="5"/>
  <c r="G224" i="5"/>
  <c r="M15" i="5" l="1"/>
  <c r="C16" i="5"/>
  <c r="I21" i="9"/>
  <c r="I8" i="10"/>
  <c r="M29" i="7"/>
  <c r="I32" i="12"/>
  <c r="I34" i="12" s="1"/>
  <c r="F224" i="5"/>
  <c r="M31" i="7" l="1"/>
  <c r="K8" i="8"/>
  <c r="M36" i="7"/>
  <c r="J16" i="5"/>
  <c r="K11" i="8"/>
  <c r="K14" i="8" s="1"/>
  <c r="I24" i="15"/>
  <c r="I10" i="10"/>
  <c r="I224" i="5"/>
  <c r="I47" i="15" l="1"/>
  <c r="I25" i="15"/>
  <c r="K9" i="8"/>
  <c r="I8" i="13" s="1"/>
  <c r="I5" i="10"/>
  <c r="I7" i="10" s="1"/>
  <c r="I8" i="9"/>
  <c r="I14" i="9" s="1"/>
  <c r="I24" i="9" s="1"/>
  <c r="I25" i="9" s="1"/>
  <c r="G225" i="5"/>
  <c r="I48" i="15" l="1"/>
  <c r="K20" i="8"/>
  <c r="K32" i="8"/>
  <c r="J23" i="9"/>
  <c r="I7" i="13"/>
  <c r="I21" i="10"/>
  <c r="I15" i="10"/>
  <c r="I11" i="10"/>
  <c r="I6" i="13"/>
  <c r="F225" i="5"/>
  <c r="K35" i="8" l="1"/>
  <c r="K36" i="8" s="1"/>
  <c r="I15" i="13" s="1"/>
  <c r="I17" i="13" s="1"/>
  <c r="I9" i="13" s="1"/>
  <c r="I5" i="13"/>
  <c r="I225" i="5"/>
  <c r="K38" i="8" l="1"/>
  <c r="G226" i="5"/>
  <c r="F226" i="5" l="1"/>
  <c r="I226" i="5" l="1"/>
  <c r="G227" i="5" l="1"/>
  <c r="F227" i="5" l="1"/>
  <c r="I227" i="5" l="1"/>
  <c r="G228" i="5" l="1"/>
  <c r="F228" i="5" l="1"/>
  <c r="I228" i="5" l="1"/>
  <c r="G229" i="5" l="1"/>
  <c r="F229" i="5" s="1"/>
  <c r="I229" i="5" s="1"/>
  <c r="G230" i="5" l="1"/>
  <c r="F230" i="5" s="1"/>
  <c r="I230" i="5" s="1"/>
  <c r="G231" i="5" l="1"/>
  <c r="F231" i="5" s="1"/>
  <c r="I231" i="5" s="1"/>
  <c r="G232" i="5" l="1"/>
  <c r="F232" i="5" s="1"/>
  <c r="I232" i="5" s="1"/>
  <c r="G233" i="5" l="1"/>
  <c r="F233" i="5" s="1"/>
  <c r="I233" i="5" s="1"/>
  <c r="G234" i="5" l="1"/>
  <c r="G235" i="5" s="1"/>
  <c r="D16" i="5" s="1"/>
  <c r="K16" i="5" s="1"/>
  <c r="N24" i="7" s="1"/>
  <c r="F234" i="5"/>
  <c r="I234" i="5" s="1"/>
  <c r="N27" i="7" l="1"/>
  <c r="J9" i="10"/>
  <c r="J15" i="15"/>
  <c r="J13" i="12"/>
  <c r="J17" i="12" s="1"/>
  <c r="J23" i="15"/>
  <c r="J6" i="10"/>
  <c r="E234" i="5"/>
  <c r="E235" i="5" s="1"/>
  <c r="F235" i="5"/>
  <c r="E16" i="5" s="1"/>
  <c r="L16" i="5" l="1"/>
  <c r="J17" i="9" s="1"/>
  <c r="F16" i="5"/>
  <c r="M16" i="5" s="1"/>
  <c r="J38" i="15"/>
  <c r="J40" i="15" s="1"/>
  <c r="J42" i="15" s="1"/>
  <c r="J43" i="15" s="1"/>
  <c r="J44" i="15" s="1"/>
  <c r="J45" i="15" s="1"/>
  <c r="J17" i="15"/>
  <c r="J19" i="15" s="1"/>
  <c r="J20" i="15" s="1"/>
  <c r="J21" i="15" s="1"/>
  <c r="J22" i="15" s="1"/>
  <c r="K23" i="15"/>
  <c r="J46" i="15"/>
  <c r="K46" i="15" s="1"/>
  <c r="N28" i="7"/>
  <c r="J26" i="12" s="1"/>
  <c r="J28" i="12" s="1"/>
  <c r="J30" i="12" s="1"/>
  <c r="J36" i="12" s="1"/>
  <c r="N29" i="7"/>
  <c r="K22" i="15" l="1"/>
  <c r="K45" i="15"/>
  <c r="J8" i="10"/>
  <c r="J21" i="9"/>
  <c r="N31" i="7"/>
  <c r="N36" i="7"/>
  <c r="O36" i="7" s="1"/>
  <c r="L8" i="8"/>
  <c r="L9" i="8" s="1"/>
  <c r="J8" i="13" s="1"/>
  <c r="J32" i="12"/>
  <c r="J34" i="12" s="1"/>
  <c r="J10" i="10" l="1"/>
  <c r="K10" i="10" s="1"/>
  <c r="J24" i="15"/>
  <c r="J8" i="9"/>
  <c r="J14" i="9" s="1"/>
  <c r="J24" i="9" s="1"/>
  <c r="J25" i="9" s="1"/>
  <c r="L32" i="8" s="1"/>
  <c r="J5" i="10"/>
  <c r="J7" i="10" s="1"/>
  <c r="L20" i="8"/>
  <c r="J7" i="13"/>
  <c r="J6" i="13"/>
  <c r="J15" i="10" l="1"/>
  <c r="J21" i="10"/>
  <c r="C22" i="10" s="1"/>
  <c r="C24" i="10" s="1"/>
  <c r="J11" i="10"/>
  <c r="D13" i="10" s="1"/>
  <c r="K7" i="10"/>
  <c r="K11" i="10" s="1"/>
  <c r="L35" i="8"/>
  <c r="L36" i="8" s="1"/>
  <c r="J5" i="13"/>
  <c r="J47" i="15"/>
  <c r="K24" i="15"/>
  <c r="K25" i="15" s="1"/>
  <c r="J25" i="15"/>
  <c r="K47" i="15" l="1"/>
  <c r="K48" i="15" s="1"/>
  <c r="J48" i="15"/>
  <c r="J15" i="13"/>
  <c r="J17" i="13" s="1"/>
  <c r="J9" i="13" s="1"/>
  <c r="L38" i="8"/>
</calcChain>
</file>

<file path=xl/sharedStrings.xml><?xml version="1.0" encoding="utf-8"?>
<sst xmlns="http://schemas.openxmlformats.org/spreadsheetml/2006/main" count="683" uniqueCount="389">
  <si>
    <t>Check</t>
  </si>
  <si>
    <t>Total Assets</t>
  </si>
  <si>
    <t>Total Current Assets</t>
  </si>
  <si>
    <t>Sundry Debtors</t>
  </si>
  <si>
    <t>Cash &amp; Bank Balance</t>
  </si>
  <si>
    <t>Inventory</t>
  </si>
  <si>
    <t>Current Assets</t>
  </si>
  <si>
    <t>Total Non-Current Assets</t>
  </si>
  <si>
    <t>Other Non Current Assets</t>
  </si>
  <si>
    <t>Investment in shares of Al-Akhlaq Exports Limited</t>
  </si>
  <si>
    <t>Tangible Assets</t>
  </si>
  <si>
    <t>Non-Current Assets</t>
  </si>
  <si>
    <t>Assets</t>
  </si>
  <si>
    <t>Total Equity &amp; Liabilities</t>
  </si>
  <si>
    <t>PAT</t>
  </si>
  <si>
    <t>Total Current Liabilities</t>
  </si>
  <si>
    <t>Tax Expense</t>
  </si>
  <si>
    <t>Other Current Liabilities</t>
  </si>
  <si>
    <t>PBT</t>
  </si>
  <si>
    <t>Trade Payables</t>
  </si>
  <si>
    <t>Interest Expense</t>
  </si>
  <si>
    <t>Short Term Borrowings</t>
  </si>
  <si>
    <t>EBIT</t>
  </si>
  <si>
    <t>Current Liabilities</t>
  </si>
  <si>
    <t>Depreciation</t>
  </si>
  <si>
    <t>Total Non-Current Liabilities</t>
  </si>
  <si>
    <t>EBITDA</t>
  </si>
  <si>
    <t>Deferred Tax Liability</t>
  </si>
  <si>
    <t>Total Operating Expenses</t>
  </si>
  <si>
    <t>Long-term Borrowings</t>
  </si>
  <si>
    <t>Other Expenses</t>
  </si>
  <si>
    <t>Non-Current Liabilities</t>
  </si>
  <si>
    <t>Employee Benefits Expense</t>
  </si>
  <si>
    <t>Total Equity</t>
  </si>
  <si>
    <t>Changes in inventories of stock-in-trade</t>
  </si>
  <si>
    <t>Reserve &amp; Surplus</t>
  </si>
  <si>
    <t>-</t>
  </si>
  <si>
    <t>Purchase of Raw Material</t>
  </si>
  <si>
    <t>Share Capital</t>
  </si>
  <si>
    <t>Total Revenue</t>
  </si>
  <si>
    <t>Shareholders' Funds</t>
  </si>
  <si>
    <t>Other Income</t>
  </si>
  <si>
    <t>Equity &amp; Liabilities</t>
  </si>
  <si>
    <t>Sales &amp; Services</t>
  </si>
  <si>
    <t>FY 2024</t>
  </si>
  <si>
    <t>FY 2023</t>
  </si>
  <si>
    <t>FY 2022</t>
  </si>
  <si>
    <t>FY 2021</t>
  </si>
  <si>
    <t>FY 2020</t>
  </si>
  <si>
    <t>FY 2019</t>
  </si>
  <si>
    <t>FY 2018</t>
  </si>
  <si>
    <t>Particulars</t>
  </si>
  <si>
    <t>Historical P&amp;L Statement</t>
  </si>
  <si>
    <t>Al-Saqib Exports Private Limited</t>
  </si>
  <si>
    <t>Expected WPI</t>
  </si>
  <si>
    <t>Compounded WPI from 2012-13 to 2018-19 is 2.61%</t>
  </si>
  <si>
    <t>All commodities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</si>
  <si>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</si>
  <si>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</si>
  <si>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</si>
  <si>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</si>
  <si>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</si>
  <si>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</si>
  <si>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</si>
  <si>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</si>
  <si>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</si>
  <si>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</si>
  <si>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</si>
  <si>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INDEX2011-2012 (Base Case)</t>
  </si>
  <si>
    <t>COMM_NAME</t>
  </si>
  <si>
    <t>WPI Calculations</t>
  </si>
  <si>
    <t>Net Block</t>
  </si>
  <si>
    <t>Depreciation for the year</t>
  </si>
  <si>
    <t>Revenue from Salvage Value</t>
  </si>
  <si>
    <t>Capex During the year</t>
  </si>
  <si>
    <t>Figures in INR Crores</t>
  </si>
  <si>
    <t>Accumulated Depreciation</t>
  </si>
  <si>
    <t>Asset Write off (Net block)</t>
  </si>
  <si>
    <t>Deduction</t>
  </si>
  <si>
    <t>Addition</t>
  </si>
  <si>
    <t>Gross Block</t>
  </si>
  <si>
    <t>Computers</t>
  </si>
  <si>
    <t>Office Equipments</t>
  </si>
  <si>
    <t>Furniture and Fixtures</t>
  </si>
  <si>
    <t>Plant &amp; Equipment</t>
  </si>
  <si>
    <t>Buildings</t>
  </si>
  <si>
    <t>Land</t>
  </si>
  <si>
    <t>(Rs. In Lakhs)</t>
  </si>
  <si>
    <t>Life/ Depreciation %</t>
  </si>
  <si>
    <t>Salvage
value</t>
  </si>
  <si>
    <t>Total No. days</t>
  </si>
  <si>
    <t>No. days</t>
  </si>
  <si>
    <t>Power Supply</t>
  </si>
  <si>
    <t>Slaughter House</t>
  </si>
  <si>
    <t>ETP</t>
  </si>
  <si>
    <t>Security Equipment</t>
  </si>
  <si>
    <t>Vehicle</t>
  </si>
  <si>
    <t>Summary Of Term Loans</t>
  </si>
  <si>
    <t>Year</t>
  </si>
  <si>
    <t>Opening Balance</t>
  </si>
  <si>
    <t>Interest</t>
  </si>
  <si>
    <t>Repayment of principal</t>
  </si>
  <si>
    <t>Closing Balance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</si>
  <si>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</si>
  <si>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</si>
  <si>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</si>
  <si>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</si>
  <si>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</si>
  <si>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</si>
  <si>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</si>
  <si>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</si>
  <si>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instalment Date</t>
  </si>
  <si>
    <t>Disbursement</t>
  </si>
  <si>
    <t>Instalment</t>
  </si>
  <si>
    <t>Principal</t>
  </si>
  <si>
    <t>Rate</t>
  </si>
  <si>
    <t>Balance</t>
  </si>
  <si>
    <t>2024-2025</t>
  </si>
  <si>
    <t>2025-2026</t>
  </si>
  <si>
    <t>2026-2027</t>
  </si>
  <si>
    <t>Instalment Date</t>
  </si>
  <si>
    <t>2027-2028</t>
  </si>
  <si>
    <t>2028-2029</t>
  </si>
  <si>
    <t>2029-2030</t>
  </si>
  <si>
    <t>2030-2031</t>
  </si>
  <si>
    <t>Repayment Schedue of GECL-PNB</t>
  </si>
  <si>
    <t>Repayment Schedue of Car Loan From PNB</t>
  </si>
  <si>
    <t>PARTICULARS</t>
  </si>
  <si>
    <t>Net Sales</t>
  </si>
  <si>
    <t>Cost of Sales:</t>
  </si>
  <si>
    <t>Raw Materials</t>
  </si>
  <si>
    <t>Other Spares</t>
  </si>
  <si>
    <t>Power &amp; Fuel</t>
  </si>
  <si>
    <t>Direct Labour</t>
  </si>
  <si>
    <t>Other Manufacturing Expenses</t>
  </si>
  <si>
    <t>Repair and Maintenance</t>
  </si>
  <si>
    <t>Sub Total</t>
  </si>
  <si>
    <t>Add: Opening Finished Goods</t>
  </si>
  <si>
    <t>Less: Closing Finished Goods</t>
  </si>
  <si>
    <t>Total Cost of Sales</t>
  </si>
  <si>
    <t>Selling &amp; Distribution Exp.</t>
  </si>
  <si>
    <t xml:space="preserve">Sub Total </t>
  </si>
  <si>
    <t>Operating Profit before interest (3-7)</t>
  </si>
  <si>
    <t>(a) Interest on T/L</t>
  </si>
  <si>
    <t>(b) Interest on W/C</t>
  </si>
  <si>
    <t>(c) Other Finance &amp; Bank Charges</t>
  </si>
  <si>
    <t xml:space="preserve">Profit Before Tax </t>
  </si>
  <si>
    <t>Provision for Taxes</t>
  </si>
  <si>
    <t>Net Profit</t>
  </si>
  <si>
    <t>Cash Accruals</t>
  </si>
  <si>
    <t>Average</t>
  </si>
  <si>
    <t>EBITDA Margin</t>
  </si>
  <si>
    <t>EBIT Margin</t>
  </si>
  <si>
    <t>Net Profit Margin</t>
  </si>
  <si>
    <t>Property, Plant &amp; Equipment (Gross)</t>
  </si>
  <si>
    <t>Less: Accumulated Depreciation</t>
  </si>
  <si>
    <t>Raw Material</t>
  </si>
  <si>
    <t>Trade Receivables</t>
  </si>
  <si>
    <t>Cash and bank balances</t>
  </si>
  <si>
    <t>Short-term Loans &amp; Advances</t>
  </si>
  <si>
    <t>Reserve and Surplus</t>
  </si>
  <si>
    <t>Total Equities</t>
  </si>
  <si>
    <t>Trade Payable</t>
  </si>
  <si>
    <t>Total Equity and Liabilities</t>
  </si>
  <si>
    <t>A. SOURCES OF FUNDS:</t>
  </si>
  <si>
    <t>Change in Share Capital</t>
  </si>
  <si>
    <t>Increase in Working Capital Limit</t>
  </si>
  <si>
    <t>Increase In Secured Loan</t>
  </si>
  <si>
    <t>Increase in Unsecured Loan</t>
  </si>
  <si>
    <t>Decrease in Current Assets</t>
  </si>
  <si>
    <t>Increase in Current Liabilities</t>
  </si>
  <si>
    <t>Decrease in Non Current Assets</t>
  </si>
  <si>
    <t>TOTAL</t>
  </si>
  <si>
    <t>B. APPLICATION OF FUNDS:</t>
  </si>
  <si>
    <t>Acquisition of Fixed Assets</t>
  </si>
  <si>
    <t>Decrease in Current Liabilities</t>
  </si>
  <si>
    <t>Increase in Current Assets</t>
  </si>
  <si>
    <t>Increase in Non Current Assets</t>
  </si>
  <si>
    <t>C. SURPLUS</t>
  </si>
  <si>
    <t>Surplus (A-B)</t>
  </si>
  <si>
    <t>Intt. on Term Loan</t>
  </si>
  <si>
    <t>Total "A"</t>
  </si>
  <si>
    <t>Instalment of T/L</t>
  </si>
  <si>
    <t>Total "B"</t>
  </si>
  <si>
    <t>D.S.C.R. (A/B)</t>
  </si>
  <si>
    <t>Average D.S.C.R.</t>
  </si>
  <si>
    <t>Interest Coverage Ratio</t>
  </si>
  <si>
    <t xml:space="preserve">  Total Capacity  (MT)</t>
  </si>
  <si>
    <t xml:space="preserve">  % Utilization of Capacity</t>
  </si>
  <si>
    <t>Fixed Costs:</t>
  </si>
  <si>
    <t>Interest on Term Loan</t>
  </si>
  <si>
    <t xml:space="preserve">Interest to Others </t>
  </si>
  <si>
    <t>Selling &amp; Administrative Expenses</t>
  </si>
  <si>
    <t>Total Fixed Costs</t>
  </si>
  <si>
    <t>Variable Costs</t>
  </si>
  <si>
    <t>Wages &amp; Salaries</t>
  </si>
  <si>
    <t>Consumables</t>
  </si>
  <si>
    <t>Interest on Working Capital</t>
  </si>
  <si>
    <t>Taxes</t>
  </si>
  <si>
    <t>Change in Inventory</t>
  </si>
  <si>
    <t>Total Variable Costs</t>
  </si>
  <si>
    <t>CONTRIBUTION (A-C)</t>
  </si>
  <si>
    <t>BREAK EVEN POINT %</t>
  </si>
  <si>
    <t>MARGIN OF SAFETY %</t>
  </si>
  <si>
    <t xml:space="preserve">CASH BREAK EVEN POINT </t>
  </si>
  <si>
    <t>Current Ratio</t>
  </si>
  <si>
    <t>DER</t>
  </si>
  <si>
    <t>TOL/ATNW</t>
  </si>
  <si>
    <t>EBIT</t>
    <phoneticPr fontId="4" type="noConversion"/>
  </si>
  <si>
    <t>Adjusted Tax (1-t)</t>
    <phoneticPr fontId="4" type="noConversion"/>
  </si>
  <si>
    <t>NOPAT</t>
  </si>
  <si>
    <t>Change in NWC</t>
    <phoneticPr fontId="4" type="noConversion"/>
  </si>
  <si>
    <t>CAPEX</t>
    <phoneticPr fontId="6" type="noConversion"/>
  </si>
  <si>
    <t>Free Cash Flow to Firm (FCFF)</t>
    <phoneticPr fontId="6" type="noConversion"/>
  </si>
  <si>
    <t>Discount Rate</t>
  </si>
  <si>
    <t>Expected growth rate(Terminal)</t>
  </si>
  <si>
    <t>Discount Period</t>
  </si>
  <si>
    <t>Discount Factor</t>
  </si>
  <si>
    <t>Terminal Value of the project</t>
  </si>
  <si>
    <t>FCF+TV</t>
  </si>
  <si>
    <t>PV of FCF+ PV of Terminal Value</t>
  </si>
  <si>
    <t>NPV</t>
  </si>
  <si>
    <t>Key Input</t>
  </si>
  <si>
    <t>Description</t>
  </si>
  <si>
    <t>Company Risk Premium</t>
  </si>
  <si>
    <t>INCOME</t>
  </si>
  <si>
    <t>EXPENDITURE</t>
  </si>
  <si>
    <t>Running Expenses</t>
  </si>
  <si>
    <t>Finance Expenses</t>
  </si>
  <si>
    <t>Total Expenditure</t>
  </si>
  <si>
    <t>Income before Tax</t>
  </si>
  <si>
    <t>Taxation</t>
  </si>
  <si>
    <t>Income after Tax</t>
  </si>
  <si>
    <t>Interest on T/L</t>
  </si>
  <si>
    <t>Installment of T/L</t>
  </si>
  <si>
    <t>DSCR</t>
  </si>
  <si>
    <t>Decrease in Selling Price by 5%</t>
  </si>
  <si>
    <t>Revenue</t>
  </si>
  <si>
    <t>Lakhs/Month</t>
  </si>
  <si>
    <t>Lease Rent for Slaughter House</t>
  </si>
  <si>
    <t>Rent for Meat Processing Plant</t>
  </si>
  <si>
    <t>Applicable Tax Rate</t>
  </si>
  <si>
    <t>Interest Rate &amp; EMI of Car Loan with PNB</t>
  </si>
  <si>
    <t>Interest Rate for GECL Loan from PNB</t>
  </si>
  <si>
    <t>Interest Rate for CC Limit Loan from PNB</t>
  </si>
  <si>
    <t>Details for any other loan outstanding of the company.</t>
  </si>
  <si>
    <t>Manufacturing Expenses</t>
  </si>
  <si>
    <t>Amonia Gas</t>
  </si>
  <si>
    <t>Packing Material</t>
  </si>
  <si>
    <t>Oil, Lubricants &amp; Gases</t>
  </si>
  <si>
    <t>Electric &amp; Power</t>
  </si>
  <si>
    <t>Labour Charges</t>
  </si>
  <si>
    <t>Consumable Exps.</t>
  </si>
  <si>
    <t>Chemicals</t>
  </si>
  <si>
    <t>Fuel Exps.</t>
  </si>
  <si>
    <t>Salt Exps.</t>
  </si>
  <si>
    <t>Auditor's Remuneration</t>
  </si>
  <si>
    <t>Audit Fees</t>
  </si>
  <si>
    <t>Director's Remuneration</t>
  </si>
  <si>
    <t>Certification &amp; Inspection Charges</t>
  </si>
  <si>
    <t>Pollution Consent &amp; Registration Charges</t>
  </si>
  <si>
    <t>Business Promotion Exps.</t>
  </si>
  <si>
    <t>Export Discount Exps.</t>
  </si>
  <si>
    <t>Export Freight</t>
  </si>
  <si>
    <t>Freight Charges</t>
  </si>
  <si>
    <t>Fees &amp; Taxes</t>
  </si>
  <si>
    <t>Factory Cleaning &amp; Maintenance</t>
  </si>
  <si>
    <t>Gardening Expenses</t>
  </si>
  <si>
    <t>Generator Rent</t>
  </si>
  <si>
    <t>Legal &amp; Professional Charges</t>
  </si>
  <si>
    <t>Machine Room Charges</t>
  </si>
  <si>
    <t>Miscellenous Expenses</t>
  </si>
  <si>
    <t>Medical Expenses</t>
  </si>
  <si>
    <t>News Paper</t>
  </si>
  <si>
    <t>Petrol &amp; Diesel Exps.</t>
  </si>
  <si>
    <t>Printing &amp; Stationary</t>
  </si>
  <si>
    <t>Postage &amp; Telegram</t>
  </si>
  <si>
    <t>Lab Testing Charges</t>
  </si>
  <si>
    <t>Intt on GST</t>
  </si>
  <si>
    <t>Container Sealing Charges</t>
  </si>
  <si>
    <t>Export Expense</t>
  </si>
  <si>
    <t>Insurance Expenses</t>
  </si>
  <si>
    <t>Chamber of Commerce Fee</t>
  </si>
  <si>
    <t>Forex Loss</t>
  </si>
  <si>
    <t>Short &amp; Excess</t>
  </si>
  <si>
    <t>Repair &amp; Maintenance</t>
  </si>
  <si>
    <t>Building</t>
  </si>
  <si>
    <t>Computer</t>
  </si>
  <si>
    <t>Plant &amp; Machinery</t>
  </si>
  <si>
    <t>Electrification Exps</t>
  </si>
  <si>
    <t>Uniform Expenses</t>
  </si>
  <si>
    <t>Security Expenses</t>
  </si>
  <si>
    <t>Telephone Expenses</t>
  </si>
  <si>
    <t>Transportation Charges</t>
  </si>
  <si>
    <t>Travelling &amp; Conveyance Exp.</t>
  </si>
  <si>
    <t>Washing &amp; Cleaning Charges</t>
  </si>
  <si>
    <t>Website Charges</t>
  </si>
  <si>
    <t>Compressor Oil</t>
  </si>
  <si>
    <t>Manufacturing Charges</t>
  </si>
  <si>
    <t>ROC Fees</t>
  </si>
  <si>
    <t>Calibration Charges</t>
  </si>
  <si>
    <t>Exhibition Charges</t>
  </si>
  <si>
    <t>Loading Charges</t>
  </si>
  <si>
    <t>Diesel Exps.</t>
  </si>
  <si>
    <t>Software Expenses</t>
  </si>
  <si>
    <t>Charity &amp; Donation</t>
  </si>
  <si>
    <t>Consultancy Charges</t>
  </si>
  <si>
    <t>Ground Water Charges</t>
  </si>
  <si>
    <t>Reversal of Input GST</t>
  </si>
  <si>
    <t>Finance Charges</t>
  </si>
  <si>
    <t>Contractor Expenses</t>
  </si>
  <si>
    <t>Advertisement Expenses</t>
  </si>
  <si>
    <t>Office Exps.</t>
  </si>
  <si>
    <t>Non-Current Investment</t>
  </si>
  <si>
    <t>Other Non-Current Assets</t>
  </si>
  <si>
    <t>Selling Price of Stock in Inventory</t>
  </si>
  <si>
    <t>Repayment period of CC limit loan and Starting Repayment Month</t>
  </si>
  <si>
    <t>Grand Total</t>
  </si>
  <si>
    <t>Sub-total</t>
  </si>
  <si>
    <t>Sub-Total</t>
  </si>
  <si>
    <t>Other</t>
  </si>
  <si>
    <t>Generator</t>
  </si>
  <si>
    <t>Historical Balance Sheet</t>
  </si>
  <si>
    <t>Repayment Schedue of PNB Restructured CC Loan</t>
  </si>
  <si>
    <t>Summary Of Term Loans in Lakhs</t>
  </si>
  <si>
    <t>Deffered Tax liabilities</t>
  </si>
  <si>
    <t>Other Current Assets</t>
  </si>
  <si>
    <t>Decrease in Secured Loan</t>
  </si>
  <si>
    <t>Unsecured Loan</t>
  </si>
  <si>
    <t>Base Rate</t>
  </si>
  <si>
    <t>Education Cess</t>
  </si>
  <si>
    <t>Surcharge</t>
  </si>
  <si>
    <t>Effective Tax Rate</t>
  </si>
  <si>
    <t>Trade payables</t>
  </si>
  <si>
    <t>ROE</t>
  </si>
  <si>
    <t>Addback Depreciation</t>
  </si>
  <si>
    <t>NWC</t>
  </si>
  <si>
    <t>Increase in Expenditure by 5%</t>
  </si>
  <si>
    <t>2031-2032</t>
  </si>
  <si>
    <t>EMI</t>
  </si>
  <si>
    <t>Cutoff Date</t>
  </si>
  <si>
    <t>Implementation Date</t>
  </si>
  <si>
    <t>Repayment Date</t>
  </si>
  <si>
    <t>Tenure</t>
  </si>
  <si>
    <t>84 Months</t>
  </si>
  <si>
    <t>IRR</t>
  </si>
  <si>
    <t>ROCE</t>
  </si>
  <si>
    <t>Loan Life Ratio (LLR)</t>
  </si>
  <si>
    <t>Present Value of Total Available Cash Flow (ACF) during the loan life period (Including interest and principal) / Maximum Amount of Loan</t>
  </si>
  <si>
    <t>Bad Debts</t>
  </si>
  <si>
    <t>Capital Employed</t>
  </si>
  <si>
    <t>Loan Amount</t>
  </si>
  <si>
    <t>LLCR</t>
  </si>
  <si>
    <t>Total</t>
  </si>
  <si>
    <t>2031-32</t>
  </si>
  <si>
    <t>Period</t>
  </si>
  <si>
    <t>PV of Cash Flow Available for Debt Service</t>
  </si>
  <si>
    <t>30.11.2024</t>
  </si>
  <si>
    <t>No. of Months</t>
  </si>
  <si>
    <t>Monthly Rent</t>
  </si>
  <si>
    <t>Loan-Life Coverage Ratio</t>
  </si>
  <si>
    <t>Lakhs</t>
  </si>
  <si>
    <t>Short term Loan</t>
  </si>
  <si>
    <t>Additional Funds</t>
  </si>
  <si>
    <t>Interest Rate</t>
  </si>
  <si>
    <t>From Rental</t>
  </si>
  <si>
    <t>From Slaughtering</t>
  </si>
  <si>
    <t>5-yr govt bnd yield</t>
  </si>
  <si>
    <t>https://in.investing.com/rates-bonds/india-5-year-bond-yield-historical-data</t>
  </si>
  <si>
    <t>https://www.niftyindices.com/market-data/return-profile</t>
  </si>
  <si>
    <t>Nifty 50 Returns (CAGR) in the Last 5 Years</t>
  </si>
  <si>
    <t>Sensitivity Analysis from Cutoff Date 30.11.2024</t>
  </si>
  <si>
    <t xml:space="preserve">Repayment </t>
  </si>
  <si>
    <t>GECL</t>
  </si>
  <si>
    <t>Car Loan</t>
  </si>
  <si>
    <t>Remaining</t>
  </si>
  <si>
    <t>WCTL</t>
  </si>
  <si>
    <t>FITL</t>
  </si>
  <si>
    <t>Depreciation - Building</t>
  </si>
  <si>
    <t>Depreciation - P&amp;M</t>
  </si>
  <si>
    <t>Depreciation - Furniture &amp; Fixtures</t>
  </si>
  <si>
    <t>Depreciation - Computer</t>
  </si>
  <si>
    <t>Depreciation - Office Equipment</t>
  </si>
  <si>
    <t>Depreciation - Power Supply</t>
  </si>
  <si>
    <t>Depreciation - Slaughter House</t>
  </si>
  <si>
    <t>Depreciation - Vehicle</t>
  </si>
  <si>
    <t>Depreciation - ETP</t>
  </si>
  <si>
    <t>Depreciation – Security Equipment</t>
  </si>
  <si>
    <t xml:space="preserve">Total WDV Depreciation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</si>
</sst>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₹&quot;\ #,##0.00;[Red]&quot;₹&quot;\ \-#,##0.00"/>
    <numFmt numFmtId="43" formatCode="_ * #,##0.00_ ;_ * \-#,##0.00_ ;_ * &quot;-&quot;??_ ;_ @_ "/>
    <numFmt numFmtId="164" formatCode="0.000000000"/>
    <numFmt numFmtId="165" formatCode="0.00_)"/>
    <numFmt numFmtId="166" formatCode="_-* #,##0.00\ [$€]_-;\-* #,##0.00\ [$€]_-;_-* &quot;-&quot;??\ [$€]_-;_-@_-"/>
    <numFmt numFmtId="167" formatCode="0.0"/>
    <numFmt numFmtId="168" formatCode="_(* #,##0.00_);_(* \(#,##0.00\);_(* &quot;-&quot;??_);_(@_)"/>
    <numFmt numFmtId="169" formatCode="_ &quot;Rs.&quot;\ * #,##0_ ;_ &quot;Rs.&quot;\ * \-#,##0_ ;_ &quot;Rs.&quot;\ * &quot;-&quot;_ ;_ @_ "/>
    <numFmt numFmtId="170" formatCode="_-* #,##0.00_-;\-* #,##0.00_-;_-* &quot;-&quot;??_-;_-@_-"/>
    <numFmt numFmtId="171" formatCode="0_)"/>
    <numFmt numFmtId="172" formatCode="0.0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ourier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ourie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2060"/>
        <bgColor theme="5"/>
      </patternFill>
    </fill>
    <fill>
      <patternFill patternType="solid">
        <fgColor rgb="FFDBE5F1"/>
        <bgColor indexed="64"/>
      </patternFill>
    </fill>
    <fill>
      <patternFill patternType="solid">
        <fgColor rgb="FFE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5" fontId="5" fillId="0" borderId="0"/>
    <xf numFmtId="166" fontId="1" fillId="0" borderId="0"/>
    <xf numFmtId="9" fontId="7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29"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2" borderId="0" xfId="0" applyFont="1" applyFill="1"/>
    <xf numFmtId="164" fontId="0" fillId="0" borderId="0" xfId="0" applyNumberFormat="1"/>
    <xf numFmtId="0" fontId="4" fillId="0" borderId="0" xfId="0" applyFont="1"/>
    <xf numFmtId="0" fontId="3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165" fontId="5" fillId="0" borderId="0" xfId="1"/>
    <xf numFmtId="167" fontId="6" fillId="5" borderId="1" xfId="2" applyNumberFormat="1" applyFont="1" applyFill="1" applyBorder="1"/>
    <xf numFmtId="0" fontId="6" fillId="5" borderId="1" xfId="2" applyNumberFormat="1" applyFont="1" applyFill="1" applyBorder="1"/>
    <xf numFmtId="165" fontId="8" fillId="5" borderId="1" xfId="1" applyFont="1" applyFill="1" applyBorder="1"/>
    <xf numFmtId="165" fontId="9" fillId="5" borderId="1" xfId="1" applyFont="1" applyFill="1" applyBorder="1"/>
    <xf numFmtId="10" fontId="9" fillId="0" borderId="1" xfId="3" applyNumberFormat="1" applyFont="1" applyBorder="1"/>
    <xf numFmtId="49" fontId="6" fillId="0" borderId="1" xfId="2" applyNumberFormat="1" applyFont="1" applyBorder="1"/>
    <xf numFmtId="167" fontId="6" fillId="0" borderId="1" xfId="2" applyNumberFormat="1" applyFont="1" applyBorder="1"/>
    <xf numFmtId="14" fontId="3" fillId="5" borderId="1" xfId="1" applyNumberFormat="1" applyFont="1" applyFill="1" applyBorder="1" applyAlignment="1">
      <alignment horizontal="center"/>
    </xf>
    <xf numFmtId="165" fontId="3" fillId="5" borderId="1" xfId="1" applyFont="1" applyFill="1" applyBorder="1" applyAlignment="1">
      <alignment horizontal="center"/>
    </xf>
    <xf numFmtId="49" fontId="10" fillId="5" borderId="1" xfId="2" applyNumberFormat="1" applyFont="1" applyFill="1" applyBorder="1"/>
    <xf numFmtId="165" fontId="8" fillId="5" borderId="1" xfId="1" applyFont="1" applyFill="1" applyBorder="1" applyAlignment="1">
      <alignment horizontal="left"/>
    </xf>
    <xf numFmtId="0" fontId="1" fillId="0" borderId="0" xfId="4"/>
    <xf numFmtId="0" fontId="3" fillId="5" borderId="1" xfId="4" applyFont="1" applyFill="1" applyBorder="1"/>
    <xf numFmtId="0" fontId="1" fillId="6" borderId="0" xfId="4" applyFill="1"/>
    <xf numFmtId="0" fontId="11" fillId="0" borderId="0" xfId="4" applyFont="1"/>
    <xf numFmtId="2" fontId="3" fillId="0" borderId="0" xfId="5" applyNumberFormat="1" applyFont="1" applyFill="1" applyBorder="1"/>
    <xf numFmtId="4" fontId="3" fillId="6" borderId="0" xfId="5" applyNumberFormat="1" applyFont="1" applyFill="1" applyBorder="1"/>
    <xf numFmtId="9" fontId="0" fillId="0" borderId="2" xfId="6" applyFont="1" applyBorder="1"/>
    <xf numFmtId="9" fontId="0" fillId="6" borderId="2" xfId="6" applyFont="1" applyFill="1" applyBorder="1"/>
    <xf numFmtId="4" fontId="3" fillId="6" borderId="3" xfId="5" applyNumberFormat="1" applyFont="1" applyFill="1" applyBorder="1"/>
    <xf numFmtId="2" fontId="1" fillId="0" borderId="0" xfId="4" applyNumberFormat="1"/>
    <xf numFmtId="4" fontId="1" fillId="0" borderId="0" xfId="4" applyNumberFormat="1"/>
    <xf numFmtId="4" fontId="1" fillId="6" borderId="0" xfId="4" applyNumberFormat="1" applyFill="1"/>
    <xf numFmtId="0" fontId="1" fillId="0" borderId="0" xfId="4" applyAlignment="1">
      <alignment wrapText="1"/>
    </xf>
    <xf numFmtId="10" fontId="1" fillId="0" borderId="0" xfId="4" applyNumberFormat="1"/>
    <xf numFmtId="4" fontId="3" fillId="6" borderId="0" xfId="4" applyNumberFormat="1" applyFont="1" applyFill="1"/>
    <xf numFmtId="0" fontId="2" fillId="3" borderId="0" xfId="4" applyFont="1" applyFill="1"/>
    <xf numFmtId="10" fontId="0" fillId="0" borderId="0" xfId="6" applyNumberFormat="1" applyFont="1" applyFill="1" applyBorder="1"/>
    <xf numFmtId="10" fontId="0" fillId="6" borderId="0" xfId="6" applyNumberFormat="1" applyFont="1" applyFill="1" applyBorder="1"/>
    <xf numFmtId="10" fontId="0" fillId="6" borderId="2" xfId="6" applyNumberFormat="1" applyFont="1" applyFill="1" applyBorder="1"/>
    <xf numFmtId="10" fontId="0" fillId="0" borderId="0" xfId="6" applyNumberFormat="1" applyFont="1" applyBorder="1"/>
    <xf numFmtId="2" fontId="3" fillId="6" borderId="0" xfId="5" applyNumberFormat="1" applyFont="1" applyFill="1" applyBorder="1"/>
    <xf numFmtId="10" fontId="0" fillId="0" borderId="2" xfId="6" applyNumberFormat="1" applyFont="1" applyBorder="1"/>
    <xf numFmtId="0" fontId="3" fillId="0" borderId="0" xfId="4" applyFont="1"/>
    <xf numFmtId="15" fontId="2" fillId="3" borderId="1" xfId="4" applyNumberFormat="1" applyFont="1" applyFill="1" applyBorder="1"/>
    <xf numFmtId="15" fontId="12" fillId="6" borderId="1" xfId="4" applyNumberFormat="1" applyFont="1" applyFill="1" applyBorder="1"/>
    <xf numFmtId="9" fontId="0" fillId="6" borderId="0" xfId="6" applyFont="1" applyFill="1" applyBorder="1"/>
    <xf numFmtId="9" fontId="0" fillId="0" borderId="0" xfId="6" applyFont="1" applyBorder="1"/>
    <xf numFmtId="10" fontId="0" fillId="0" borderId="0" xfId="8" applyNumberFormat="1" applyFont="1"/>
    <xf numFmtId="165" fontId="15" fillId="0" borderId="0" xfId="1" applyFont="1"/>
    <xf numFmtId="170" fontId="1" fillId="0" borderId="0" xfId="10" applyNumberFormat="1" applyFont="1" applyFill="1" applyBorder="1"/>
    <xf numFmtId="170" fontId="16" fillId="0" borderId="0" xfId="9" applyNumberFormat="1" applyFont="1"/>
    <xf numFmtId="43" fontId="3" fillId="6" borderId="0" xfId="7" applyFont="1" applyFill="1"/>
    <xf numFmtId="43" fontId="3" fillId="0" borderId="0" xfId="7" applyFont="1"/>
    <xf numFmtId="43" fontId="1" fillId="6" borderId="0" xfId="7" applyFill="1"/>
    <xf numFmtId="43" fontId="1" fillId="0" borderId="0" xfId="7"/>
    <xf numFmtId="43" fontId="1" fillId="6" borderId="2" xfId="7" applyFill="1" applyBorder="1"/>
    <xf numFmtId="43" fontId="1" fillId="0" borderId="2" xfId="7" applyBorder="1"/>
    <xf numFmtId="43" fontId="3" fillId="6" borderId="3" xfId="7" applyFont="1" applyFill="1" applyBorder="1"/>
    <xf numFmtId="43" fontId="3" fillId="5" borderId="3" xfId="7" applyFont="1" applyFill="1" applyBorder="1"/>
    <xf numFmtId="43" fontId="1" fillId="6" borderId="1" xfId="7" applyFill="1" applyBorder="1"/>
    <xf numFmtId="171" fontId="14" fillId="3" borderId="1" xfId="1" applyNumberFormat="1" applyFont="1" applyFill="1" applyBorder="1" applyAlignment="1">
      <alignment horizontal="center" vertical="center"/>
    </xf>
    <xf numFmtId="165" fontId="15" fillId="0" borderId="0" xfId="1" applyFont="1" applyAlignment="1">
      <alignment horizontal="left"/>
    </xf>
    <xf numFmtId="171" fontId="15" fillId="0" borderId="0" xfId="1" applyNumberFormat="1" applyFont="1" applyAlignment="1">
      <alignment horizontal="center" vertical="center"/>
    </xf>
    <xf numFmtId="165" fontId="17" fillId="0" borderId="0" xfId="1" applyFont="1" applyAlignment="1">
      <alignment horizontal="left"/>
    </xf>
    <xf numFmtId="165" fontId="17" fillId="0" borderId="0" xfId="1" applyFont="1" applyAlignment="1">
      <alignment horizontal="center" vertical="center"/>
    </xf>
    <xf numFmtId="165" fontId="15" fillId="0" borderId="0" xfId="1" applyFont="1" applyAlignment="1">
      <alignment horizontal="center" vertical="center"/>
    </xf>
    <xf numFmtId="10" fontId="15" fillId="0" borderId="0" xfId="3" applyNumberFormat="1" applyFont="1" applyAlignment="1">
      <alignment horizontal="center" vertical="center"/>
    </xf>
    <xf numFmtId="165" fontId="17" fillId="0" borderId="0" xfId="1" applyFont="1"/>
    <xf numFmtId="165" fontId="14" fillId="3" borderId="4" xfId="1" applyFont="1" applyFill="1" applyBorder="1" applyAlignment="1">
      <alignment horizontal="left"/>
    </xf>
    <xf numFmtId="165" fontId="13" fillId="7" borderId="0" xfId="1" applyFont="1" applyFill="1" applyAlignment="1">
      <alignment vertical="center"/>
    </xf>
    <xf numFmtId="165" fontId="17" fillId="0" borderId="0" xfId="1" applyFont="1" applyAlignment="1">
      <alignment horizontal="left" vertical="center"/>
    </xf>
    <xf numFmtId="170" fontId="18" fillId="0" borderId="0" xfId="13" applyNumberFormat="1" applyFont="1" applyFill="1" applyBorder="1"/>
    <xf numFmtId="170" fontId="19" fillId="0" borderId="0" xfId="13" applyNumberFormat="1" applyFont="1" applyFill="1" applyBorder="1"/>
    <xf numFmtId="170" fontId="18" fillId="0" borderId="0" xfId="13" applyNumberFormat="1" applyFont="1" applyFill="1" applyBorder="1" applyAlignment="1">
      <alignment horizontal="left"/>
    </xf>
    <xf numFmtId="165" fontId="16" fillId="0" borderId="0" xfId="1" applyFont="1" applyAlignment="1">
      <alignment horizontal="center" vertical="center"/>
    </xf>
    <xf numFmtId="165" fontId="16" fillId="0" borderId="0" xfId="1" applyFont="1"/>
    <xf numFmtId="165" fontId="12" fillId="0" borderId="0" xfId="1" applyFont="1"/>
    <xf numFmtId="165" fontId="2" fillId="7" borderId="0" xfId="1" applyFont="1" applyFill="1" applyAlignment="1">
      <alignment vertical="center"/>
    </xf>
    <xf numFmtId="165" fontId="2" fillId="3" borderId="4" xfId="1" applyFont="1" applyFill="1" applyBorder="1" applyAlignment="1">
      <alignment horizontal="left"/>
    </xf>
    <xf numFmtId="171" fontId="2" fillId="3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165" fontId="12" fillId="2" borderId="0" xfId="1" applyFont="1" applyFill="1"/>
    <xf numFmtId="165" fontId="12" fillId="2" borderId="0" xfId="1" applyFont="1" applyFill="1" applyAlignment="1">
      <alignment horizontal="center" vertical="center"/>
    </xf>
    <xf numFmtId="165" fontId="20" fillId="2" borderId="0" xfId="1" applyFont="1" applyFill="1"/>
    <xf numFmtId="10" fontId="16" fillId="0" borderId="0" xfId="3" applyNumberFormat="1" applyFont="1" applyAlignment="1">
      <alignment horizontal="center" vertical="center"/>
    </xf>
    <xf numFmtId="165" fontId="1" fillId="0" borderId="0" xfId="1" applyFont="1" applyAlignment="1">
      <alignment vertical="center"/>
    </xf>
    <xf numFmtId="165" fontId="21" fillId="0" borderId="0" xfId="1" applyFont="1" applyAlignment="1">
      <alignment vertical="center"/>
    </xf>
    <xf numFmtId="165" fontId="22" fillId="2" borderId="0" xfId="1" applyFont="1" applyFill="1" applyAlignment="1">
      <alignment vertical="center"/>
    </xf>
    <xf numFmtId="165" fontId="24" fillId="9" borderId="8" xfId="1" applyFont="1" applyFill="1" applyBorder="1" applyAlignment="1">
      <alignment horizontal="center" vertical="center" wrapText="1"/>
    </xf>
    <xf numFmtId="165" fontId="16" fillId="0" borderId="8" xfId="1" applyFont="1" applyBorder="1" applyAlignment="1">
      <alignment vertical="center" wrapText="1"/>
    </xf>
    <xf numFmtId="10" fontId="16" fillId="0" borderId="8" xfId="3" applyNumberFormat="1" applyFont="1" applyBorder="1" applyAlignment="1">
      <alignment horizontal="center" vertical="center" wrapText="1"/>
    </xf>
    <xf numFmtId="165" fontId="2" fillId="3" borderId="0" xfId="1" applyFont="1" applyFill="1" applyAlignment="1">
      <alignment horizontal="center" vertical="center"/>
    </xf>
    <xf numFmtId="165" fontId="2" fillId="7" borderId="0" xfId="1" applyFont="1" applyFill="1" applyAlignment="1">
      <alignment horizontal="left" vertical="center"/>
    </xf>
    <xf numFmtId="165" fontId="25" fillId="0" borderId="0" xfId="1" applyFont="1"/>
    <xf numFmtId="165" fontId="2" fillId="3" borderId="1" xfId="1" applyFont="1" applyFill="1" applyBorder="1" applyAlignment="1">
      <alignment horizontal="left"/>
    </xf>
    <xf numFmtId="171" fontId="16" fillId="0" borderId="0" xfId="1" applyNumberFormat="1" applyFont="1" applyAlignment="1">
      <alignment horizontal="center" vertical="center"/>
    </xf>
    <xf numFmtId="165" fontId="12" fillId="0" borderId="0" xfId="1" applyFont="1" applyAlignment="1">
      <alignment horizontal="left"/>
    </xf>
    <xf numFmtId="165" fontId="12" fillId="0" borderId="0" xfId="1" applyFont="1" applyAlignment="1">
      <alignment horizontal="center" vertical="center"/>
    </xf>
    <xf numFmtId="9" fontId="16" fillId="0" borderId="0" xfId="3" applyFont="1"/>
    <xf numFmtId="171" fontId="16" fillId="0" borderId="0" xfId="1" applyNumberFormat="1" applyFont="1"/>
    <xf numFmtId="165" fontId="16" fillId="0" borderId="0" xfId="1" applyFont="1" applyAlignment="1">
      <alignment horizontal="left"/>
    </xf>
    <xf numFmtId="165" fontId="12" fillId="2" borderId="0" xfId="1" applyFont="1" applyFill="1" applyAlignment="1">
      <alignment horizontal="left"/>
    </xf>
    <xf numFmtId="10" fontId="12" fillId="0" borderId="0" xfId="3" applyNumberFormat="1" applyFont="1" applyAlignment="1">
      <alignment horizontal="center" vertical="center"/>
    </xf>
    <xf numFmtId="170" fontId="26" fillId="0" borderId="0" xfId="12" applyFont="1" applyFill="1" applyBorder="1" applyAlignment="1">
      <alignment horizontal="left" vertical="center"/>
    </xf>
    <xf numFmtId="165" fontId="27" fillId="0" borderId="0" xfId="1" applyFont="1"/>
    <xf numFmtId="170" fontId="28" fillId="2" borderId="0" xfId="12" applyFont="1" applyFill="1" applyBorder="1" applyAlignment="1">
      <alignment horizontal="right" vertical="center"/>
    </xf>
    <xf numFmtId="165" fontId="28" fillId="2" borderId="0" xfId="1" applyFont="1" applyFill="1"/>
    <xf numFmtId="43" fontId="0" fillId="10" borderId="0" xfId="7" applyFont="1" applyFill="1"/>
    <xf numFmtId="43" fontId="0" fillId="11" borderId="0" xfId="7" applyFont="1" applyFill="1"/>
    <xf numFmtId="0" fontId="0" fillId="11" borderId="0" xfId="0" applyFill="1" applyAlignment="1">
      <alignment horizontal="left"/>
    </xf>
    <xf numFmtId="0" fontId="0" fillId="11" borderId="0" xfId="0" applyFill="1"/>
    <xf numFmtId="0" fontId="0" fillId="11" borderId="0" xfId="0" applyFill="1" applyAlignment="1">
      <alignment horizontal="left" indent="2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2" borderId="0" xfId="0" applyFont="1" applyFill="1" applyAlignment="1">
      <alignment horizontal="left"/>
    </xf>
    <xf numFmtId="43" fontId="3" fillId="2" borderId="0" xfId="0" applyNumberFormat="1" applyFont="1" applyFill="1"/>
    <xf numFmtId="43" fontId="3" fillId="2" borderId="0" xfId="7" applyFont="1" applyFill="1"/>
    <xf numFmtId="0" fontId="16" fillId="0" borderId="0" xfId="9" applyFont="1"/>
    <xf numFmtId="0" fontId="2" fillId="8" borderId="1" xfId="9" applyFont="1" applyFill="1" applyBorder="1" applyAlignment="1">
      <alignment horizontal="center" vertical="center" wrapText="1"/>
    </xf>
    <xf numFmtId="2" fontId="16" fillId="0" borderId="0" xfId="9" applyNumberFormat="1" applyFont="1"/>
    <xf numFmtId="170" fontId="1" fillId="0" borderId="1" xfId="10" applyNumberFormat="1" applyFont="1" applyFill="1" applyBorder="1" applyAlignment="1">
      <alignment horizontal="center" vertical="center"/>
    </xf>
    <xf numFmtId="43" fontId="16" fillId="0" borderId="0" xfId="9" applyNumberFormat="1" applyFont="1"/>
    <xf numFmtId="0" fontId="2" fillId="3" borderId="3" xfId="9" applyFont="1" applyFill="1" applyBorder="1" applyAlignment="1">
      <alignment horizontal="center" vertical="top" wrapText="1"/>
    </xf>
    <xf numFmtId="165" fontId="2" fillId="3" borderId="3" xfId="9" applyNumberFormat="1" applyFont="1" applyFill="1" applyBorder="1" applyAlignment="1">
      <alignment horizontal="center"/>
    </xf>
    <xf numFmtId="168" fontId="12" fillId="0" borderId="0" xfId="11" applyFont="1" applyBorder="1"/>
    <xf numFmtId="170" fontId="16" fillId="0" borderId="0" xfId="12" applyFont="1"/>
    <xf numFmtId="15" fontId="16" fillId="0" borderId="0" xfId="9" applyNumberFormat="1" applyFont="1" applyAlignment="1">
      <alignment horizontal="center" vertical="center"/>
    </xf>
    <xf numFmtId="168" fontId="16" fillId="0" borderId="0" xfId="11" applyFont="1"/>
    <xf numFmtId="168" fontId="12" fillId="0" borderId="3" xfId="11" applyFont="1" applyBorder="1"/>
    <xf numFmtId="170" fontId="12" fillId="0" borderId="3" xfId="12" applyFont="1" applyBorder="1"/>
    <xf numFmtId="0" fontId="16" fillId="0" borderId="0" xfId="9" applyFont="1" applyAlignment="1">
      <alignment horizontal="center" vertical="center"/>
    </xf>
    <xf numFmtId="170" fontId="1" fillId="0" borderId="0" xfId="10" applyNumberFormat="1" applyFont="1" applyFill="1" applyBorder="1" applyAlignment="1">
      <alignment horizontal="center" vertical="center"/>
    </xf>
    <xf numFmtId="165" fontId="16" fillId="0" borderId="1" xfId="1" applyFont="1" applyBorder="1"/>
    <xf numFmtId="10" fontId="16" fillId="0" borderId="1" xfId="8" applyNumberFormat="1" applyFont="1" applyBorder="1"/>
    <xf numFmtId="165" fontId="12" fillId="2" borderId="1" xfId="1" applyFont="1" applyFill="1" applyBorder="1"/>
    <xf numFmtId="10" fontId="12" fillId="2" borderId="1" xfId="8" applyNumberFormat="1" applyFont="1" applyFill="1" applyBorder="1"/>
    <xf numFmtId="165" fontId="16" fillId="0" borderId="0" xfId="1" applyFont="1" applyAlignment="1">
      <alignment horizontal="left" vertical="center"/>
    </xf>
    <xf numFmtId="165" fontId="25" fillId="0" borderId="0" xfId="1" applyFont="1" applyAlignment="1">
      <alignment horizontal="left"/>
    </xf>
    <xf numFmtId="165" fontId="2" fillId="7" borderId="0" xfId="1" applyFont="1" applyFill="1" applyAlignment="1">
      <alignment horizontal="center" vertical="center"/>
    </xf>
    <xf numFmtId="10" fontId="16" fillId="0" borderId="7" xfId="3" applyNumberFormat="1" applyFont="1" applyBorder="1" applyAlignment="1">
      <alignment horizontal="center" vertical="center" wrapText="1"/>
    </xf>
    <xf numFmtId="10" fontId="16" fillId="0" borderId="9" xfId="3" applyNumberFormat="1" applyFont="1" applyFill="1" applyBorder="1" applyAlignment="1">
      <alignment horizontal="center" vertical="center"/>
    </xf>
    <xf numFmtId="165" fontId="2" fillId="3" borderId="4" xfId="1" applyFont="1" applyFill="1" applyBorder="1" applyAlignment="1">
      <alignment horizontal="left" vertical="center"/>
    </xf>
    <xf numFmtId="165" fontId="13" fillId="7" borderId="0" xfId="1" applyFont="1" applyFill="1" applyAlignment="1">
      <alignment horizontal="left" vertical="center"/>
    </xf>
    <xf numFmtId="43" fontId="0" fillId="10" borderId="0" xfId="7" applyFont="1" applyFill="1" applyAlignment="1">
      <alignment horizontal="left" indent="1"/>
    </xf>
    <xf numFmtId="0" fontId="0" fillId="10" borderId="0" xfId="0" applyFill="1" applyAlignment="1">
      <alignment horizontal="left"/>
    </xf>
    <xf numFmtId="43" fontId="0" fillId="0" borderId="0" xfId="7" applyFont="1" applyAlignment="1">
      <alignment horizontal="center" vertical="center"/>
    </xf>
    <xf numFmtId="43" fontId="3" fillId="2" borderId="0" xfId="7" applyFont="1" applyFill="1" applyAlignment="1">
      <alignment horizontal="center" vertical="center"/>
    </xf>
    <xf numFmtId="43" fontId="2" fillId="3" borderId="0" xfId="7" applyFont="1" applyFill="1" applyAlignment="1">
      <alignment horizontal="center" vertical="center"/>
    </xf>
    <xf numFmtId="43" fontId="0" fillId="0" borderId="0" xfId="7" applyFont="1"/>
    <xf numFmtId="43" fontId="2" fillId="3" borderId="1" xfId="7" applyFont="1" applyFill="1" applyBorder="1" applyAlignment="1">
      <alignment horizontal="center" vertical="center"/>
    </xf>
    <xf numFmtId="43" fontId="25" fillId="0" borderId="0" xfId="7" applyFont="1"/>
    <xf numFmtId="43" fontId="16" fillId="0" borderId="0" xfId="7" applyFont="1" applyAlignment="1">
      <alignment horizontal="center" vertical="center"/>
    </xf>
    <xf numFmtId="43" fontId="12" fillId="2" borderId="0" xfId="7" applyFont="1" applyFill="1" applyAlignment="1">
      <alignment horizontal="center" vertical="center"/>
    </xf>
    <xf numFmtId="43" fontId="16" fillId="0" borderId="0" xfId="7" applyFont="1"/>
    <xf numFmtId="10" fontId="16" fillId="0" borderId="0" xfId="8" applyNumberFormat="1" applyFont="1" applyAlignment="1">
      <alignment horizontal="center" vertical="center"/>
    </xf>
    <xf numFmtId="43" fontId="3" fillId="12" borderId="0" xfId="0" applyNumberFormat="1" applyFont="1" applyFill="1"/>
    <xf numFmtId="17" fontId="16" fillId="0" borderId="0" xfId="9" applyNumberFormat="1" applyFont="1" applyAlignment="1">
      <alignment horizontal="center" vertical="center"/>
    </xf>
    <xf numFmtId="8" fontId="16" fillId="0" borderId="0" xfId="9" applyNumberFormat="1" applyFont="1" applyAlignment="1">
      <alignment horizontal="center" vertical="center"/>
    </xf>
    <xf numFmtId="165" fontId="13" fillId="7" borderId="0" xfId="1" applyFont="1" applyFill="1" applyAlignment="1">
      <alignment horizontal="right" vertical="center"/>
    </xf>
    <xf numFmtId="0" fontId="1" fillId="0" borderId="0" xfId="4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1" fillId="0" borderId="0" xfId="4" applyFill="1" applyAlignment="1">
      <alignment horizontal="right" vertical="center"/>
    </xf>
    <xf numFmtId="10" fontId="0" fillId="0" borderId="0" xfId="6" applyNumberFormat="1" applyFont="1" applyAlignment="1">
      <alignment horizontal="right" vertical="center"/>
    </xf>
    <xf numFmtId="9" fontId="1" fillId="0" borderId="0" xfId="4" applyNumberFormat="1" applyAlignment="1">
      <alignment horizontal="right" vertical="center"/>
    </xf>
    <xf numFmtId="10" fontId="0" fillId="0" borderId="0" xfId="6" applyNumberFormat="1" applyFont="1" applyFill="1" applyAlignment="1">
      <alignment horizontal="right" vertical="center"/>
    </xf>
    <xf numFmtId="9" fontId="1" fillId="0" borderId="0" xfId="4" applyNumberFormat="1" applyFill="1" applyAlignment="1">
      <alignment horizontal="right" vertical="center"/>
    </xf>
    <xf numFmtId="165" fontId="5" fillId="0" borderId="0" xfId="1" applyAlignment="1">
      <alignment horizontal="right" vertical="center"/>
    </xf>
    <xf numFmtId="167" fontId="10" fillId="5" borderId="1" xfId="2" applyNumberFormat="1" applyFont="1" applyFill="1" applyBorder="1" applyAlignment="1">
      <alignment horizontal="right" vertical="center"/>
    </xf>
    <xf numFmtId="0" fontId="6" fillId="0" borderId="1" xfId="2" applyNumberFormat="1" applyFont="1" applyBorder="1" applyAlignment="1">
      <alignment horizontal="right" vertical="center"/>
    </xf>
    <xf numFmtId="10" fontId="9" fillId="5" borderId="1" xfId="3" applyNumberFormat="1" applyFont="1" applyFill="1" applyBorder="1" applyAlignment="1">
      <alignment horizontal="right" vertical="center"/>
    </xf>
    <xf numFmtId="10" fontId="8" fillId="5" borderId="1" xfId="3" applyNumberFormat="1" applyFont="1" applyFill="1" applyBorder="1" applyAlignment="1">
      <alignment horizontal="right" vertical="center"/>
    </xf>
    <xf numFmtId="168" fontId="16" fillId="0" borderId="0" xfId="9" applyNumberFormat="1" applyFont="1"/>
    <xf numFmtId="17" fontId="2" fillId="3" borderId="0" xfId="0" applyNumberFormat="1" applyFont="1" applyFill="1" applyAlignment="1">
      <alignment horizontal="center" vertical="center"/>
    </xf>
    <xf numFmtId="10" fontId="16" fillId="0" borderId="0" xfId="8" applyNumberFormat="1" applyFont="1"/>
    <xf numFmtId="165" fontId="29" fillId="0" borderId="0" xfId="1" applyFont="1"/>
    <xf numFmtId="165" fontId="2" fillId="3" borderId="1" xfId="1" applyFont="1" applyFill="1" applyBorder="1"/>
    <xf numFmtId="171" fontId="16" fillId="0" borderId="1" xfId="1" applyNumberFormat="1" applyFont="1" applyBorder="1"/>
    <xf numFmtId="171" fontId="16" fillId="0" borderId="1" xfId="1" applyNumberFormat="1" applyFont="1" applyBorder="1" applyAlignment="1">
      <alignment horizontal="center" vertical="center"/>
    </xf>
    <xf numFmtId="171" fontId="12" fillId="2" borderId="1" xfId="1" applyNumberFormat="1" applyFont="1" applyFill="1" applyBorder="1"/>
    <xf numFmtId="171" fontId="12" fillId="2" borderId="1" xfId="1" applyNumberFormat="1" applyFont="1" applyFill="1" applyBorder="1" applyAlignment="1">
      <alignment horizontal="center" vertical="center"/>
    </xf>
    <xf numFmtId="165" fontId="25" fillId="7" borderId="0" xfId="1" applyFont="1" applyFill="1"/>
    <xf numFmtId="2" fontId="0" fillId="0" borderId="0" xfId="0" applyNumberFormat="1"/>
    <xf numFmtId="17" fontId="2" fillId="3" borderId="1" xfId="7" applyNumberFormat="1" applyFont="1" applyFill="1" applyBorder="1" applyAlignment="1">
      <alignment horizontal="center" vertical="center"/>
    </xf>
    <xf numFmtId="0" fontId="16" fillId="0" borderId="0" xfId="9" applyFont="1" applyFill="1"/>
    <xf numFmtId="0" fontId="16" fillId="0" borderId="1" xfId="9" applyFont="1" applyFill="1" applyBorder="1" applyAlignment="1">
      <alignment horizontal="center" vertical="center" wrapText="1"/>
    </xf>
    <xf numFmtId="171" fontId="16" fillId="0" borderId="0" xfId="7" applyNumberFormat="1" applyFont="1" applyAlignment="1">
      <alignment horizontal="center" vertical="center"/>
    </xf>
    <xf numFmtId="165" fontId="2" fillId="7" borderId="0" xfId="1" applyFont="1" applyFill="1" applyAlignment="1">
      <alignment horizontal="left" vertical="center"/>
    </xf>
    <xf numFmtId="17" fontId="2" fillId="3" borderId="1" xfId="1" applyNumberFormat="1" applyFont="1" applyFill="1" applyBorder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2" fillId="3" borderId="3" xfId="9" applyFont="1" applyFill="1" applyBorder="1" applyAlignment="1">
      <alignment horizontal="center" vertical="center" wrapText="1"/>
    </xf>
    <xf numFmtId="165" fontId="16" fillId="0" borderId="0" xfId="1" applyFont="1" applyAlignment="1">
      <alignment vertical="center"/>
    </xf>
    <xf numFmtId="170" fontId="1" fillId="0" borderId="0" xfId="10" applyNumberFormat="1" applyFont="1" applyFill="1" applyBorder="1" applyAlignment="1">
      <alignment vertical="center"/>
    </xf>
    <xf numFmtId="0" fontId="16" fillId="0" borderId="0" xfId="9" applyFont="1" applyAlignment="1">
      <alignment vertical="center"/>
    </xf>
    <xf numFmtId="43" fontId="0" fillId="0" borderId="0" xfId="0" applyNumberFormat="1" applyAlignment="1">
      <alignment horizontal="center" vertical="center"/>
    </xf>
    <xf numFmtId="43" fontId="16" fillId="0" borderId="0" xfId="7" applyFont="1" applyAlignment="1">
      <alignment vertical="center"/>
    </xf>
    <xf numFmtId="43" fontId="1" fillId="0" borderId="1" xfId="7" applyFont="1" applyFill="1" applyBorder="1" applyAlignment="1">
      <alignment horizontal="center" vertical="center"/>
    </xf>
    <xf numFmtId="43" fontId="16" fillId="0" borderId="1" xfId="7" applyFont="1" applyFill="1" applyBorder="1" applyAlignment="1">
      <alignment horizontal="center" vertical="center" wrapText="1"/>
    </xf>
    <xf numFmtId="9" fontId="1" fillId="0" borderId="0" xfId="3" applyNumberFormat="1" applyFont="1" applyAlignment="1">
      <alignment horizontal="right" vertical="center"/>
    </xf>
    <xf numFmtId="43" fontId="0" fillId="0" borderId="0" xfId="0" applyNumberFormat="1"/>
    <xf numFmtId="172" fontId="16" fillId="0" borderId="0" xfId="8" applyNumberFormat="1" applyFont="1"/>
    <xf numFmtId="43" fontId="16" fillId="0" borderId="0" xfId="7" applyFont="1" applyFill="1" applyAlignment="1">
      <alignment horizontal="center" vertical="center"/>
    </xf>
    <xf numFmtId="0" fontId="16" fillId="0" borderId="0" xfId="9" applyFont="1" applyAlignment="1">
      <alignment horizontal="left"/>
    </xf>
    <xf numFmtId="0" fontId="12" fillId="0" borderId="0" xfId="9" applyFont="1" applyAlignment="1">
      <alignment horizontal="left" vertical="center"/>
    </xf>
    <xf numFmtId="165" fontId="15" fillId="0" borderId="0" xfId="1" applyNumberFormat="1" applyFont="1" applyAlignment="1">
      <alignment horizontal="center" vertical="center"/>
    </xf>
    <xf numFmtId="165" fontId="5" fillId="0" borderId="0" xfId="1" applyNumberFormat="1"/>
    <xf numFmtId="165" fontId="17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165" fontId="16" fillId="0" borderId="0" xfId="8" applyNumberFormat="1" applyFont="1"/>
    <xf numFmtId="165" fontId="16" fillId="0" borderId="0" xfId="1" applyNumberFormat="1" applyFont="1"/>
    <xf numFmtId="165" fontId="16" fillId="0" borderId="0" xfId="1" applyNumberFormat="1" applyFont="1" applyAlignment="1">
      <alignment horizontal="center" vertical="center"/>
    </xf>
    <xf numFmtId="165" fontId="16" fillId="0" borderId="0" xfId="8" applyNumberFormat="1" applyFont="1" applyFill="1" applyAlignment="1">
      <alignment horizontal="center" vertical="center"/>
    </xf>
    <xf numFmtId="165" fontId="16" fillId="0" borderId="0" xfId="1" applyNumberFormat="1" applyFont="1" applyFill="1" applyAlignment="1">
      <alignment horizontal="center" vertical="center"/>
    </xf>
    <xf numFmtId="165" fontId="12" fillId="0" borderId="0" xfId="8" applyNumberFormat="1" applyFont="1" applyAlignment="1">
      <alignment horizontal="center" vertical="center"/>
    </xf>
    <xf numFmtId="10" fontId="16" fillId="13" borderId="0" xfId="8" applyNumberFormat="1" applyFont="1" applyFill="1" applyAlignment="1">
      <alignment horizontal="center" vertical="center"/>
    </xf>
    <xf numFmtId="165" fontId="2" fillId="7" borderId="0" xfId="1" applyFont="1" applyFill="1" applyAlignment="1">
      <alignment horizontal="left" vertical="center"/>
    </xf>
    <xf numFmtId="0" fontId="2" fillId="3" borderId="0" xfId="9" applyFont="1" applyFill="1" applyAlignment="1">
      <alignment horizontal="center"/>
    </xf>
    <xf numFmtId="165" fontId="23" fillId="3" borderId="5" xfId="1" applyFont="1" applyFill="1" applyBorder="1" applyAlignment="1">
      <alignment horizontal="center" vertical="center" wrapText="1"/>
    </xf>
    <xf numFmtId="165" fontId="23" fillId="3" borderId="6" xfId="1" applyFont="1" applyFill="1" applyBorder="1" applyAlignment="1">
      <alignment horizontal="center" vertical="center" wrapText="1"/>
    </xf>
    <xf numFmtId="165" fontId="31" fillId="0" borderId="0" xfId="14" applyNumberFormat="1"/>
    <xf numFmtId="43" fontId="15" fillId="0" borderId="0" xfId="7" applyFont="1" applyAlignment="1">
      <alignment horizontal="center" vertical="center"/>
    </xf>
    <xf numFmtId="43" fontId="17" fillId="0" borderId="0" xfId="7" applyFont="1" applyAlignment="1">
      <alignment horizontal="center" vertical="center"/>
    </xf>
    <xf numFmtId="43" fontId="17" fillId="2" borderId="0" xfId="7" applyFont="1" applyFill="1" applyAlignment="1">
      <alignment horizontal="center" vertical="center"/>
    </xf>
    <xf numFmtId="0" fontId="32" fillId="9" borderId="9" xfId="0" applyFont="1" applyFill="1" applyBorder="1" applyAlignment="1">
      <alignment vertical="center"/>
    </xf>
    <xf numFmtId="0" fontId="32" fillId="9" borderId="7" xfId="0" applyFont="1" applyFill="1" applyBorder="1" applyAlignment="1">
      <alignment vertical="center"/>
    </xf>
    <xf numFmtId="0" fontId="33" fillId="3" borderId="9" xfId="0" applyFont="1" applyFill="1" applyBorder="1" applyAlignment="1">
      <alignment vertical="center"/>
    </xf>
    <xf numFmtId="43" fontId="33" fillId="3" borderId="9" xfId="7" applyFont="1" applyFill="1" applyBorder="1" applyAlignment="1">
      <alignment vertical="center"/>
    </xf>
  </cellXfs>
  <cellStyles count="15">
    <cellStyle name="Comma" xfId="7" builtinId="3"/>
    <cellStyle name="Comma 11_BSPL-Vishwnath-Audit-March-12." xfId="11" xr:uid="{00000000-0005-0000-0000-000001000000}"/>
    <cellStyle name="Comma 2" xfId="12" xr:uid="{00000000-0005-0000-0000-000002000000}"/>
    <cellStyle name="Comma 2 2 12" xfId="5" xr:uid="{00000000-0005-0000-0000-000003000000}"/>
    <cellStyle name="Comma 79" xfId="10" xr:uid="{00000000-0005-0000-0000-000004000000}"/>
    <cellStyle name="Comma 80" xfId="13" xr:uid="{00000000-0005-0000-0000-000005000000}"/>
    <cellStyle name="Hyperlink" xfId="14" builtinId="8"/>
    <cellStyle name="Normal" xfId="0" builtinId="0"/>
    <cellStyle name="Normal 2" xfId="1" xr:uid="{00000000-0005-0000-0000-000007000000}"/>
    <cellStyle name="Normal 2 10" xfId="2" xr:uid="{00000000-0005-0000-0000-000008000000}"/>
    <cellStyle name="Normal 2 2" xfId="9" xr:uid="{00000000-0005-0000-0000-000009000000}"/>
    <cellStyle name="Normal 2 2 2 8" xfId="4" xr:uid="{00000000-0005-0000-0000-00000A000000}"/>
    <cellStyle name="Percent" xfId="8" builtinId="5"/>
    <cellStyle name="Percent 2 2 3" xfId="3" xr:uid="{00000000-0005-0000-0000-00000C000000}"/>
    <cellStyle name="Percent 60" xfId="6" xr:uid="{00000000-0005-0000-0000-00000D000000}"/>
  </cellStyles>
  <dxfs count="0"/>
  <tableStyles count="0" defaultTableStyle="TableStyleMedium2" defaultPivotStyle="PivotStyleLight16"/>
  <colors>
    <mruColors>
      <color rgb="FFE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EBITDA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Historicals!$B$29</c:f>
              <c:strCache>
                <c:ptCount val="1"/>
                <c:pt idx="0">
                  <c:v>EBITDA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Historicals!$C$6:$J$6</c:f>
              <c:strCache>
                <c:ptCount val="8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  <c:pt idx="7">
                  <c:v>Nov-24</c:v>
                </c:pt>
              </c:strCache>
            </c:strRef>
          </c:cat>
          <c:val>
            <c:numRef>
              <c:f>Historicals!$C$29:$J$29</c:f>
              <c:numCache>
                <c:formatCode>0.00%</c:formatCode>
                <c:ptCount val="8"/>
                <c:pt idx="0">
                  <c:v>4.1930405657261298E-2</c:v>
                </c:pt>
                <c:pt idx="1">
                  <c:v>2.9291206456000241E-2</c:v>
                </c:pt>
                <c:pt idx="2">
                  <c:v>3.9134273646803927E-2</c:v>
                </c:pt>
                <c:pt idx="3">
                  <c:v>3.6202678962335783E-2</c:v>
                </c:pt>
                <c:pt idx="4">
                  <c:v>6.9093347845299843E-2</c:v>
                </c:pt>
                <c:pt idx="5">
                  <c:v>0.33551700905653842</c:v>
                </c:pt>
                <c:pt idx="6">
                  <c:v>0.20488456409559319</c:v>
                </c:pt>
                <c:pt idx="7">
                  <c:v>0.84586419712729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1-46A0-9035-9B63CF5BC3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817424"/>
        <c:axId val="308992088"/>
      </c:barChart>
      <c:catAx>
        <c:axId val="341817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992088"/>
        <c:crosses val="autoZero"/>
        <c:auto val="1"/>
        <c:lblAlgn val="ctr"/>
        <c:lblOffset val="100"/>
        <c:noMultiLvlLbl val="0"/>
      </c:catAx>
      <c:valAx>
        <c:axId val="30899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8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EBIT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Historicals!$B$30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Historicals!$C$6:$J$6</c:f>
              <c:strCache>
                <c:ptCount val="8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  <c:pt idx="7">
                  <c:v>Nov-24</c:v>
                </c:pt>
              </c:strCache>
            </c:strRef>
          </c:cat>
          <c:val>
            <c:numRef>
              <c:f>Historicals!$C$30:$J$30</c:f>
              <c:numCache>
                <c:formatCode>0.00%</c:formatCode>
                <c:ptCount val="8"/>
                <c:pt idx="0">
                  <c:v>1.0794015106702319E-2</c:v>
                </c:pt>
                <c:pt idx="1">
                  <c:v>1.9351473903956907E-2</c:v>
                </c:pt>
                <c:pt idx="2">
                  <c:v>2.3653292480090366E-2</c:v>
                </c:pt>
                <c:pt idx="3">
                  <c:v>2.4182611266157127E-2</c:v>
                </c:pt>
                <c:pt idx="4">
                  <c:v>5.2164930582690568E-2</c:v>
                </c:pt>
                <c:pt idx="5">
                  <c:v>0.26955932295498702</c:v>
                </c:pt>
                <c:pt idx="6">
                  <c:v>0.17514573936945615</c:v>
                </c:pt>
                <c:pt idx="7">
                  <c:v>0.78537446527240862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5-4F6A-94A4-C23AAC63BC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4019056"/>
        <c:axId val="343804432"/>
      </c:barChart>
      <c:catAx>
        <c:axId val="36401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804432"/>
        <c:crosses val="autoZero"/>
        <c:auto val="1"/>
        <c:lblAlgn val="ctr"/>
        <c:lblOffset val="100"/>
        <c:noMultiLvlLbl val="0"/>
      </c:catAx>
      <c:valAx>
        <c:axId val="34380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0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Net</a:t>
            </a:r>
            <a:r>
              <a:rPr lang="en-US" b="1" baseline="0">
                <a:solidFill>
                  <a:schemeClr val="bg1"/>
                </a:solidFill>
              </a:rPr>
              <a:t> Profit</a:t>
            </a:r>
            <a:r>
              <a:rPr lang="en-US" b="1">
                <a:solidFill>
                  <a:schemeClr val="bg1"/>
                </a:solidFill>
              </a:rPr>
              <a:t>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Historicals!$B$31</c:f>
              <c:strCache>
                <c:ptCount val="1"/>
                <c:pt idx="0">
                  <c:v>Net Profit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Historicals!$C$6:$J$6</c:f>
              <c:strCache>
                <c:ptCount val="8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  <c:pt idx="7">
                  <c:v>Nov-24</c:v>
                </c:pt>
              </c:strCache>
            </c:strRef>
          </c:cat>
          <c:val>
            <c:numRef>
              <c:f>Historicals!$C$31:$J$31</c:f>
              <c:numCache>
                <c:formatCode>0.00%</c:formatCode>
                <c:ptCount val="8"/>
                <c:pt idx="0">
                  <c:v>8.0480255889281323E-3</c:v>
                </c:pt>
                <c:pt idx="1">
                  <c:v>1.7230888902799943E-3</c:v>
                </c:pt>
                <c:pt idx="2">
                  <c:v>2.0169761880733769E-3</c:v>
                </c:pt>
                <c:pt idx="3">
                  <c:v>1.1493174371409271E-3</c:v>
                </c:pt>
                <c:pt idx="4">
                  <c:v>4.7173363531864713E-3</c:v>
                </c:pt>
                <c:pt idx="5">
                  <c:v>7.6495713802447038E-3</c:v>
                </c:pt>
                <c:pt idx="6">
                  <c:v>5.4706010100562877E-3</c:v>
                </c:pt>
                <c:pt idx="7">
                  <c:v>0.28002190185876019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7-42D7-852D-20E945E6D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7489152"/>
        <c:axId val="343662024"/>
      </c:barChart>
      <c:catAx>
        <c:axId val="30748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layout>
            <c:manualLayout>
              <c:xMode val="edge"/>
              <c:yMode val="edge"/>
              <c:x val="0.48094335083114609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662024"/>
        <c:crosses val="autoZero"/>
        <c:auto val="1"/>
        <c:lblAlgn val="ctr"/>
        <c:lblOffset val="100"/>
        <c:noMultiLvlLbl val="0"/>
      </c:catAx>
      <c:valAx>
        <c:axId val="34366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4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Key Financial Metrics</a:t>
            </a:r>
          </a:p>
        </c:rich>
      </c:tx>
      <c:layout>
        <c:manualLayout>
          <c:xMode val="edge"/>
          <c:yMode val="edge"/>
          <c:x val="0.33368304571684637"/>
          <c:y val="3.4890958885184807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7666968458212"/>
          <c:y val="0.17709653845580231"/>
          <c:w val="0.84088708043766081"/>
          <c:h val="0.52347231369052138"/>
        </c:manualLayout>
      </c:layout>
      <c:lineChart>
        <c:grouping val="standard"/>
        <c:varyColors val="0"/>
        <c:ser>
          <c:idx val="0"/>
          <c:order val="0"/>
          <c:tx>
            <c:strRef>
              <c:f>Historicals!$B$29</c:f>
              <c:strCache>
                <c:ptCount val="1"/>
                <c:pt idx="0">
                  <c:v>EBITDA Margin</c:v>
                </c:pt>
              </c:strCache>
            </c:strRef>
          </c:tx>
          <c:spPr>
            <a:ln w="349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Historicals!$C$29:$I$29</c:f>
              <c:numCache>
                <c:formatCode>0.00%</c:formatCode>
                <c:ptCount val="7"/>
                <c:pt idx="0">
                  <c:v>4.1930405657261298E-2</c:v>
                </c:pt>
                <c:pt idx="1">
                  <c:v>2.9291206456000241E-2</c:v>
                </c:pt>
                <c:pt idx="2">
                  <c:v>3.9134273646803927E-2</c:v>
                </c:pt>
                <c:pt idx="3">
                  <c:v>3.6202678962335783E-2</c:v>
                </c:pt>
                <c:pt idx="4">
                  <c:v>6.9093347845299843E-2</c:v>
                </c:pt>
                <c:pt idx="5">
                  <c:v>0.33551700905653842</c:v>
                </c:pt>
                <c:pt idx="6">
                  <c:v>0.20488456409559319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3C-4A40-B63D-5CA51A1ECCD8}"/>
            </c:ext>
          </c:extLst>
        </c:ser>
        <c:ser>
          <c:idx val="1"/>
          <c:order val="1"/>
          <c:tx>
            <c:strRef>
              <c:f>Historicals!$B$30</c:f>
              <c:strCache>
                <c:ptCount val="1"/>
                <c:pt idx="0">
                  <c:v>EBIT Margin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Historicals!$C$30:$I$30</c:f>
              <c:numCache>
                <c:formatCode>0.00%</c:formatCode>
                <c:ptCount val="7"/>
                <c:pt idx="0">
                  <c:v>1.0794015106702319E-2</c:v>
                </c:pt>
                <c:pt idx="1">
                  <c:v>1.9351473903956907E-2</c:v>
                </c:pt>
                <c:pt idx="2">
                  <c:v>2.3653292480090366E-2</c:v>
                </c:pt>
                <c:pt idx="3">
                  <c:v>2.4182611266157127E-2</c:v>
                </c:pt>
                <c:pt idx="4">
                  <c:v>5.2164930582690568E-2</c:v>
                </c:pt>
                <c:pt idx="5">
                  <c:v>0.26955932295498702</c:v>
                </c:pt>
                <c:pt idx="6">
                  <c:v>0.17514573936945615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3C-4A40-B63D-5CA51A1ECCD8}"/>
            </c:ext>
          </c:extLst>
        </c:ser>
        <c:ser>
          <c:idx val="2"/>
          <c:order val="2"/>
          <c:tx>
            <c:strRef>
              <c:f>Historicals!$B$31</c:f>
              <c:strCache>
                <c:ptCount val="1"/>
                <c:pt idx="0">
                  <c:v>Net Profit Margin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Historicals!$C$6:$I$6</c:f>
              <c:strCache>
                <c:ptCount val="7"/>
                <c:pt idx="0">
                  <c:v>FY 2018</c:v>
                </c:pt>
                <c:pt idx="1">
                  <c:v>FY 2019</c:v>
                </c:pt>
                <c:pt idx="2">
                  <c:v>FY 2020</c:v>
                </c:pt>
                <c:pt idx="3">
                  <c:v>FY 2021</c:v>
                </c:pt>
                <c:pt idx="4">
                  <c:v>FY 2022</c:v>
                </c:pt>
                <c:pt idx="5">
                  <c:v>FY 2023</c:v>
                </c:pt>
                <c:pt idx="6">
                  <c:v>FY 2024</c:v>
                </c:pt>
              </c:strCache>
            </c:strRef>
          </c:cat>
          <c:val>
            <c:numRef>
              <c:f>Historicals!$C$31:$I$31</c:f>
              <c:numCache>
                <c:formatCode>0.00%</c:formatCode>
                <c:ptCount val="7"/>
                <c:pt idx="0">
                  <c:v>8.0480255889281323E-3</c:v>
                </c:pt>
                <c:pt idx="1">
                  <c:v>1.7230888902799943E-3</c:v>
                </c:pt>
                <c:pt idx="2">
                  <c:v>2.0169761880733769E-3</c:v>
                </c:pt>
                <c:pt idx="3">
                  <c:v>1.1493174371409271E-3</c:v>
                </c:pt>
                <c:pt idx="4">
                  <c:v>4.7173363531864713E-3</c:v>
                </c:pt>
                <c:pt idx="5">
                  <c:v>7.6495713802447038E-3</c:v>
                </c:pt>
                <c:pt idx="6">
                  <c:v>5.4706010100562877E-3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3C-4A40-B63D-5CA51A1E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62392"/>
        <c:axId val="364189008"/>
      </c:lineChart>
      <c:catAx>
        <c:axId val="13476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189008"/>
        <c:crosses val="autoZero"/>
        <c:auto val="1"/>
        <c:lblAlgn val="ctr"/>
        <c:lblOffset val="100"/>
        <c:noMultiLvlLbl val="0"/>
      </c:catAx>
      <c:valAx>
        <c:axId val="36418900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623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9403378614796507"/>
          <c:y val="0.84610536049150331"/>
          <c:w val="0.65495733764986686"/>
          <c:h val="8.411272173812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Net Profit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P&amp;L'!$B$36</c:f>
              <c:strCache>
                <c:ptCount val="1"/>
                <c:pt idx="0">
                  <c:v>Net Profit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P&amp;L'!$G$4:$N$4</c:f>
              <c:strCache>
                <c:ptCount val="8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</c:strCache>
            </c:strRef>
          </c:cat>
          <c:val>
            <c:numRef>
              <c:f>'Projected P&amp;L'!$G$36:$N$36</c:f>
              <c:numCache>
                <c:formatCode>0.00%</c:formatCode>
                <c:ptCount val="8"/>
                <c:pt idx="0">
                  <c:v>0.27144656457574423</c:v>
                </c:pt>
                <c:pt idx="1">
                  <c:v>0.39711812611070668</c:v>
                </c:pt>
                <c:pt idx="2">
                  <c:v>0.42107438755358795</c:v>
                </c:pt>
                <c:pt idx="3">
                  <c:v>0.44598503824079111</c:v>
                </c:pt>
                <c:pt idx="4">
                  <c:v>0.47212501989880601</c:v>
                </c:pt>
                <c:pt idx="5">
                  <c:v>0.49976169575724816</c:v>
                </c:pt>
                <c:pt idx="6">
                  <c:v>0.52915895855416972</c:v>
                </c:pt>
                <c:pt idx="7">
                  <c:v>0.56058102876852856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4-4D0C-B24F-D50A2AD2B5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3168"/>
        <c:axId val="343397088"/>
      </c:barChart>
      <c:catAx>
        <c:axId val="34339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7088"/>
        <c:crosses val="autoZero"/>
        <c:auto val="1"/>
        <c:lblAlgn val="ctr"/>
        <c:lblOffset val="100"/>
        <c:noMultiLvlLbl val="0"/>
      </c:catAx>
      <c:valAx>
        <c:axId val="3433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EBIT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P&amp;L'!$B$35</c:f>
              <c:strCache>
                <c:ptCount val="1"/>
                <c:pt idx="0">
                  <c:v>EBIT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P&amp;L'!$G$4:$N$4</c:f>
              <c:strCache>
                <c:ptCount val="8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</c:strCache>
            </c:strRef>
          </c:cat>
          <c:val>
            <c:numRef>
              <c:f>'Projected P&amp;L'!$G$35:$N$35</c:f>
              <c:numCache>
                <c:formatCode>0.00%</c:formatCode>
                <c:ptCount val="8"/>
                <c:pt idx="0">
                  <c:v>0.67545458143085635</c:v>
                </c:pt>
                <c:pt idx="1">
                  <c:v>0.7962512389185511</c:v>
                </c:pt>
                <c:pt idx="2">
                  <c:v>0.79906549475412625</c:v>
                </c:pt>
                <c:pt idx="3">
                  <c:v>0.80069147659212681</c:v>
                </c:pt>
                <c:pt idx="4">
                  <c:v>0.80130068018751233</c:v>
                </c:pt>
                <c:pt idx="5">
                  <c:v>0.80103753034407843</c:v>
                </c:pt>
                <c:pt idx="6">
                  <c:v>0.80002434028536207</c:v>
                </c:pt>
                <c:pt idx="7">
                  <c:v>0.7983651788370576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8-409E-8D98-1B148FF93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5520"/>
        <c:axId val="343395912"/>
      </c:barChart>
      <c:catAx>
        <c:axId val="34339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5912"/>
        <c:crosses val="autoZero"/>
        <c:auto val="1"/>
        <c:lblAlgn val="ctr"/>
        <c:lblOffset val="100"/>
        <c:noMultiLvlLbl val="0"/>
      </c:catAx>
      <c:valAx>
        <c:axId val="34339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bg1"/>
                </a:solidFill>
              </a:rPr>
              <a:t>EBITDA Margin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P&amp;L'!$B$34</c:f>
              <c:strCache>
                <c:ptCount val="1"/>
                <c:pt idx="0">
                  <c:v>EBITDA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'Projected P&amp;L'!$G$4:$N$4</c:f>
              <c:strCache>
                <c:ptCount val="8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</c:strCache>
            </c:strRef>
          </c:cat>
          <c:val>
            <c:numRef>
              <c:f>'Projected P&amp;L'!$G$34:$N$34</c:f>
              <c:numCache>
                <c:formatCode>0.00%</c:formatCode>
                <c:ptCount val="8"/>
                <c:pt idx="0">
                  <c:v>0.72677965495419328</c:v>
                </c:pt>
                <c:pt idx="1">
                  <c:v>0.84619331846733659</c:v>
                </c:pt>
                <c:pt idx="2">
                  <c:v>0.841644173622487</c:v>
                </c:pt>
                <c:pt idx="3">
                  <c:v>0.83700840395158627</c:v>
                </c:pt>
                <c:pt idx="4">
                  <c:v>0.83228841975718115</c:v>
                </c:pt>
                <c:pt idx="5">
                  <c:v>0.82748693588716504</c:v>
                </c:pt>
                <c:pt idx="6">
                  <c:v>0.82260697383398251</c:v>
                </c:pt>
                <c:pt idx="7">
                  <c:v>0.81765186188032568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F-4E09-83AC-958A53478A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3399048"/>
        <c:axId val="364848016"/>
      </c:barChart>
      <c:catAx>
        <c:axId val="343399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Financial</a:t>
                </a:r>
                <a:r>
                  <a:rPr lang="en-IN" baseline="0"/>
                  <a:t> Year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848016"/>
        <c:crosses val="autoZero"/>
        <c:auto val="1"/>
        <c:lblAlgn val="ctr"/>
        <c:lblOffset val="100"/>
        <c:noMultiLvlLbl val="0"/>
      </c:catAx>
      <c:valAx>
        <c:axId val="364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99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38</xdr:row>
      <xdr:rowOff>185736</xdr:rowOff>
    </xdr:from>
    <xdr:to>
      <xdr:col>6</xdr:col>
      <xdr:colOff>19050</xdr:colOff>
      <xdr:row>54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A37496-1748-4967-A972-7D90D4AC2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38</xdr:row>
      <xdr:rowOff>180975</xdr:rowOff>
    </xdr:from>
    <xdr:to>
      <xdr:col>12</xdr:col>
      <xdr:colOff>476250</xdr:colOff>
      <xdr:row>54</xdr:row>
      <xdr:rowOff>128588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1B2D94-5340-4DB9-B4F3-39B15556F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56</xdr:row>
      <xdr:rowOff>95250</xdr:rowOff>
    </xdr:from>
    <xdr:to>
      <xdr:col>6</xdr:col>
      <xdr:colOff>28575</xdr:colOff>
      <xdr:row>72</xdr:row>
      <xdr:rowOff>42863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186316B-F28A-4282-B2C0-6E7BDC4E1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590550</xdr:colOff>
      <xdr:row>56</xdr:row>
      <xdr:rowOff>90487</xdr:rowOff>
    </xdr:from>
    <xdr:to>
      <xdr:col>14</xdr:col>
      <xdr:colOff>0</xdr:colOff>
      <xdr:row>69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D3C9F2-920B-4B96-9C7A-6CA994547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36</xdr:row>
      <xdr:rowOff>157162</xdr:rowOff>
    </xdr:from>
    <xdr:to>
      <xdr:col>12</xdr:col>
      <xdr:colOff>0</xdr:colOff>
      <xdr:row>53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B1DFE-3A50-41E3-BBD1-5595EB7A3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609599</xdr:colOff>
      <xdr:row>36</xdr:row>
      <xdr:rowOff>152400</xdr:rowOff>
    </xdr:from>
    <xdr:to>
      <xdr:col>18</xdr:col>
      <xdr:colOff>9524</xdr:colOff>
      <xdr:row>53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12A6E4-8456-4C60-80D7-B13A0E771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752475</xdr:colOff>
      <xdr:row>56</xdr:row>
      <xdr:rowOff>123825</xdr:rowOff>
    </xdr:from>
    <xdr:to>
      <xdr:col>15</xdr:col>
      <xdr:colOff>247650</xdr:colOff>
      <xdr:row>74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7E8731-E74C-444F-93EC-63B15F14D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ush\c\04-05variance\HUB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,M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I_BHIWADI\USER\vipul\VJ\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bgt\STORES\2002-03\monthly\STRCONB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Rajesh/d/oldbackup/nilesh/cy0001/m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DOCUME~1/RCH/LOCALS~1/Temp/notes6030C8/Aryzta-Graham%20Owens(%2020090801-20100731%2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Users/Deepanshu.aggarwal/AppData/Local/Microsoft/Windows/Temporary%20Internet%20Files/Content.Outlook/2N88U0F9/Tax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2\TAX%20AUDIT%20PB\Documents%20and%20Settings\user123\Desktop\Balance%20Sheet%20RDP%2006-07%20(Pantnagar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Devanand\My%20Documents\Programing\AS2\Pack%20Development\CTT\Done\Worksheet%20in%204315.1%20Revenue%20-%20Controls%20Test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E32626\march2002-tax%20account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utory%20Audit200910\PBPL\BAHADURGARH\Balance%20Sheet\Balance%20Sheet\Copy%20of%20Pen%20Drive%2028-08-08\HIren\280808\FINAL%20PBPL\Notes%20PBP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tutory%20Audit200910\PBPL\BAHADURGARH\Balance%20Sheet\Balance%20Sheet\Auditor\Balance%20Sheet%20PBPL\Bahadurgarh\bahadurgarh%20Notes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ARL98\Concilfi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l2fdc01\Comshare\AAQIL\Accounts\2001-2002\J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anjalcorporateservices.sharepoint.com/MASONDE/Reports/ACCID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tgbfdc\fdc\AAQIL\Accounts\2001-2002\Ju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prdndfs01\ds_dfs\Consumer%20and%20Retail%20NY\Gryphon\Project%20BEAN\Confidential%20Information%20Memorandum\CIM%20Backup\CIM%20Excel%20Backup\CIM%20Backup%20v3_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mp1\My%20Documents\documents\fbt\FBT-dep-ve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dc\docs\Documents%20and%20Settings\Neetu\Local%20Settings\Temporary%20Internet%20Files\Content.IE5\HEKW8A28\Copy%20of%20Copy%20of%20Depreciation%20(Shiv)%20(1-4-09%20to%2031-3-10)(Stage%20-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'04"/>
      <sheetName val="MAY'04"/>
      <sheetName val="JUN'04"/>
      <sheetName val="JUL'04"/>
      <sheetName val="AUG'04"/>
      <sheetName val="SEPT'04"/>
      <sheetName val="OCT'04"/>
      <sheetName val="NOV'04"/>
      <sheetName val="DEC'04"/>
      <sheetName val="JAN'05"/>
      <sheetName val="FEB'05"/>
      <sheetName val="MAR'05"/>
      <sheetName val="VAR DEVRA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Sheet1"/>
      <sheetName val="Sheet2"/>
      <sheetName val="Sheet3"/>
      <sheetName val="L,MM"/>
      <sheetName val="Index"/>
      <sheetName val="gurubhai"/>
      <sheetName val="BS Led"/>
      <sheetName val="NWC"/>
      <sheetName val="NWC Led"/>
      <sheetName val="Profit &amp; Loss April-March"/>
      <sheetName val="P&amp;L Led Comparision April-March"/>
      <sheetName val="Goal Sheet Data"/>
      <sheetName val="ABP"/>
      <sheetName val="P&amp;L Led OPE vs  FIN  Q-1"/>
      <sheetName val="P&amp;L Led OPE vs  FIN YTD SEP-16 "/>
      <sheetName val="Q-3 Analysis sheet "/>
      <sheetName val="Oct&amp;Nov Analysis sheet"/>
      <sheetName val="TB (Q4th) (March-17)"/>
      <sheetName val="TB (Q4th) (Feb-17)"/>
      <sheetName val="TB (Q4th)"/>
      <sheetName val="TB (Q3rd)"/>
      <sheetName val="TB"/>
      <sheetName val="TB BS"/>
      <sheetName val="Logic"/>
      <sheetName val="Adjustments"/>
      <sheetName val="Profit &amp; Loss"/>
      <sheetName val="ABP 17-18"/>
      <sheetName val="P&amp;L Led Comparision"/>
      <sheetName val="Production &amp; Sales"/>
      <sheetName val="Sales Realization PMT &amp; Qty"/>
      <sheetName val="Variance (2)"/>
      <sheetName val="Variance"/>
      <sheetName val="Customer Wise Sales &amp; Rejection"/>
      <sheetName val="Scrap -Partywise"/>
      <sheetName val="Scrap-Product"/>
      <sheetName val="Rejection"/>
      <sheetName val="Mat.Procu Productwise cost"/>
      <sheetName val="Scrap Gen"/>
      <sheetName val="Interplant Sale Pur"/>
      <sheetName val="Direct Mfg.Exp."/>
      <sheetName val="Mat.Procurement Partywise"/>
      <sheetName val="Labour Cost "/>
      <sheetName val="Capacity %"/>
      <sheetName val="Adjustment"/>
      <sheetName val="Adjustment (2)"/>
      <sheetName val="Power &amp; Fuel"/>
      <sheetName val="Int. on Stat. Dues"/>
      <sheetName val="Tax Reconciliation"/>
      <sheetName val="Inventory Holding"/>
      <sheetName val="IOU-Ageing"/>
      <sheetName val="Debtors Outstanding"/>
      <sheetName val="Creditors Ageing "/>
      <sheetName val="Creditors -Advances DR bAL"/>
      <sheetName val="Common Exp."/>
      <sheetName val="Finance cost sheet (2)"/>
      <sheetName val="Finance cost sheet"/>
      <sheetName val="Dept.ABP Vs Act Exp"/>
      <sheetName val="Common Expenses"/>
    </sheetNames>
    <sheetDataSet>
      <sheetData sheetId="0" refreshError="1">
        <row r="3">
          <cell r="E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0"/>
      <sheetName val="Sheet1"/>
      <sheetName val="Sheet2"/>
      <sheetName val="Sheet3"/>
      <sheetName val="#REF"/>
      <sheetName val="ENGG_VAL"/>
      <sheetName val="ADD_WAVG"/>
      <sheetName val="VAL31MAR-ALL"/>
      <sheetName val="MPS_PACKING"/>
      <sheetName val="Book1"/>
      <sheetName val="LOCAL FAR TIL JUL10 (2)"/>
      <sheetName val=""/>
      <sheetName val="BS Groupings"/>
      <sheetName val="PL Groupings"/>
      <sheetName val="DF"/>
      <sheetName val="Setup"/>
      <sheetName val="Finance IT &amp; Pro (2)"/>
      <sheetName val="BS (2)"/>
      <sheetName val="P&amp;L (2)"/>
      <sheetName val="FTT_TW_Q2"/>
      <sheetName val="FTT_TW_Q2(Spin)"/>
      <sheetName val="Sales"/>
      <sheetName val="CN Detail"/>
      <sheetName val="Planning Materiality Mar 06"/>
      <sheetName val="k"/>
      <sheetName val="l"/>
      <sheetName val="o"/>
      <sheetName val="MODEL"/>
      <sheetName val="Sheet4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TOTAL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_REF"/>
      <sheetName val="Annexuture"/>
      <sheetName val="SPS DETAIL"/>
      <sheetName val="factor"/>
      <sheetName val="list - do not delete"/>
      <sheetName val="____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1">
          <cell r="A1" t="str">
            <v>OXFORD UNIVERSITY PRESS INDIAN BRANCH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1">
          <cell r="A1" t="str">
            <v>OXFORD UNIVERSITY PRESS INDIAN BRANCH</v>
          </cell>
        </row>
      </sheetData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CON"/>
      <sheetName val="BatACT"/>
      <sheetName val="BUDGET"/>
      <sheetName val="Module1"/>
      <sheetName val="Internet"/>
      <sheetName val="POWER-DEPT"/>
      <sheetName val="LANGUAGE"/>
      <sheetName val="STRCONBA"/>
      <sheetName val="E"/>
      <sheetName val="PointNo.5"/>
      <sheetName val="Exp"/>
      <sheetName val="RES"/>
      <sheetName val="PW-BGT"/>
      <sheetName val="Sheet2"/>
      <sheetName val="PBCLIST"/>
      <sheetName val="x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r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_01"/>
      <sheetName val="S_02"/>
      <sheetName val="S_03"/>
      <sheetName val="S_04"/>
      <sheetName val="S_05"/>
      <sheetName val="H_01"/>
      <sheetName val="S_06"/>
      <sheetName val="S_07"/>
      <sheetName val="S_08"/>
      <sheetName val="S_09"/>
      <sheetName val="S_10"/>
      <sheetName val="S_11"/>
      <sheetName val="S_12"/>
      <sheetName val="S_13"/>
      <sheetName val="S_14"/>
      <sheetName val="S_15"/>
      <sheetName val="S_16"/>
      <sheetName val="S_17"/>
      <sheetName val="S_18"/>
      <sheetName val="S_19"/>
      <sheetName val="S_20"/>
      <sheetName val="S_21"/>
      <sheetName val="S_22"/>
      <sheetName val="S_23"/>
      <sheetName val="S_24"/>
      <sheetName val="S_25"/>
      <sheetName val="S_26"/>
      <sheetName val="ErrorLog"/>
      <sheetName val="S_08 (2)"/>
      <sheetName val="T_AA_001"/>
      <sheetName val="T_AA_002"/>
      <sheetName val="T_AA_003"/>
      <sheetName val="T_AA_004"/>
      <sheetName val="CustomiseHelp"/>
      <sheetName val="ÐLists"/>
      <sheetName val="Audit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">
          <cell r="E2" t="str">
            <v>Aryzta</v>
          </cell>
          <cell r="AK2" t="str">
            <v>Yes</v>
          </cell>
        </row>
        <row r="3">
          <cell r="AK3" t="str">
            <v>No</v>
          </cell>
        </row>
      </sheetData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"/>
      <sheetName val="#REF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1. BS - Sch (WITH CIS EFFEC)"/>
      <sheetName val="cash flow (with working)"/>
      <sheetName val="BalanceSheet Final"/>
      <sheetName val="BALLACS"/>
      <sheetName val="Schedule Final"/>
      <sheetName val="last year"/>
      <sheetName val="Invst-OLd"/>
      <sheetName val="Abstract(New)"/>
      <sheetName val="GROUPING (CONSOL)"/>
      <sheetName val="TRIALCOMBIND (excl Sug)"/>
      <sheetName val="TB Detail"/>
      <sheetName val="TBKESARGANJ"/>
      <sheetName val="Provision of IT"/>
      <sheetName val="AUDITFEES"/>
      <sheetName val="FEESDETAILS"/>
      <sheetName val="Ratios"/>
      <sheetName val="GROUPIN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TS"/>
      <sheetName val="Tailoring"/>
      <sheetName val="OE Testing"/>
      <sheetName val="Testing"/>
      <sheetName val="Con Obj"/>
      <sheetName val="Con Act"/>
      <sheetName val="Tickmarks"/>
      <sheetName val="data"/>
      <sheetName val="Worksheet in 4315"/>
      <sheetName val="Fixed asset register"/>
      <sheetName val="XREF"/>
      <sheetName val="Office Furniture- client"/>
      <sheetName val="Office Equipment-client"/>
    </sheetNames>
    <sheetDataSet>
      <sheetData sheetId="0"/>
      <sheetData sheetId="1"/>
      <sheetData sheetId="2">
        <row r="1">
          <cell r="A1" t="str">
            <v>Revenue Business Cycle: Test of Controls</v>
          </cell>
        </row>
      </sheetData>
      <sheetData sheetId="3"/>
      <sheetData sheetId="4">
        <row r="1">
          <cell r="A1" t="str">
            <v>Revenue Business Cycle: Test of Controls</v>
          </cell>
        </row>
      </sheetData>
      <sheetData sheetId="5"/>
      <sheetData sheetId="6">
        <row r="1">
          <cell r="A1" t="str">
            <v>Revenue Business Cycle: Test of Controls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bs"/>
      <sheetName val="sch 5"/>
      <sheetName val=" BS-sch 1-4"/>
      <sheetName val="BS-sch 6 &amp; 7"/>
      <sheetName val="BS-sch 8 &amp; 9"/>
      <sheetName val="PL-sch 10, 11 &amp; 12"/>
      <sheetName val="PL-sch 13, 14 &amp; 15"/>
      <sheetName val="GP Margin"/>
      <sheetName val="TRIAL BALANCE"/>
      <sheetName val="Clause 12 (b)"/>
      <sheetName val="pl-excl"/>
      <sheetName val="pl-incl"/>
      <sheetName val="download"/>
      <sheetName val="Validation"/>
      <sheetName val="Sheet1"/>
      <sheetName val="working"/>
      <sheetName val="#REF"/>
      <sheetName val="TB WORLI"/>
      <sheetName val="TB APJ"/>
      <sheetName val="Mappings"/>
      <sheetName val="Mapping"/>
      <sheetName val=""/>
      <sheetName val="Measureme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1-11 (in Lacs)"/>
      <sheetName val="Notes 14(i)-(iv) (in Lacs)"/>
      <sheetName val="Notes 14(v)-(xi) (in Lac)"/>
      <sheetName val="Notes 1-11"/>
      <sheetName val="Notes 14(i)-(iv)"/>
      <sheetName val="Notes 14(v)-(xi)"/>
      <sheetName val="Sheet1"/>
      <sheetName val="Note 15"/>
      <sheetName val="DIRECTOR-REM"/>
      <sheetName val="WORKING "/>
      <sheetName val="CIF-08"/>
      <sheetName val="AUDIT PROVISION"/>
      <sheetName val="AUDITOR-NSB-SAB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1-11"/>
      <sheetName val="Notes 14(i)-(iv)"/>
      <sheetName val="Notes 14(v)-(xi)"/>
      <sheetName val="RP-FINA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"/>
      <sheetName val="actperd"/>
      <sheetName val="promcreditos"/>
      <sheetName val="promdedudas"/>
      <sheetName val="Capit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ed ac"/>
      <sheetName val="Graph (2)"/>
      <sheetName val="Graph"/>
      <sheetName val="Reasons"/>
      <sheetName val="exchequers"/>
      <sheetName val="tran"/>
      <sheetName val="working"/>
      <sheetName val="CGI"/>
      <sheetName val="PLBS"/>
      <sheetName val="BSC"/>
      <sheetName val="Variation with Budget"/>
      <sheetName val="PLC"/>
      <sheetName val="CFC"/>
      <sheetName val="3"/>
      <sheetName val="2"/>
      <sheetName val="1"/>
      <sheetName val="00-01"/>
      <sheetName val="Projected"/>
      <sheetName val="1stHalf00-01"/>
      <sheetName val="MD"/>
      <sheetName val="Audited"/>
      <sheetName val="Fo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s"/>
      <sheetName val="ACC costs"/>
      <sheetName val="Sheet1"/>
      <sheetName val="IO Activities"/>
    </sheetNames>
    <sheetDataSet>
      <sheetData sheetId="0" refreshError="1">
        <row r="4">
          <cell r="A4" t="str">
            <v>AUG</v>
          </cell>
          <cell r="C4">
            <v>0</v>
          </cell>
          <cell r="D4">
            <v>3</v>
          </cell>
          <cell r="E4">
            <v>0</v>
          </cell>
          <cell r="F4">
            <v>5</v>
          </cell>
          <cell r="G4">
            <v>12</v>
          </cell>
          <cell r="H4">
            <v>3</v>
          </cell>
        </row>
        <row r="5">
          <cell r="A5" t="str">
            <v>SEP</v>
          </cell>
          <cell r="C5">
            <v>1</v>
          </cell>
          <cell r="D5">
            <v>0</v>
          </cell>
          <cell r="E5">
            <v>0</v>
          </cell>
          <cell r="F5">
            <v>2</v>
          </cell>
          <cell r="G5">
            <v>16</v>
          </cell>
          <cell r="H5">
            <v>0</v>
          </cell>
        </row>
        <row r="6">
          <cell r="A6" t="str">
            <v>OCT</v>
          </cell>
          <cell r="C6">
            <v>0</v>
          </cell>
          <cell r="D6">
            <v>0</v>
          </cell>
          <cell r="E6">
            <v>0</v>
          </cell>
          <cell r="F6">
            <v>1</v>
          </cell>
          <cell r="G6">
            <v>6</v>
          </cell>
          <cell r="H6">
            <v>0</v>
          </cell>
        </row>
        <row r="7">
          <cell r="A7" t="str">
            <v>NOV</v>
          </cell>
          <cell r="C7">
            <v>1</v>
          </cell>
          <cell r="D7">
            <v>2</v>
          </cell>
          <cell r="E7">
            <v>0</v>
          </cell>
          <cell r="F7">
            <v>5</v>
          </cell>
          <cell r="G7">
            <v>9</v>
          </cell>
          <cell r="H7">
            <v>0</v>
          </cell>
        </row>
        <row r="8">
          <cell r="A8" t="str">
            <v>DEC</v>
          </cell>
          <cell r="C8">
            <v>0</v>
          </cell>
          <cell r="D8">
            <v>4</v>
          </cell>
          <cell r="E8">
            <v>0</v>
          </cell>
          <cell r="F8">
            <v>2</v>
          </cell>
          <cell r="G8">
            <v>8</v>
          </cell>
          <cell r="H8">
            <v>0</v>
          </cell>
        </row>
        <row r="9">
          <cell r="A9" t="str">
            <v>Jan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9</v>
          </cell>
          <cell r="H9">
            <v>1</v>
          </cell>
        </row>
        <row r="10">
          <cell r="A10" t="str">
            <v>Feb</v>
          </cell>
          <cell r="C10">
            <v>3</v>
          </cell>
          <cell r="D10">
            <v>0</v>
          </cell>
          <cell r="E10">
            <v>0</v>
          </cell>
          <cell r="F10">
            <v>1</v>
          </cell>
          <cell r="G10">
            <v>14</v>
          </cell>
          <cell r="H10">
            <v>3</v>
          </cell>
        </row>
        <row r="11">
          <cell r="A11" t="str">
            <v>Mar</v>
          </cell>
          <cell r="C11">
            <v>0</v>
          </cell>
          <cell r="D11">
            <v>3</v>
          </cell>
          <cell r="E11">
            <v>2</v>
          </cell>
          <cell r="F11">
            <v>4</v>
          </cell>
          <cell r="G11">
            <v>17</v>
          </cell>
          <cell r="H11">
            <v>1</v>
          </cell>
        </row>
        <row r="12">
          <cell r="A12" t="str">
            <v>Apr</v>
          </cell>
          <cell r="C12">
            <v>0</v>
          </cell>
          <cell r="D12">
            <v>2</v>
          </cell>
          <cell r="E12">
            <v>1</v>
          </cell>
          <cell r="F12">
            <v>3</v>
          </cell>
          <cell r="G12">
            <v>16</v>
          </cell>
          <cell r="H12">
            <v>0</v>
          </cell>
        </row>
        <row r="13">
          <cell r="A13" t="str">
            <v>May</v>
          </cell>
          <cell r="C13">
            <v>1</v>
          </cell>
          <cell r="D13">
            <v>4</v>
          </cell>
          <cell r="E13">
            <v>0</v>
          </cell>
          <cell r="F13">
            <v>2</v>
          </cell>
          <cell r="G13">
            <v>12</v>
          </cell>
          <cell r="H13">
            <v>5</v>
          </cell>
        </row>
        <row r="14">
          <cell r="A14" t="str">
            <v>June</v>
          </cell>
          <cell r="C14">
            <v>2</v>
          </cell>
          <cell r="D14">
            <v>1</v>
          </cell>
          <cell r="E14">
            <v>0</v>
          </cell>
          <cell r="F14">
            <v>0</v>
          </cell>
          <cell r="G14">
            <v>11</v>
          </cell>
          <cell r="H14">
            <v>2</v>
          </cell>
        </row>
        <row r="15">
          <cell r="A15" t="str">
            <v>July</v>
          </cell>
          <cell r="C15">
            <v>0</v>
          </cell>
          <cell r="D15">
            <v>2</v>
          </cell>
          <cell r="E15">
            <v>0</v>
          </cell>
          <cell r="F15">
            <v>1</v>
          </cell>
          <cell r="G15">
            <v>15</v>
          </cell>
          <cell r="H15">
            <v>1</v>
          </cell>
        </row>
        <row r="16">
          <cell r="A16" t="str">
            <v>Aug</v>
          </cell>
          <cell r="C16">
            <v>3</v>
          </cell>
          <cell r="D16">
            <v>1</v>
          </cell>
          <cell r="E16">
            <v>1</v>
          </cell>
          <cell r="F16">
            <v>2</v>
          </cell>
          <cell r="G16">
            <v>16</v>
          </cell>
          <cell r="H16">
            <v>6</v>
          </cell>
        </row>
        <row r="20">
          <cell r="C20">
            <v>11</v>
          </cell>
          <cell r="D20">
            <v>22</v>
          </cell>
          <cell r="E20">
            <v>4</v>
          </cell>
          <cell r="F20">
            <v>30</v>
          </cell>
          <cell r="G20">
            <v>161</v>
          </cell>
          <cell r="H20">
            <v>22</v>
          </cell>
          <cell r="I20">
            <v>22</v>
          </cell>
          <cell r="J20">
            <v>13</v>
          </cell>
          <cell r="K20">
            <v>2</v>
          </cell>
        </row>
      </sheetData>
      <sheetData sheetId="1" refreshError="1">
        <row r="2">
          <cell r="B2">
            <v>22628.03</v>
          </cell>
        </row>
        <row r="3">
          <cell r="B3">
            <v>48964.24</v>
          </cell>
        </row>
        <row r="4">
          <cell r="B4">
            <v>25437.99</v>
          </cell>
        </row>
        <row r="5">
          <cell r="B5">
            <v>33606.009999999995</v>
          </cell>
        </row>
        <row r="6">
          <cell r="B6">
            <v>86675.76999999999</v>
          </cell>
        </row>
        <row r="7">
          <cell r="B7">
            <v>54881.599999999991</v>
          </cell>
        </row>
        <row r="8">
          <cell r="B8">
            <v>45365.606666666659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ed ac"/>
      <sheetName val="Graph (2)"/>
      <sheetName val="Graph"/>
      <sheetName val="Reasons"/>
      <sheetName val="exchequers"/>
      <sheetName val="tran"/>
      <sheetName val="working"/>
      <sheetName val="CGI"/>
      <sheetName val="PLBS"/>
      <sheetName val="BSC"/>
      <sheetName val="Variation with Budget"/>
      <sheetName val="PLC"/>
      <sheetName val="CFC"/>
      <sheetName val="3"/>
      <sheetName val="2"/>
      <sheetName val="1"/>
      <sheetName val="00-01"/>
      <sheetName val="Projected"/>
      <sheetName val="1stHalf00-01"/>
      <sheetName val="MD"/>
      <sheetName val="Audited"/>
      <sheetName val="Fo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ten NEW"/>
      <sheetName val="top ten OLD"/>
      <sheetName val="Green Coffee  Graphs"/>
      <sheetName val="Green Coffee  Graphs (2)"/>
      <sheetName val="Green Bean Coffee Prices"/>
      <sheetName val="Section 6.2"/>
      <sheetName val="Projected IS"/>
      <sheetName val="Page 18_Table 2"/>
      <sheetName val="Customer by Customer &amp; Channel"/>
      <sheetName val="Page 10,24,49_fig 1,9,33"/>
      <sheetName val="Page 10,24,48_fig 2,10,34"/>
      <sheetName val="Page 12_fig 4"/>
      <sheetName val="Page 12_fig 5"/>
      <sheetName val="Page 12, 65_fig 5, 40"/>
      <sheetName val="Page 19_Fig 6"/>
      <sheetName val="Page 21_Table 3"/>
      <sheetName val="Page 20_Fig 7"/>
      <sheetName val="Page 21_fig 9"/>
      <sheetName val="Page 23_Fig 8"/>
      <sheetName val="Page 25,52_Fig 12,35"/>
      <sheetName val="Page 25,52_Fig 12b,35"/>
      <sheetName val="Page 30_fig 14 "/>
      <sheetName val="Page 33_fig 15"/>
      <sheetName val="Page 33_fig 16"/>
      <sheetName val="Page 34_fig 17"/>
      <sheetName val="Page 32,57_Fig 18,38"/>
      <sheetName val="Page 42_Fig 19a"/>
      <sheetName val="Page 42_fig 19b"/>
      <sheetName val="Page 42_Fig 20a"/>
      <sheetName val="Page 43_Fig 20b"/>
      <sheetName val="Page 40_Fig 22a"/>
      <sheetName val="Page 40_Fig 23b"/>
      <sheetName val="Page 40_Fig 24"/>
      <sheetName val="Page 40_Fig 25"/>
      <sheetName val="Page 42_Fig 25"/>
      <sheetName val="Page 42_Fig 26"/>
      <sheetName val="Page 43_Fig 28"/>
      <sheetName val="Page 43_Fig 29"/>
      <sheetName val="Page 48_Fig 32"/>
      <sheetName val="Page 56_Fig 36a"/>
      <sheetName val="Page 56_Fig 36b"/>
      <sheetName val="Page 57_Fig 37a"/>
      <sheetName val="Page 57_Fig 37b"/>
      <sheetName val="Page 58_Fig 39a"/>
      <sheetName val="Page 58_Fig 39b"/>
      <sheetName val="Page 63_Fig 40"/>
      <sheetName val="Page 61_Fig 41"/>
      <sheetName val="Page 62_Fig 42a"/>
      <sheetName val="Page 62_Fig 42b"/>
      <sheetName val="Balance Sheet"/>
      <sheetName val="Page 69_Fig 45"/>
      <sheetName val="Management Bio p. 31, 78"/>
      <sheetName val="Total Green Purchases"/>
      <sheetName val="Top 5 New Customers"/>
      <sheetName val="Distribution By Channel"/>
      <sheetName val="Total Pounds By Segment"/>
      <sheetName val="Table 8 Income Statement"/>
      <sheetName val="Table 9 Net Working Capita"/>
      <sheetName val="Table 10 Days Payable"/>
      <sheetName val="Figure 24 Cap Exp"/>
      <sheetName val="Table 11 - Adjustments to EBITD"/>
      <sheetName val="Table 12 - Gross Profit"/>
      <sheetName val="Table 13 - Selling, General Adm"/>
      <sheetName val="Intangible Asset Amort"/>
      <sheetName val="Table 1&amp;7"/>
      <sheetName val="Figure 8"/>
      <sheetName val="EBITDA Growth&amp;Marg Exp"/>
      <sheetName val="Customer Service"/>
      <sheetName val="top_ten_NEW"/>
      <sheetName val="top_ten_OLD"/>
      <sheetName val="Green_Coffee__Graphs"/>
      <sheetName val="Green_Coffee__Graphs_(2)"/>
      <sheetName val="Green_Bean_Coffee_Prices"/>
      <sheetName val="Section_6_2"/>
      <sheetName val="Projected_IS"/>
      <sheetName val="Page_18_Table_2"/>
      <sheetName val="Customer_by_Customer_&amp;_Channel"/>
      <sheetName val="Page_10,24,49_fig_1,9,33"/>
      <sheetName val="Page_10,24,48_fig_2,10,34"/>
      <sheetName val="Page_12_fig_4"/>
      <sheetName val="Page_12_fig_5"/>
      <sheetName val="Page_12,_65_fig_5,_40"/>
      <sheetName val="Page_19_Fig_6"/>
      <sheetName val="Page_21_Table_3"/>
      <sheetName val="Page_20_Fig_7"/>
      <sheetName val="Page_21_fig_9"/>
      <sheetName val="Page_23_Fig_8"/>
      <sheetName val="Page_25,52_Fig_12,35"/>
      <sheetName val="Page_25,52_Fig_12b,35"/>
      <sheetName val="Page_30_fig_14_"/>
      <sheetName val="Page_33_fig_15"/>
      <sheetName val="Page_33_fig_16"/>
      <sheetName val="Page_34_fig_17"/>
      <sheetName val="Page_32,57_Fig_18,38"/>
      <sheetName val="Page_42_Fig_19a"/>
      <sheetName val="Page_42_fig_19b"/>
      <sheetName val="Page_42_Fig_20a"/>
      <sheetName val="Page_43_Fig_20b"/>
      <sheetName val="Page_40_Fig_22a"/>
      <sheetName val="Page_40_Fig_23b"/>
      <sheetName val="Page_40_Fig_24"/>
      <sheetName val="Page_40_Fig_25"/>
      <sheetName val="Page_42_Fig_25"/>
      <sheetName val="Page_42_Fig_26"/>
      <sheetName val="Page_43_Fig_28"/>
      <sheetName val="Page_43_Fig_29"/>
      <sheetName val="Page_48_Fig_32"/>
      <sheetName val="Page_56_Fig_36a"/>
      <sheetName val="Page_56_Fig_36b"/>
      <sheetName val="Page_57_Fig_37a"/>
      <sheetName val="Page_57_Fig_37b"/>
      <sheetName val="Page_58_Fig_39a"/>
      <sheetName val="Page_58_Fig_39b"/>
      <sheetName val="Page_63_Fig_40"/>
      <sheetName val="Page_61_Fig_41"/>
      <sheetName val="Page_62_Fig_42a"/>
      <sheetName val="Page_62_Fig_42b"/>
      <sheetName val="Balance_Sheet"/>
      <sheetName val="Page_69_Fig_45"/>
      <sheetName val="Management_Bio_p__31,_78"/>
      <sheetName val="Total_Green_Purchases"/>
      <sheetName val="Top_5_New_Customers"/>
      <sheetName val="Distribution_By_Channel"/>
      <sheetName val="Total_Pounds_By_Segment"/>
      <sheetName val="Table_8_Income_Statement"/>
      <sheetName val="Table_9_Net_Working_Capita"/>
      <sheetName val="Table_10_Days_Payable"/>
      <sheetName val="Figure_24_Cap_Exp"/>
      <sheetName val="Table_11_-_Adjustments_to_EBITD"/>
      <sheetName val="Table_12_-_Gross_Profit"/>
      <sheetName val="Table_13_-_Selling,_General_Adm"/>
      <sheetName val="Intangible_Asset_Amort"/>
      <sheetName val="Table_1&amp;7"/>
      <sheetName val="Figure_8"/>
      <sheetName val="EBITDA_Growth&amp;Marg_Exp"/>
      <sheetName val="Customer_Serv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EOC</v>
          </cell>
          <cell r="B2">
            <v>41.536638884303152</v>
          </cell>
        </row>
        <row r="3">
          <cell r="A3" t="str">
            <v>Starbucks</v>
          </cell>
          <cell r="B3">
            <v>18.721334246523917</v>
          </cell>
        </row>
        <row r="4">
          <cell r="A4" t="str">
            <v>All Others</v>
          </cell>
          <cell r="B4">
            <v>20.778715568246952</v>
          </cell>
        </row>
        <row r="5">
          <cell r="A5" t="str">
            <v>Private Label</v>
          </cell>
          <cell r="B5">
            <v>12.459754718806447</v>
          </cell>
        </row>
        <row r="6">
          <cell r="A6" t="str">
            <v>Folgers WB</v>
          </cell>
          <cell r="B6">
            <v>6.5035565821195291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iec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iftyindices.com/market-data/return-profil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B9"/>
  <sheetViews>
    <sheetView workbookViewId="0">
      <selection activeCell="B9" sqref="B9"/>
    </sheetView>
  </sheetViews>
  <sheetFormatPr defaultRowHeight="15" x14ac:dyDescent="0.25"/>
  <cols>
    <col min="2" max="2" width="60.85546875" bestFit="1" customWidth="1"/>
  </cols>
  <sheetData>
    <row r="3" spans="1:2" x14ac:dyDescent="0.25">
      <c r="A3" s="115">
        <v>1</v>
      </c>
      <c r="B3" t="s">
        <v>241</v>
      </c>
    </row>
    <row r="4" spans="1:2" x14ac:dyDescent="0.25">
      <c r="A4" s="115">
        <v>2</v>
      </c>
      <c r="B4" t="s">
        <v>242</v>
      </c>
    </row>
    <row r="5" spans="1:2" x14ac:dyDescent="0.25">
      <c r="A5" s="115">
        <v>3</v>
      </c>
      <c r="B5" t="s">
        <v>243</v>
      </c>
    </row>
    <row r="6" spans="1:2" x14ac:dyDescent="0.25">
      <c r="A6" s="115">
        <v>4</v>
      </c>
      <c r="B6" t="s">
        <v>244</v>
      </c>
    </row>
    <row r="7" spans="1:2" x14ac:dyDescent="0.25">
      <c r="A7" s="115">
        <v>5</v>
      </c>
      <c r="B7" t="s">
        <v>316</v>
      </c>
    </row>
    <row r="8" spans="1:2" x14ac:dyDescent="0.25">
      <c r="A8" s="115">
        <v>6</v>
      </c>
      <c r="B8" t="s">
        <v>245</v>
      </c>
    </row>
    <row r="9" spans="1:2" x14ac:dyDescent="0.25">
      <c r="A9" s="115">
        <v>7</v>
      </c>
      <c r="B9" t="s">
        <v>315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3:J32"/>
  <sheetViews>
    <sheetView topLeftCell="A7" workbookViewId="0">
      <selection activeCell="F23" sqref="F23"/>
    </sheetView>
  </sheetViews>
  <sheetFormatPr defaultRowHeight="15" x14ac:dyDescent="0.25"/>
  <cols>
    <col min="1" max="1" width="9.140625" style="78"/>
    <col min="2" max="2" width="32" style="78" bestFit="1" customWidth="1"/>
    <col min="3" max="8" width="12.140625" style="78" customWidth="1"/>
    <col min="9" max="9" width="12.140625" style="77" customWidth="1"/>
    <col min="10" max="10" width="10" style="78" customWidth="1"/>
    <col min="11" max="16384" width="9.140625" style="78"/>
  </cols>
  <sheetData>
    <row r="3" spans="2:10" x14ac:dyDescent="0.25">
      <c r="B3" s="80" t="str">
        <f>Historicals!B2</f>
        <v>Al-Saqib Exports Private Limited</v>
      </c>
      <c r="C3" s="80"/>
      <c r="D3" s="80"/>
      <c r="E3" s="80"/>
      <c r="F3" s="80"/>
      <c r="G3" s="80"/>
      <c r="H3" s="80"/>
      <c r="I3" s="141"/>
      <c r="J3" s="141"/>
    </row>
    <row r="5" spans="2:10" x14ac:dyDescent="0.25">
      <c r="B5" s="81" t="s">
        <v>127</v>
      </c>
      <c r="C5" s="82" t="s">
        <v>104</v>
      </c>
      <c r="D5" s="82" t="s">
        <v>105</v>
      </c>
      <c r="E5" s="82" t="s">
        <v>106</v>
      </c>
      <c r="F5" s="82" t="s">
        <v>107</v>
      </c>
      <c r="G5" s="82" t="s">
        <v>108</v>
      </c>
      <c r="H5" s="82" t="s">
        <v>109</v>
      </c>
      <c r="I5" s="82" t="s">
        <v>110</v>
      </c>
      <c r="J5" s="82" t="s">
        <v>354</v>
      </c>
    </row>
    <row r="6" spans="2:10" x14ac:dyDescent="0.25">
      <c r="B6" s="78" t="s">
        <v>208</v>
      </c>
      <c r="C6" s="154">
        <f>'Projected P&amp;L'!G23</f>
        <v>1092.20042788</v>
      </c>
      <c r="D6" s="154">
        <f>'Projected P&amp;L'!H23</f>
        <v>1140.8687751225</v>
      </c>
      <c r="E6" s="154">
        <f>'Projected P&amp;L'!I23</f>
        <v>1158.9965562111749</v>
      </c>
      <c r="F6" s="154">
        <f>'Projected P&amp;L'!J23</f>
        <v>1176.1853528377237</v>
      </c>
      <c r="G6" s="154">
        <f>'Projected P&amp;L'!K23</f>
        <v>1192.6640255279633</v>
      </c>
      <c r="H6" s="154">
        <f>'Projected P&amp;L'!L23</f>
        <v>1208.6299415367619</v>
      </c>
      <c r="I6" s="154">
        <f>'Projected P&amp;L'!M23</f>
        <v>1224.2549554604539</v>
      </c>
      <c r="J6" s="154">
        <f>'Projected P&amp;L'!N23</f>
        <v>1239.6900666174429</v>
      </c>
    </row>
    <row r="7" spans="2:10" x14ac:dyDescent="0.25">
      <c r="B7" s="78" t="s">
        <v>209</v>
      </c>
      <c r="C7" s="154">
        <f>C6*'Projected P&amp;L'!$R$28</f>
        <v>303.85015903621598</v>
      </c>
      <c r="D7" s="154">
        <f>D6*'Projected P&amp;L'!$R$28</f>
        <v>317.38969323907952</v>
      </c>
      <c r="E7" s="154">
        <f>E6*'Projected P&amp;L'!$R$28</f>
        <v>322.43284193794887</v>
      </c>
      <c r="F7" s="154">
        <f>F6*'Projected P&amp;L'!$R$28</f>
        <v>327.21476515945471</v>
      </c>
      <c r="G7" s="154">
        <f>G6*'Projected P&amp;L'!$R$28</f>
        <v>331.79913190187938</v>
      </c>
      <c r="H7" s="154">
        <f>H6*'Projected P&amp;L'!$R$28</f>
        <v>336.24084973552715</v>
      </c>
      <c r="I7" s="154">
        <f>I6*'Projected P&amp;L'!$R$28</f>
        <v>340.58772860909829</v>
      </c>
      <c r="J7" s="154">
        <f>J6*'Projected P&amp;L'!$R$28</f>
        <v>344.88177653297259</v>
      </c>
    </row>
    <row r="8" spans="2:10" x14ac:dyDescent="0.25">
      <c r="B8" s="84" t="s">
        <v>210</v>
      </c>
      <c r="C8" s="155">
        <f>C6-C7</f>
        <v>788.35026884378408</v>
      </c>
      <c r="D8" s="155">
        <f t="shared" ref="D8:I8" si="0">D6-D7</f>
        <v>823.47908188342046</v>
      </c>
      <c r="E8" s="155">
        <f t="shared" si="0"/>
        <v>836.56371427322608</v>
      </c>
      <c r="F8" s="155">
        <f t="shared" si="0"/>
        <v>848.970587678269</v>
      </c>
      <c r="G8" s="155">
        <f t="shared" si="0"/>
        <v>860.86489362608393</v>
      </c>
      <c r="H8" s="155">
        <f t="shared" si="0"/>
        <v>872.38909180123471</v>
      </c>
      <c r="I8" s="155">
        <f t="shared" si="0"/>
        <v>883.66722685135551</v>
      </c>
      <c r="J8" s="155">
        <f t="shared" ref="J8" si="1">J6-J7</f>
        <v>894.80829008447029</v>
      </c>
    </row>
    <row r="9" spans="2:10" x14ac:dyDescent="0.25">
      <c r="B9" s="78" t="s">
        <v>335</v>
      </c>
      <c r="C9" s="154">
        <f>'Projected P&amp;L'!G16</f>
        <v>82.991912120000009</v>
      </c>
      <c r="D9" s="154">
        <f>'Projected P&amp;L'!H16</f>
        <v>71.557011577500006</v>
      </c>
      <c r="E9" s="154">
        <f>'Projected P&amp;L'!I16</f>
        <v>61.757818977824996</v>
      </c>
      <c r="F9" s="154">
        <f>'Projected P&amp;L'!J16</f>
        <v>53.34818624780624</v>
      </c>
      <c r="G9" s="154">
        <f>'Projected P&amp;L'!K16</f>
        <v>46.122464551664812</v>
      </c>
      <c r="H9" s="154">
        <f>'Projected P&amp;L'!L16</f>
        <v>39.907672567465639</v>
      </c>
      <c r="I9" s="154">
        <f>'Projected P&amp;L'!M16</f>
        <v>34.557574860015698</v>
      </c>
      <c r="J9" s="154">
        <f>'Projected P&amp;L'!N16</f>
        <v>29.94808644030088</v>
      </c>
    </row>
    <row r="10" spans="2:10" x14ac:dyDescent="0.25">
      <c r="B10" s="78" t="s">
        <v>211</v>
      </c>
      <c r="C10" s="203">
        <f>-'Projected BS'!E45</f>
        <v>-488.13291379999919</v>
      </c>
      <c r="D10" s="203">
        <f>-'Projected BS'!F45</f>
        <v>0</v>
      </c>
      <c r="E10" s="203">
        <f>-'Projected BS'!G45</f>
        <v>0</v>
      </c>
      <c r="F10" s="203">
        <f>-'Projected BS'!H45</f>
        <v>0</v>
      </c>
      <c r="G10" s="203">
        <f>-'Projected BS'!I45</f>
        <v>0</v>
      </c>
      <c r="H10" s="203">
        <f>-'Projected BS'!J45</f>
        <v>0</v>
      </c>
      <c r="I10" s="203">
        <f>-'Projected BS'!K45</f>
        <v>0</v>
      </c>
      <c r="J10" s="203">
        <f>-'Projected BS'!L45</f>
        <v>0</v>
      </c>
    </row>
    <row r="11" spans="2:10" x14ac:dyDescent="0.25">
      <c r="B11" s="78" t="s">
        <v>212</v>
      </c>
      <c r="C11" s="154">
        <f>'Projected CFS'!C16</f>
        <v>0</v>
      </c>
      <c r="D11" s="154">
        <f>'Projected CFS'!D16</f>
        <v>0</v>
      </c>
      <c r="E11" s="154">
        <f>'Projected CFS'!E16</f>
        <v>0</v>
      </c>
      <c r="F11" s="154">
        <f>'Projected CFS'!F16</f>
        <v>0</v>
      </c>
      <c r="G11" s="154">
        <f>'Projected CFS'!G16</f>
        <v>0</v>
      </c>
      <c r="H11" s="154">
        <f>'Projected CFS'!H16</f>
        <v>0</v>
      </c>
      <c r="I11" s="154">
        <f>'Projected CFS'!I16</f>
        <v>0</v>
      </c>
      <c r="J11" s="154">
        <f>'Projected CFS'!J16</f>
        <v>0</v>
      </c>
    </row>
    <row r="12" spans="2:10" x14ac:dyDescent="0.25">
      <c r="B12" s="86" t="s">
        <v>213</v>
      </c>
      <c r="C12" s="155">
        <f>SUM(C8:C11)</f>
        <v>383.20926716378494</v>
      </c>
      <c r="D12" s="155">
        <f t="shared" ref="D12:I12" si="2">SUM(D8:D11)</f>
        <v>895.03609346092048</v>
      </c>
      <c r="E12" s="155">
        <f t="shared" si="2"/>
        <v>898.32153325105105</v>
      </c>
      <c r="F12" s="155">
        <f t="shared" si="2"/>
        <v>902.31877392607521</v>
      </c>
      <c r="G12" s="155">
        <f t="shared" si="2"/>
        <v>906.98735817774877</v>
      </c>
      <c r="H12" s="155">
        <f t="shared" si="2"/>
        <v>912.29676436870034</v>
      </c>
      <c r="I12" s="155">
        <f t="shared" si="2"/>
        <v>918.22480171137124</v>
      </c>
      <c r="J12" s="155">
        <f t="shared" ref="J12" si="3">SUM(J8:J11)</f>
        <v>924.75637652477121</v>
      </c>
    </row>
    <row r="13" spans="2:10" x14ac:dyDescent="0.25">
      <c r="B13" s="78" t="s">
        <v>214</v>
      </c>
      <c r="C13" s="157">
        <f>C32</f>
        <v>0.17849999999999999</v>
      </c>
      <c r="D13" s="154"/>
      <c r="E13" s="154"/>
      <c r="F13" s="154"/>
      <c r="G13" s="154"/>
      <c r="H13" s="154"/>
      <c r="I13" s="154"/>
      <c r="J13" s="154"/>
    </row>
    <row r="14" spans="2:10" x14ac:dyDescent="0.25">
      <c r="B14" s="88" t="s">
        <v>215</v>
      </c>
      <c r="C14" s="157">
        <v>0.01</v>
      </c>
      <c r="D14" s="156"/>
      <c r="E14" s="154"/>
      <c r="F14" s="154"/>
      <c r="G14" s="154"/>
      <c r="H14" s="154"/>
      <c r="I14" s="154"/>
      <c r="J14" s="154"/>
    </row>
    <row r="15" spans="2:10" x14ac:dyDescent="0.25">
      <c r="B15" s="89" t="s">
        <v>216</v>
      </c>
      <c r="C15" s="154">
        <f>4/12</f>
        <v>0.33333333333333331</v>
      </c>
      <c r="D15" s="154">
        <f>C15+1</f>
        <v>1.3333333333333333</v>
      </c>
      <c r="E15" s="154">
        <f t="shared" ref="E15:J15" si="4">D15+1</f>
        <v>2.333333333333333</v>
      </c>
      <c r="F15" s="154">
        <f t="shared" si="4"/>
        <v>3.333333333333333</v>
      </c>
      <c r="G15" s="154">
        <f t="shared" si="4"/>
        <v>4.333333333333333</v>
      </c>
      <c r="H15" s="154">
        <f t="shared" si="4"/>
        <v>5.333333333333333</v>
      </c>
      <c r="I15" s="154">
        <f t="shared" si="4"/>
        <v>6.333333333333333</v>
      </c>
      <c r="J15" s="154">
        <f t="shared" si="4"/>
        <v>7.333333333333333</v>
      </c>
    </row>
    <row r="16" spans="2:10" x14ac:dyDescent="0.25">
      <c r="B16" s="89" t="s">
        <v>217</v>
      </c>
      <c r="C16" s="154">
        <f t="shared" ref="C16:I16" si="5">1/(1+$C$13)^C15</f>
        <v>0.94672418349146115</v>
      </c>
      <c r="D16" s="154">
        <f t="shared" si="5"/>
        <v>0.80332981204196952</v>
      </c>
      <c r="E16" s="154">
        <f t="shared" si="5"/>
        <v>0.68165448624689806</v>
      </c>
      <c r="F16" s="154">
        <f t="shared" si="5"/>
        <v>0.57840855854637085</v>
      </c>
      <c r="G16" s="154">
        <f t="shared" si="5"/>
        <v>0.49080064365411191</v>
      </c>
      <c r="H16" s="154">
        <f t="shared" si="5"/>
        <v>0.41646214989742197</v>
      </c>
      <c r="I16" s="154">
        <f t="shared" si="5"/>
        <v>0.35338324132152904</v>
      </c>
      <c r="J16" s="154">
        <f>1/(1+$C$13)^J15</f>
        <v>0.29985849921215868</v>
      </c>
    </row>
    <row r="17" spans="2:10" x14ac:dyDescent="0.25">
      <c r="B17" s="89" t="s">
        <v>218</v>
      </c>
      <c r="C17" s="154"/>
      <c r="D17" s="154"/>
      <c r="E17" s="154"/>
      <c r="F17" s="154"/>
      <c r="G17" s="154"/>
      <c r="H17" s="154"/>
      <c r="I17" s="154"/>
      <c r="J17" s="154">
        <f>J12*(1+$C$14)/($C$13-$C$14)</f>
        <v>5543.0500907419528</v>
      </c>
    </row>
    <row r="18" spans="2:10" x14ac:dyDescent="0.25">
      <c r="B18" s="89" t="s">
        <v>219</v>
      </c>
      <c r="C18" s="154">
        <f t="shared" ref="C18:I18" si="6">C12+C17</f>
        <v>383.20926716378494</v>
      </c>
      <c r="D18" s="154">
        <f t="shared" si="6"/>
        <v>895.03609346092048</v>
      </c>
      <c r="E18" s="154">
        <f t="shared" si="6"/>
        <v>898.32153325105105</v>
      </c>
      <c r="F18" s="154">
        <f t="shared" si="6"/>
        <v>902.31877392607521</v>
      </c>
      <c r="G18" s="154">
        <f t="shared" si="6"/>
        <v>906.98735817774877</v>
      </c>
      <c r="H18" s="154">
        <f t="shared" si="6"/>
        <v>912.29676436870034</v>
      </c>
      <c r="I18" s="154">
        <f t="shared" si="6"/>
        <v>918.22480171137124</v>
      </c>
      <c r="J18" s="154">
        <f t="shared" ref="J18" si="7">J12+J17</f>
        <v>6467.8064672667242</v>
      </c>
    </row>
    <row r="19" spans="2:10" x14ac:dyDescent="0.25">
      <c r="B19" s="90" t="s">
        <v>220</v>
      </c>
      <c r="C19" s="155">
        <f>C18*C16</f>
        <v>362.79348056199547</v>
      </c>
      <c r="D19" s="155">
        <f t="shared" ref="D19:I19" si="8">D18*D16</f>
        <v>719.00917673073991</v>
      </c>
      <c r="E19" s="155">
        <f t="shared" si="8"/>
        <v>612.344903232771</v>
      </c>
      <c r="F19" s="155">
        <f t="shared" si="8"/>
        <v>521.90890137590986</v>
      </c>
      <c r="G19" s="155">
        <f t="shared" si="8"/>
        <v>445.14997917978167</v>
      </c>
      <c r="H19" s="155">
        <f t="shared" si="8"/>
        <v>379.93707183345072</v>
      </c>
      <c r="I19" s="155">
        <f t="shared" si="8"/>
        <v>324.48525669058267</v>
      </c>
      <c r="J19" s="155">
        <f t="shared" ref="J19" si="9">J18*J16</f>
        <v>1939.4267404692939</v>
      </c>
    </row>
    <row r="20" spans="2:10" x14ac:dyDescent="0.25">
      <c r="C20" s="87"/>
      <c r="D20" s="77"/>
      <c r="E20" s="77"/>
      <c r="F20" s="77"/>
      <c r="G20" s="77"/>
      <c r="H20" s="77"/>
    </row>
    <row r="21" spans="2:10" x14ac:dyDescent="0.25">
      <c r="B21" s="78" t="s">
        <v>345</v>
      </c>
      <c r="C21" s="78" t="e">
        <f>+IRR(C18:J18)</f>
        <v>#NUM!</v>
      </c>
      <c r="D21" s="77"/>
      <c r="E21" s="77"/>
      <c r="F21" s="77"/>
      <c r="G21" s="77"/>
      <c r="H21" s="77"/>
    </row>
    <row r="22" spans="2:10" x14ac:dyDescent="0.25">
      <c r="B22" s="84" t="s">
        <v>221</v>
      </c>
      <c r="C22" s="85">
        <f>+SUM(C19:J19)</f>
        <v>5305.055510074525</v>
      </c>
      <c r="D22" s="85" t="s">
        <v>361</v>
      </c>
      <c r="E22" s="77"/>
      <c r="F22" s="77"/>
      <c r="G22" s="77"/>
      <c r="H22" s="77"/>
    </row>
    <row r="27" spans="2:10" ht="15.75" thickBot="1" x14ac:dyDescent="0.3"/>
    <row r="28" spans="2:10" ht="15.75" customHeight="1" thickBot="1" x14ac:dyDescent="0.3">
      <c r="B28" s="219"/>
      <c r="C28" s="220"/>
    </row>
    <row r="29" spans="2:10" ht="15.75" thickBot="1" x14ac:dyDescent="0.3">
      <c r="B29" s="91" t="s">
        <v>222</v>
      </c>
      <c r="C29" s="91" t="s">
        <v>223</v>
      </c>
    </row>
    <row r="30" spans="2:10" ht="30.75" thickBot="1" x14ac:dyDescent="0.3">
      <c r="B30" s="92" t="s">
        <v>370</v>
      </c>
      <c r="C30" s="143">
        <v>0.1585</v>
      </c>
      <c r="D30" s="221" t="s">
        <v>369</v>
      </c>
    </row>
    <row r="31" spans="2:10" ht="15.75" thickBot="1" x14ac:dyDescent="0.3">
      <c r="B31" s="92" t="s">
        <v>224</v>
      </c>
      <c r="C31" s="142">
        <v>0.02</v>
      </c>
    </row>
    <row r="32" spans="2:10" ht="15.75" thickBot="1" x14ac:dyDescent="0.3">
      <c r="B32" s="92" t="s">
        <v>214</v>
      </c>
      <c r="C32" s="93">
        <f>SUM(C30:C31)</f>
        <v>0.17849999999999999</v>
      </c>
    </row>
  </sheetData>
  <mergeCells count="1">
    <mergeCell ref="B28:C28"/>
  </mergeCells>
  <phoneticPr fontId="30" type="noConversion"/>
  <hyperlinks>
    <hyperlink ref="D30" r:id="rId1" xr:uid="{C893715C-5A33-48FD-B0DB-5CE8D84900C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J36"/>
  <sheetViews>
    <sheetView topLeftCell="A16" workbookViewId="0">
      <selection activeCell="C36" sqref="C36:J36"/>
    </sheetView>
  </sheetViews>
  <sheetFormatPr defaultRowHeight="12.75" x14ac:dyDescent="0.2"/>
  <cols>
    <col min="1" max="1" width="9.140625" style="51"/>
    <col min="2" max="2" width="21.85546875" style="51" customWidth="1"/>
    <col min="3" max="9" width="9.140625" style="68"/>
    <col min="10" max="16384" width="9.140625" style="51"/>
  </cols>
  <sheetData>
    <row r="1" spans="2:10" x14ac:dyDescent="0.2">
      <c r="C1" s="51"/>
      <c r="D1" s="51"/>
      <c r="E1" s="51"/>
      <c r="F1" s="51"/>
      <c r="G1" s="51"/>
      <c r="H1" s="51"/>
      <c r="I1" s="51"/>
    </row>
    <row r="2" spans="2:10" ht="15.75" x14ac:dyDescent="0.2">
      <c r="B2" s="72" t="str">
        <f>Historicals!B2</f>
        <v>Al-Saqib Exports Private Limited</v>
      </c>
      <c r="C2" s="72"/>
      <c r="D2" s="72"/>
      <c r="E2" s="72"/>
      <c r="F2" s="72"/>
      <c r="G2" s="72"/>
      <c r="H2" s="72"/>
      <c r="I2" s="72"/>
      <c r="J2" s="72"/>
    </row>
    <row r="3" spans="2:10" x14ac:dyDescent="0.2">
      <c r="C3" s="51"/>
      <c r="D3" s="51"/>
      <c r="E3" s="51"/>
      <c r="F3" s="51"/>
      <c r="G3" s="51"/>
      <c r="H3" s="51"/>
      <c r="I3" s="51"/>
    </row>
    <row r="4" spans="2:10" x14ac:dyDescent="0.2">
      <c r="B4" s="71" t="s">
        <v>127</v>
      </c>
      <c r="C4" s="63" t="s">
        <v>104</v>
      </c>
      <c r="D4" s="63" t="s">
        <v>105</v>
      </c>
      <c r="E4" s="63" t="s">
        <v>106</v>
      </c>
      <c r="F4" s="63" t="s">
        <v>107</v>
      </c>
      <c r="G4" s="63" t="s">
        <v>108</v>
      </c>
      <c r="H4" s="63" t="s">
        <v>109</v>
      </c>
      <c r="I4" s="63" t="s">
        <v>110</v>
      </c>
      <c r="J4" s="63" t="s">
        <v>354</v>
      </c>
    </row>
    <row r="5" spans="2:10" x14ac:dyDescent="0.2">
      <c r="C5" s="51"/>
      <c r="D5" s="51"/>
      <c r="E5" s="51"/>
      <c r="F5" s="51"/>
      <c r="G5" s="51"/>
      <c r="H5" s="51"/>
      <c r="I5" s="51"/>
    </row>
    <row r="6" spans="2:10" hidden="1" x14ac:dyDescent="0.2">
      <c r="B6" s="74" t="s">
        <v>187</v>
      </c>
      <c r="C6" s="65" t="e">
        <f>'Projected P&amp;L'!#REF!</f>
        <v>#REF!</v>
      </c>
      <c r="D6" s="65" t="e">
        <f>'Projected P&amp;L'!#REF!</f>
        <v>#REF!</v>
      </c>
      <c r="E6" s="65" t="e">
        <f>'Projected P&amp;L'!#REF!</f>
        <v>#REF!</v>
      </c>
      <c r="F6" s="65" t="e">
        <f>'Projected P&amp;L'!#REF!</f>
        <v>#REF!</v>
      </c>
      <c r="G6" s="65" t="e">
        <f>'Projected P&amp;L'!#REF!</f>
        <v>#REF!</v>
      </c>
      <c r="H6" s="65" t="e">
        <f>'Projected P&amp;L'!#REF!</f>
        <v>#REF!</v>
      </c>
      <c r="I6" s="65" t="e">
        <f>'Projected P&amp;L'!#REF!</f>
        <v>#REF!</v>
      </c>
      <c r="J6" s="65" t="e">
        <f>'Projected P&amp;L'!#REF!</f>
        <v>#REF!</v>
      </c>
    </row>
    <row r="7" spans="2:10" hidden="1" x14ac:dyDescent="0.2">
      <c r="B7" s="75"/>
      <c r="J7" s="68"/>
    </row>
    <row r="8" spans="2:10" hidden="1" x14ac:dyDescent="0.2">
      <c r="B8" s="74" t="s">
        <v>188</v>
      </c>
      <c r="C8" s="69" t="e">
        <f>'Projected P&amp;L'!#REF!</f>
        <v>#REF!</v>
      </c>
      <c r="D8" s="69" t="e">
        <f>'Projected P&amp;L'!#REF!</f>
        <v>#REF!</v>
      </c>
      <c r="E8" s="69" t="e">
        <f>'Projected P&amp;L'!#REF!</f>
        <v>#REF!</v>
      </c>
      <c r="F8" s="69" t="e">
        <f>'Projected P&amp;L'!#REF!</f>
        <v>#REF!</v>
      </c>
      <c r="G8" s="69" t="e">
        <f>'Projected P&amp;L'!#REF!</f>
        <v>#REF!</v>
      </c>
      <c r="H8" s="69" t="e">
        <f>'Projected P&amp;L'!#REF!</f>
        <v>#REF!</v>
      </c>
      <c r="I8" s="69" t="e">
        <f>'Projected P&amp;L'!#REF!</f>
        <v>#REF!</v>
      </c>
      <c r="J8" s="69" t="e">
        <f>'Projected P&amp;L'!#REF!</f>
        <v>#REF!</v>
      </c>
    </row>
    <row r="9" spans="2:10" hidden="1" x14ac:dyDescent="0.2">
      <c r="B9" s="75"/>
      <c r="J9" s="68"/>
    </row>
    <row r="10" spans="2:10" x14ac:dyDescent="0.2">
      <c r="B10" s="74" t="s">
        <v>128</v>
      </c>
      <c r="C10" s="67">
        <f>'Projected P&amp;L'!G8</f>
        <v>1616.9857425</v>
      </c>
      <c r="D10" s="67">
        <f>'Projected P&amp;L'!H8</f>
        <v>1432.8</v>
      </c>
      <c r="E10" s="67">
        <f>'Projected P&amp;L'!I8</f>
        <v>1450.44</v>
      </c>
      <c r="F10" s="67">
        <f>'Projected P&amp;L'!J8</f>
        <v>1468.962</v>
      </c>
      <c r="G10" s="67">
        <f>'Projected P&amp;L'!K8</f>
        <v>1488.4101000000001</v>
      </c>
      <c r="H10" s="67">
        <f>'Projected P&amp;L'!L8</f>
        <v>1508.8306050000001</v>
      </c>
      <c r="I10" s="67">
        <f>'Projected P&amp;L'!M8</f>
        <v>1530.2721352500002</v>
      </c>
      <c r="J10" s="67">
        <f>'Projected P&amp;L'!N8</f>
        <v>1552.7857420125001</v>
      </c>
    </row>
    <row r="11" spans="2:10" x14ac:dyDescent="0.2">
      <c r="B11" s="74"/>
      <c r="C11" s="67"/>
      <c r="D11" s="67"/>
      <c r="E11" s="67"/>
      <c r="F11" s="67"/>
      <c r="G11" s="67"/>
      <c r="H11" s="67"/>
      <c r="I11" s="67"/>
      <c r="J11" s="67"/>
    </row>
    <row r="12" spans="2:10" x14ac:dyDescent="0.2">
      <c r="B12" s="74" t="s">
        <v>189</v>
      </c>
      <c r="J12" s="68"/>
    </row>
    <row r="13" spans="2:10" x14ac:dyDescent="0.2">
      <c r="B13" s="75" t="s">
        <v>190</v>
      </c>
      <c r="C13" s="68">
        <f>'Projected P&amp;L'!G24</f>
        <v>492.82956000000001</v>
      </c>
      <c r="D13" s="68">
        <f>'Projected P&amp;L'!H24</f>
        <v>352.57443999999998</v>
      </c>
      <c r="E13" s="68">
        <f>'Projected P&amp;L'!I24</f>
        <v>312.85755</v>
      </c>
      <c r="F13" s="68">
        <f>'Projected P&amp;L'!J24</f>
        <v>268.54462999999998</v>
      </c>
      <c r="G13" s="68">
        <f>'Projected P&amp;L'!K24</f>
        <v>219.10397</v>
      </c>
      <c r="H13" s="68">
        <f>'Projected P&amp;L'!L24</f>
        <v>163.94202000000001</v>
      </c>
      <c r="I13" s="68">
        <f>'Projected P&amp;L'!M24</f>
        <v>102.39681</v>
      </c>
      <c r="J13" s="68">
        <f>'Projected P&amp;L'!N24</f>
        <v>33.729649999999999</v>
      </c>
    </row>
    <row r="14" spans="2:10" x14ac:dyDescent="0.2">
      <c r="B14" s="75" t="s">
        <v>191</v>
      </c>
      <c r="J14" s="68"/>
    </row>
    <row r="15" spans="2:10" x14ac:dyDescent="0.2">
      <c r="B15" s="75" t="s">
        <v>192</v>
      </c>
      <c r="C15" s="68">
        <f>'Projected P&amp;L'!G21</f>
        <v>55.794090000000004</v>
      </c>
      <c r="D15" s="68">
        <f>'Projected P&amp;L'!H21</f>
        <v>56.909971800000008</v>
      </c>
      <c r="E15" s="68">
        <f>'Projected P&amp;L'!I21</f>
        <v>58.048171236000009</v>
      </c>
      <c r="F15" s="68">
        <f>'Projected P&amp;L'!J21</f>
        <v>59.209134660720011</v>
      </c>
      <c r="G15" s="68">
        <f>'Projected P&amp;L'!K21</f>
        <v>60.393317353934414</v>
      </c>
      <c r="H15" s="68">
        <f>'Projected P&amp;L'!L21</f>
        <v>61.601183701013106</v>
      </c>
      <c r="I15" s="68">
        <f>'Projected P&amp;L'!M21</f>
        <v>62.833207375033368</v>
      </c>
      <c r="J15" s="68">
        <f>'Projected P&amp;L'!N21</f>
        <v>64.08987152253404</v>
      </c>
    </row>
    <row r="16" spans="2:10" x14ac:dyDescent="0.2">
      <c r="B16" s="75" t="s">
        <v>24</v>
      </c>
      <c r="C16" s="68">
        <f>'Projected P&amp;L'!G16</f>
        <v>82.991912120000009</v>
      </c>
      <c r="D16" s="68">
        <f>'Projected P&amp;L'!H16</f>
        <v>71.557011577500006</v>
      </c>
      <c r="E16" s="68">
        <f>'Projected P&amp;L'!I16</f>
        <v>61.757818977824996</v>
      </c>
      <c r="F16" s="68">
        <f>'Projected P&amp;L'!J16</f>
        <v>53.34818624780624</v>
      </c>
      <c r="G16" s="68">
        <f>'Projected P&amp;L'!K16</f>
        <v>46.122464551664812</v>
      </c>
      <c r="H16" s="68">
        <f>'Projected P&amp;L'!L16</f>
        <v>39.907672567465639</v>
      </c>
      <c r="I16" s="68">
        <f>'Projected P&amp;L'!M16</f>
        <v>34.557574860015698</v>
      </c>
      <c r="J16" s="68">
        <f>'Projected P&amp;L'!N16</f>
        <v>29.94808644030088</v>
      </c>
    </row>
    <row r="17" spans="2:10" x14ac:dyDescent="0.2">
      <c r="B17" s="76" t="s">
        <v>193</v>
      </c>
      <c r="C17" s="67">
        <f>SUM(C13:C16)</f>
        <v>631.61556212000005</v>
      </c>
      <c r="D17" s="67">
        <f t="shared" ref="D17:I17" si="0">SUM(D13:D16)</f>
        <v>481.0414233775</v>
      </c>
      <c r="E17" s="67">
        <f t="shared" si="0"/>
        <v>432.66354021382506</v>
      </c>
      <c r="F17" s="67">
        <f t="shared" si="0"/>
        <v>381.10195090852619</v>
      </c>
      <c r="G17" s="67">
        <f t="shared" si="0"/>
        <v>325.61975190559923</v>
      </c>
      <c r="H17" s="67">
        <f t="shared" si="0"/>
        <v>265.45087626847874</v>
      </c>
      <c r="I17" s="67">
        <f t="shared" si="0"/>
        <v>199.78759223504906</v>
      </c>
      <c r="J17" s="67">
        <f t="shared" ref="J17" si="1">SUM(J13:J16)</f>
        <v>127.76760796283493</v>
      </c>
    </row>
    <row r="18" spans="2:10" x14ac:dyDescent="0.2">
      <c r="B18" s="75"/>
      <c r="J18" s="68"/>
    </row>
    <row r="19" spans="2:10" x14ac:dyDescent="0.2">
      <c r="B19" s="74" t="s">
        <v>194</v>
      </c>
      <c r="J19" s="68"/>
    </row>
    <row r="20" spans="2:10" x14ac:dyDescent="0.2">
      <c r="B20" s="75" t="s">
        <v>156</v>
      </c>
      <c r="J20" s="68"/>
    </row>
    <row r="21" spans="2:10" x14ac:dyDescent="0.2">
      <c r="B21" s="75" t="s">
        <v>132</v>
      </c>
      <c r="J21" s="68"/>
    </row>
    <row r="22" spans="2:10" x14ac:dyDescent="0.2">
      <c r="B22" s="75" t="s">
        <v>195</v>
      </c>
      <c r="J22" s="68"/>
    </row>
    <row r="23" spans="2:10" x14ac:dyDescent="0.2">
      <c r="B23" s="75" t="s">
        <v>196</v>
      </c>
      <c r="J23" s="68"/>
    </row>
    <row r="24" spans="2:10" x14ac:dyDescent="0.2">
      <c r="B24" s="75" t="s">
        <v>134</v>
      </c>
      <c r="J24" s="68"/>
    </row>
    <row r="25" spans="2:10" x14ac:dyDescent="0.2">
      <c r="B25" s="75" t="s">
        <v>197</v>
      </c>
      <c r="J25" s="68"/>
    </row>
    <row r="26" spans="2:10" x14ac:dyDescent="0.2">
      <c r="B26" s="75" t="s">
        <v>198</v>
      </c>
      <c r="C26" s="68">
        <f>'Projected P&amp;L'!G28</f>
        <v>160.44564311041603</v>
      </c>
      <c r="D26" s="68">
        <f>'Projected P&amp;L'!H28</f>
        <v>219.30348403107951</v>
      </c>
      <c r="E26" s="68">
        <f>'Projected P&amp;L'!I28</f>
        <v>235.39587152794888</v>
      </c>
      <c r="F26" s="68">
        <f>'Projected P&amp;L'!J28</f>
        <v>252.50564909345474</v>
      </c>
      <c r="G26" s="68">
        <f>'Projected P&amp;L'!K28</f>
        <v>270.84440744787941</v>
      </c>
      <c r="H26" s="68">
        <f>'Projected P&amp;L'!L28</f>
        <v>290.63217977152715</v>
      </c>
      <c r="I26" s="68">
        <f>'Projected P&amp;L'!M28</f>
        <v>312.1009360670983</v>
      </c>
      <c r="J26" s="68">
        <f>'Projected P&amp;L'!N28</f>
        <v>335.49818790297263</v>
      </c>
    </row>
    <row r="27" spans="2:10" x14ac:dyDescent="0.2">
      <c r="B27" s="75" t="s">
        <v>199</v>
      </c>
      <c r="C27" s="68">
        <f>'Projected P&amp;L'!G18-'Projected P&amp;L'!G19</f>
        <v>230.31908250000001</v>
      </c>
      <c r="D27" s="68">
        <f>'Projected P&amp;L'!H18-'Projected P&amp;L'!H19</f>
        <v>0</v>
      </c>
      <c r="E27" s="68">
        <f>'Projected P&amp;L'!I18-'Projected P&amp;L'!I19</f>
        <v>0</v>
      </c>
      <c r="F27" s="68">
        <f>'Projected P&amp;L'!J18-'Projected P&amp;L'!J19</f>
        <v>0</v>
      </c>
      <c r="G27" s="68">
        <f>'Projected P&amp;L'!K18-'Projected P&amp;L'!K19</f>
        <v>0</v>
      </c>
      <c r="H27" s="68">
        <f>'Projected P&amp;L'!L18-'Projected P&amp;L'!L19</f>
        <v>0</v>
      </c>
      <c r="I27" s="68">
        <f>'Projected P&amp;L'!M18-'Projected P&amp;L'!M19</f>
        <v>0</v>
      </c>
      <c r="J27" s="68">
        <f>'Projected P&amp;L'!N18-'Projected P&amp;L'!N19</f>
        <v>0</v>
      </c>
    </row>
    <row r="28" spans="2:10" x14ac:dyDescent="0.2">
      <c r="B28" s="74" t="s">
        <v>200</v>
      </c>
      <c r="C28" s="67">
        <f>SUM(C20:C27)</f>
        <v>390.76472561041601</v>
      </c>
      <c r="D28" s="67">
        <f t="shared" ref="D28:I28" si="2">SUM(D20:D27)</f>
        <v>219.30348403107951</v>
      </c>
      <c r="E28" s="67">
        <f t="shared" si="2"/>
        <v>235.39587152794888</v>
      </c>
      <c r="F28" s="67">
        <f t="shared" si="2"/>
        <v>252.50564909345474</v>
      </c>
      <c r="G28" s="67">
        <f t="shared" si="2"/>
        <v>270.84440744787941</v>
      </c>
      <c r="H28" s="67">
        <f t="shared" si="2"/>
        <v>290.63217977152715</v>
      </c>
      <c r="I28" s="67">
        <f t="shared" si="2"/>
        <v>312.1009360670983</v>
      </c>
      <c r="J28" s="67">
        <f t="shared" ref="J28" si="3">SUM(J20:J27)</f>
        <v>335.49818790297263</v>
      </c>
    </row>
    <row r="29" spans="2:10" x14ac:dyDescent="0.2">
      <c r="B29" s="75"/>
      <c r="J29" s="68"/>
    </row>
    <row r="30" spans="2:10" x14ac:dyDescent="0.2">
      <c r="B30" s="74" t="s">
        <v>201</v>
      </c>
      <c r="C30" s="67">
        <f>C10-C28</f>
        <v>1226.221016889584</v>
      </c>
      <c r="D30" s="67">
        <f t="shared" ref="D30:I30" si="4">D10-D28</f>
        <v>1213.4965159689204</v>
      </c>
      <c r="E30" s="67">
        <f t="shared" si="4"/>
        <v>1215.0441284720512</v>
      </c>
      <c r="F30" s="67">
        <f t="shared" si="4"/>
        <v>1216.4563509065451</v>
      </c>
      <c r="G30" s="67">
        <f t="shared" si="4"/>
        <v>1217.5656925521207</v>
      </c>
      <c r="H30" s="67">
        <f t="shared" si="4"/>
        <v>1218.1984252284728</v>
      </c>
      <c r="I30" s="67">
        <f t="shared" si="4"/>
        <v>1218.171199182902</v>
      </c>
      <c r="J30" s="67">
        <f t="shared" ref="J30" si="5">J10-J28</f>
        <v>1217.2875541095275</v>
      </c>
    </row>
    <row r="31" spans="2:10" x14ac:dyDescent="0.2">
      <c r="B31" s="74"/>
      <c r="J31" s="68"/>
    </row>
    <row r="32" spans="2:10" x14ac:dyDescent="0.2">
      <c r="B32" s="74" t="s">
        <v>202</v>
      </c>
      <c r="C32" s="69">
        <f>C17/C30</f>
        <v>0.51509112421033831</v>
      </c>
      <c r="D32" s="69">
        <f t="shared" ref="D32:I32" si="6">D17/D30</f>
        <v>0.39640939800590264</v>
      </c>
      <c r="E32" s="69">
        <f t="shared" si="6"/>
        <v>0.35608874614118785</v>
      </c>
      <c r="F32" s="69">
        <f t="shared" si="6"/>
        <v>0.31328863598312912</v>
      </c>
      <c r="G32" s="69">
        <f t="shared" si="6"/>
        <v>0.26743505824566449</v>
      </c>
      <c r="H32" s="69">
        <f t="shared" si="6"/>
        <v>0.21790446512742248</v>
      </c>
      <c r="I32" s="69">
        <f t="shared" si="6"/>
        <v>0.16400616955076444</v>
      </c>
      <c r="J32" s="69">
        <f t="shared" ref="J32" si="7">J17/J30</f>
        <v>0.10496090881032603</v>
      </c>
    </row>
    <row r="33" spans="2:10" x14ac:dyDescent="0.2">
      <c r="B33" s="74"/>
      <c r="J33" s="68"/>
    </row>
    <row r="34" spans="2:10" x14ac:dyDescent="0.2">
      <c r="B34" s="74" t="s">
        <v>203</v>
      </c>
      <c r="C34" s="69">
        <f>1-C32</f>
        <v>0.48490887578966169</v>
      </c>
      <c r="D34" s="69">
        <f t="shared" ref="D34:I34" si="8">1-D32</f>
        <v>0.60359060199409731</v>
      </c>
      <c r="E34" s="69">
        <f t="shared" si="8"/>
        <v>0.64391125385881209</v>
      </c>
      <c r="F34" s="69">
        <f t="shared" si="8"/>
        <v>0.68671136401687094</v>
      </c>
      <c r="G34" s="69">
        <f t="shared" si="8"/>
        <v>0.73256494175433551</v>
      </c>
      <c r="H34" s="69">
        <f t="shared" si="8"/>
        <v>0.78209553487257755</v>
      </c>
      <c r="I34" s="69">
        <f t="shared" si="8"/>
        <v>0.83599383044923559</v>
      </c>
      <c r="J34" s="69">
        <f t="shared" ref="J34" si="9">1-J32</f>
        <v>0.89503909118967395</v>
      </c>
    </row>
    <row r="35" spans="2:10" x14ac:dyDescent="0.2">
      <c r="B35" s="75"/>
      <c r="J35" s="68"/>
    </row>
    <row r="36" spans="2:10" x14ac:dyDescent="0.2">
      <c r="B36" s="74" t="s">
        <v>204</v>
      </c>
      <c r="C36" s="69">
        <f>(C17-C16)/C30</f>
        <v>0.44741008549309608</v>
      </c>
      <c r="D36" s="69">
        <f t="shared" ref="D36:I36" si="10">(D17-D16)/D30</f>
        <v>0.33744176963956568</v>
      </c>
      <c r="E36" s="69">
        <f t="shared" si="10"/>
        <v>0.30526111154697194</v>
      </c>
      <c r="F36" s="69">
        <f t="shared" si="10"/>
        <v>0.26943323072502073</v>
      </c>
      <c r="G36" s="69">
        <f t="shared" si="10"/>
        <v>0.2295541744183712</v>
      </c>
      <c r="H36" s="69">
        <f t="shared" si="10"/>
        <v>0.18514488200779977</v>
      </c>
      <c r="I36" s="69">
        <f t="shared" si="10"/>
        <v>0.13563776379367917</v>
      </c>
      <c r="J36" s="69">
        <f t="shared" ref="J36" si="11">(J17-J16)/J30</f>
        <v>8.0358598255850205E-2</v>
      </c>
    </row>
  </sheetData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2:M48"/>
  <sheetViews>
    <sheetView topLeftCell="A31" workbookViewId="0">
      <selection activeCell="J14" sqref="J14"/>
    </sheetView>
  </sheetViews>
  <sheetFormatPr defaultRowHeight="12" x14ac:dyDescent="0.15"/>
  <cols>
    <col min="1" max="1" width="9.140625" style="11"/>
    <col min="2" max="2" width="25.42578125" style="11" customWidth="1"/>
    <col min="3" max="9" width="9.140625" style="11"/>
    <col min="10" max="10" width="10.140625" style="11" bestFit="1" customWidth="1"/>
    <col min="11" max="16384" width="9.140625" style="11"/>
  </cols>
  <sheetData>
    <row r="2" spans="2:13" ht="15.75" x14ac:dyDescent="0.15">
      <c r="B2" s="80" t="str">
        <f>Historicals!B2</f>
        <v>Al-Saqib Exports Private Limited</v>
      </c>
      <c r="C2" s="72"/>
      <c r="D2" s="72"/>
      <c r="E2" s="72"/>
      <c r="F2" s="72"/>
      <c r="G2" s="72"/>
      <c r="H2" s="72"/>
      <c r="I2" s="72"/>
    </row>
    <row r="4" spans="2:13" ht="15" x14ac:dyDescent="0.25">
      <c r="B4" s="79" t="s">
        <v>371</v>
      </c>
    </row>
    <row r="5" spans="2:13" ht="15" x14ac:dyDescent="0.25">
      <c r="B5" s="79"/>
    </row>
    <row r="6" spans="2:13" ht="12.75" x14ac:dyDescent="0.2">
      <c r="B6" s="70" t="s">
        <v>337</v>
      </c>
    </row>
    <row r="7" spans="2:13" ht="15" x14ac:dyDescent="0.25">
      <c r="B7" s="78"/>
      <c r="C7" s="78"/>
      <c r="D7" s="78"/>
      <c r="E7" s="78"/>
      <c r="F7" s="78"/>
      <c r="G7" s="78"/>
      <c r="H7" s="78"/>
      <c r="I7" s="78"/>
    </row>
    <row r="8" spans="2:13" ht="12.75" x14ac:dyDescent="0.2">
      <c r="B8" s="71" t="s">
        <v>127</v>
      </c>
      <c r="C8" s="63" t="s">
        <v>104</v>
      </c>
      <c r="D8" s="63" t="s">
        <v>105</v>
      </c>
      <c r="E8" s="63" t="s">
        <v>106</v>
      </c>
      <c r="F8" s="63" t="s">
        <v>107</v>
      </c>
      <c r="G8" s="63" t="s">
        <v>108</v>
      </c>
      <c r="H8" s="63" t="s">
        <v>109</v>
      </c>
      <c r="I8" s="63" t="s">
        <v>110</v>
      </c>
      <c r="J8" s="63" t="s">
        <v>354</v>
      </c>
    </row>
    <row r="10" spans="2:13" ht="12.75" x14ac:dyDescent="0.2">
      <c r="B10" s="70" t="s">
        <v>225</v>
      </c>
    </row>
    <row r="11" spans="2:13" ht="12.75" x14ac:dyDescent="0.2">
      <c r="B11" s="51" t="s">
        <v>128</v>
      </c>
      <c r="C11" s="68">
        <f>'Projected P&amp;L'!F8</f>
        <v>702.31908250000004</v>
      </c>
      <c r="D11" s="68">
        <f>'Projected P&amp;L'!H8</f>
        <v>1432.8</v>
      </c>
      <c r="E11" s="68">
        <f>'Projected P&amp;L'!I8</f>
        <v>1450.44</v>
      </c>
      <c r="F11" s="68">
        <f>'Projected P&amp;L'!J8</f>
        <v>1468.962</v>
      </c>
      <c r="G11" s="68">
        <f>'Projected P&amp;L'!K8</f>
        <v>1488.4101000000001</v>
      </c>
      <c r="H11" s="68">
        <f>'Projected P&amp;L'!L8</f>
        <v>1508.8306050000001</v>
      </c>
      <c r="I11" s="68">
        <f>'Projected P&amp;L'!M8</f>
        <v>1530.2721352500002</v>
      </c>
      <c r="J11" s="68">
        <f>'Projected P&amp;L'!N8</f>
        <v>1552.7857420125001</v>
      </c>
    </row>
    <row r="12" spans="2:13" ht="12.75" x14ac:dyDescent="0.2">
      <c r="B12" s="51"/>
      <c r="C12" s="68"/>
      <c r="D12" s="68"/>
      <c r="E12" s="68"/>
      <c r="F12" s="68"/>
      <c r="G12" s="68"/>
      <c r="H12" s="68"/>
      <c r="I12" s="68"/>
      <c r="J12" s="68"/>
    </row>
    <row r="13" spans="2:13" ht="12.75" x14ac:dyDescent="0.2">
      <c r="B13" s="70" t="s">
        <v>226</v>
      </c>
      <c r="C13" s="68"/>
      <c r="D13" s="68"/>
      <c r="E13" s="68"/>
      <c r="F13" s="68"/>
      <c r="G13" s="68"/>
      <c r="H13" s="68"/>
      <c r="I13" s="68"/>
      <c r="J13" s="68"/>
    </row>
    <row r="14" spans="2:13" ht="12.75" x14ac:dyDescent="0.2">
      <c r="B14" s="51" t="s">
        <v>227</v>
      </c>
      <c r="C14" s="68">
        <f>+'Projected P&amp;L'!F18-'Projected P&amp;L'!F19+(('Projected P&amp;L'!F21+'Projected P&amp;L'!F13)*1.05)</f>
        <v>304.33509450000003</v>
      </c>
      <c r="D14" s="68">
        <f>+'Projected P&amp;L'!H18-'Projected P&amp;L'!H19+(('Projected P&amp;L'!H21+'Projected P&amp;L'!H13)*1.05)</f>
        <v>231.39292396500002</v>
      </c>
      <c r="E14" s="68">
        <f>+'Projected P&amp;L'!I18-'Projected P&amp;L'!I19+(('Projected P&amp;L'!I21+'Projected P&amp;L'!I13)*1.05)</f>
        <v>241.16990605155004</v>
      </c>
      <c r="F14" s="68">
        <f>+'Projected P&amp;L'!J18-'Projected P&amp;L'!J19+(('Projected P&amp;L'!J21+'Projected P&amp;L'!J13)*1.05)</f>
        <v>251.39988396019359</v>
      </c>
      <c r="G14" s="68">
        <f>+'Projected P&amp;L'!K18-'Projected P&amp;L'!K19+(('Projected P&amp;L'!K21+'Projected P&amp;L'!K13)*1.05)</f>
        <v>262.10479041639059</v>
      </c>
      <c r="H14" s="68">
        <f>+'Projected P&amp;L'!L18-'Projected P&amp;L'!L19+(('Projected P&amp;L'!L21+'Projected P&amp;L'!L13)*1.05)</f>
        <v>273.30764044056122</v>
      </c>
      <c r="I14" s="68">
        <f>+'Projected P&amp;L'!M18-'Projected P&amp;L'!M19+(('Projected P&amp;L'!M21+'Projected P&amp;L'!M13)*1.05)</f>
        <v>285.03258517600733</v>
      </c>
      <c r="J14" s="68">
        <f>+'Projected P&amp;L'!N18-'Projected P&amp;L'!N19+(('Projected P&amp;L'!N21+'Projected P&amp;L'!N13)*1.05)</f>
        <v>297.30496840249413</v>
      </c>
      <c r="K14" s="68"/>
      <c r="L14" s="68"/>
      <c r="M14" s="68"/>
    </row>
    <row r="15" spans="2:13" ht="12.75" x14ac:dyDescent="0.2">
      <c r="B15" s="51" t="s">
        <v>228</v>
      </c>
      <c r="C15" s="68">
        <f>'Projected P&amp;L'!F24+'Projected P&amp;L'!F25</f>
        <v>120.59088</v>
      </c>
      <c r="D15" s="68">
        <f>'Projected P&amp;L'!H24+'Projected P&amp;L'!H25</f>
        <v>352.57443999999998</v>
      </c>
      <c r="E15" s="68">
        <f>'Projected P&amp;L'!I24+'Projected P&amp;L'!I25</f>
        <v>312.85755</v>
      </c>
      <c r="F15" s="68">
        <f>'Projected P&amp;L'!J24+'Projected P&amp;L'!J25</f>
        <v>268.54462999999998</v>
      </c>
      <c r="G15" s="68">
        <f>'Projected P&amp;L'!K24+'Projected P&amp;L'!K25</f>
        <v>219.10397</v>
      </c>
      <c r="H15" s="68">
        <f>'Projected P&amp;L'!L24+'Projected P&amp;L'!L25</f>
        <v>163.94202000000001</v>
      </c>
      <c r="I15" s="68">
        <f>'Projected P&amp;L'!M24+'Projected P&amp;L'!M25</f>
        <v>102.39681</v>
      </c>
      <c r="J15" s="68">
        <f>'Projected P&amp;L'!N24+'Projected P&amp;L'!N25</f>
        <v>33.729649999999999</v>
      </c>
    </row>
    <row r="16" spans="2:13" ht="12.75" x14ac:dyDescent="0.2">
      <c r="B16" s="51" t="s">
        <v>24</v>
      </c>
      <c r="C16" s="68">
        <f>'Projected P&amp;L'!F16</f>
        <v>27.663971120000014</v>
      </c>
      <c r="D16" s="68">
        <f>'Projected P&amp;L'!H16</f>
        <v>71.557011577500006</v>
      </c>
      <c r="E16" s="68">
        <f>'Projected P&amp;L'!I16</f>
        <v>61.757818977824996</v>
      </c>
      <c r="F16" s="68">
        <f>'Projected P&amp;L'!J16</f>
        <v>53.34818624780624</v>
      </c>
      <c r="G16" s="68">
        <f>'Projected P&amp;L'!K16</f>
        <v>46.122464551664812</v>
      </c>
      <c r="H16" s="68">
        <f>'Projected P&amp;L'!L16</f>
        <v>39.907672567465639</v>
      </c>
      <c r="I16" s="68">
        <f>'Projected P&amp;L'!M16</f>
        <v>34.557574860015698</v>
      </c>
      <c r="J16" s="68">
        <f>'Projected P&amp;L'!N16</f>
        <v>29.94808644030088</v>
      </c>
    </row>
    <row r="17" spans="2:11" ht="12.75" x14ac:dyDescent="0.2">
      <c r="B17" s="70" t="s">
        <v>229</v>
      </c>
      <c r="C17" s="68">
        <f>SUM(C14:C16)</f>
        <v>452.58994562000009</v>
      </c>
      <c r="D17" s="68">
        <f t="shared" ref="D17:I17" si="0">SUM(D14:D16)</f>
        <v>655.52437554250002</v>
      </c>
      <c r="E17" s="68">
        <f t="shared" si="0"/>
        <v>615.78527502937504</v>
      </c>
      <c r="F17" s="68">
        <f t="shared" si="0"/>
        <v>573.29270020799981</v>
      </c>
      <c r="G17" s="68">
        <f t="shared" si="0"/>
        <v>527.33122496805538</v>
      </c>
      <c r="H17" s="68">
        <f t="shared" si="0"/>
        <v>477.15733300802685</v>
      </c>
      <c r="I17" s="68">
        <f t="shared" si="0"/>
        <v>421.98697003602302</v>
      </c>
      <c r="J17" s="68">
        <f t="shared" ref="J17" si="1">SUM(J14:J16)</f>
        <v>360.98270484279499</v>
      </c>
    </row>
    <row r="18" spans="2:11" ht="12.75" x14ac:dyDescent="0.2">
      <c r="B18" s="51"/>
      <c r="C18" s="68"/>
      <c r="D18" s="68"/>
      <c r="E18" s="68"/>
      <c r="F18" s="68"/>
      <c r="G18" s="68"/>
      <c r="H18" s="68"/>
      <c r="I18" s="68"/>
      <c r="J18" s="68"/>
    </row>
    <row r="19" spans="2:11" ht="12.75" x14ac:dyDescent="0.2">
      <c r="B19" s="51" t="s">
        <v>230</v>
      </c>
      <c r="C19" s="68">
        <f t="shared" ref="C19:I19" si="2">C11-C17</f>
        <v>249.72913687999994</v>
      </c>
      <c r="D19" s="68">
        <f t="shared" si="2"/>
        <v>777.27562445749993</v>
      </c>
      <c r="E19" s="68">
        <f t="shared" si="2"/>
        <v>834.65472497062501</v>
      </c>
      <c r="F19" s="68">
        <f t="shared" si="2"/>
        <v>895.66929979200017</v>
      </c>
      <c r="G19" s="68">
        <f t="shared" si="2"/>
        <v>961.07887503194468</v>
      </c>
      <c r="H19" s="68">
        <f t="shared" si="2"/>
        <v>1031.6732719919733</v>
      </c>
      <c r="I19" s="68">
        <f t="shared" si="2"/>
        <v>1108.2851652139773</v>
      </c>
      <c r="J19" s="68">
        <f t="shared" ref="J19" si="3">J11-J17</f>
        <v>1191.803037169705</v>
      </c>
    </row>
    <row r="20" spans="2:11" ht="12.75" x14ac:dyDescent="0.2">
      <c r="B20" s="51" t="s">
        <v>231</v>
      </c>
      <c r="C20" s="68">
        <f>IF(C19&lt;0,0,C19*'Projected P&amp;L'!$R$28)</f>
        <v>69.474645880015984</v>
      </c>
      <c r="D20" s="68">
        <f>IF(D19&lt;0,0,D19*'Projected P&amp;L'!$R$28)</f>
        <v>216.23807872407647</v>
      </c>
      <c r="E20" s="68">
        <f>IF(E19&lt;0,0,E19*'Projected P&amp;L'!$R$28)</f>
        <v>232.20094448682789</v>
      </c>
      <c r="F20" s="68">
        <f>IF(F19&lt;0,0,F19*'Projected P&amp;L'!$R$28)</f>
        <v>249.17519920213445</v>
      </c>
      <c r="G20" s="68">
        <f>IF(G19&lt;0,0,G19*'Projected P&amp;L'!$R$28)</f>
        <v>267.37214303388703</v>
      </c>
      <c r="H20" s="68">
        <f>IF(H19&lt;0,0,H19*'Projected P&amp;L'!$R$28)</f>
        <v>287.01150426816696</v>
      </c>
      <c r="I20" s="68">
        <f>IF(I19&lt;0,0,I19*'Projected P&amp;L'!$R$28)</f>
        <v>308.32493296252846</v>
      </c>
      <c r="J20" s="68">
        <f>IF(J19&lt;0,0,J19*'Projected P&amp;L'!$R$28)</f>
        <v>331.55960494061196</v>
      </c>
    </row>
    <row r="21" spans="2:11" ht="12.75" x14ac:dyDescent="0.2">
      <c r="B21" s="51" t="s">
        <v>232</v>
      </c>
      <c r="C21" s="68">
        <f>C19-C20</f>
        <v>180.25449099998394</v>
      </c>
      <c r="D21" s="68">
        <f t="shared" ref="D21:I21" si="4">D19-D20</f>
        <v>561.03754573342349</v>
      </c>
      <c r="E21" s="68">
        <f t="shared" si="4"/>
        <v>602.45378048379712</v>
      </c>
      <c r="F21" s="68">
        <f t="shared" si="4"/>
        <v>646.49410058986575</v>
      </c>
      <c r="G21" s="68">
        <f t="shared" si="4"/>
        <v>693.70673199805765</v>
      </c>
      <c r="H21" s="68">
        <f t="shared" si="4"/>
        <v>744.66176772380629</v>
      </c>
      <c r="I21" s="68">
        <f t="shared" si="4"/>
        <v>799.96023225144882</v>
      </c>
      <c r="J21" s="68">
        <f t="shared" ref="J21" si="5">J19-J20</f>
        <v>860.24343222909306</v>
      </c>
    </row>
    <row r="22" spans="2:11" ht="12.75" x14ac:dyDescent="0.2">
      <c r="B22" s="51" t="s">
        <v>149</v>
      </c>
      <c r="C22" s="68">
        <f t="shared" ref="C22:I22" si="6">C21+C16</f>
        <v>207.91846211998396</v>
      </c>
      <c r="D22" s="68">
        <f t="shared" si="6"/>
        <v>632.59455731092351</v>
      </c>
      <c r="E22" s="68">
        <f t="shared" si="6"/>
        <v>664.21159946162209</v>
      </c>
      <c r="F22" s="68">
        <f t="shared" si="6"/>
        <v>699.84228683767196</v>
      </c>
      <c r="G22" s="68">
        <f t="shared" si="6"/>
        <v>739.8291965497225</v>
      </c>
      <c r="H22" s="68">
        <f t="shared" si="6"/>
        <v>784.56944029127192</v>
      </c>
      <c r="I22" s="68">
        <f t="shared" si="6"/>
        <v>834.51780711146455</v>
      </c>
      <c r="J22" s="68">
        <f t="shared" ref="J22" si="7">J21+J16</f>
        <v>890.19151866939399</v>
      </c>
      <c r="K22" s="68">
        <f>SUM(C22:J22)</f>
        <v>5453.6748683520545</v>
      </c>
    </row>
    <row r="23" spans="2:11" ht="12.75" x14ac:dyDescent="0.2">
      <c r="B23" s="51" t="s">
        <v>233</v>
      </c>
      <c r="C23" s="68">
        <f>'Projected P&amp;L'!F24</f>
        <v>120.59088</v>
      </c>
      <c r="D23" s="68">
        <f>'Projected P&amp;L'!H24</f>
        <v>352.57443999999998</v>
      </c>
      <c r="E23" s="68">
        <f>'Projected P&amp;L'!I24</f>
        <v>312.85755</v>
      </c>
      <c r="F23" s="68">
        <f>'Projected P&amp;L'!J24</f>
        <v>268.54462999999998</v>
      </c>
      <c r="G23" s="68">
        <f>'Projected P&amp;L'!K24</f>
        <v>219.10397</v>
      </c>
      <c r="H23" s="68">
        <f>'Projected P&amp;L'!L24</f>
        <v>163.94202000000001</v>
      </c>
      <c r="I23" s="68">
        <f>'Projected P&amp;L'!M24</f>
        <v>102.39681</v>
      </c>
      <c r="J23" s="68">
        <f>'Projected P&amp;L'!N24</f>
        <v>33.729649999999999</v>
      </c>
      <c r="K23" s="68">
        <f t="shared" ref="K23:K24" si="8">SUM(C23:J23)</f>
        <v>1573.7399500000001</v>
      </c>
    </row>
    <row r="24" spans="2:11" ht="12.75" x14ac:dyDescent="0.2">
      <c r="B24" s="51" t="s">
        <v>234</v>
      </c>
      <c r="C24" s="68">
        <f>DSCR!C8</f>
        <v>26.941114336821435</v>
      </c>
      <c r="D24" s="68">
        <f>DSCR!D8</f>
        <v>343.21885204185725</v>
      </c>
      <c r="E24" s="68">
        <f>DSCR!E8</f>
        <v>382.93574204185722</v>
      </c>
      <c r="F24" s="68">
        <f>DSCR!F8</f>
        <v>427.24866204185724</v>
      </c>
      <c r="G24" s="68">
        <f>DSCR!G8</f>
        <v>476.68932204185722</v>
      </c>
      <c r="H24" s="68">
        <f>DSCR!H8</f>
        <v>531.85127204185721</v>
      </c>
      <c r="I24" s="68">
        <f>DSCR!I8</f>
        <v>593.39648204185721</v>
      </c>
      <c r="J24" s="68">
        <f>DSCR!J8</f>
        <v>604.08091821203902</v>
      </c>
      <c r="K24" s="68">
        <f t="shared" si="8"/>
        <v>3386.3623648000039</v>
      </c>
    </row>
    <row r="25" spans="2:11" ht="12.75" x14ac:dyDescent="0.2">
      <c r="B25" s="51" t="s">
        <v>235</v>
      </c>
      <c r="C25" s="68">
        <f>(C22+C23)/(C23+C24)</f>
        <v>2.2266989855094348</v>
      </c>
      <c r="D25" s="68">
        <f t="shared" ref="D25:K25" si="9">(D22+D23)/(D23+D24)</f>
        <v>1.4158932093465166</v>
      </c>
      <c r="E25" s="68">
        <f t="shared" si="9"/>
        <v>1.4042520395595364</v>
      </c>
      <c r="F25" s="68">
        <f t="shared" si="9"/>
        <v>1.3917738614522546</v>
      </c>
      <c r="G25" s="68">
        <f t="shared" si="9"/>
        <v>1.3781868516375915</v>
      </c>
      <c r="H25" s="68">
        <f t="shared" si="9"/>
        <v>1.3632086873211933</v>
      </c>
      <c r="I25" s="68">
        <f t="shared" si="9"/>
        <v>1.3465416062894469</v>
      </c>
      <c r="J25" s="68">
        <f t="shared" si="9"/>
        <v>1.4485824078760607</v>
      </c>
      <c r="K25" s="68">
        <f t="shared" si="9"/>
        <v>1.4167882782142582</v>
      </c>
    </row>
    <row r="29" spans="2:11" ht="12.75" x14ac:dyDescent="0.2">
      <c r="B29" s="70" t="s">
        <v>236</v>
      </c>
    </row>
    <row r="30" spans="2:11" ht="15" x14ac:dyDescent="0.25">
      <c r="B30" s="78"/>
      <c r="C30" s="78"/>
      <c r="D30" s="78"/>
      <c r="E30" s="78"/>
      <c r="F30" s="78"/>
      <c r="G30" s="78"/>
      <c r="H30" s="78"/>
      <c r="I30" s="78"/>
      <c r="J30" s="78"/>
    </row>
    <row r="31" spans="2:11" ht="12.75" x14ac:dyDescent="0.2">
      <c r="B31" s="71" t="s">
        <v>127</v>
      </c>
      <c r="C31" s="63" t="s">
        <v>104</v>
      </c>
      <c r="D31" s="63" t="s">
        <v>105</v>
      </c>
      <c r="E31" s="63" t="s">
        <v>106</v>
      </c>
      <c r="F31" s="63" t="s">
        <v>107</v>
      </c>
      <c r="G31" s="63" t="s">
        <v>108</v>
      </c>
      <c r="H31" s="63" t="s">
        <v>109</v>
      </c>
      <c r="I31" s="63" t="s">
        <v>110</v>
      </c>
      <c r="J31" s="63" t="s">
        <v>354</v>
      </c>
    </row>
    <row r="33" spans="2:11" ht="12.75" x14ac:dyDescent="0.2">
      <c r="B33" s="70" t="s">
        <v>225</v>
      </c>
    </row>
    <row r="34" spans="2:11" ht="12.75" x14ac:dyDescent="0.2">
      <c r="B34" s="51" t="s">
        <v>128</v>
      </c>
      <c r="C34" s="68">
        <f>'Projected P&amp;L'!F8*0.95</f>
        <v>667.20312837500001</v>
      </c>
      <c r="D34" s="68">
        <f>'Projected P&amp;L'!H8*0.95</f>
        <v>1361.1599999999999</v>
      </c>
      <c r="E34" s="68">
        <f>'Projected P&amp;L'!I8*0.95</f>
        <v>1377.9179999999999</v>
      </c>
      <c r="F34" s="68">
        <f>'Projected P&amp;L'!J8*0.95</f>
        <v>1395.5138999999999</v>
      </c>
      <c r="G34" s="68">
        <f>'Projected P&amp;L'!K8*0.95</f>
        <v>1413.989595</v>
      </c>
      <c r="H34" s="68">
        <f>'Projected P&amp;L'!L8*0.95</f>
        <v>1433.38907475</v>
      </c>
      <c r="I34" s="68">
        <f>'Projected P&amp;L'!M8*0.95</f>
        <v>1453.7585284875001</v>
      </c>
      <c r="J34" s="68">
        <f>'Projected P&amp;L'!N8*0.95</f>
        <v>1475.146454911875</v>
      </c>
    </row>
    <row r="35" spans="2:11" ht="12.75" x14ac:dyDescent="0.2">
      <c r="B35" s="51"/>
      <c r="C35" s="68"/>
      <c r="D35" s="68"/>
      <c r="E35" s="68"/>
      <c r="F35" s="68"/>
      <c r="G35" s="68"/>
      <c r="H35" s="68"/>
      <c r="I35" s="68"/>
      <c r="J35" s="68"/>
    </row>
    <row r="36" spans="2:11" ht="12.75" x14ac:dyDescent="0.2">
      <c r="B36" s="70" t="s">
        <v>226</v>
      </c>
      <c r="C36" s="68"/>
      <c r="D36" s="68"/>
      <c r="E36" s="68"/>
      <c r="F36" s="68"/>
      <c r="G36" s="68"/>
      <c r="H36" s="68"/>
      <c r="I36" s="68"/>
      <c r="J36" s="68"/>
    </row>
    <row r="37" spans="2:11" ht="12.75" x14ac:dyDescent="0.2">
      <c r="B37" s="51" t="s">
        <v>227</v>
      </c>
      <c r="C37" s="68">
        <f>+'Projected P&amp;L'!F18-'Projected P&amp;L'!F19+('Projected P&amp;L'!F21*1)+'Projected P&amp;L'!F13</f>
        <v>300.81052249999999</v>
      </c>
      <c r="D37" s="68">
        <f>+'Projected P&amp;L'!H18-'Projected P&amp;L'!H19+('Projected P&amp;L'!H21*1)+'Projected P&amp;L'!H13</f>
        <v>220.37421330000001</v>
      </c>
      <c r="E37" s="68">
        <f>+'Projected P&amp;L'!I18-'Projected P&amp;L'!I19+('Projected P&amp;L'!I21*1)+'Projected P&amp;L'!I13</f>
        <v>229.68562481100003</v>
      </c>
      <c r="F37" s="68">
        <f>+'Projected P&amp;L'!J18-'Projected P&amp;L'!J19+('Projected P&amp;L'!J21*1)+'Projected P&amp;L'!J13</f>
        <v>239.42846091447007</v>
      </c>
      <c r="G37" s="68">
        <f>+'Projected P&amp;L'!K18-'Projected P&amp;L'!K19+('Projected P&amp;L'!K21*1)+'Projected P&amp;L'!K13</f>
        <v>249.62360992037196</v>
      </c>
      <c r="H37" s="68">
        <f>+'Projected P&amp;L'!L18-'Projected P&amp;L'!L19+('Projected P&amp;L'!L21*1)+'Projected P&amp;L'!L13</f>
        <v>260.29299089577256</v>
      </c>
      <c r="I37" s="68">
        <f>+'Projected P&amp;L'!M18-'Projected P&amp;L'!M19+('Projected P&amp;L'!M21*1)+'Projected P&amp;L'!M13</f>
        <v>271.45960492953077</v>
      </c>
      <c r="J37" s="68">
        <f>+'Projected P&amp;L'!N18-'Projected P&amp;L'!N19+('Projected P&amp;L'!N21*1)+'Projected P&amp;L'!N13</f>
        <v>283.14758895475632</v>
      </c>
    </row>
    <row r="38" spans="2:11" ht="12.75" x14ac:dyDescent="0.2">
      <c r="B38" s="51" t="s">
        <v>228</v>
      </c>
      <c r="C38" s="68">
        <f t="shared" ref="C38:J39" si="10">C15</f>
        <v>120.59088</v>
      </c>
      <c r="D38" s="68">
        <f t="shared" si="10"/>
        <v>352.57443999999998</v>
      </c>
      <c r="E38" s="68">
        <f t="shared" si="10"/>
        <v>312.85755</v>
      </c>
      <c r="F38" s="68">
        <f t="shared" si="10"/>
        <v>268.54462999999998</v>
      </c>
      <c r="G38" s="68">
        <f t="shared" si="10"/>
        <v>219.10397</v>
      </c>
      <c r="H38" s="68">
        <f t="shared" si="10"/>
        <v>163.94202000000001</v>
      </c>
      <c r="I38" s="68">
        <f t="shared" si="10"/>
        <v>102.39681</v>
      </c>
      <c r="J38" s="68">
        <f t="shared" si="10"/>
        <v>33.729649999999999</v>
      </c>
    </row>
    <row r="39" spans="2:11" ht="12.75" x14ac:dyDescent="0.2">
      <c r="B39" s="51" t="s">
        <v>24</v>
      </c>
      <c r="C39" s="68">
        <f t="shared" si="10"/>
        <v>27.663971120000014</v>
      </c>
      <c r="D39" s="68">
        <f t="shared" si="10"/>
        <v>71.557011577500006</v>
      </c>
      <c r="E39" s="68">
        <f t="shared" si="10"/>
        <v>61.757818977824996</v>
      </c>
      <c r="F39" s="68">
        <f t="shared" si="10"/>
        <v>53.34818624780624</v>
      </c>
      <c r="G39" s="68">
        <f t="shared" si="10"/>
        <v>46.122464551664812</v>
      </c>
      <c r="H39" s="68">
        <f t="shared" si="10"/>
        <v>39.907672567465639</v>
      </c>
      <c r="I39" s="68">
        <f t="shared" si="10"/>
        <v>34.557574860015698</v>
      </c>
      <c r="J39" s="68">
        <f t="shared" si="10"/>
        <v>29.94808644030088</v>
      </c>
    </row>
    <row r="40" spans="2:11" ht="12.75" x14ac:dyDescent="0.2">
      <c r="B40" s="70" t="s">
        <v>229</v>
      </c>
      <c r="C40" s="68">
        <f>SUM(C37:C39)</f>
        <v>449.06537362000006</v>
      </c>
      <c r="D40" s="68">
        <f t="shared" ref="D40:I40" si="11">SUM(D37:D39)</f>
        <v>644.50566487749995</v>
      </c>
      <c r="E40" s="68">
        <f t="shared" si="11"/>
        <v>604.30099378882494</v>
      </c>
      <c r="F40" s="68">
        <f t="shared" si="11"/>
        <v>561.32127716227626</v>
      </c>
      <c r="G40" s="68">
        <f t="shared" si="11"/>
        <v>514.85004447203676</v>
      </c>
      <c r="H40" s="68">
        <f t="shared" si="11"/>
        <v>464.1426834632382</v>
      </c>
      <c r="I40" s="68">
        <f t="shared" si="11"/>
        <v>408.41398978954646</v>
      </c>
      <c r="J40" s="68">
        <f t="shared" ref="J40" si="12">SUM(J37:J39)</f>
        <v>346.82532539505718</v>
      </c>
    </row>
    <row r="41" spans="2:11" ht="12.75" x14ac:dyDescent="0.2">
      <c r="B41" s="51"/>
      <c r="C41" s="68"/>
      <c r="D41" s="68"/>
      <c r="E41" s="68"/>
      <c r="F41" s="68"/>
      <c r="G41" s="68"/>
      <c r="H41" s="68"/>
      <c r="I41" s="68"/>
      <c r="J41" s="68"/>
    </row>
    <row r="42" spans="2:11" ht="12.75" x14ac:dyDescent="0.2">
      <c r="B42" s="51" t="s">
        <v>230</v>
      </c>
      <c r="C42" s="68">
        <f>C34-C40</f>
        <v>218.13775475499995</v>
      </c>
      <c r="D42" s="68">
        <f t="shared" ref="D42:I42" si="13">D34-D40</f>
        <v>716.6543351224999</v>
      </c>
      <c r="E42" s="68">
        <f t="shared" si="13"/>
        <v>773.61700621117495</v>
      </c>
      <c r="F42" s="68">
        <f t="shared" si="13"/>
        <v>834.19262283772366</v>
      </c>
      <c r="G42" s="68">
        <f t="shared" si="13"/>
        <v>899.13955052796325</v>
      </c>
      <c r="H42" s="68">
        <f t="shared" si="13"/>
        <v>969.24639128676176</v>
      </c>
      <c r="I42" s="68">
        <f t="shared" si="13"/>
        <v>1045.3445386979538</v>
      </c>
      <c r="J42" s="68">
        <f t="shared" ref="J42" si="14">J34-J40</f>
        <v>1128.3211295168178</v>
      </c>
    </row>
    <row r="43" spans="2:11" ht="12.75" x14ac:dyDescent="0.2">
      <c r="B43" s="51" t="s">
        <v>231</v>
      </c>
      <c r="C43" s="68">
        <f>IF(C42&lt;0,0,C42*'Projected P&amp;L'!$R$28)</f>
        <v>60.685923372840989</v>
      </c>
      <c r="D43" s="68">
        <f>IF(D42&lt;0,0,D42*'Projected P&amp;L'!$R$28)</f>
        <v>199.37323603107947</v>
      </c>
      <c r="E43" s="68">
        <f>IF(E42&lt;0,0,E42*'Projected P&amp;L'!$R$28)</f>
        <v>215.22025112794887</v>
      </c>
      <c r="F43" s="68">
        <f>IF(F42&lt;0,0,F42*'Projected P&amp;L'!$R$28)</f>
        <v>232.07238767345473</v>
      </c>
      <c r="G43" s="68">
        <f>IF(G42&lt;0,0,G42*'Projected P&amp;L'!$R$28)</f>
        <v>250.14062295687938</v>
      </c>
      <c r="H43" s="68">
        <f>IF(H42&lt;0,0,H42*'Projected P&amp;L'!$R$28)</f>
        <v>269.64434605597711</v>
      </c>
      <c r="I43" s="68">
        <f>IF(I42&lt;0,0,I42*'Projected P&amp;L'!$R$28)</f>
        <v>290.81485066577073</v>
      </c>
      <c r="J43" s="68">
        <f>IF(J42&lt;0,0,J42*'Projected P&amp;L'!$R$28)</f>
        <v>313.89893823157871</v>
      </c>
    </row>
    <row r="44" spans="2:11" ht="12.75" x14ac:dyDescent="0.2">
      <c r="B44" s="51" t="s">
        <v>232</v>
      </c>
      <c r="C44" s="68">
        <f>C42-C43</f>
        <v>157.45183138215896</v>
      </c>
      <c r="D44" s="68">
        <f t="shared" ref="D44:I44" si="15">D42-D43</f>
        <v>517.2810990914204</v>
      </c>
      <c r="E44" s="68">
        <f t="shared" si="15"/>
        <v>558.39675508322603</v>
      </c>
      <c r="F44" s="68">
        <f t="shared" si="15"/>
        <v>602.12023516426893</v>
      </c>
      <c r="G44" s="68">
        <f t="shared" si="15"/>
        <v>648.99892757108387</v>
      </c>
      <c r="H44" s="68">
        <f t="shared" si="15"/>
        <v>699.6020452307846</v>
      </c>
      <c r="I44" s="68">
        <f t="shared" si="15"/>
        <v>754.529688032183</v>
      </c>
      <c r="J44" s="68">
        <f t="shared" ref="J44" si="16">J42-J43</f>
        <v>814.42219128523902</v>
      </c>
    </row>
    <row r="45" spans="2:11" ht="12.75" x14ac:dyDescent="0.2">
      <c r="B45" s="51" t="s">
        <v>149</v>
      </c>
      <c r="C45" s="68">
        <f t="shared" ref="C45:I45" si="17">C44+C39</f>
        <v>185.11580250215897</v>
      </c>
      <c r="D45" s="68">
        <f t="shared" si="17"/>
        <v>588.83811066892042</v>
      </c>
      <c r="E45" s="68">
        <f t="shared" si="17"/>
        <v>620.15457406105099</v>
      </c>
      <c r="F45" s="68">
        <f t="shared" si="17"/>
        <v>655.46842141207514</v>
      </c>
      <c r="G45" s="68">
        <f t="shared" si="17"/>
        <v>695.12139212274872</v>
      </c>
      <c r="H45" s="68">
        <f t="shared" si="17"/>
        <v>739.50971779825022</v>
      </c>
      <c r="I45" s="68">
        <f t="shared" si="17"/>
        <v>789.08726289219874</v>
      </c>
      <c r="J45" s="68">
        <f t="shared" ref="J45" si="18">J44+J39</f>
        <v>844.37027772553995</v>
      </c>
      <c r="K45" s="68">
        <f>SUM(C45:J45)</f>
        <v>5117.6655591829431</v>
      </c>
    </row>
    <row r="46" spans="2:11" ht="12.75" x14ac:dyDescent="0.2">
      <c r="B46" s="51" t="s">
        <v>233</v>
      </c>
      <c r="C46" s="68">
        <f t="shared" ref="C46:J47" si="19">C23</f>
        <v>120.59088</v>
      </c>
      <c r="D46" s="68">
        <f t="shared" si="19"/>
        <v>352.57443999999998</v>
      </c>
      <c r="E46" s="68">
        <f t="shared" si="19"/>
        <v>312.85755</v>
      </c>
      <c r="F46" s="68">
        <f t="shared" si="19"/>
        <v>268.54462999999998</v>
      </c>
      <c r="G46" s="68">
        <f t="shared" si="19"/>
        <v>219.10397</v>
      </c>
      <c r="H46" s="68">
        <f t="shared" si="19"/>
        <v>163.94202000000001</v>
      </c>
      <c r="I46" s="68">
        <f t="shared" si="19"/>
        <v>102.39681</v>
      </c>
      <c r="J46" s="68">
        <f t="shared" si="19"/>
        <v>33.729649999999999</v>
      </c>
      <c r="K46" s="68">
        <f t="shared" ref="K46:K47" si="20">SUM(C46:J46)</f>
        <v>1573.7399500000001</v>
      </c>
    </row>
    <row r="47" spans="2:11" ht="12.75" x14ac:dyDescent="0.2">
      <c r="B47" s="51" t="s">
        <v>234</v>
      </c>
      <c r="C47" s="68">
        <f t="shared" si="19"/>
        <v>26.941114336821435</v>
      </c>
      <c r="D47" s="68">
        <f t="shared" si="19"/>
        <v>343.21885204185725</v>
      </c>
      <c r="E47" s="68">
        <f t="shared" si="19"/>
        <v>382.93574204185722</v>
      </c>
      <c r="F47" s="68">
        <f t="shared" si="19"/>
        <v>427.24866204185724</v>
      </c>
      <c r="G47" s="68">
        <f t="shared" si="19"/>
        <v>476.68932204185722</v>
      </c>
      <c r="H47" s="68">
        <f t="shared" si="19"/>
        <v>531.85127204185721</v>
      </c>
      <c r="I47" s="68">
        <f t="shared" si="19"/>
        <v>593.39648204185721</v>
      </c>
      <c r="J47" s="68">
        <f t="shared" si="19"/>
        <v>604.08091821203902</v>
      </c>
      <c r="K47" s="68">
        <f t="shared" si="20"/>
        <v>3386.3623648000039</v>
      </c>
    </row>
    <row r="48" spans="2:11" ht="12.75" x14ac:dyDescent="0.2">
      <c r="B48" s="51" t="s">
        <v>235</v>
      </c>
      <c r="C48" s="68">
        <f>(C45+C46)/(C46+C47)</f>
        <v>2.0721382089109324</v>
      </c>
      <c r="D48" s="68">
        <f t="shared" ref="D48:K48" si="21">(D45+D46)/(D46+D47)</f>
        <v>1.353006074413674</v>
      </c>
      <c r="E48" s="68">
        <f t="shared" si="21"/>
        <v>1.3409329102944603</v>
      </c>
      <c r="F48" s="68">
        <f t="shared" si="21"/>
        <v>1.327999367025356</v>
      </c>
      <c r="G48" s="68">
        <f t="shared" si="21"/>
        <v>1.3139324172555418</v>
      </c>
      <c r="H48" s="68">
        <f t="shared" si="21"/>
        <v>1.2984484733202928</v>
      </c>
      <c r="I48" s="68">
        <f t="shared" si="21"/>
        <v>1.2812484441694922</v>
      </c>
      <c r="J48" s="68">
        <f t="shared" si="21"/>
        <v>1.3767409501963868</v>
      </c>
      <c r="K48" s="68">
        <f t="shared" si="21"/>
        <v>1.349045863271219</v>
      </c>
    </row>
  </sheetData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J86"/>
  <sheetViews>
    <sheetView workbookViewId="0">
      <selection activeCell="J10" sqref="J10"/>
    </sheetView>
  </sheetViews>
  <sheetFormatPr defaultRowHeight="15" x14ac:dyDescent="0.25"/>
  <cols>
    <col min="2" max="2" width="38.28515625" bestFit="1" customWidth="1"/>
    <col min="3" max="3" width="14.28515625" customWidth="1"/>
    <col min="4" max="7" width="15.28515625" customWidth="1"/>
    <col min="8" max="8" width="14.28515625" customWidth="1"/>
    <col min="9" max="10" width="14.28515625" bestFit="1" customWidth="1"/>
  </cols>
  <sheetData>
    <row r="2" spans="2:10" x14ac:dyDescent="0.25">
      <c r="B2" s="10" t="s">
        <v>53</v>
      </c>
      <c r="C2" s="10"/>
      <c r="D2" s="10"/>
      <c r="E2" s="10"/>
      <c r="F2" s="10"/>
      <c r="G2" s="10"/>
      <c r="H2" s="10"/>
      <c r="I2" s="10"/>
      <c r="J2" s="10"/>
    </row>
    <row r="4" spans="2:10" x14ac:dyDescent="0.25">
      <c r="B4" s="7" t="s">
        <v>51</v>
      </c>
      <c r="C4" s="6" t="s">
        <v>50</v>
      </c>
      <c r="D4" s="6" t="s">
        <v>49</v>
      </c>
      <c r="E4" s="6" t="s">
        <v>48</v>
      </c>
      <c r="F4" s="6" t="s">
        <v>47</v>
      </c>
      <c r="G4" s="6" t="s">
        <v>46</v>
      </c>
      <c r="H4" s="6" t="s">
        <v>45</v>
      </c>
      <c r="I4" s="6" t="s">
        <v>44</v>
      </c>
      <c r="J4" s="175">
        <f>+'Projected P&amp;L'!D4</f>
        <v>45597</v>
      </c>
    </row>
    <row r="6" spans="2:10" x14ac:dyDescent="0.25">
      <c r="B6" s="4" t="s">
        <v>246</v>
      </c>
    </row>
    <row r="7" spans="2:10" x14ac:dyDescent="0.25">
      <c r="B7" s="147" t="s">
        <v>247</v>
      </c>
      <c r="C7" s="110">
        <v>111328</v>
      </c>
      <c r="D7" s="110">
        <v>1101910</v>
      </c>
      <c r="E7" s="110">
        <v>595395</v>
      </c>
      <c r="F7" s="110">
        <v>395644.08</v>
      </c>
      <c r="G7" s="110">
        <v>175000</v>
      </c>
      <c r="H7" s="110">
        <v>0</v>
      </c>
      <c r="I7" s="110">
        <v>0</v>
      </c>
      <c r="J7" s="110">
        <v>0</v>
      </c>
    </row>
    <row r="8" spans="2:10" x14ac:dyDescent="0.25">
      <c r="B8" s="147" t="s">
        <v>248</v>
      </c>
      <c r="C8" s="110">
        <v>8214345</v>
      </c>
      <c r="D8" s="110">
        <v>25276682.98</v>
      </c>
      <c r="E8" s="110">
        <v>13892886.050000001</v>
      </c>
      <c r="F8" s="110">
        <v>4910027.8</v>
      </c>
      <c r="G8" s="110">
        <v>851310</v>
      </c>
      <c r="H8" s="110">
        <v>360975</v>
      </c>
      <c r="I8" s="110">
        <v>0</v>
      </c>
      <c r="J8" s="110">
        <v>0</v>
      </c>
    </row>
    <row r="9" spans="2:10" x14ac:dyDescent="0.25">
      <c r="B9" s="147" t="s">
        <v>249</v>
      </c>
      <c r="C9" s="110">
        <v>24150</v>
      </c>
      <c r="D9" s="110">
        <v>26400</v>
      </c>
      <c r="E9" s="110">
        <v>243180</v>
      </c>
      <c r="F9" s="110">
        <v>23474.57</v>
      </c>
      <c r="G9" s="110">
        <v>0</v>
      </c>
      <c r="H9" s="110">
        <v>0</v>
      </c>
      <c r="I9" s="110">
        <v>0</v>
      </c>
      <c r="J9" s="110">
        <v>0</v>
      </c>
    </row>
    <row r="10" spans="2:10" x14ac:dyDescent="0.25">
      <c r="B10" s="147" t="s">
        <v>250</v>
      </c>
      <c r="C10" s="110">
        <v>11647521</v>
      </c>
      <c r="D10" s="110">
        <v>36340720</v>
      </c>
      <c r="E10" s="110">
        <v>33345229</v>
      </c>
      <c r="F10" s="110">
        <v>25733126</v>
      </c>
      <c r="G10" s="110">
        <v>38206007</v>
      </c>
      <c r="H10" s="110">
        <v>19274448</v>
      </c>
      <c r="I10" s="110">
        <v>2833121</v>
      </c>
      <c r="J10" s="111">
        <v>1265796</v>
      </c>
    </row>
    <row r="11" spans="2:10" x14ac:dyDescent="0.25">
      <c r="B11" s="147" t="s">
        <v>251</v>
      </c>
      <c r="C11" s="110">
        <v>13725326</v>
      </c>
      <c r="D11" s="110">
        <v>46060298</v>
      </c>
      <c r="E11" s="110">
        <v>19876201</v>
      </c>
      <c r="F11" s="110">
        <v>13646698</v>
      </c>
      <c r="G11" s="110">
        <v>56789341</v>
      </c>
      <c r="H11" s="110">
        <v>14198222</v>
      </c>
      <c r="I11" s="110">
        <v>5577315</v>
      </c>
      <c r="J11" s="110">
        <v>0</v>
      </c>
    </row>
    <row r="12" spans="2:10" x14ac:dyDescent="0.25">
      <c r="B12" s="147" t="s">
        <v>302</v>
      </c>
      <c r="C12" s="110">
        <v>0</v>
      </c>
      <c r="D12" s="110">
        <v>0</v>
      </c>
      <c r="E12" s="110">
        <v>0</v>
      </c>
      <c r="F12" s="110">
        <v>0</v>
      </c>
      <c r="G12" s="110">
        <v>2105000</v>
      </c>
      <c r="H12" s="110">
        <v>272043</v>
      </c>
      <c r="I12" s="110">
        <v>0</v>
      </c>
      <c r="J12" s="110">
        <v>0</v>
      </c>
    </row>
    <row r="13" spans="2:10" x14ac:dyDescent="0.25">
      <c r="B13" s="147" t="s">
        <v>252</v>
      </c>
      <c r="C13" s="110">
        <v>0</v>
      </c>
      <c r="D13" s="110">
        <v>158970</v>
      </c>
      <c r="E13" s="110">
        <v>152958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</row>
    <row r="14" spans="2:10" x14ac:dyDescent="0.25">
      <c r="B14" s="147" t="s">
        <v>297</v>
      </c>
      <c r="C14" s="110">
        <v>5620</v>
      </c>
      <c r="D14" s="110">
        <v>434259.8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</row>
    <row r="15" spans="2:10" x14ac:dyDescent="0.25">
      <c r="B15" s="147" t="s">
        <v>253</v>
      </c>
      <c r="C15" s="110">
        <v>0</v>
      </c>
      <c r="D15" s="110">
        <v>1107170</v>
      </c>
      <c r="E15" s="110">
        <v>361100</v>
      </c>
      <c r="F15" s="110">
        <v>0</v>
      </c>
      <c r="G15" s="110">
        <v>0</v>
      </c>
      <c r="H15" s="110">
        <v>396834.74</v>
      </c>
      <c r="I15" s="110">
        <v>0</v>
      </c>
      <c r="J15" s="110">
        <v>0</v>
      </c>
    </row>
    <row r="16" spans="2:10" x14ac:dyDescent="0.25">
      <c r="B16" s="147" t="s">
        <v>254</v>
      </c>
      <c r="C16" s="110">
        <v>0</v>
      </c>
      <c r="D16" s="110">
        <v>9864963.2599999998</v>
      </c>
      <c r="E16" s="110">
        <v>4555112</v>
      </c>
      <c r="F16" s="110">
        <v>7578772.5</v>
      </c>
      <c r="G16" s="110">
        <v>26862883.629999999</v>
      </c>
      <c r="H16" s="110">
        <v>9559435.0899999999</v>
      </c>
      <c r="I16" s="110">
        <v>2083090</v>
      </c>
      <c r="J16" s="110">
        <v>0</v>
      </c>
    </row>
    <row r="17" spans="1:10" x14ac:dyDescent="0.25">
      <c r="B17" s="147" t="s">
        <v>303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3408154.9</v>
      </c>
      <c r="I17" s="110">
        <v>0</v>
      </c>
      <c r="J17" s="110">
        <v>0</v>
      </c>
    </row>
    <row r="18" spans="1:10" x14ac:dyDescent="0.25">
      <c r="B18" s="147" t="s">
        <v>298</v>
      </c>
      <c r="C18" s="110">
        <v>0</v>
      </c>
      <c r="D18" s="110">
        <v>3600000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</row>
    <row r="19" spans="1:10" x14ac:dyDescent="0.25">
      <c r="B19" s="147" t="s">
        <v>255</v>
      </c>
      <c r="C19" s="110">
        <v>0</v>
      </c>
      <c r="D19" s="110">
        <v>1480874</v>
      </c>
      <c r="E19" s="110">
        <v>466842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</row>
    <row r="20" spans="1:10" x14ac:dyDescent="0.25">
      <c r="A20" s="116"/>
      <c r="B20" s="117" t="s">
        <v>319</v>
      </c>
      <c r="C20" s="119">
        <f>SUM(C7:C19)</f>
        <v>33728290</v>
      </c>
      <c r="D20" s="119">
        <f>SUM(D7:D19)</f>
        <v>125452248.04000001</v>
      </c>
      <c r="E20" s="119">
        <f>SUM(E7:E19)</f>
        <v>73488903.049999997</v>
      </c>
      <c r="F20" s="119">
        <f>SUM(F7:F19)</f>
        <v>52287742.950000003</v>
      </c>
      <c r="G20" s="119">
        <f t="shared" ref="G20:J20" si="0">SUM(G7:G19)</f>
        <v>124989541.63</v>
      </c>
      <c r="H20" s="119">
        <f t="shared" si="0"/>
        <v>47470112.729999997</v>
      </c>
      <c r="I20" s="119">
        <f t="shared" si="0"/>
        <v>10493526</v>
      </c>
      <c r="J20" s="119">
        <f t="shared" si="0"/>
        <v>1265796</v>
      </c>
    </row>
    <row r="22" spans="1:10" x14ac:dyDescent="0.25">
      <c r="B22" s="4" t="s">
        <v>256</v>
      </c>
    </row>
    <row r="23" spans="1:10" x14ac:dyDescent="0.25">
      <c r="B23" s="114" t="s">
        <v>257</v>
      </c>
      <c r="C23" s="111">
        <v>30000</v>
      </c>
      <c r="D23" s="111">
        <v>30000</v>
      </c>
      <c r="E23" s="111">
        <v>30000</v>
      </c>
      <c r="F23" s="111">
        <v>30000</v>
      </c>
      <c r="G23" s="111">
        <v>30000</v>
      </c>
      <c r="H23" s="111">
        <v>30000</v>
      </c>
      <c r="I23" s="111">
        <v>35000</v>
      </c>
      <c r="J23" s="111">
        <v>0</v>
      </c>
    </row>
    <row r="24" spans="1:10" x14ac:dyDescent="0.25">
      <c r="B24" s="114" t="s">
        <v>299</v>
      </c>
      <c r="C24" s="111">
        <v>20000</v>
      </c>
      <c r="D24" s="111">
        <v>60400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</row>
    <row r="25" spans="1:10" x14ac:dyDescent="0.25">
      <c r="B25" s="147" t="s">
        <v>305</v>
      </c>
      <c r="C25" s="110">
        <v>0</v>
      </c>
      <c r="D25" s="110">
        <v>0</v>
      </c>
      <c r="E25" s="110">
        <v>0</v>
      </c>
      <c r="F25" s="110">
        <v>0</v>
      </c>
      <c r="G25" s="110">
        <v>65000</v>
      </c>
      <c r="H25" s="110">
        <v>251802</v>
      </c>
      <c r="I25" s="110">
        <v>605620</v>
      </c>
      <c r="J25" s="110">
        <v>0</v>
      </c>
    </row>
    <row r="26" spans="1:10" x14ac:dyDescent="0.25">
      <c r="B26" s="112" t="s">
        <v>306</v>
      </c>
      <c r="C26" s="111">
        <v>0</v>
      </c>
      <c r="D26" s="111">
        <v>0</v>
      </c>
      <c r="E26" s="111">
        <v>0</v>
      </c>
      <c r="F26" s="111">
        <v>0</v>
      </c>
      <c r="G26" s="111">
        <v>400000</v>
      </c>
      <c r="H26" s="111">
        <v>500000</v>
      </c>
      <c r="I26" s="111">
        <v>0</v>
      </c>
      <c r="J26" s="111">
        <v>0</v>
      </c>
    </row>
    <row r="27" spans="1:10" x14ac:dyDescent="0.25">
      <c r="B27" s="113" t="s">
        <v>258</v>
      </c>
      <c r="C27" s="111">
        <v>1200000</v>
      </c>
      <c r="D27" s="111">
        <v>1200000</v>
      </c>
      <c r="E27" s="111">
        <v>1200000</v>
      </c>
      <c r="F27" s="111">
        <v>960000</v>
      </c>
      <c r="G27" s="111">
        <v>480000</v>
      </c>
      <c r="H27" s="111">
        <v>480000</v>
      </c>
      <c r="I27" s="111">
        <v>960000</v>
      </c>
      <c r="J27" s="111">
        <v>640000</v>
      </c>
    </row>
    <row r="28" spans="1:10" x14ac:dyDescent="0.25">
      <c r="B28" s="113" t="s">
        <v>311</v>
      </c>
      <c r="C28" s="111">
        <v>107181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</row>
    <row r="29" spans="1:10" x14ac:dyDescent="0.25">
      <c r="B29" s="113" t="s">
        <v>259</v>
      </c>
      <c r="C29" s="111">
        <v>29500</v>
      </c>
      <c r="D29" s="111">
        <v>2380786.64</v>
      </c>
      <c r="E29" s="111">
        <v>4228821.8499999996</v>
      </c>
      <c r="F29" s="111">
        <v>1650639.4</v>
      </c>
      <c r="G29" s="111">
        <v>348326.22</v>
      </c>
      <c r="H29" s="111">
        <v>197696</v>
      </c>
      <c r="I29" s="111">
        <v>61950</v>
      </c>
      <c r="J29" s="111">
        <v>0</v>
      </c>
    </row>
    <row r="30" spans="1:10" x14ac:dyDescent="0.25">
      <c r="B30" s="147" t="s">
        <v>309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5429333</v>
      </c>
      <c r="J30" s="110">
        <v>0</v>
      </c>
    </row>
    <row r="31" spans="1:10" x14ac:dyDescent="0.25">
      <c r="B31" s="147" t="s">
        <v>300</v>
      </c>
      <c r="C31" s="110">
        <v>0</v>
      </c>
      <c r="D31" s="110">
        <v>91319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</row>
    <row r="32" spans="1:10" x14ac:dyDescent="0.25">
      <c r="B32" s="113" t="s">
        <v>260</v>
      </c>
      <c r="C32" s="111">
        <v>0</v>
      </c>
      <c r="D32" s="111">
        <v>0</v>
      </c>
      <c r="E32" s="111">
        <v>200000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</row>
    <row r="33" spans="2:10" x14ac:dyDescent="0.25">
      <c r="B33" s="113" t="s">
        <v>261</v>
      </c>
      <c r="C33" s="111">
        <v>313750</v>
      </c>
      <c r="D33" s="111">
        <v>90191</v>
      </c>
      <c r="E33" s="111">
        <v>715999</v>
      </c>
      <c r="F33" s="111">
        <v>134888</v>
      </c>
      <c r="G33" s="111">
        <v>975962</v>
      </c>
      <c r="H33" s="111">
        <v>0</v>
      </c>
      <c r="I33" s="111">
        <v>0</v>
      </c>
      <c r="J33" s="111">
        <v>0</v>
      </c>
    </row>
    <row r="34" spans="2:10" x14ac:dyDescent="0.25">
      <c r="B34" s="147" t="s">
        <v>262</v>
      </c>
      <c r="C34" s="110">
        <v>0</v>
      </c>
      <c r="D34" s="110">
        <v>1666846</v>
      </c>
      <c r="E34" s="110">
        <v>602244</v>
      </c>
      <c r="F34" s="110">
        <v>4080636.5</v>
      </c>
      <c r="G34" s="110">
        <v>5508160.3799999999</v>
      </c>
      <c r="H34" s="110">
        <v>0</v>
      </c>
      <c r="I34" s="110">
        <v>0</v>
      </c>
      <c r="J34" s="110">
        <v>0</v>
      </c>
    </row>
    <row r="35" spans="2:10" x14ac:dyDescent="0.25">
      <c r="B35" s="113" t="s">
        <v>301</v>
      </c>
      <c r="C35" s="111">
        <v>1215262</v>
      </c>
      <c r="D35" s="111">
        <v>1233296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</row>
    <row r="36" spans="2:10" x14ac:dyDescent="0.25">
      <c r="B36" s="147" t="s">
        <v>263</v>
      </c>
      <c r="C36" s="110">
        <v>24057673.100000001</v>
      </c>
      <c r="D36" s="110">
        <v>72054979.599999994</v>
      </c>
      <c r="E36" s="110">
        <v>59496504.329999998</v>
      </c>
      <c r="F36" s="110">
        <v>31593709.550000001</v>
      </c>
      <c r="G36" s="110">
        <v>345266.13</v>
      </c>
      <c r="H36" s="110">
        <v>0</v>
      </c>
      <c r="I36" s="110">
        <v>0</v>
      </c>
      <c r="J36" s="110">
        <v>0</v>
      </c>
    </row>
    <row r="37" spans="2:10" x14ac:dyDescent="0.25">
      <c r="B37" s="147" t="s">
        <v>264</v>
      </c>
      <c r="C37" s="110">
        <v>92050</v>
      </c>
      <c r="D37" s="110">
        <v>72838</v>
      </c>
      <c r="E37" s="110">
        <v>36247</v>
      </c>
      <c r="F37" s="110">
        <v>6555</v>
      </c>
      <c r="G37" s="110">
        <v>182130</v>
      </c>
      <c r="H37" s="110">
        <v>5355</v>
      </c>
      <c r="I37" s="110">
        <v>0</v>
      </c>
      <c r="J37" s="110">
        <v>0</v>
      </c>
    </row>
    <row r="38" spans="2:10" x14ac:dyDescent="0.25">
      <c r="B38" s="113" t="s">
        <v>265</v>
      </c>
      <c r="C38" s="111">
        <v>146200</v>
      </c>
      <c r="D38" s="111">
        <v>53200</v>
      </c>
      <c r="E38" s="111">
        <v>15900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</row>
    <row r="39" spans="2:10" x14ac:dyDescent="0.25">
      <c r="B39" s="147" t="s">
        <v>266</v>
      </c>
      <c r="C39" s="110">
        <v>124991.75</v>
      </c>
      <c r="D39" s="110">
        <v>585184.6</v>
      </c>
      <c r="E39" s="110">
        <v>309380</v>
      </c>
      <c r="F39" s="110">
        <v>1127066</v>
      </c>
      <c r="G39" s="110">
        <v>66500</v>
      </c>
      <c r="H39" s="110">
        <v>0</v>
      </c>
      <c r="I39" s="110">
        <v>0</v>
      </c>
      <c r="J39" s="110">
        <v>0</v>
      </c>
    </row>
    <row r="40" spans="2:10" x14ac:dyDescent="0.25">
      <c r="B40" s="113" t="s">
        <v>267</v>
      </c>
      <c r="C40" s="111">
        <v>29500</v>
      </c>
      <c r="D40" s="111">
        <v>436982</v>
      </c>
      <c r="E40" s="111">
        <v>302400</v>
      </c>
      <c r="F40" s="111">
        <v>402538</v>
      </c>
      <c r="G40" s="111">
        <v>0</v>
      </c>
      <c r="H40" s="111">
        <v>0</v>
      </c>
      <c r="I40" s="111">
        <v>0</v>
      </c>
      <c r="J40" s="111">
        <v>0</v>
      </c>
    </row>
    <row r="41" spans="2:10" x14ac:dyDescent="0.25">
      <c r="B41" s="147" t="s">
        <v>268</v>
      </c>
      <c r="C41" s="110">
        <v>750000</v>
      </c>
      <c r="D41" s="110">
        <v>1889368.6</v>
      </c>
      <c r="E41" s="110">
        <v>1194666.55</v>
      </c>
      <c r="F41" s="110">
        <v>0</v>
      </c>
      <c r="G41" s="110">
        <v>808064</v>
      </c>
      <c r="H41" s="110">
        <v>300000</v>
      </c>
      <c r="I41" s="110">
        <v>87600</v>
      </c>
      <c r="J41" s="110">
        <v>0</v>
      </c>
    </row>
    <row r="42" spans="2:10" x14ac:dyDescent="0.25">
      <c r="B42" s="147" t="s">
        <v>307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567890</v>
      </c>
      <c r="I42" s="110">
        <v>0</v>
      </c>
      <c r="J42" s="110">
        <v>0</v>
      </c>
    </row>
    <row r="43" spans="2:10" x14ac:dyDescent="0.25">
      <c r="B43" s="113" t="s">
        <v>269</v>
      </c>
      <c r="C43" s="111">
        <v>306000</v>
      </c>
      <c r="D43" s="111">
        <v>2174850</v>
      </c>
      <c r="E43" s="111">
        <v>3141956</v>
      </c>
      <c r="F43" s="111">
        <v>311477</v>
      </c>
      <c r="G43" s="111">
        <v>454275</v>
      </c>
      <c r="H43" s="111">
        <v>552250</v>
      </c>
      <c r="I43" s="111">
        <v>620000</v>
      </c>
      <c r="J43" s="111">
        <v>390000</v>
      </c>
    </row>
    <row r="44" spans="2:10" x14ac:dyDescent="0.25">
      <c r="B44" s="147" t="s">
        <v>270</v>
      </c>
      <c r="C44" s="110"/>
      <c r="D44" s="110">
        <v>925000</v>
      </c>
      <c r="E44" s="110">
        <v>1808500</v>
      </c>
      <c r="F44" s="110">
        <v>140000</v>
      </c>
      <c r="G44" s="110">
        <v>320000</v>
      </c>
      <c r="H44" s="110">
        <v>0</v>
      </c>
      <c r="I44" s="110">
        <v>0</v>
      </c>
      <c r="J44" s="110">
        <v>0</v>
      </c>
    </row>
    <row r="45" spans="2:10" x14ac:dyDescent="0.25">
      <c r="B45" s="113" t="s">
        <v>271</v>
      </c>
      <c r="C45" s="111">
        <v>352172.9</v>
      </c>
      <c r="D45" s="111">
        <v>369225</v>
      </c>
      <c r="E45" s="111">
        <v>1410522.85</v>
      </c>
      <c r="F45" s="111">
        <v>345768</v>
      </c>
      <c r="G45" s="111">
        <v>263744</v>
      </c>
      <c r="H45" s="111">
        <v>230</v>
      </c>
      <c r="I45" s="111">
        <v>617830</v>
      </c>
      <c r="J45" s="111">
        <v>0</v>
      </c>
    </row>
    <row r="46" spans="2:10" x14ac:dyDescent="0.25">
      <c r="B46" s="113" t="s">
        <v>272</v>
      </c>
      <c r="C46" s="111">
        <v>898075.05</v>
      </c>
      <c r="D46" s="111">
        <v>476828</v>
      </c>
      <c r="E46" s="111">
        <v>486891</v>
      </c>
      <c r="F46" s="111">
        <v>187209</v>
      </c>
      <c r="G46" s="111">
        <v>520623</v>
      </c>
      <c r="H46" s="111">
        <v>127450</v>
      </c>
      <c r="I46" s="111">
        <v>32000</v>
      </c>
      <c r="J46" s="111">
        <v>0</v>
      </c>
    </row>
    <row r="47" spans="2:10" x14ac:dyDescent="0.25">
      <c r="B47" s="113" t="s">
        <v>273</v>
      </c>
      <c r="C47" s="111">
        <v>22650</v>
      </c>
      <c r="D47" s="111">
        <v>0</v>
      </c>
      <c r="E47" s="111">
        <v>140000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</row>
    <row r="48" spans="2:10" x14ac:dyDescent="0.25">
      <c r="B48" s="113" t="s">
        <v>312</v>
      </c>
      <c r="C48" s="111">
        <v>24328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</row>
    <row r="49" spans="2:10" x14ac:dyDescent="0.25">
      <c r="B49" s="147" t="s">
        <v>274</v>
      </c>
      <c r="C49" s="110">
        <v>136230</v>
      </c>
      <c r="D49" s="110">
        <v>27616.46</v>
      </c>
      <c r="E49" s="110">
        <v>1500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</row>
    <row r="50" spans="2:10" x14ac:dyDescent="0.25">
      <c r="B50" s="113" t="s">
        <v>275</v>
      </c>
      <c r="C50" s="111">
        <v>50637</v>
      </c>
      <c r="D50" s="111">
        <v>190126</v>
      </c>
      <c r="E50" s="111">
        <v>320530</v>
      </c>
      <c r="F50" s="111">
        <v>255038</v>
      </c>
      <c r="G50" s="111">
        <v>74212</v>
      </c>
      <c r="H50" s="111">
        <v>15695</v>
      </c>
      <c r="I50" s="111">
        <v>0</v>
      </c>
      <c r="J50" s="111">
        <v>115680</v>
      </c>
    </row>
    <row r="51" spans="2:10" x14ac:dyDescent="0.25">
      <c r="B51" s="113" t="s">
        <v>276</v>
      </c>
      <c r="C51" s="111">
        <v>0</v>
      </c>
      <c r="D51" s="111">
        <v>839254</v>
      </c>
      <c r="E51" s="111">
        <v>899948</v>
      </c>
      <c r="F51" s="111">
        <v>165402.48000000001</v>
      </c>
      <c r="G51" s="111">
        <v>0</v>
      </c>
      <c r="H51" s="111">
        <v>0</v>
      </c>
      <c r="I51" s="111">
        <v>0</v>
      </c>
      <c r="J51" s="111">
        <v>0</v>
      </c>
    </row>
    <row r="52" spans="2:10" x14ac:dyDescent="0.25">
      <c r="B52" s="147" t="s">
        <v>277</v>
      </c>
      <c r="C52" s="110">
        <v>365260.38</v>
      </c>
      <c r="D52" s="110">
        <v>585347</v>
      </c>
      <c r="E52" s="110">
        <v>1121300</v>
      </c>
      <c r="F52" s="110">
        <v>0</v>
      </c>
      <c r="G52" s="110">
        <v>0</v>
      </c>
      <c r="H52" s="110">
        <v>11800</v>
      </c>
      <c r="I52" s="110">
        <v>0</v>
      </c>
      <c r="J52" s="110">
        <v>0</v>
      </c>
    </row>
    <row r="53" spans="2:10" x14ac:dyDescent="0.25">
      <c r="B53" s="113" t="s">
        <v>308</v>
      </c>
      <c r="C53" s="111">
        <v>0</v>
      </c>
      <c r="D53" s="111">
        <v>0</v>
      </c>
      <c r="E53" s="111">
        <v>0</v>
      </c>
      <c r="F53" s="111">
        <v>0</v>
      </c>
      <c r="G53" s="111">
        <v>0</v>
      </c>
      <c r="H53" s="111">
        <v>492394.63</v>
      </c>
      <c r="I53" s="111">
        <v>0</v>
      </c>
      <c r="J53" s="111">
        <v>0</v>
      </c>
    </row>
    <row r="54" spans="2:10" x14ac:dyDescent="0.25">
      <c r="B54" s="113" t="s">
        <v>278</v>
      </c>
      <c r="C54" s="111">
        <v>0</v>
      </c>
      <c r="D54" s="111">
        <v>6900</v>
      </c>
      <c r="E54" s="111">
        <v>27871</v>
      </c>
      <c r="F54" s="111">
        <v>5800</v>
      </c>
      <c r="G54" s="111">
        <v>22256</v>
      </c>
      <c r="H54" s="111">
        <v>28142</v>
      </c>
      <c r="I54" s="111">
        <v>0</v>
      </c>
      <c r="J54" s="111">
        <v>0</v>
      </c>
    </row>
    <row r="55" spans="2:10" x14ac:dyDescent="0.25">
      <c r="B55" s="147" t="s">
        <v>279</v>
      </c>
      <c r="C55" s="110">
        <v>0</v>
      </c>
      <c r="D55" s="110">
        <v>48600</v>
      </c>
      <c r="E55" s="110">
        <v>24300</v>
      </c>
      <c r="F55" s="110">
        <v>33125</v>
      </c>
      <c r="G55" s="110">
        <v>0</v>
      </c>
      <c r="H55" s="110">
        <v>0</v>
      </c>
      <c r="I55" s="110">
        <v>0</v>
      </c>
      <c r="J55" s="110">
        <v>0</v>
      </c>
    </row>
    <row r="56" spans="2:10" x14ac:dyDescent="0.25">
      <c r="B56" s="147" t="s">
        <v>280</v>
      </c>
      <c r="C56" s="110">
        <v>0</v>
      </c>
      <c r="D56" s="110">
        <v>820315</v>
      </c>
      <c r="E56" s="110">
        <v>1033897</v>
      </c>
      <c r="F56" s="110">
        <v>6413860</v>
      </c>
      <c r="G56" s="110">
        <v>0</v>
      </c>
      <c r="H56" s="110">
        <v>0</v>
      </c>
      <c r="I56" s="110">
        <v>0</v>
      </c>
      <c r="J56" s="110">
        <v>0</v>
      </c>
    </row>
    <row r="57" spans="2:10" x14ac:dyDescent="0.25">
      <c r="B57" s="113" t="s">
        <v>281</v>
      </c>
      <c r="C57" s="111">
        <v>0</v>
      </c>
      <c r="D57" s="111">
        <v>683200</v>
      </c>
      <c r="E57" s="111">
        <v>528168</v>
      </c>
      <c r="F57" s="111">
        <v>998291</v>
      </c>
      <c r="G57" s="111">
        <v>239313</v>
      </c>
      <c r="H57" s="111">
        <v>421565</v>
      </c>
      <c r="I57" s="111">
        <v>20187</v>
      </c>
      <c r="J57" s="111">
        <v>0</v>
      </c>
    </row>
    <row r="58" spans="2:10" x14ac:dyDescent="0.25">
      <c r="B58" s="147" t="s">
        <v>282</v>
      </c>
      <c r="C58" s="110">
        <v>0</v>
      </c>
      <c r="D58" s="110">
        <v>46439.5</v>
      </c>
      <c r="E58" s="110">
        <v>63464.800000000003</v>
      </c>
      <c r="F58" s="110">
        <v>30884.49</v>
      </c>
      <c r="G58" s="110">
        <v>0</v>
      </c>
      <c r="H58" s="110">
        <v>0</v>
      </c>
      <c r="I58" s="110">
        <v>0</v>
      </c>
      <c r="J58" s="110">
        <v>0</v>
      </c>
    </row>
    <row r="59" spans="2:10" x14ac:dyDescent="0.25">
      <c r="B59" s="147" t="s">
        <v>283</v>
      </c>
      <c r="C59" s="110">
        <v>0</v>
      </c>
      <c r="D59" s="110">
        <v>0</v>
      </c>
      <c r="E59" s="110">
        <v>16698743.17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</row>
    <row r="60" spans="2:10" x14ac:dyDescent="0.25">
      <c r="B60" s="147" t="s">
        <v>284</v>
      </c>
      <c r="C60" s="110">
        <v>0</v>
      </c>
      <c r="D60" s="110">
        <v>1885.35</v>
      </c>
      <c r="E60" s="110">
        <v>1181.47</v>
      </c>
      <c r="F60" s="110">
        <v>0.25</v>
      </c>
      <c r="G60" s="110">
        <v>0.91</v>
      </c>
      <c r="H60" s="110">
        <v>1.86</v>
      </c>
      <c r="I60" s="110">
        <v>0</v>
      </c>
      <c r="J60" s="110">
        <v>0</v>
      </c>
    </row>
    <row r="61" spans="2:10" x14ac:dyDescent="0.25">
      <c r="B61" s="117" t="s">
        <v>319</v>
      </c>
      <c r="C61" s="118">
        <f t="shared" ref="C61:D61" si="1">SUM(C23:C60)</f>
        <v>30271461.18</v>
      </c>
      <c r="D61" s="118">
        <f t="shared" si="1"/>
        <v>89040977.74999997</v>
      </c>
      <c r="E61" s="118">
        <f>SUM(E23:E60)</f>
        <v>96040936.019999996</v>
      </c>
      <c r="F61" s="118">
        <f t="shared" ref="F61:J61" si="2">SUM(F23:F60)</f>
        <v>48872887.670000002</v>
      </c>
      <c r="G61" s="118">
        <f t="shared" si="2"/>
        <v>11103832.640000001</v>
      </c>
      <c r="H61" s="118">
        <f t="shared" si="2"/>
        <v>3982271.4899999998</v>
      </c>
      <c r="I61" s="118">
        <f t="shared" si="2"/>
        <v>8469520</v>
      </c>
      <c r="J61" s="118">
        <f t="shared" si="2"/>
        <v>1145680</v>
      </c>
    </row>
    <row r="63" spans="2:10" x14ac:dyDescent="0.25">
      <c r="B63" s="4" t="s">
        <v>285</v>
      </c>
    </row>
    <row r="64" spans="2:10" x14ac:dyDescent="0.25">
      <c r="B64" s="146" t="s">
        <v>286</v>
      </c>
      <c r="C64" s="110">
        <v>478776.5</v>
      </c>
      <c r="D64" s="110">
        <v>1198736.5</v>
      </c>
      <c r="E64" s="110">
        <v>1109959.29</v>
      </c>
      <c r="F64" s="110">
        <v>2642711.0499999998</v>
      </c>
      <c r="G64" s="110">
        <v>1193409.8799999999</v>
      </c>
      <c r="H64" s="110">
        <v>0</v>
      </c>
      <c r="I64" s="110">
        <v>388641</v>
      </c>
      <c r="J64" s="110">
        <v>0</v>
      </c>
    </row>
    <row r="65" spans="2:10" x14ac:dyDescent="0.25">
      <c r="B65" s="146" t="s">
        <v>287</v>
      </c>
      <c r="C65" s="110">
        <v>52850</v>
      </c>
      <c r="D65" s="110">
        <v>53750</v>
      </c>
      <c r="E65" s="110">
        <v>70250</v>
      </c>
      <c r="F65" s="110">
        <v>21950</v>
      </c>
      <c r="G65" s="110">
        <v>55140</v>
      </c>
      <c r="H65" s="110">
        <v>18547</v>
      </c>
      <c r="I65" s="110">
        <v>33355</v>
      </c>
      <c r="J65" s="110">
        <v>0</v>
      </c>
    </row>
    <row r="66" spans="2:10" x14ac:dyDescent="0.25">
      <c r="B66" s="146" t="s">
        <v>288</v>
      </c>
      <c r="C66" s="110">
        <v>400781.16</v>
      </c>
      <c r="D66" s="110">
        <v>4745032.9000000004</v>
      </c>
      <c r="E66" s="110">
        <v>2397725.69</v>
      </c>
      <c r="F66" s="110">
        <v>754611.42</v>
      </c>
      <c r="G66" s="110">
        <v>921992</v>
      </c>
      <c r="H66" s="110">
        <v>374178.78</v>
      </c>
      <c r="I66" s="110">
        <v>0</v>
      </c>
      <c r="J66" s="110">
        <v>0</v>
      </c>
    </row>
    <row r="67" spans="2:10" x14ac:dyDescent="0.25">
      <c r="B67" s="146" t="s">
        <v>96</v>
      </c>
      <c r="C67" s="110">
        <v>556656.97</v>
      </c>
      <c r="D67" s="110">
        <v>352907</v>
      </c>
      <c r="E67" s="110">
        <v>615599.85</v>
      </c>
      <c r="F67" s="110">
        <v>158032</v>
      </c>
      <c r="G67" s="110">
        <v>47834</v>
      </c>
      <c r="H67" s="110">
        <v>176287</v>
      </c>
      <c r="I67" s="110">
        <v>982280</v>
      </c>
      <c r="J67" s="110">
        <v>0</v>
      </c>
    </row>
    <row r="68" spans="2:10" x14ac:dyDescent="0.25">
      <c r="B68" s="146" t="s">
        <v>289</v>
      </c>
      <c r="C68" s="110">
        <v>0</v>
      </c>
      <c r="D68" s="110">
        <v>169045.4</v>
      </c>
      <c r="E68" s="110">
        <v>268400</v>
      </c>
      <c r="F68" s="110">
        <v>51853</v>
      </c>
      <c r="G68" s="110">
        <v>56975.1</v>
      </c>
      <c r="H68" s="110">
        <v>38987.11</v>
      </c>
      <c r="I68" s="110">
        <v>0</v>
      </c>
      <c r="J68" s="110">
        <v>0</v>
      </c>
    </row>
    <row r="69" spans="2:10" x14ac:dyDescent="0.25">
      <c r="B69" s="146" t="s">
        <v>321</v>
      </c>
      <c r="C69" s="110">
        <v>0</v>
      </c>
      <c r="D69" s="110">
        <v>82176.13</v>
      </c>
      <c r="E69" s="110">
        <v>11100.46</v>
      </c>
      <c r="F69" s="110">
        <v>285504.92</v>
      </c>
      <c r="G69" s="110">
        <v>28391.75</v>
      </c>
      <c r="H69" s="110">
        <v>0</v>
      </c>
      <c r="I69" s="110">
        <v>0</v>
      </c>
      <c r="J69" s="110">
        <v>0</v>
      </c>
    </row>
    <row r="70" spans="2:10" x14ac:dyDescent="0.25">
      <c r="B70" s="146" t="s">
        <v>320</v>
      </c>
      <c r="C70" s="110">
        <v>0</v>
      </c>
      <c r="D70" s="110">
        <v>718171.04</v>
      </c>
      <c r="E70" s="110">
        <v>0</v>
      </c>
      <c r="F70" s="110">
        <v>37152</v>
      </c>
      <c r="G70" s="110">
        <v>24264</v>
      </c>
      <c r="H70" s="110">
        <v>60854</v>
      </c>
      <c r="I70" s="110">
        <v>6081718</v>
      </c>
      <c r="J70" s="110">
        <v>0</v>
      </c>
    </row>
    <row r="71" spans="2:10" x14ac:dyDescent="0.25">
      <c r="B71" s="112" t="s">
        <v>290</v>
      </c>
      <c r="C71" s="111">
        <v>712945</v>
      </c>
      <c r="D71" s="111">
        <v>737699</v>
      </c>
      <c r="E71" s="111">
        <v>280455.71000000002</v>
      </c>
      <c r="F71" s="111">
        <v>138810</v>
      </c>
      <c r="G71" s="111">
        <v>35133</v>
      </c>
      <c r="H71" s="111">
        <v>131191</v>
      </c>
      <c r="I71" s="111">
        <v>305000</v>
      </c>
      <c r="J71" s="111">
        <v>0</v>
      </c>
    </row>
    <row r="72" spans="2:10" x14ac:dyDescent="0.25">
      <c r="B72" s="112" t="s">
        <v>291</v>
      </c>
      <c r="C72" s="111">
        <v>1852060</v>
      </c>
      <c r="D72" s="111">
        <v>5191084</v>
      </c>
      <c r="E72" s="111">
        <v>4637184</v>
      </c>
      <c r="F72" s="111">
        <v>3801167</v>
      </c>
      <c r="G72" s="111">
        <v>5348723</v>
      </c>
      <c r="H72" s="111">
        <v>1509750</v>
      </c>
      <c r="I72" s="111">
        <v>854780</v>
      </c>
      <c r="J72" s="111">
        <v>835830</v>
      </c>
    </row>
    <row r="73" spans="2:10" x14ac:dyDescent="0.25">
      <c r="B73" s="112" t="s">
        <v>292</v>
      </c>
      <c r="C73" s="111">
        <v>144657</v>
      </c>
      <c r="D73" s="111">
        <v>81350</v>
      </c>
      <c r="E73" s="111">
        <v>188563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</row>
    <row r="74" spans="2:10" x14ac:dyDescent="0.25">
      <c r="B74" s="112" t="s">
        <v>304</v>
      </c>
      <c r="C74" s="111"/>
      <c r="D74" s="111">
        <v>0</v>
      </c>
      <c r="E74" s="111">
        <v>0</v>
      </c>
      <c r="F74" s="111">
        <v>0</v>
      </c>
      <c r="G74" s="111">
        <v>0</v>
      </c>
      <c r="H74" s="111">
        <v>10800</v>
      </c>
      <c r="I74" s="111">
        <v>0</v>
      </c>
      <c r="J74" s="111">
        <v>0</v>
      </c>
    </row>
    <row r="75" spans="2:10" x14ac:dyDescent="0.25">
      <c r="B75" s="112" t="s">
        <v>293</v>
      </c>
      <c r="C75" s="111">
        <v>1269465</v>
      </c>
      <c r="D75" s="111">
        <v>1047500</v>
      </c>
      <c r="E75" s="111">
        <v>424112</v>
      </c>
      <c r="F75" s="111">
        <v>1219000</v>
      </c>
      <c r="G75" s="111">
        <v>0</v>
      </c>
      <c r="H75" s="111">
        <v>48680</v>
      </c>
      <c r="I75" s="111">
        <v>0</v>
      </c>
      <c r="J75" s="111">
        <v>0</v>
      </c>
    </row>
    <row r="76" spans="2:10" x14ac:dyDescent="0.25">
      <c r="B76" s="147" t="s">
        <v>310</v>
      </c>
      <c r="C76" s="110">
        <v>0</v>
      </c>
      <c r="D76" s="110">
        <v>0</v>
      </c>
      <c r="E76" s="110">
        <v>0</v>
      </c>
      <c r="F76" s="110">
        <v>0</v>
      </c>
      <c r="G76" s="110">
        <v>0</v>
      </c>
      <c r="H76" s="110">
        <v>0</v>
      </c>
      <c r="I76" s="110">
        <v>8093855</v>
      </c>
      <c r="J76" s="110">
        <v>0</v>
      </c>
    </row>
    <row r="77" spans="2:10" x14ac:dyDescent="0.25">
      <c r="B77" s="112" t="s">
        <v>294</v>
      </c>
      <c r="C77" s="111">
        <v>1023440</v>
      </c>
      <c r="D77" s="111">
        <v>4630506</v>
      </c>
      <c r="E77" s="111">
        <v>1145499</v>
      </c>
      <c r="F77" s="111">
        <v>4510</v>
      </c>
      <c r="G77" s="111">
        <v>73930</v>
      </c>
      <c r="H77" s="111">
        <v>45920</v>
      </c>
      <c r="I77" s="111">
        <v>874452</v>
      </c>
      <c r="J77" s="111">
        <v>472300</v>
      </c>
    </row>
    <row r="78" spans="2:10" x14ac:dyDescent="0.25">
      <c r="B78" s="112" t="s">
        <v>295</v>
      </c>
      <c r="C78" s="111">
        <v>0</v>
      </c>
      <c r="D78" s="111">
        <v>86652</v>
      </c>
      <c r="E78" s="111">
        <v>74280</v>
      </c>
      <c r="F78" s="111">
        <v>14050</v>
      </c>
      <c r="G78" s="111">
        <v>0</v>
      </c>
      <c r="H78" s="111">
        <v>0</v>
      </c>
      <c r="I78" s="111">
        <v>0</v>
      </c>
      <c r="J78" s="111">
        <v>0</v>
      </c>
    </row>
    <row r="79" spans="2:10" x14ac:dyDescent="0.25">
      <c r="B79" s="112" t="s">
        <v>296</v>
      </c>
      <c r="C79" s="111">
        <v>0</v>
      </c>
      <c r="D79" s="111">
        <v>0</v>
      </c>
      <c r="E79" s="111">
        <v>42394</v>
      </c>
      <c r="F79" s="111">
        <v>7560</v>
      </c>
      <c r="G79" s="111">
        <v>15500</v>
      </c>
      <c r="H79" s="111">
        <v>0</v>
      </c>
      <c r="I79" s="111">
        <v>0</v>
      </c>
      <c r="J79" s="111">
        <v>0</v>
      </c>
    </row>
    <row r="80" spans="2:10" x14ac:dyDescent="0.25">
      <c r="B80" s="147" t="s">
        <v>349</v>
      </c>
      <c r="C80" s="110">
        <v>0</v>
      </c>
      <c r="D80" s="110">
        <v>0</v>
      </c>
      <c r="E80" s="110">
        <v>0</v>
      </c>
      <c r="F80" s="110">
        <v>0</v>
      </c>
      <c r="G80" s="110">
        <v>0</v>
      </c>
      <c r="H80" s="110">
        <v>0</v>
      </c>
      <c r="I80" s="110">
        <v>0</v>
      </c>
      <c r="J80" s="110">
        <v>0</v>
      </c>
    </row>
    <row r="81" spans="2:10" x14ac:dyDescent="0.25">
      <c r="B81" s="117" t="s">
        <v>318</v>
      </c>
      <c r="C81" s="119">
        <f t="shared" ref="C81:D81" si="3">SUM(C64:C79)</f>
        <v>6491631.6299999999</v>
      </c>
      <c r="D81" s="119">
        <f t="shared" si="3"/>
        <v>19094609.969999999</v>
      </c>
      <c r="E81" s="119">
        <f>SUM(E64:E79)</f>
        <v>11265523</v>
      </c>
      <c r="F81" s="119">
        <f t="shared" ref="F81:I81" si="4">SUM(F64:F79)</f>
        <v>9136911.3900000006</v>
      </c>
      <c r="G81" s="119">
        <f t="shared" si="4"/>
        <v>7801292.7300000004</v>
      </c>
      <c r="H81" s="119">
        <f t="shared" si="4"/>
        <v>2415194.89</v>
      </c>
      <c r="I81" s="119">
        <f t="shared" si="4"/>
        <v>17614081</v>
      </c>
      <c r="J81" s="119">
        <f>SUM(J64:J80)</f>
        <v>1308130</v>
      </c>
    </row>
    <row r="83" spans="2:10" x14ac:dyDescent="0.25">
      <c r="B83" s="117" t="s">
        <v>317</v>
      </c>
      <c r="C83" s="118">
        <f t="shared" ref="C83:D83" si="5">C81+C61+C20</f>
        <v>70491382.810000002</v>
      </c>
      <c r="D83" s="118">
        <f t="shared" si="5"/>
        <v>233587835.75999999</v>
      </c>
      <c r="E83" s="118">
        <f>E81+E61+E20</f>
        <v>180795362.06999999</v>
      </c>
      <c r="F83" s="118">
        <f t="shared" ref="F83:H83" si="6">F81+F61+F20</f>
        <v>110297542.01000001</v>
      </c>
      <c r="G83" s="118">
        <f t="shared" si="6"/>
        <v>143894667</v>
      </c>
      <c r="H83" s="118">
        <f t="shared" si="6"/>
        <v>53867579.109999999</v>
      </c>
      <c r="I83" s="118">
        <f t="shared" ref="I83:J83" si="7">I81+I61+I20</f>
        <v>36577127</v>
      </c>
      <c r="J83" s="118">
        <f t="shared" si="7"/>
        <v>3719606</v>
      </c>
    </row>
    <row r="86" spans="2:10" x14ac:dyDescent="0.25">
      <c r="I86" s="158">
        <f>SUM(I77:I79,I71:I75,I57,I53:I54,I50:I51,I45:I48,I43,I40,I35,I38,I32:I33,I26:I29,I23:I24)</f>
        <v>4381199</v>
      </c>
      <c r="J86" s="158">
        <f>SUM(J77:J79,J71:J75,J57,J53:J54,J50:J51,J45:J48,J43,J40,J35,J38,J32:J33,J26:J29,J23:J24,J10)</f>
        <v>3719606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V38"/>
  <sheetViews>
    <sheetView topLeftCell="A10" workbookViewId="0">
      <selection activeCell="I31" sqref="I31:J31"/>
    </sheetView>
  </sheetViews>
  <sheetFormatPr defaultRowHeight="15" x14ac:dyDescent="0.25"/>
  <cols>
    <col min="2" max="2" width="42.85546875" customWidth="1"/>
    <col min="3" max="3" width="9.28515625" bestFit="1" customWidth="1"/>
    <col min="4" max="4" width="10" bestFit="1" customWidth="1"/>
    <col min="5" max="5" width="9.7109375" bestFit="1" customWidth="1"/>
    <col min="6" max="6" width="11.7109375" bestFit="1" customWidth="1"/>
    <col min="7" max="9" width="9.28515625" bestFit="1" customWidth="1"/>
    <col min="10" max="10" width="8.5703125" customWidth="1"/>
    <col min="11" max="11" width="9.140625" customWidth="1"/>
    <col min="12" max="12" width="27" customWidth="1"/>
    <col min="18" max="18" width="10.5703125" bestFit="1" customWidth="1"/>
    <col min="19" max="19" width="9.5703125" bestFit="1" customWidth="1"/>
    <col min="21" max="22" width="9.140625" style="115"/>
  </cols>
  <sheetData>
    <row r="2" spans="2:21" x14ac:dyDescent="0.25">
      <c r="B2" s="10" t="s">
        <v>53</v>
      </c>
      <c r="C2" s="10"/>
      <c r="D2" s="10"/>
      <c r="E2" s="10"/>
      <c r="F2" s="10"/>
      <c r="G2" s="10"/>
      <c r="H2" s="10"/>
      <c r="I2" s="10"/>
      <c r="J2" s="10"/>
    </row>
    <row r="3" spans="2:21" ht="11.25" customHeight="1" x14ac:dyDescent="0.25"/>
    <row r="4" spans="2:21" x14ac:dyDescent="0.25">
      <c r="B4" s="9" t="s">
        <v>52</v>
      </c>
      <c r="C4" s="9"/>
      <c r="D4" s="9"/>
      <c r="E4" s="9"/>
      <c r="F4" s="9"/>
      <c r="G4" s="9"/>
      <c r="H4" s="9"/>
      <c r="I4" s="9"/>
      <c r="J4" s="9"/>
      <c r="L4" s="9" t="s">
        <v>322</v>
      </c>
      <c r="M4" s="8"/>
      <c r="N4" s="8"/>
      <c r="O4" s="8"/>
      <c r="P4" s="8"/>
      <c r="Q4" s="8"/>
      <c r="R4" s="8"/>
      <c r="S4" s="8"/>
      <c r="T4" s="8"/>
    </row>
    <row r="5" spans="2:21" ht="13.5" customHeight="1" x14ac:dyDescent="0.25"/>
    <row r="6" spans="2:21" x14ac:dyDescent="0.25">
      <c r="B6" s="7" t="s">
        <v>51</v>
      </c>
      <c r="C6" s="6" t="s">
        <v>50</v>
      </c>
      <c r="D6" s="6" t="s">
        <v>49</v>
      </c>
      <c r="E6" s="6" t="s">
        <v>48</v>
      </c>
      <c r="F6" s="6" t="s">
        <v>47</v>
      </c>
      <c r="G6" s="6" t="s">
        <v>46</v>
      </c>
      <c r="H6" s="6" t="s">
        <v>45</v>
      </c>
      <c r="I6" s="6" t="s">
        <v>44</v>
      </c>
      <c r="J6" s="175">
        <v>45597</v>
      </c>
      <c r="L6" s="7" t="s">
        <v>51</v>
      </c>
      <c r="M6" s="150" t="s">
        <v>50</v>
      </c>
      <c r="N6" s="150" t="s">
        <v>49</v>
      </c>
      <c r="O6" s="150" t="s">
        <v>48</v>
      </c>
      <c r="P6" s="150" t="s">
        <v>47</v>
      </c>
      <c r="Q6" s="150" t="s">
        <v>46</v>
      </c>
      <c r="R6" s="150" t="s">
        <v>45</v>
      </c>
      <c r="S6" s="150" t="s">
        <v>44</v>
      </c>
      <c r="T6" s="175">
        <v>45597</v>
      </c>
    </row>
    <row r="7" spans="2:21" x14ac:dyDescent="0.25">
      <c r="B7" t="s">
        <v>43</v>
      </c>
      <c r="C7" s="148">
        <f>492319984.22/10^5</f>
        <v>4923.1998422000006</v>
      </c>
      <c r="D7" s="148">
        <f>1478637015.27/10^5</f>
        <v>14786.370152699999</v>
      </c>
      <c r="E7" s="148">
        <f>909004069.69/10^5</f>
        <v>9090.0406969000014</v>
      </c>
      <c r="F7" s="148">
        <f>1065235586.26/10^5</f>
        <v>10652.355862599999</v>
      </c>
      <c r="G7" s="148">
        <f>7033.84</f>
        <v>7033.84</v>
      </c>
      <c r="H7" s="148">
        <f>167597130.82/10^5</f>
        <v>1675.9713081999998</v>
      </c>
      <c r="I7" s="148">
        <f>279753514.69/10^5</f>
        <v>2797.5351469000002</v>
      </c>
      <c r="J7" s="148">
        <f>69066666/10^5</f>
        <v>690.66665999999998</v>
      </c>
      <c r="L7" s="5" t="s">
        <v>42</v>
      </c>
      <c r="M7" s="151"/>
      <c r="N7" s="151"/>
      <c r="O7" s="151"/>
      <c r="P7" s="151"/>
      <c r="Q7" s="151"/>
      <c r="R7" s="151"/>
      <c r="S7" s="151"/>
    </row>
    <row r="8" spans="2:21" x14ac:dyDescent="0.25">
      <c r="B8" t="s">
        <v>41</v>
      </c>
      <c r="C8" s="148">
        <f>3113738.74/10^5</f>
        <v>31.137387400000001</v>
      </c>
      <c r="D8" s="148">
        <f>10718109.98/10^5</f>
        <v>107.1810998</v>
      </c>
      <c r="E8" s="148">
        <f>1539664.47/10^5</f>
        <v>15.3966447</v>
      </c>
      <c r="F8" s="148">
        <f>1638586.51/10^5</f>
        <v>16.3858651</v>
      </c>
      <c r="G8" s="148">
        <f>4.03</f>
        <v>4.03</v>
      </c>
      <c r="H8" s="148">
        <f>779879.6/10^5</f>
        <v>7.7987959999999994</v>
      </c>
      <c r="I8" s="148">
        <f>44266790.71/10^5</f>
        <v>442.66790710000004</v>
      </c>
      <c r="J8" s="148">
        <f>22400000/10^5</f>
        <v>224</v>
      </c>
      <c r="L8" s="4" t="s">
        <v>40</v>
      </c>
      <c r="M8" s="151"/>
      <c r="N8" s="151"/>
      <c r="O8" s="151"/>
      <c r="P8" s="151"/>
      <c r="Q8" s="151"/>
      <c r="R8" s="151"/>
      <c r="S8" s="151"/>
    </row>
    <row r="9" spans="2:21" x14ac:dyDescent="0.25">
      <c r="B9" s="2" t="s">
        <v>39</v>
      </c>
      <c r="C9" s="149">
        <f t="shared" ref="C9:J9" si="0">SUM(C7:C8)</f>
        <v>4954.3372296000007</v>
      </c>
      <c r="D9" s="149">
        <f t="shared" si="0"/>
        <v>14893.551252499999</v>
      </c>
      <c r="E9" s="149">
        <f t="shared" si="0"/>
        <v>9105.4373416000017</v>
      </c>
      <c r="F9" s="149">
        <f t="shared" si="0"/>
        <v>10668.741727699999</v>
      </c>
      <c r="G9" s="149">
        <f t="shared" si="0"/>
        <v>7037.87</v>
      </c>
      <c r="H9" s="149">
        <f t="shared" si="0"/>
        <v>1683.7701041999999</v>
      </c>
      <c r="I9" s="149">
        <f t="shared" si="0"/>
        <v>3240.2030540000001</v>
      </c>
      <c r="J9" s="149">
        <f t="shared" si="0"/>
        <v>914.66665999999998</v>
      </c>
      <c r="L9" t="s">
        <v>38</v>
      </c>
      <c r="M9" s="148">
        <f>85000000/10^5</f>
        <v>850</v>
      </c>
      <c r="N9" s="148">
        <f>85000000/10^5</f>
        <v>850</v>
      </c>
      <c r="O9" s="148">
        <f>200000000/10^5</f>
        <v>2000</v>
      </c>
      <c r="P9" s="148">
        <f t="shared" ref="P9:T9" si="1">200000000/10^5</f>
        <v>2000</v>
      </c>
      <c r="Q9" s="148">
        <f t="shared" si="1"/>
        <v>2000</v>
      </c>
      <c r="R9" s="148">
        <f t="shared" si="1"/>
        <v>2000</v>
      </c>
      <c r="S9" s="148">
        <f t="shared" si="1"/>
        <v>2000</v>
      </c>
      <c r="T9" s="148">
        <f t="shared" si="1"/>
        <v>2000</v>
      </c>
    </row>
    <row r="10" spans="2:21" x14ac:dyDescent="0.25">
      <c r="B10" t="s">
        <v>37</v>
      </c>
      <c r="C10" s="148">
        <f>400299081/10^5</f>
        <v>4002.9908099999998</v>
      </c>
      <c r="D10" s="148">
        <f>1443545033/10^5</f>
        <v>14435.45033</v>
      </c>
      <c r="E10" s="148">
        <f>812198148.2/10^5</f>
        <v>8121.9814820000001</v>
      </c>
      <c r="F10" s="148">
        <f>827118441.25/10^5</f>
        <v>8271.1844125000007</v>
      </c>
      <c r="G10" s="148">
        <f>3601.16</f>
        <v>3601.16</v>
      </c>
      <c r="H10" s="148">
        <f>71828985/10^5</f>
        <v>718.28985</v>
      </c>
      <c r="I10" s="148" t="s">
        <v>36</v>
      </c>
      <c r="J10" s="148" t="s">
        <v>36</v>
      </c>
      <c r="L10" t="s">
        <v>35</v>
      </c>
      <c r="M10" s="148">
        <f>82923842.63/10^5</f>
        <v>829.2384262999999</v>
      </c>
      <c r="N10" s="148">
        <f t="shared" ref="N10:Q10" si="2">M10+D21</f>
        <v>854.9013389999983</v>
      </c>
      <c r="O10" s="148">
        <f t="shared" si="2"/>
        <v>873.26678929999969</v>
      </c>
      <c r="P10" s="148">
        <f t="shared" si="2"/>
        <v>885.52856019999831</v>
      </c>
      <c r="Q10" s="148">
        <f t="shared" si="2"/>
        <v>918.72856019999881</v>
      </c>
      <c r="R10" s="148">
        <f>93160066.04/10^5</f>
        <v>931.60066040000004</v>
      </c>
      <c r="S10" s="148">
        <f>+R10+I21</f>
        <v>949.32651849999991</v>
      </c>
      <c r="T10" s="148">
        <f>+S10+J21</f>
        <v>1205.4532161999998</v>
      </c>
    </row>
    <row r="11" spans="2:21" x14ac:dyDescent="0.25">
      <c r="B11" t="s">
        <v>34</v>
      </c>
      <c r="C11" s="148">
        <f>-10423103.83/10^5</f>
        <v>-104.23103829999999</v>
      </c>
      <c r="D11" s="148">
        <f>-257083403.97/10^5</f>
        <v>-2570.8340397000002</v>
      </c>
      <c r="E11" s="148">
        <f>-144578036.41/10^5</f>
        <v>-1445.7803641</v>
      </c>
      <c r="F11" s="148">
        <f>75650580.34/10^5</f>
        <v>756.50580339999999</v>
      </c>
      <c r="G11" s="148">
        <f>1328.51</f>
        <v>1328.51</v>
      </c>
      <c r="H11" s="148">
        <f>-26596793.62/10^5</f>
        <v>-265.9679362</v>
      </c>
      <c r="I11" s="148">
        <f>207147377.37/10^5</f>
        <v>2071.4737737</v>
      </c>
      <c r="J11" s="148" t="s">
        <v>36</v>
      </c>
      <c r="L11" s="2" t="s">
        <v>33</v>
      </c>
      <c r="M11" s="149">
        <f t="shared" ref="M11:T11" si="3">SUM(M9:M10)</f>
        <v>1679.2384262999999</v>
      </c>
      <c r="N11" s="149">
        <f t="shared" si="3"/>
        <v>1704.9013389999982</v>
      </c>
      <c r="O11" s="149">
        <f t="shared" si="3"/>
        <v>2873.2667892999998</v>
      </c>
      <c r="P11" s="149">
        <f t="shared" si="3"/>
        <v>2885.5285601999985</v>
      </c>
      <c r="Q11" s="149">
        <f t="shared" si="3"/>
        <v>2918.7285601999988</v>
      </c>
      <c r="R11" s="149">
        <f t="shared" si="3"/>
        <v>2931.6006603999999</v>
      </c>
      <c r="S11" s="149">
        <f t="shared" si="3"/>
        <v>2949.3265185</v>
      </c>
      <c r="T11" s="149">
        <f t="shared" si="3"/>
        <v>3205.4532161999996</v>
      </c>
    </row>
    <row r="12" spans="2:21" x14ac:dyDescent="0.25">
      <c r="B12" t="s">
        <v>32</v>
      </c>
      <c r="C12" s="148">
        <f>14292626/10^5</f>
        <v>142.92626000000001</v>
      </c>
      <c r="D12" s="148">
        <f>25680652/10^5</f>
        <v>256.80651999999998</v>
      </c>
      <c r="E12" s="148">
        <f>26494792.64/10^5</f>
        <v>264.94792640000003</v>
      </c>
      <c r="F12" s="148">
        <f>15183906/10^5</f>
        <v>151.83905999999999</v>
      </c>
      <c r="G12" s="148">
        <f>182.98</f>
        <v>182.98</v>
      </c>
      <c r="H12" s="148">
        <f>12783889/10^5</f>
        <v>127.83889000000001</v>
      </c>
      <c r="I12" s="148">
        <f>13909042/10^5</f>
        <v>139.09041999999999</v>
      </c>
      <c r="J12" s="148">
        <f>10378682/10^5</f>
        <v>103.78682000000001</v>
      </c>
      <c r="L12" s="4" t="s">
        <v>31</v>
      </c>
      <c r="M12" s="151"/>
      <c r="N12" s="151"/>
      <c r="O12" s="151"/>
      <c r="P12" s="151"/>
      <c r="Q12" s="151"/>
      <c r="R12" s="151"/>
      <c r="S12" s="151"/>
    </row>
    <row r="13" spans="2:21" x14ac:dyDescent="0.25">
      <c r="B13" t="s">
        <v>30</v>
      </c>
      <c r="C13" s="148">
        <f>70491382.81/10^5</f>
        <v>704.91382810000005</v>
      </c>
      <c r="D13" s="148">
        <f>233587835.76/10^5</f>
        <v>2335.8783576000001</v>
      </c>
      <c r="E13" s="148">
        <f>180795362.07/10^5</f>
        <v>1807.9536206999999</v>
      </c>
      <c r="F13" s="148">
        <f>110297542.01/10^5</f>
        <v>1102.9754201000001</v>
      </c>
      <c r="G13" s="148">
        <f>1438.95</f>
        <v>1438.95</v>
      </c>
      <c r="H13" s="148">
        <f>53867579.11/10^5</f>
        <v>538.67579109999997</v>
      </c>
      <c r="I13" s="148">
        <f>36577127/10^5</f>
        <v>365.77127000000002</v>
      </c>
      <c r="J13" s="148">
        <f>3719606/10^5</f>
        <v>37.196060000000003</v>
      </c>
      <c r="L13" t="s">
        <v>29</v>
      </c>
      <c r="M13" s="148">
        <f>55285454.57/10^5</f>
        <v>552.85454570000002</v>
      </c>
      <c r="N13" s="148">
        <f>452743231/10^5</f>
        <v>4527.4323100000001</v>
      </c>
      <c r="O13" s="148">
        <f>443803472/10^5</f>
        <v>4438.0347199999997</v>
      </c>
      <c r="P13" s="148">
        <f>515203499/10^5</f>
        <v>5152.0349900000001</v>
      </c>
      <c r="Q13" s="148">
        <f>1253.31</f>
        <v>1253.31</v>
      </c>
      <c r="R13" s="148">
        <f>137661562.23/10^5</f>
        <v>1376.6156222999998</v>
      </c>
      <c r="S13" s="148">
        <f>107346257.23/10^5</f>
        <v>1073.4625723000001</v>
      </c>
      <c r="T13" s="148">
        <f>108236936.48/10^5</f>
        <v>1082.3693648000001</v>
      </c>
      <c r="U13" s="196">
        <f>+T13-S13</f>
        <v>8.9067924999999377</v>
      </c>
    </row>
    <row r="14" spans="2:21" x14ac:dyDescent="0.25">
      <c r="B14" s="2" t="s">
        <v>28</v>
      </c>
      <c r="C14" s="149">
        <f>SUM(C10:C13)</f>
        <v>4746.5998598000006</v>
      </c>
      <c r="D14" s="149">
        <f t="shared" ref="D14:I14" si="4">SUM(D10:D13)</f>
        <v>14457.301167900001</v>
      </c>
      <c r="E14" s="149">
        <f t="shared" si="4"/>
        <v>8749.1026650000003</v>
      </c>
      <c r="F14" s="149">
        <f t="shared" si="4"/>
        <v>10282.504696</v>
      </c>
      <c r="G14" s="149">
        <f t="shared" si="4"/>
        <v>6551.5999999999995</v>
      </c>
      <c r="H14" s="149">
        <f t="shared" si="4"/>
        <v>1118.8365948999999</v>
      </c>
      <c r="I14" s="149">
        <f t="shared" si="4"/>
        <v>2576.3354637000002</v>
      </c>
      <c r="J14" s="149">
        <f t="shared" ref="J14" si="5">SUM(J10:J13)</f>
        <v>140.98288000000002</v>
      </c>
      <c r="L14" t="s">
        <v>27</v>
      </c>
      <c r="M14" s="148">
        <f t="shared" ref="M14:Q14" si="6">7368802.1/10^5</f>
        <v>73.688020999999992</v>
      </c>
      <c r="N14" s="148">
        <f t="shared" si="6"/>
        <v>73.688020999999992</v>
      </c>
      <c r="O14" s="148">
        <f t="shared" si="6"/>
        <v>73.688020999999992</v>
      </c>
      <c r="P14" s="148">
        <f t="shared" si="6"/>
        <v>73.688020999999992</v>
      </c>
      <c r="Q14" s="148">
        <f t="shared" si="6"/>
        <v>73.688020999999992</v>
      </c>
      <c r="R14" s="148">
        <f>7368802.1/10^5</f>
        <v>73.688020999999992</v>
      </c>
      <c r="S14" s="148">
        <f>7368802.1/10^5</f>
        <v>73.688020999999992</v>
      </c>
      <c r="T14" s="148">
        <f>7368802.1/10^5</f>
        <v>73.688020999999992</v>
      </c>
    </row>
    <row r="15" spans="2:21" x14ac:dyDescent="0.25">
      <c r="B15" s="2" t="s">
        <v>26</v>
      </c>
      <c r="C15" s="149">
        <f t="shared" ref="C15:I15" si="7">C9-C14</f>
        <v>207.73736980000012</v>
      </c>
      <c r="D15" s="149">
        <f t="shared" si="7"/>
        <v>436.25008459999844</v>
      </c>
      <c r="E15" s="149">
        <f t="shared" si="7"/>
        <v>356.33467660000133</v>
      </c>
      <c r="F15" s="149">
        <f t="shared" si="7"/>
        <v>386.23703169999862</v>
      </c>
      <c r="G15" s="149">
        <f t="shared" si="7"/>
        <v>486.27000000000044</v>
      </c>
      <c r="H15" s="149">
        <f t="shared" si="7"/>
        <v>564.93350929999997</v>
      </c>
      <c r="I15" s="149">
        <f t="shared" si="7"/>
        <v>663.86759029999985</v>
      </c>
      <c r="J15" s="149">
        <f t="shared" ref="J15" si="8">J9-J14</f>
        <v>773.68377999999996</v>
      </c>
      <c r="L15" s="2" t="s">
        <v>25</v>
      </c>
      <c r="M15" s="149">
        <f t="shared" ref="M15:T15" si="9">SUM(M13:M14)</f>
        <v>626.54256669999995</v>
      </c>
      <c r="N15" s="149">
        <f t="shared" si="9"/>
        <v>4601.1203310000001</v>
      </c>
      <c r="O15" s="149">
        <f t="shared" si="9"/>
        <v>4511.7227409999996</v>
      </c>
      <c r="P15" s="149">
        <f t="shared" si="9"/>
        <v>5225.723011</v>
      </c>
      <c r="Q15" s="149">
        <f t="shared" si="9"/>
        <v>1326.9980209999999</v>
      </c>
      <c r="R15" s="149">
        <f t="shared" si="9"/>
        <v>1450.3036432999997</v>
      </c>
      <c r="S15" s="149">
        <f t="shared" si="9"/>
        <v>1147.1505933000001</v>
      </c>
      <c r="T15" s="149">
        <f t="shared" si="9"/>
        <v>1156.0573858</v>
      </c>
    </row>
    <row r="16" spans="2:21" x14ac:dyDescent="0.25">
      <c r="B16" t="s">
        <v>24</v>
      </c>
      <c r="C16" s="148">
        <f>15426017.89/10^5</f>
        <v>154.2601789</v>
      </c>
      <c r="D16" s="148">
        <f>14803791.62/10^5</f>
        <v>148.03791619999998</v>
      </c>
      <c r="E16" s="148">
        <f>14096110.4/10^5</f>
        <v>140.96110400000001</v>
      </c>
      <c r="F16" s="148">
        <f>12823899.78/10^5</f>
        <v>128.23899779999999</v>
      </c>
      <c r="G16" s="148">
        <f>119.14</f>
        <v>119.14</v>
      </c>
      <c r="H16" s="148">
        <f>11105758/10^5</f>
        <v>111.05758</v>
      </c>
      <c r="I16" s="148">
        <f>9635983.07/10^5</f>
        <v>96.359830700000003</v>
      </c>
      <c r="J16" s="148">
        <f>5532794.1/10^5</f>
        <v>55.327940999999996</v>
      </c>
      <c r="L16" s="4" t="s">
        <v>23</v>
      </c>
      <c r="M16" s="151"/>
      <c r="N16" s="151"/>
      <c r="O16" s="151"/>
      <c r="P16" s="151"/>
      <c r="Q16" s="151"/>
      <c r="R16" s="151"/>
      <c r="S16" s="151"/>
    </row>
    <row r="17" spans="2:22" x14ac:dyDescent="0.25">
      <c r="B17" s="2" t="s">
        <v>22</v>
      </c>
      <c r="C17" s="149">
        <f t="shared" ref="C17:J17" si="10">C15-C16</f>
        <v>53.477190900000124</v>
      </c>
      <c r="D17" s="149">
        <f t="shared" si="10"/>
        <v>288.21216839999846</v>
      </c>
      <c r="E17" s="149">
        <f t="shared" si="10"/>
        <v>215.37357260000132</v>
      </c>
      <c r="F17" s="149">
        <f t="shared" si="10"/>
        <v>257.99803389999863</v>
      </c>
      <c r="G17" s="149">
        <f t="shared" si="10"/>
        <v>367.13000000000045</v>
      </c>
      <c r="H17" s="149">
        <f t="shared" si="10"/>
        <v>453.87592929999994</v>
      </c>
      <c r="I17" s="149">
        <f t="shared" si="10"/>
        <v>567.50775959999987</v>
      </c>
      <c r="J17" s="149">
        <f t="shared" si="10"/>
        <v>718.35583899999995</v>
      </c>
      <c r="L17" t="s">
        <v>21</v>
      </c>
      <c r="M17" s="151"/>
      <c r="N17" s="151"/>
      <c r="O17" s="148"/>
      <c r="P17" s="148"/>
      <c r="Q17" s="148">
        <f>3026.54</f>
        <v>3026.54</v>
      </c>
      <c r="R17" s="148">
        <f>303494746/10^5</f>
        <v>3034.9474599999999</v>
      </c>
      <c r="S17" s="148">
        <f>313801468/10^5</f>
        <v>3138.0146800000002</v>
      </c>
      <c r="T17" s="148">
        <f>349900483/10^5</f>
        <v>3499.0048299999999</v>
      </c>
      <c r="U17" s="148">
        <f>+T17-S17</f>
        <v>360.99014999999963</v>
      </c>
    </row>
    <row r="18" spans="2:22" x14ac:dyDescent="0.25">
      <c r="B18" t="s">
        <v>20</v>
      </c>
      <c r="C18" s="148">
        <f>10527.66/10^5</f>
        <v>0.1052766</v>
      </c>
      <c r="D18" s="148">
        <f>25353255.67/10^5</f>
        <v>253.53255670000001</v>
      </c>
      <c r="E18" s="148">
        <f>19055539.65/10^5</f>
        <v>190.55539649999997</v>
      </c>
      <c r="F18" s="148">
        <f>24142807.32/10^5</f>
        <v>241.4280732</v>
      </c>
      <c r="G18" s="148">
        <f>322.27</f>
        <v>322.27</v>
      </c>
      <c r="H18" s="148">
        <f>43647036.23/10^5</f>
        <v>436.47036229999998</v>
      </c>
      <c r="I18" s="148">
        <f>54978190.15/10^5</f>
        <v>549.7819015</v>
      </c>
      <c r="J18" s="148">
        <f>37223868/10^5</f>
        <v>372.23867999999999</v>
      </c>
      <c r="L18" t="s">
        <v>19</v>
      </c>
      <c r="M18" s="148">
        <f>125041112.45/10^5</f>
        <v>1250.4111245000001</v>
      </c>
      <c r="N18" s="148">
        <f>148860994.58/10^5</f>
        <v>1488.6099458000001</v>
      </c>
      <c r="O18" s="148">
        <f>56932036.1/10^5</f>
        <v>569.32036100000005</v>
      </c>
      <c r="P18" s="148">
        <f>66472465.52/10^5</f>
        <v>664.72465520000003</v>
      </c>
      <c r="Q18" s="148">
        <f>721.42</f>
        <v>721.42</v>
      </c>
      <c r="R18" s="148">
        <f>74619144.48/10^5</f>
        <v>746.1914448</v>
      </c>
      <c r="S18" s="184">
        <f>72488368.48/10^5</f>
        <v>724.88368480000008</v>
      </c>
      <c r="T18" s="148">
        <f>72498368.48/10^5</f>
        <v>724.98368479999999</v>
      </c>
    </row>
    <row r="19" spans="2:22" x14ac:dyDescent="0.25">
      <c r="B19" s="2" t="s">
        <v>18</v>
      </c>
      <c r="C19" s="149">
        <f t="shared" ref="C19:J19" si="11">C17-C18</f>
        <v>53.371914300000121</v>
      </c>
      <c r="D19" s="149">
        <f t="shared" si="11"/>
        <v>34.679611699998446</v>
      </c>
      <c r="E19" s="149">
        <f t="shared" si="11"/>
        <v>24.818176100001352</v>
      </c>
      <c r="F19" s="149">
        <f t="shared" si="11"/>
        <v>16.569960699998632</v>
      </c>
      <c r="G19" s="149">
        <f t="shared" si="11"/>
        <v>44.860000000000468</v>
      </c>
      <c r="H19" s="149">
        <f t="shared" si="11"/>
        <v>17.405566999999962</v>
      </c>
      <c r="I19" s="149">
        <f t="shared" si="11"/>
        <v>17.725858099999869</v>
      </c>
      <c r="J19" s="149">
        <f t="shared" si="11"/>
        <v>346.11715899999996</v>
      </c>
      <c r="L19" t="s">
        <v>17</v>
      </c>
      <c r="M19" s="148">
        <f>5493384.15/10^5</f>
        <v>54.933841500000007</v>
      </c>
      <c r="N19" s="148">
        <f>12339107.9/10^5</f>
        <v>123.391079</v>
      </c>
      <c r="O19" s="148">
        <f>9724163.75/10^5</f>
        <v>97.241637499999996</v>
      </c>
      <c r="P19" s="148">
        <f>7595930.66/10^5</f>
        <v>75.959306600000005</v>
      </c>
      <c r="Q19" s="148">
        <f>59.51</f>
        <v>59.51</v>
      </c>
      <c r="R19" s="148">
        <f>17476344.36/10^5</f>
        <v>174.76344359999999</v>
      </c>
      <c r="S19" s="148">
        <f>22992079.18/10^5</f>
        <v>229.92079179999999</v>
      </c>
      <c r="T19" s="148">
        <f>32192919.31/10^5</f>
        <v>321.92919309999996</v>
      </c>
      <c r="U19" s="196"/>
      <c r="V19" s="148">
        <v>3589.53</v>
      </c>
    </row>
    <row r="20" spans="2:22" x14ac:dyDescent="0.25">
      <c r="B20" t="s">
        <v>16</v>
      </c>
      <c r="C20" s="148">
        <f>1349928.15/10^5</f>
        <v>13.499281499999999</v>
      </c>
      <c r="D20" s="148">
        <f>901669.9/10^5</f>
        <v>9.0166990000000009</v>
      </c>
      <c r="E20" s="148">
        <f>645272.58/10^5</f>
        <v>6.4527257999999996</v>
      </c>
      <c r="F20" s="148">
        <f>430818.98/10^5</f>
        <v>4.3081898000000001</v>
      </c>
      <c r="G20" s="148">
        <f>11.66</f>
        <v>11.66</v>
      </c>
      <c r="H20" s="148">
        <f>452544.74/10^5</f>
        <v>4.5254474</v>
      </c>
      <c r="I20" s="148">
        <v>0</v>
      </c>
      <c r="J20" s="148">
        <f>8999046.13/10^5</f>
        <v>89.990461300000007</v>
      </c>
      <c r="K20" s="201"/>
      <c r="L20" s="2" t="s">
        <v>15</v>
      </c>
      <c r="M20" s="149">
        <f t="shared" ref="M20:S20" si="12">SUM(M17:M19)</f>
        <v>1305.3449660000001</v>
      </c>
      <c r="N20" s="149">
        <f t="shared" si="12"/>
        <v>1612.0010248000001</v>
      </c>
      <c r="O20" s="149">
        <f t="shared" si="12"/>
        <v>666.56199850000007</v>
      </c>
      <c r="P20" s="149">
        <f t="shared" si="12"/>
        <v>740.68396180000002</v>
      </c>
      <c r="Q20" s="149">
        <f t="shared" si="12"/>
        <v>3807.4700000000003</v>
      </c>
      <c r="R20" s="149">
        <f t="shared" si="12"/>
        <v>3955.9023483999999</v>
      </c>
      <c r="S20" s="149">
        <f t="shared" si="12"/>
        <v>4092.8191566000005</v>
      </c>
      <c r="T20" s="149">
        <f t="shared" ref="T20" si="13">SUM(T17:T19)</f>
        <v>4545.9177078999992</v>
      </c>
      <c r="V20" s="148"/>
    </row>
    <row r="21" spans="2:22" x14ac:dyDescent="0.25">
      <c r="B21" s="2" t="s">
        <v>14</v>
      </c>
      <c r="C21" s="149">
        <f t="shared" ref="C21:J21" si="14">C19-C20</f>
        <v>39.872632800000119</v>
      </c>
      <c r="D21" s="149">
        <f t="shared" si="14"/>
        <v>25.662912699998444</v>
      </c>
      <c r="E21" s="149">
        <f t="shared" si="14"/>
        <v>18.365450300001353</v>
      </c>
      <c r="F21" s="149">
        <f t="shared" si="14"/>
        <v>12.261770899998631</v>
      </c>
      <c r="G21" s="149">
        <f t="shared" si="14"/>
        <v>33.200000000000472</v>
      </c>
      <c r="H21" s="149">
        <f t="shared" si="14"/>
        <v>12.880119599999961</v>
      </c>
      <c r="I21" s="149">
        <f t="shared" si="14"/>
        <v>17.725858099999869</v>
      </c>
      <c r="J21" s="149">
        <f t="shared" si="14"/>
        <v>256.12669769999997</v>
      </c>
      <c r="L21" s="2" t="s">
        <v>13</v>
      </c>
      <c r="M21" s="149">
        <f t="shared" ref="M21:S21" si="15">M11+M15+M20</f>
        <v>3611.125959</v>
      </c>
      <c r="N21" s="149">
        <f t="shared" si="15"/>
        <v>7918.0226947999981</v>
      </c>
      <c r="O21" s="149">
        <f t="shared" si="15"/>
        <v>8051.5515287999997</v>
      </c>
      <c r="P21" s="149">
        <f t="shared" si="15"/>
        <v>8851.935532999998</v>
      </c>
      <c r="Q21" s="149">
        <f t="shared" si="15"/>
        <v>8053.1965811999989</v>
      </c>
      <c r="R21" s="149">
        <f t="shared" si="15"/>
        <v>8337.8066521000001</v>
      </c>
      <c r="S21" s="149">
        <f t="shared" si="15"/>
        <v>8189.2962684000004</v>
      </c>
      <c r="T21" s="149">
        <f t="shared" ref="T21" si="16">T11+T15+T20</f>
        <v>8907.4283098999986</v>
      </c>
      <c r="V21" s="148">
        <v>3138.01</v>
      </c>
    </row>
    <row r="22" spans="2:22" x14ac:dyDescent="0.25">
      <c r="M22" s="151"/>
      <c r="N22" s="151"/>
      <c r="O22" s="151"/>
      <c r="P22" s="151"/>
      <c r="Q22" s="151"/>
      <c r="R22" s="151"/>
      <c r="S22" s="151"/>
    </row>
    <row r="23" spans="2:22" x14ac:dyDescent="0.25">
      <c r="C23" s="50">
        <f>C20/C19</f>
        <v>0.25292856134260799</v>
      </c>
      <c r="D23" s="50">
        <f t="shared" ref="D23:J23" si="17">D20/D19</f>
        <v>0.25999999878892543</v>
      </c>
      <c r="E23" s="50">
        <f t="shared" si="17"/>
        <v>0.26000000056408851</v>
      </c>
      <c r="F23" s="50">
        <f t="shared" si="17"/>
        <v>0.26000000108632459</v>
      </c>
      <c r="G23" s="50">
        <f t="shared" si="17"/>
        <v>0.25991975033437087</v>
      </c>
      <c r="H23" s="50">
        <f t="shared" si="17"/>
        <v>0.25999999885094288</v>
      </c>
      <c r="I23" s="50">
        <f t="shared" si="17"/>
        <v>0</v>
      </c>
      <c r="J23" s="50">
        <f t="shared" si="17"/>
        <v>0.25999999988443223</v>
      </c>
      <c r="L23" s="5" t="s">
        <v>12</v>
      </c>
      <c r="M23" s="151"/>
      <c r="N23" s="151"/>
      <c r="O23" s="151"/>
      <c r="P23" s="151"/>
      <c r="Q23" s="151"/>
      <c r="R23" s="151"/>
      <c r="S23" s="151"/>
    </row>
    <row r="24" spans="2:22" ht="14.25" customHeight="1" x14ac:dyDescent="0.25">
      <c r="L24" s="4" t="s">
        <v>11</v>
      </c>
      <c r="M24" s="151"/>
      <c r="N24" s="151"/>
      <c r="O24" s="151"/>
      <c r="P24" s="151"/>
      <c r="Q24" s="151"/>
      <c r="R24" s="151"/>
      <c r="S24" s="151"/>
    </row>
    <row r="25" spans="2:22" x14ac:dyDescent="0.25">
      <c r="B25" t="s">
        <v>30</v>
      </c>
      <c r="C25" s="50">
        <f>C13/C9</f>
        <v>0.14228216518820072</v>
      </c>
      <c r="D25" s="50">
        <f t="shared" ref="D25:J25" si="18">D13/D9</f>
        <v>0.1568382394499703</v>
      </c>
      <c r="E25" s="50">
        <f t="shared" si="18"/>
        <v>0.19855758190109157</v>
      </c>
      <c r="F25" s="50">
        <f t="shared" si="18"/>
        <v>0.10338383365643466</v>
      </c>
      <c r="G25" s="50">
        <f t="shared" si="18"/>
        <v>0.2044581670306499</v>
      </c>
      <c r="H25" s="50">
        <f t="shared" si="18"/>
        <v>0.31992241087802065</v>
      </c>
      <c r="I25" s="50">
        <f t="shared" si="18"/>
        <v>0.11288529265116852</v>
      </c>
      <c r="J25" s="50">
        <f t="shared" si="18"/>
        <v>4.0666246652086353E-2</v>
      </c>
      <c r="L25" t="s">
        <v>10</v>
      </c>
      <c r="M25" s="148">
        <f>167475442.7/10^5</f>
        <v>1674.7544269999999</v>
      </c>
      <c r="N25" s="148">
        <f>167458234.75/10^5</f>
        <v>1674.5823475</v>
      </c>
      <c r="O25" s="148">
        <f>158296947.29/10^5</f>
        <v>1582.9694729</v>
      </c>
      <c r="P25" s="148">
        <f>150628503.79/10^5</f>
        <v>1506.2850378999999</v>
      </c>
      <c r="Q25" s="148">
        <f>1468.41</f>
        <v>1468.41</v>
      </c>
      <c r="R25" s="148">
        <f>139680156.22/10^5</f>
        <v>1396.8015622</v>
      </c>
      <c r="S25" s="148">
        <f>129411448.71/10^5</f>
        <v>1294.1144870999999</v>
      </c>
      <c r="T25" s="151">
        <f>123401251.61/10^5</f>
        <v>1234.0125161000001</v>
      </c>
      <c r="U25" s="196">
        <f>+S25-T25</f>
        <v>60.101970999999821</v>
      </c>
    </row>
    <row r="26" spans="2:22" x14ac:dyDescent="0.25">
      <c r="L26" t="s">
        <v>9</v>
      </c>
      <c r="M26" s="148">
        <f t="shared" ref="M26:R26" si="19">100000000/10^5</f>
        <v>1000</v>
      </c>
      <c r="N26" s="148">
        <f t="shared" si="19"/>
        <v>1000</v>
      </c>
      <c r="O26" s="148">
        <f t="shared" si="19"/>
        <v>1000</v>
      </c>
      <c r="P26" s="148">
        <f t="shared" si="19"/>
        <v>1000</v>
      </c>
      <c r="Q26" s="148">
        <f t="shared" si="19"/>
        <v>1000</v>
      </c>
      <c r="R26" s="148">
        <f t="shared" si="19"/>
        <v>1000</v>
      </c>
      <c r="S26" s="148">
        <f>111400002/10^5</f>
        <v>1114.0000199999999</v>
      </c>
      <c r="T26" s="148">
        <f>111400002/10^5</f>
        <v>1114.0000199999999</v>
      </c>
    </row>
    <row r="27" spans="2:22" x14ac:dyDescent="0.25">
      <c r="L27" t="s">
        <v>8</v>
      </c>
      <c r="M27" s="148"/>
      <c r="N27" s="148"/>
      <c r="O27" s="148"/>
      <c r="P27" s="148"/>
      <c r="Q27" s="148">
        <f>24.73</f>
        <v>24.73</v>
      </c>
      <c r="R27" s="148">
        <f>2472738/10^5</f>
        <v>24.72738</v>
      </c>
      <c r="S27" s="148">
        <f>2472738/10^5</f>
        <v>24.72738</v>
      </c>
      <c r="T27" s="148">
        <f>2472738/10^5</f>
        <v>24.72738</v>
      </c>
    </row>
    <row r="28" spans="2:22" x14ac:dyDescent="0.25">
      <c r="L28" s="2" t="s">
        <v>7</v>
      </c>
      <c r="M28" s="149">
        <f>SUM(M25:M26)</f>
        <v>2674.7544269999999</v>
      </c>
      <c r="N28" s="149">
        <f>SUM(N25:N26)</f>
        <v>2674.5823474999997</v>
      </c>
      <c r="O28" s="149">
        <f>SUM(O25:O26)</f>
        <v>2582.9694729000003</v>
      </c>
      <c r="P28" s="149">
        <f>SUM(P25:P26)</f>
        <v>2506.2850379000001</v>
      </c>
      <c r="Q28" s="149">
        <f>SUM(Q25:Q27)</f>
        <v>2493.14</v>
      </c>
      <c r="R28" s="149">
        <f>SUM(R25:R27)</f>
        <v>2421.5289422000001</v>
      </c>
      <c r="S28" s="149">
        <f>SUM(S25:S27)</f>
        <v>2432.8418870999999</v>
      </c>
      <c r="T28" s="149">
        <f>SUM(T25:T27)</f>
        <v>2372.7399160999998</v>
      </c>
    </row>
    <row r="29" spans="2:22" x14ac:dyDescent="0.25">
      <c r="B29" t="s">
        <v>151</v>
      </c>
      <c r="C29" s="50">
        <f t="shared" ref="C29:I29" si="20">C15/C9</f>
        <v>4.1930405657261298E-2</v>
      </c>
      <c r="D29" s="50">
        <f t="shared" si="20"/>
        <v>2.9291206456000241E-2</v>
      </c>
      <c r="E29" s="50">
        <f t="shared" si="20"/>
        <v>3.9134273646803927E-2</v>
      </c>
      <c r="F29" s="50">
        <f t="shared" si="20"/>
        <v>3.6202678962335783E-2</v>
      </c>
      <c r="G29" s="50">
        <f t="shared" si="20"/>
        <v>6.9093347845299843E-2</v>
      </c>
      <c r="H29" s="50">
        <f t="shared" si="20"/>
        <v>0.33551700905653842</v>
      </c>
      <c r="I29" s="50">
        <f t="shared" si="20"/>
        <v>0.20488456409559319</v>
      </c>
      <c r="J29" s="50">
        <f t="shared" ref="J29" si="21">J15/J9</f>
        <v>0.84586419712729</v>
      </c>
      <c r="L29" s="4" t="s">
        <v>6</v>
      </c>
      <c r="M29" s="151"/>
      <c r="N29" s="151"/>
      <c r="O29" s="151"/>
      <c r="P29" s="151"/>
      <c r="Q29" s="151"/>
      <c r="R29" s="151"/>
      <c r="S29" s="151"/>
    </row>
    <row r="30" spans="2:22" x14ac:dyDescent="0.25">
      <c r="B30" t="s">
        <v>152</v>
      </c>
      <c r="C30" s="50">
        <f t="shared" ref="C30:I30" si="22">C17/C9</f>
        <v>1.0794015106702319E-2</v>
      </c>
      <c r="D30" s="50">
        <f t="shared" si="22"/>
        <v>1.9351473903956907E-2</v>
      </c>
      <c r="E30" s="50">
        <f t="shared" si="22"/>
        <v>2.3653292480090366E-2</v>
      </c>
      <c r="F30" s="50">
        <f t="shared" si="22"/>
        <v>2.4182611266157127E-2</v>
      </c>
      <c r="G30" s="50">
        <f t="shared" si="22"/>
        <v>5.2164930582690568E-2</v>
      </c>
      <c r="H30" s="50">
        <f t="shared" si="22"/>
        <v>0.26955932295498702</v>
      </c>
      <c r="I30" s="50">
        <f t="shared" si="22"/>
        <v>0.17514573936945615</v>
      </c>
      <c r="J30" s="50">
        <f t="shared" ref="J30" si="23">J17/J9</f>
        <v>0.78537446527240862</v>
      </c>
      <c r="L30" t="s">
        <v>5</v>
      </c>
      <c r="M30" s="148">
        <f>10423103.83/10^5</f>
        <v>104.23103829999999</v>
      </c>
      <c r="N30" s="148">
        <f>267506507.8/10^5</f>
        <v>2675.0650780000001</v>
      </c>
      <c r="O30" s="148">
        <f>412084544.21/10^5</f>
        <v>4120.8454420999997</v>
      </c>
      <c r="P30" s="148">
        <f>336433963.87/10^5</f>
        <v>3364.3396387000003</v>
      </c>
      <c r="Q30" s="148">
        <f>2035.82</f>
        <v>2035.82</v>
      </c>
      <c r="R30" s="148">
        <f>230179285.62/10^5</f>
        <v>2301.7928562000002</v>
      </c>
      <c r="S30" s="148">
        <f>23031908.25/10^5</f>
        <v>230.31908250000001</v>
      </c>
      <c r="T30" s="148">
        <f>23031908.25/10^5</f>
        <v>230.31908250000001</v>
      </c>
    </row>
    <row r="31" spans="2:22" x14ac:dyDescent="0.25">
      <c r="B31" t="s">
        <v>153</v>
      </c>
      <c r="C31" s="50">
        <f t="shared" ref="C31:I31" si="24">C21/C9</f>
        <v>8.0480255889281323E-3</v>
      </c>
      <c r="D31" s="50">
        <f t="shared" si="24"/>
        <v>1.7230888902799943E-3</v>
      </c>
      <c r="E31" s="50">
        <f t="shared" si="24"/>
        <v>2.0169761880733769E-3</v>
      </c>
      <c r="F31" s="50">
        <f t="shared" si="24"/>
        <v>1.1493174371409271E-3</v>
      </c>
      <c r="G31" s="50">
        <f t="shared" si="24"/>
        <v>4.7173363531864713E-3</v>
      </c>
      <c r="H31" s="50">
        <f t="shared" si="24"/>
        <v>7.6495713802447038E-3</v>
      </c>
      <c r="I31" s="50">
        <f t="shared" si="24"/>
        <v>5.4706010100562877E-3</v>
      </c>
      <c r="J31" s="50">
        <f t="shared" ref="J31" si="25">J21/J9</f>
        <v>0.28002190185876019</v>
      </c>
      <c r="L31" t="s">
        <v>3</v>
      </c>
      <c r="M31" s="148">
        <f>67735588.39/10^5</f>
        <v>677.35588389999998</v>
      </c>
      <c r="N31" s="148">
        <f>201849449/10^5</f>
        <v>2018.49449</v>
      </c>
      <c r="O31" s="148">
        <f>92164666.84/10^5</f>
        <v>921.64666840000007</v>
      </c>
      <c r="P31" s="148">
        <f>267563319.33/10^5</f>
        <v>2675.6331933000001</v>
      </c>
      <c r="Q31" s="148">
        <f>3420.09</f>
        <v>3420.09</v>
      </c>
      <c r="R31" s="148">
        <f>344899694.36/10^5</f>
        <v>3448.9969436000001</v>
      </c>
      <c r="S31" s="148">
        <f>514489082.16/10^5</f>
        <v>5144.8908216</v>
      </c>
      <c r="T31" s="151">
        <f>595545121.92/10^5</f>
        <v>5955.4512191999993</v>
      </c>
    </row>
    <row r="32" spans="2:22" x14ac:dyDescent="0.25">
      <c r="F32" s="3"/>
      <c r="L32" t="s">
        <v>4</v>
      </c>
      <c r="M32" s="148">
        <f>987735.51/10^5</f>
        <v>9.8773551000000008</v>
      </c>
      <c r="N32" s="148">
        <f>20872832.16/10^5</f>
        <v>208.72832160000002</v>
      </c>
      <c r="O32" s="148">
        <f>2345916.56/10^5</f>
        <v>23.459165600000002</v>
      </c>
      <c r="P32" s="148">
        <f>5588933.93/10^5</f>
        <v>55.889339299999996</v>
      </c>
      <c r="Q32" s="148">
        <f>12.75</f>
        <v>12.75</v>
      </c>
      <c r="R32" s="148">
        <f>7518161.22/10^5</f>
        <v>75.181612200000004</v>
      </c>
      <c r="S32" s="148">
        <f>8719698.46/10^5</f>
        <v>87.196984600000008</v>
      </c>
      <c r="T32" s="151">
        <f>5487059.94/10^5</f>
        <v>54.870599400000003</v>
      </c>
    </row>
    <row r="33" spans="12:20" x14ac:dyDescent="0.25">
      <c r="L33" t="s">
        <v>159</v>
      </c>
      <c r="M33" s="148">
        <f>10295662.48/10^5</f>
        <v>102.9566248</v>
      </c>
      <c r="N33" s="148">
        <f>21805219.96/10^5</f>
        <v>218.05219960000002</v>
      </c>
      <c r="O33" s="148">
        <f>12604479.39/10^5</f>
        <v>126.0447939</v>
      </c>
      <c r="P33" s="148">
        <f>15283741.42/10^5</f>
        <v>152.83741420000001</v>
      </c>
      <c r="Q33" s="148">
        <f>71.25</f>
        <v>71.25</v>
      </c>
      <c r="R33" s="148">
        <f>8590694.91/10^5</f>
        <v>85.906949100000006</v>
      </c>
      <c r="S33" s="148">
        <f>26997590.41/10^5</f>
        <v>269.97590409999998</v>
      </c>
      <c r="T33" s="148">
        <f>26997590.41/10^5</f>
        <v>269.97590409999998</v>
      </c>
    </row>
    <row r="34" spans="12:20" x14ac:dyDescent="0.25">
      <c r="L34" t="s">
        <v>326</v>
      </c>
      <c r="M34" s="148">
        <f>4195063/10^5</f>
        <v>41.950629999999997</v>
      </c>
      <c r="N34" s="148">
        <f>12310025.81/10^5</f>
        <v>123.1002581</v>
      </c>
      <c r="O34" s="148">
        <f>27658598.49/10^5</f>
        <v>276.58598489999997</v>
      </c>
      <c r="P34" s="148">
        <f>9695090.95/10^5</f>
        <v>96.950909499999995</v>
      </c>
      <c r="Q34" s="148">
        <f>20.15</f>
        <v>20.149999999999999</v>
      </c>
      <c r="R34" s="148">
        <f>439934.86/10^5</f>
        <v>4.3993485999999997</v>
      </c>
      <c r="S34" s="148">
        <f>2407158.86/10^5</f>
        <v>24.071588599999998</v>
      </c>
      <c r="T34" s="148">
        <f>2407158.86/10^5</f>
        <v>24.071588599999998</v>
      </c>
    </row>
    <row r="35" spans="12:20" x14ac:dyDescent="0.25">
      <c r="L35" s="2" t="s">
        <v>2</v>
      </c>
      <c r="M35" s="149">
        <f t="shared" ref="M35:S35" si="26">SUM(M30:M34)</f>
        <v>936.37153210000008</v>
      </c>
      <c r="N35" s="149">
        <f t="shared" si="26"/>
        <v>5243.4403473000002</v>
      </c>
      <c r="O35" s="149">
        <f t="shared" si="26"/>
        <v>5468.5820548999991</v>
      </c>
      <c r="P35" s="149">
        <f t="shared" si="26"/>
        <v>6345.6504950000008</v>
      </c>
      <c r="Q35" s="149">
        <f t="shared" si="26"/>
        <v>5560.0599999999995</v>
      </c>
      <c r="R35" s="149">
        <f t="shared" si="26"/>
        <v>5916.2777097000007</v>
      </c>
      <c r="S35" s="149">
        <f t="shared" si="26"/>
        <v>5756.4543813999999</v>
      </c>
      <c r="T35" s="149">
        <f t="shared" ref="T35" si="27">SUM(T30:T34)</f>
        <v>6534.6883937999992</v>
      </c>
    </row>
    <row r="36" spans="12:20" x14ac:dyDescent="0.25">
      <c r="L36" s="2" t="s">
        <v>1</v>
      </c>
      <c r="M36" s="149">
        <f t="shared" ref="M36:S36" si="28">M28+M35</f>
        <v>3611.1259590999998</v>
      </c>
      <c r="N36" s="149">
        <f t="shared" si="28"/>
        <v>7918.0226948</v>
      </c>
      <c r="O36" s="149">
        <f t="shared" si="28"/>
        <v>8051.5515277999993</v>
      </c>
      <c r="P36" s="149">
        <f t="shared" si="28"/>
        <v>8851.9355329000009</v>
      </c>
      <c r="Q36" s="149">
        <f t="shared" si="28"/>
        <v>8053.1999999999989</v>
      </c>
      <c r="R36" s="149">
        <f t="shared" si="28"/>
        <v>8337.8066519000004</v>
      </c>
      <c r="S36" s="149">
        <f t="shared" si="28"/>
        <v>8189.2962685000002</v>
      </c>
      <c r="T36" s="149">
        <f t="shared" ref="T36" si="29">T28+T35</f>
        <v>8907.4283098999986</v>
      </c>
    </row>
    <row r="38" spans="12:20" x14ac:dyDescent="0.25">
      <c r="L38" t="s">
        <v>0</v>
      </c>
      <c r="M38" s="1">
        <f t="shared" ref="M38:T38" si="30">M21-M36</f>
        <v>-9.9999851954635233E-8</v>
      </c>
      <c r="N38" s="1">
        <f t="shared" si="30"/>
        <v>0</v>
      </c>
      <c r="O38" s="1">
        <f t="shared" si="30"/>
        <v>1.0000003385357559E-6</v>
      </c>
      <c r="P38" s="1">
        <f t="shared" si="30"/>
        <v>9.9997123470529914E-8</v>
      </c>
      <c r="Q38" s="1">
        <f t="shared" si="30"/>
        <v>-3.4187999999630847E-3</v>
      </c>
      <c r="R38" s="1">
        <f t="shared" si="30"/>
        <v>1.9999970390927047E-7</v>
      </c>
      <c r="S38" s="1">
        <f t="shared" si="30"/>
        <v>-9.9999851954635233E-8</v>
      </c>
      <c r="T38" s="1">
        <f t="shared" si="3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R36"/>
  <sheetViews>
    <sheetView topLeftCell="A28" workbookViewId="0">
      <selection activeCell="O34" sqref="O34:O36"/>
    </sheetView>
  </sheetViews>
  <sheetFormatPr defaultRowHeight="15" x14ac:dyDescent="0.25"/>
  <cols>
    <col min="1" max="1" width="9.140625" style="78"/>
    <col min="2" max="2" width="34.28515625" style="78" customWidth="1"/>
    <col min="3" max="3" width="10.7109375" style="77" customWidth="1"/>
    <col min="4" max="4" width="10.140625" style="78" customWidth="1"/>
    <col min="5" max="5" width="10.140625" style="78" hidden="1" customWidth="1"/>
    <col min="6" max="6" width="9.140625" style="77" bestFit="1" customWidth="1"/>
    <col min="7" max="7" width="9.140625" style="77" customWidth="1"/>
    <col min="8" max="13" width="9" style="77" bestFit="1" customWidth="1"/>
    <col min="14" max="14" width="9" style="78" bestFit="1" customWidth="1"/>
    <col min="15" max="15" width="9.140625" style="78"/>
    <col min="16" max="16" width="29" style="78" bestFit="1" customWidth="1"/>
    <col min="17" max="17" width="16.85546875" style="78" bestFit="1" customWidth="1"/>
    <col min="18" max="16384" width="9.140625" style="78"/>
  </cols>
  <sheetData>
    <row r="2" spans="1:17" x14ac:dyDescent="0.25">
      <c r="B2" s="80" t="str">
        <f>Historicals!B2</f>
        <v>Al-Saqib Exports Private Limited</v>
      </c>
      <c r="C2" s="141"/>
      <c r="D2" s="80"/>
      <c r="E2" s="80"/>
      <c r="F2" s="141"/>
      <c r="G2" s="141"/>
      <c r="H2" s="141"/>
      <c r="I2" s="141"/>
      <c r="J2" s="141"/>
      <c r="K2" s="141"/>
      <c r="L2" s="141"/>
      <c r="M2" s="141"/>
      <c r="N2" s="141"/>
    </row>
    <row r="3" spans="1:17" x14ac:dyDescent="0.25">
      <c r="B3" s="78" t="s">
        <v>358</v>
      </c>
      <c r="C3" s="98">
        <v>12</v>
      </c>
      <c r="D3" s="98">
        <v>8</v>
      </c>
      <c r="E3" s="98"/>
      <c r="F3" s="98">
        <v>4</v>
      </c>
      <c r="G3" s="98">
        <v>12</v>
      </c>
      <c r="H3" s="98">
        <v>12</v>
      </c>
      <c r="I3" s="98">
        <v>12</v>
      </c>
      <c r="J3" s="98">
        <v>12</v>
      </c>
      <c r="K3" s="98">
        <v>12</v>
      </c>
      <c r="L3" s="98">
        <v>12</v>
      </c>
      <c r="M3" s="98">
        <v>12</v>
      </c>
      <c r="N3" s="98">
        <v>12</v>
      </c>
    </row>
    <row r="4" spans="1:17" x14ac:dyDescent="0.25">
      <c r="B4" s="97" t="s">
        <v>127</v>
      </c>
      <c r="C4" s="83" t="str">
        <f>+Historicals!I6</f>
        <v>FY 2024</v>
      </c>
      <c r="D4" s="175">
        <f>+Historicals!J6</f>
        <v>45597</v>
      </c>
      <c r="E4" s="175"/>
      <c r="F4" s="82" t="s">
        <v>104</v>
      </c>
      <c r="G4" s="82" t="s">
        <v>104</v>
      </c>
      <c r="H4" s="82" t="s">
        <v>105</v>
      </c>
      <c r="I4" s="82" t="s">
        <v>106</v>
      </c>
      <c r="J4" s="82" t="s">
        <v>107</v>
      </c>
      <c r="K4" s="82" t="s">
        <v>108</v>
      </c>
      <c r="L4" s="82" t="s">
        <v>109</v>
      </c>
      <c r="M4" s="82" t="s">
        <v>110</v>
      </c>
      <c r="N4" s="82" t="s">
        <v>354</v>
      </c>
    </row>
    <row r="5" spans="1:17" x14ac:dyDescent="0.25">
      <c r="B5" s="79" t="s">
        <v>237</v>
      </c>
    </row>
    <row r="6" spans="1:17" x14ac:dyDescent="0.25">
      <c r="B6" s="78" t="s">
        <v>365</v>
      </c>
      <c r="D6" s="78">
        <f>+Historicals!J7</f>
        <v>690.66665999999998</v>
      </c>
      <c r="F6" s="77">
        <f>+($Q$8+$Q$9)*4</f>
        <v>360</v>
      </c>
      <c r="G6" s="77">
        <f>+F6+D6</f>
        <v>1050.6666599999999</v>
      </c>
      <c r="H6" s="77">
        <f t="shared" ref="H6:N6" si="0">+$Q$10*12</f>
        <v>1080</v>
      </c>
      <c r="I6" s="77">
        <f t="shared" si="0"/>
        <v>1080</v>
      </c>
      <c r="J6" s="77">
        <f t="shared" si="0"/>
        <v>1080</v>
      </c>
      <c r="K6" s="77">
        <f t="shared" si="0"/>
        <v>1080</v>
      </c>
      <c r="L6" s="77">
        <f t="shared" si="0"/>
        <v>1080</v>
      </c>
      <c r="M6" s="77">
        <f t="shared" si="0"/>
        <v>1080</v>
      </c>
      <c r="N6" s="77">
        <f t="shared" si="0"/>
        <v>1080</v>
      </c>
    </row>
    <row r="7" spans="1:17" x14ac:dyDescent="0.25">
      <c r="A7" s="176">
        <v>0.05</v>
      </c>
      <c r="B7" s="78" t="s">
        <v>366</v>
      </c>
      <c r="D7" s="78">
        <f>+Historicals!J8</f>
        <v>224</v>
      </c>
      <c r="F7" s="77">
        <f>+D7*(0.5)+Historicals!T30</f>
        <v>342.31908250000004</v>
      </c>
      <c r="G7" s="77">
        <f>+D7+F7</f>
        <v>566.31908250000004</v>
      </c>
      <c r="H7" s="77">
        <f>+D7*(H3/D3)*(1+$A$7)</f>
        <v>352.8</v>
      </c>
      <c r="I7" s="77">
        <f>+H7*(1+$A$7)</f>
        <v>370.44000000000005</v>
      </c>
      <c r="J7" s="77">
        <f t="shared" ref="J7:N7" si="1">+I7*(1+$A$7)</f>
        <v>388.96200000000005</v>
      </c>
      <c r="K7" s="77">
        <f t="shared" si="1"/>
        <v>408.41010000000006</v>
      </c>
      <c r="L7" s="77">
        <f t="shared" si="1"/>
        <v>428.83060500000011</v>
      </c>
      <c r="M7" s="77">
        <f t="shared" si="1"/>
        <v>450.27213525000013</v>
      </c>
      <c r="N7" s="77">
        <f t="shared" si="1"/>
        <v>472.78574201250018</v>
      </c>
      <c r="P7" s="178" t="s">
        <v>51</v>
      </c>
      <c r="Q7" s="83" t="s">
        <v>238</v>
      </c>
    </row>
    <row r="8" spans="1:17" x14ac:dyDescent="0.25">
      <c r="B8" s="99" t="s">
        <v>237</v>
      </c>
      <c r="C8" s="100">
        <f>+Historicals!I9</f>
        <v>3240.2030540000001</v>
      </c>
      <c r="D8" s="100">
        <f>+D6+D7</f>
        <v>914.66665999999998</v>
      </c>
      <c r="E8" s="100"/>
      <c r="F8" s="100">
        <f>+F6+F7</f>
        <v>702.31908250000004</v>
      </c>
      <c r="G8" s="100">
        <f>+G6+G7</f>
        <v>1616.9857425</v>
      </c>
      <c r="H8" s="100">
        <f t="shared" ref="H8:N8" si="2">+H6+H7</f>
        <v>1432.8</v>
      </c>
      <c r="I8" s="100">
        <f t="shared" si="2"/>
        <v>1450.44</v>
      </c>
      <c r="J8" s="100">
        <f t="shared" si="2"/>
        <v>1468.962</v>
      </c>
      <c r="K8" s="100">
        <f t="shared" si="2"/>
        <v>1488.4101000000001</v>
      </c>
      <c r="L8" s="100">
        <f t="shared" si="2"/>
        <v>1508.8306050000001</v>
      </c>
      <c r="M8" s="100">
        <f t="shared" si="2"/>
        <v>1530.2721352500002</v>
      </c>
      <c r="N8" s="100">
        <f t="shared" si="2"/>
        <v>1552.7857420125001</v>
      </c>
      <c r="O8" s="101"/>
      <c r="P8" s="179" t="s">
        <v>240</v>
      </c>
      <c r="Q8" s="180">
        <v>2</v>
      </c>
    </row>
    <row r="9" spans="1:17" x14ac:dyDescent="0.25">
      <c r="B9" s="99" t="s">
        <v>129</v>
      </c>
      <c r="C9" s="100"/>
      <c r="D9" s="99"/>
      <c r="E9" s="99"/>
      <c r="I9" s="87"/>
      <c r="J9" s="87"/>
      <c r="K9" s="87"/>
      <c r="L9" s="87"/>
      <c r="M9" s="87"/>
      <c r="O9" s="101"/>
      <c r="P9" s="179" t="s">
        <v>239</v>
      </c>
      <c r="Q9" s="180">
        <v>88</v>
      </c>
    </row>
    <row r="10" spans="1:17" x14ac:dyDescent="0.25">
      <c r="B10" s="103" t="s">
        <v>130</v>
      </c>
      <c r="D10" s="99"/>
      <c r="E10" s="103"/>
      <c r="O10" s="101"/>
      <c r="P10" s="181" t="s">
        <v>359</v>
      </c>
      <c r="Q10" s="182">
        <f>SUM(Q8:Q9)</f>
        <v>90</v>
      </c>
    </row>
    <row r="11" spans="1:17" hidden="1" x14ac:dyDescent="0.25">
      <c r="B11" s="103" t="s">
        <v>131</v>
      </c>
      <c r="D11" s="103"/>
      <c r="E11" s="103"/>
      <c r="O11" s="101"/>
      <c r="P11" s="102"/>
      <c r="Q11" s="102"/>
    </row>
    <row r="12" spans="1:17" hidden="1" x14ac:dyDescent="0.25">
      <c r="B12" s="103" t="s">
        <v>132</v>
      </c>
      <c r="D12" s="103"/>
      <c r="E12" s="103"/>
    </row>
    <row r="13" spans="1:17" x14ac:dyDescent="0.25">
      <c r="B13" s="103" t="s">
        <v>133</v>
      </c>
      <c r="C13" s="77">
        <f>+Historicals!I12</f>
        <v>139.09041999999999</v>
      </c>
      <c r="D13" s="77">
        <f>+Historicals!J12</f>
        <v>103.78682000000001</v>
      </c>
      <c r="E13" s="77"/>
      <c r="F13" s="77">
        <f>+D13*F3/D3</f>
        <v>51.893410000000003</v>
      </c>
      <c r="G13" s="77">
        <f>+D13+F13</f>
        <v>155.68022999999999</v>
      </c>
      <c r="H13" s="77">
        <f>+G13*1.05</f>
        <v>163.46424150000001</v>
      </c>
      <c r="I13" s="77">
        <f t="shared" ref="I13:N13" si="3">+H13*1.05</f>
        <v>171.63745357500002</v>
      </c>
      <c r="J13" s="77">
        <f t="shared" si="3"/>
        <v>180.21932625375004</v>
      </c>
      <c r="K13" s="77">
        <f t="shared" si="3"/>
        <v>189.23029256643756</v>
      </c>
      <c r="L13" s="77">
        <f t="shared" si="3"/>
        <v>198.69180719475943</v>
      </c>
      <c r="M13" s="77">
        <f t="shared" si="3"/>
        <v>208.6263975544974</v>
      </c>
      <c r="N13" s="77">
        <f t="shared" si="3"/>
        <v>219.05771743222229</v>
      </c>
    </row>
    <row r="14" spans="1:17" x14ac:dyDescent="0.25">
      <c r="B14" s="103" t="s">
        <v>134</v>
      </c>
      <c r="D14" s="103"/>
      <c r="E14" s="103"/>
    </row>
    <row r="15" spans="1:17" s="103" customFormat="1" x14ac:dyDescent="0.25">
      <c r="B15" s="103" t="s">
        <v>135</v>
      </c>
      <c r="C15" s="77"/>
      <c r="F15" s="77"/>
      <c r="G15" s="77"/>
      <c r="H15" s="77"/>
      <c r="I15" s="77"/>
      <c r="J15" s="77"/>
      <c r="K15" s="77"/>
      <c r="L15" s="77"/>
      <c r="M15" s="77"/>
    </row>
    <row r="16" spans="1:17" x14ac:dyDescent="0.25">
      <c r="B16" s="103" t="s">
        <v>24</v>
      </c>
      <c r="C16" s="77">
        <f>+Historicals!I16</f>
        <v>96.359830700000003</v>
      </c>
      <c r="D16" s="77">
        <f>+Historicals!J16</f>
        <v>55.327940999999996</v>
      </c>
      <c r="E16" s="77"/>
      <c r="F16" s="77">
        <f>+'Dep-WDV'!F118-'Projected P&amp;L'!D16-E16</f>
        <v>27.663971120000014</v>
      </c>
      <c r="G16" s="77">
        <f>+D16+F16</f>
        <v>82.991912120000009</v>
      </c>
      <c r="H16" s="77">
        <f>'Dep-WDV'!G118</f>
        <v>71.557011577500006</v>
      </c>
      <c r="I16" s="77">
        <f>'Dep-WDV'!H118</f>
        <v>61.757818977824996</v>
      </c>
      <c r="J16" s="77">
        <f>'Dep-WDV'!I118</f>
        <v>53.34818624780624</v>
      </c>
      <c r="K16" s="77">
        <f>'Dep-WDV'!J118</f>
        <v>46.122464551664812</v>
      </c>
      <c r="L16" s="77">
        <f>'Dep-WDV'!K118</f>
        <v>39.907672567465639</v>
      </c>
      <c r="M16" s="77">
        <f>'Dep-WDV'!L118</f>
        <v>34.557574860015698</v>
      </c>
      <c r="N16" s="77">
        <f>'Dep-WDV'!M118</f>
        <v>29.94808644030088</v>
      </c>
    </row>
    <row r="17" spans="2:18" x14ac:dyDescent="0.25">
      <c r="B17" s="99" t="s">
        <v>136</v>
      </c>
      <c r="C17" s="100">
        <f t="shared" ref="C17:M17" si="4">SUM(C10:C16)</f>
        <v>235.4502507</v>
      </c>
      <c r="D17" s="100">
        <f t="shared" si="4"/>
        <v>159.11476099999999</v>
      </c>
      <c r="E17" s="100">
        <f t="shared" si="4"/>
        <v>0</v>
      </c>
      <c r="F17" s="100">
        <f t="shared" si="4"/>
        <v>79.557381120000016</v>
      </c>
      <c r="G17" s="100">
        <f t="shared" si="4"/>
        <v>238.67214211999999</v>
      </c>
      <c r="H17" s="100">
        <f t="shared" si="4"/>
        <v>235.02125307750003</v>
      </c>
      <c r="I17" s="100">
        <f t="shared" si="4"/>
        <v>233.39527255282502</v>
      </c>
      <c r="J17" s="100">
        <f t="shared" si="4"/>
        <v>233.56751250155628</v>
      </c>
      <c r="K17" s="100">
        <f t="shared" si="4"/>
        <v>235.35275711810237</v>
      </c>
      <c r="L17" s="100">
        <f t="shared" si="4"/>
        <v>238.59947976222509</v>
      </c>
      <c r="M17" s="100">
        <f t="shared" si="4"/>
        <v>243.18397241451311</v>
      </c>
      <c r="N17" s="100">
        <f t="shared" ref="N17" si="5">SUM(N10:N16)</f>
        <v>249.00580387252316</v>
      </c>
    </row>
    <row r="18" spans="2:18" x14ac:dyDescent="0.25">
      <c r="B18" s="103" t="s">
        <v>137</v>
      </c>
      <c r="C18" s="77">
        <f>+Historicals!I11</f>
        <v>2071.4737737</v>
      </c>
      <c r="D18" s="77">
        <f>+C19</f>
        <v>230.31908250000001</v>
      </c>
      <c r="E18" s="77">
        <f>+D19</f>
        <v>230.31908250000001</v>
      </c>
      <c r="F18" s="77">
        <f>+E19</f>
        <v>230.31908250000001</v>
      </c>
      <c r="G18" s="77">
        <f>+D18</f>
        <v>230.31908250000001</v>
      </c>
      <c r="H18" s="77">
        <f>F19</f>
        <v>0</v>
      </c>
      <c r="I18" s="77">
        <f t="shared" ref="I18:N18" si="6">H19</f>
        <v>0</v>
      </c>
      <c r="J18" s="77">
        <f t="shared" si="6"/>
        <v>0</v>
      </c>
      <c r="K18" s="77">
        <f t="shared" si="6"/>
        <v>0</v>
      </c>
      <c r="L18" s="77">
        <f t="shared" si="6"/>
        <v>0</v>
      </c>
      <c r="M18" s="77">
        <f t="shared" si="6"/>
        <v>0</v>
      </c>
      <c r="N18" s="77">
        <f t="shared" si="6"/>
        <v>0</v>
      </c>
    </row>
    <row r="19" spans="2:18" x14ac:dyDescent="0.25">
      <c r="B19" s="103" t="s">
        <v>138</v>
      </c>
      <c r="C19" s="77">
        <f>Historicals!S30</f>
        <v>230.31908250000001</v>
      </c>
      <c r="D19" s="77">
        <f>+D18</f>
        <v>230.31908250000001</v>
      </c>
      <c r="E19" s="77">
        <f>+E18</f>
        <v>230.31908250000001</v>
      </c>
      <c r="F19" s="77">
        <v>0</v>
      </c>
      <c r="G19" s="77">
        <v>0</v>
      </c>
      <c r="H19" s="77">
        <f t="shared" ref="H19:N19" si="7">+H18</f>
        <v>0</v>
      </c>
      <c r="I19" s="77">
        <f t="shared" si="7"/>
        <v>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7"/>
        <v>0</v>
      </c>
      <c r="P19" s="78">
        <f>+Historicals!I11+Historicals!S30</f>
        <v>2301.7928562000002</v>
      </c>
    </row>
    <row r="20" spans="2:18" x14ac:dyDescent="0.25">
      <c r="B20" s="99" t="s">
        <v>139</v>
      </c>
      <c r="C20" s="100">
        <f>C17+C18-C19</f>
        <v>2076.6049419000001</v>
      </c>
      <c r="D20" s="100">
        <f t="shared" ref="D20:E20" si="8">D17+D18-D19</f>
        <v>159.11476099999996</v>
      </c>
      <c r="E20" s="100">
        <f t="shared" si="8"/>
        <v>0</v>
      </c>
      <c r="F20" s="100">
        <f>F17+F18-F19</f>
        <v>309.87646362000004</v>
      </c>
      <c r="G20" s="100">
        <f>G17+G18-G19</f>
        <v>468.99122462000003</v>
      </c>
      <c r="H20" s="100">
        <f t="shared" ref="H20:M20" si="9">H17+H18-H19</f>
        <v>235.02125307750003</v>
      </c>
      <c r="I20" s="100">
        <f t="shared" si="9"/>
        <v>233.39527255282502</v>
      </c>
      <c r="J20" s="100">
        <f t="shared" si="9"/>
        <v>233.56751250155628</v>
      </c>
      <c r="K20" s="100">
        <f t="shared" si="9"/>
        <v>235.35275711810237</v>
      </c>
      <c r="L20" s="100">
        <f t="shared" si="9"/>
        <v>238.59947976222509</v>
      </c>
      <c r="M20" s="100">
        <f t="shared" si="9"/>
        <v>243.18397241451311</v>
      </c>
      <c r="N20" s="100">
        <f t="shared" ref="N20" si="10">N17+N18-N19</f>
        <v>249.00580387252316</v>
      </c>
    </row>
    <row r="21" spans="2:18" x14ac:dyDescent="0.25">
      <c r="B21" s="103" t="s">
        <v>140</v>
      </c>
      <c r="C21" s="77">
        <f>+Historicals!I13</f>
        <v>365.77127000000002</v>
      </c>
      <c r="D21" s="77">
        <f>+Historicals!J13</f>
        <v>37.196060000000003</v>
      </c>
      <c r="E21" s="77"/>
      <c r="F21" s="77">
        <f>+D21*F3/D3</f>
        <v>18.598030000000001</v>
      </c>
      <c r="G21" s="77">
        <f>+D21+F21</f>
        <v>55.794090000000004</v>
      </c>
      <c r="H21" s="77">
        <f>+G21*1.02</f>
        <v>56.909971800000008</v>
      </c>
      <c r="I21" s="77">
        <f t="shared" ref="I21:N21" si="11">+H21*1.02</f>
        <v>58.048171236000009</v>
      </c>
      <c r="J21" s="77">
        <f t="shared" si="11"/>
        <v>59.209134660720011</v>
      </c>
      <c r="K21" s="77">
        <f t="shared" si="11"/>
        <v>60.393317353934414</v>
      </c>
      <c r="L21" s="77">
        <f t="shared" si="11"/>
        <v>61.601183701013106</v>
      </c>
      <c r="M21" s="77">
        <f t="shared" si="11"/>
        <v>62.833207375033368</v>
      </c>
      <c r="N21" s="77">
        <f t="shared" si="11"/>
        <v>64.08987152253404</v>
      </c>
    </row>
    <row r="22" spans="2:18" x14ac:dyDescent="0.25">
      <c r="B22" s="99" t="s">
        <v>141</v>
      </c>
      <c r="C22" s="100">
        <f t="shared" ref="C22:D22" si="12">C20+C21</f>
        <v>2442.3762119000003</v>
      </c>
      <c r="D22" s="100">
        <f t="shared" si="12"/>
        <v>196.31082099999998</v>
      </c>
      <c r="E22" s="100">
        <f t="shared" ref="E22" si="13">E20+E21</f>
        <v>0</v>
      </c>
      <c r="F22" s="100">
        <f>F20+F21</f>
        <v>328.47449362000003</v>
      </c>
      <c r="G22" s="100">
        <f t="shared" ref="G22" si="14">G20+G21</f>
        <v>524.78531462000001</v>
      </c>
      <c r="H22" s="100">
        <f t="shared" ref="H22:M22" si="15">H20+H21</f>
        <v>291.93122487750003</v>
      </c>
      <c r="I22" s="100">
        <f t="shared" si="15"/>
        <v>291.44344378882505</v>
      </c>
      <c r="J22" s="100">
        <f t="shared" si="15"/>
        <v>292.77664716227628</v>
      </c>
      <c r="K22" s="100">
        <f t="shared" si="15"/>
        <v>295.74607447203681</v>
      </c>
      <c r="L22" s="100">
        <f t="shared" si="15"/>
        <v>300.20066346323819</v>
      </c>
      <c r="M22" s="100">
        <f t="shared" si="15"/>
        <v>306.0171797895465</v>
      </c>
      <c r="N22" s="100">
        <f t="shared" ref="N22" si="16">N20+N21</f>
        <v>313.09567539505719</v>
      </c>
    </row>
    <row r="23" spans="2:18" x14ac:dyDescent="0.25">
      <c r="B23" s="99" t="s">
        <v>142</v>
      </c>
      <c r="C23" s="100">
        <f t="shared" ref="C23:D23" si="17">C8-C22</f>
        <v>797.82684209999979</v>
      </c>
      <c r="D23" s="100">
        <f t="shared" si="17"/>
        <v>718.35583900000006</v>
      </c>
      <c r="E23" s="100">
        <f t="shared" ref="E23" si="18">E8-E22</f>
        <v>0</v>
      </c>
      <c r="F23" s="100">
        <f t="shared" ref="F23:M23" si="19">F8-F22</f>
        <v>373.84458888</v>
      </c>
      <c r="G23" s="100">
        <f t="shared" ref="G23" si="20">G8-G22</f>
        <v>1092.20042788</v>
      </c>
      <c r="H23" s="100">
        <f t="shared" si="19"/>
        <v>1140.8687751225</v>
      </c>
      <c r="I23" s="100">
        <f t="shared" si="19"/>
        <v>1158.9965562111749</v>
      </c>
      <c r="J23" s="100">
        <f t="shared" si="19"/>
        <v>1176.1853528377237</v>
      </c>
      <c r="K23" s="100">
        <f t="shared" si="19"/>
        <v>1192.6640255279633</v>
      </c>
      <c r="L23" s="100">
        <f t="shared" si="19"/>
        <v>1208.6299415367619</v>
      </c>
      <c r="M23" s="100">
        <f t="shared" si="19"/>
        <v>1224.2549554604539</v>
      </c>
      <c r="N23" s="100">
        <f t="shared" ref="N23" si="21">N8-N22</f>
        <v>1239.6900666174429</v>
      </c>
    </row>
    <row r="24" spans="2:18" x14ac:dyDescent="0.25">
      <c r="B24" s="103" t="s">
        <v>143</v>
      </c>
      <c r="C24" s="77">
        <f>+Historicals!I18</f>
        <v>549.7819015</v>
      </c>
      <c r="D24" s="77">
        <f>+Historicals!J18</f>
        <v>372.23867999999999</v>
      </c>
      <c r="E24" s="77"/>
      <c r="F24" s="77">
        <f>'Debt Schedule'!K9</f>
        <v>120.59088</v>
      </c>
      <c r="G24" s="77">
        <f>+D24+F24</f>
        <v>492.82956000000001</v>
      </c>
      <c r="H24" s="77">
        <f>'Debt Schedule'!K10</f>
        <v>352.57443999999998</v>
      </c>
      <c r="I24" s="77">
        <f>'Debt Schedule'!K11</f>
        <v>312.85755</v>
      </c>
      <c r="J24" s="77">
        <f>'Debt Schedule'!K12</f>
        <v>268.54462999999998</v>
      </c>
      <c r="K24" s="77">
        <f>'Debt Schedule'!K13</f>
        <v>219.10397</v>
      </c>
      <c r="L24" s="77">
        <f>'Debt Schedule'!K14</f>
        <v>163.94202000000001</v>
      </c>
      <c r="M24" s="77">
        <f>'Debt Schedule'!K15</f>
        <v>102.39681</v>
      </c>
      <c r="N24" s="77">
        <f>'Debt Schedule'!K16</f>
        <v>33.729649999999999</v>
      </c>
      <c r="Q24" s="83" t="s">
        <v>51</v>
      </c>
      <c r="R24" s="83" t="s">
        <v>115</v>
      </c>
    </row>
    <row r="25" spans="2:18" x14ac:dyDescent="0.25">
      <c r="B25" s="103" t="s">
        <v>144</v>
      </c>
      <c r="D25" s="103"/>
      <c r="E25" s="103"/>
      <c r="N25" s="77"/>
      <c r="Q25" s="135" t="s">
        <v>329</v>
      </c>
      <c r="R25" s="136">
        <v>0.25</v>
      </c>
    </row>
    <row r="26" spans="2:18" x14ac:dyDescent="0.25">
      <c r="B26" s="103" t="s">
        <v>145</v>
      </c>
      <c r="D26" s="103"/>
      <c r="E26" s="103"/>
      <c r="N26" s="77"/>
      <c r="Q26" s="135" t="s">
        <v>330</v>
      </c>
      <c r="R26" s="136">
        <v>0.04</v>
      </c>
    </row>
    <row r="27" spans="2:18" x14ac:dyDescent="0.25">
      <c r="B27" s="104" t="s">
        <v>146</v>
      </c>
      <c r="C27" s="85">
        <f t="shared" ref="C27:E27" si="22">C23-C24-C25</f>
        <v>248.04494059999979</v>
      </c>
      <c r="D27" s="85">
        <f t="shared" si="22"/>
        <v>346.11715900000007</v>
      </c>
      <c r="E27" s="85">
        <f t="shared" si="22"/>
        <v>0</v>
      </c>
      <c r="F27" s="85">
        <f>F23-F24-F25</f>
        <v>253.25370888</v>
      </c>
      <c r="G27" s="85">
        <f t="shared" ref="G27:M27" si="23">G23-G24-G25</f>
        <v>599.37086787999999</v>
      </c>
      <c r="H27" s="85">
        <f t="shared" si="23"/>
        <v>788.2943351225</v>
      </c>
      <c r="I27" s="85">
        <f t="shared" si="23"/>
        <v>846.139006211175</v>
      </c>
      <c r="J27" s="85">
        <f t="shared" si="23"/>
        <v>907.64072283772373</v>
      </c>
      <c r="K27" s="85">
        <f t="shared" si="23"/>
        <v>973.5600555279633</v>
      </c>
      <c r="L27" s="85">
        <f t="shared" si="23"/>
        <v>1044.6879215367619</v>
      </c>
      <c r="M27" s="85">
        <f t="shared" si="23"/>
        <v>1121.8581454604539</v>
      </c>
      <c r="N27" s="85">
        <f t="shared" ref="N27" si="24">N23-N24-N25</f>
        <v>1205.9604166174429</v>
      </c>
      <c r="Q27" s="135" t="s">
        <v>331</v>
      </c>
      <c r="R27" s="136">
        <v>7.0000000000000007E-2</v>
      </c>
    </row>
    <row r="28" spans="2:18" x14ac:dyDescent="0.25">
      <c r="B28" s="103" t="s">
        <v>147</v>
      </c>
      <c r="C28" s="77">
        <f>+Historicals!I20</f>
        <v>0</v>
      </c>
      <c r="D28" s="77">
        <f>+Historicals!J20</f>
        <v>89.990461300000007</v>
      </c>
      <c r="E28" s="77">
        <f>E27*$R$28</f>
        <v>0</v>
      </c>
      <c r="F28" s="77">
        <f>F27*$R$28</f>
        <v>70.455181810416008</v>
      </c>
      <c r="G28" s="77">
        <f>+F28+D28</f>
        <v>160.44564311041603</v>
      </c>
      <c r="H28" s="77">
        <f t="shared" ref="H28:M28" si="25">H27*$R$28</f>
        <v>219.30348403107951</v>
      </c>
      <c r="I28" s="77">
        <f t="shared" si="25"/>
        <v>235.39587152794888</v>
      </c>
      <c r="J28" s="77">
        <f t="shared" si="25"/>
        <v>252.50564909345474</v>
      </c>
      <c r="K28" s="77">
        <f t="shared" si="25"/>
        <v>270.84440744787941</v>
      </c>
      <c r="L28" s="77">
        <f t="shared" si="25"/>
        <v>290.63217977152715</v>
      </c>
      <c r="M28" s="77">
        <f t="shared" si="25"/>
        <v>312.1009360670983</v>
      </c>
      <c r="N28" s="77">
        <f t="shared" ref="N28" si="26">N27*$R$28</f>
        <v>335.49818790297263</v>
      </c>
      <c r="Q28" s="137" t="s">
        <v>332</v>
      </c>
      <c r="R28" s="138">
        <f>R25*(1+R26)*(1+R27)</f>
        <v>0.2782</v>
      </c>
    </row>
    <row r="29" spans="2:18" x14ac:dyDescent="0.25">
      <c r="B29" s="104" t="s">
        <v>148</v>
      </c>
      <c r="C29" s="85">
        <f t="shared" ref="C29:E29" si="27">C27-C28</f>
        <v>248.04494059999979</v>
      </c>
      <c r="D29" s="85">
        <f t="shared" si="27"/>
        <v>256.12669770000008</v>
      </c>
      <c r="E29" s="85">
        <f t="shared" si="27"/>
        <v>0</v>
      </c>
      <c r="F29" s="85">
        <f>F27-F28</f>
        <v>182.798527069584</v>
      </c>
      <c r="G29" s="85">
        <f t="shared" ref="G29:M29" si="28">G27-G28</f>
        <v>438.92522476958396</v>
      </c>
      <c r="H29" s="85">
        <f t="shared" si="28"/>
        <v>568.9908510914205</v>
      </c>
      <c r="I29" s="85">
        <f t="shared" si="28"/>
        <v>610.74313468322612</v>
      </c>
      <c r="J29" s="85">
        <f t="shared" si="28"/>
        <v>655.13507374426899</v>
      </c>
      <c r="K29" s="85">
        <f t="shared" si="28"/>
        <v>702.71564808008384</v>
      </c>
      <c r="L29" s="85">
        <f t="shared" si="28"/>
        <v>754.05574176523476</v>
      </c>
      <c r="M29" s="85">
        <f t="shared" si="28"/>
        <v>809.75720939335565</v>
      </c>
      <c r="N29" s="85">
        <f t="shared" ref="N29" si="29">N27-N28</f>
        <v>870.46222871447026</v>
      </c>
    </row>
    <row r="31" spans="2:18" x14ac:dyDescent="0.25">
      <c r="B31" s="103" t="s">
        <v>149</v>
      </c>
      <c r="D31" s="77">
        <f t="shared" ref="D31:N31" si="30">D29+D16</f>
        <v>311.45463870000009</v>
      </c>
      <c r="E31" s="77">
        <f t="shared" si="30"/>
        <v>0</v>
      </c>
      <c r="F31" s="77">
        <f t="shared" si="30"/>
        <v>210.46249818958401</v>
      </c>
      <c r="G31" s="77">
        <f>G29+G16</f>
        <v>521.91713688958396</v>
      </c>
      <c r="H31" s="77">
        <f t="shared" si="30"/>
        <v>640.54786266892052</v>
      </c>
      <c r="I31" s="77">
        <f>I29+I16</f>
        <v>672.50095366105108</v>
      </c>
      <c r="J31" s="77">
        <f t="shared" si="30"/>
        <v>708.4832599920752</v>
      </c>
      <c r="K31" s="77">
        <f t="shared" si="30"/>
        <v>748.83811263174869</v>
      </c>
      <c r="L31" s="77">
        <f>L29+L16</f>
        <v>793.96341433270038</v>
      </c>
      <c r="M31" s="77">
        <f t="shared" si="30"/>
        <v>844.31478425337139</v>
      </c>
      <c r="N31" s="77">
        <f t="shared" si="30"/>
        <v>900.41031515477118</v>
      </c>
    </row>
    <row r="33" spans="2:15" x14ac:dyDescent="0.25">
      <c r="O33" s="94" t="s">
        <v>150</v>
      </c>
    </row>
    <row r="34" spans="2:15" x14ac:dyDescent="0.25">
      <c r="B34" s="79" t="s">
        <v>151</v>
      </c>
      <c r="C34" s="100"/>
      <c r="D34" s="79"/>
      <c r="E34" s="79"/>
      <c r="F34" s="87">
        <f t="shared" ref="F34:M34" si="31">(F23+F16)/F8</f>
        <v>0.57168966357965922</v>
      </c>
      <c r="G34" s="87">
        <f t="shared" ref="G34" si="32">(G23+G16)/G8</f>
        <v>0.72677965495419328</v>
      </c>
      <c r="H34" s="87">
        <f t="shared" si="31"/>
        <v>0.84619331846733659</v>
      </c>
      <c r="I34" s="87">
        <f t="shared" si="31"/>
        <v>0.841644173622487</v>
      </c>
      <c r="J34" s="87">
        <f t="shared" si="31"/>
        <v>0.83700840395158627</v>
      </c>
      <c r="K34" s="87">
        <f t="shared" si="31"/>
        <v>0.83228841975718115</v>
      </c>
      <c r="L34" s="87">
        <f t="shared" si="31"/>
        <v>0.82748693588716504</v>
      </c>
      <c r="M34" s="87">
        <f t="shared" si="31"/>
        <v>0.82260697383398251</v>
      </c>
      <c r="N34" s="87">
        <f t="shared" ref="N34" si="33">(N23+N16)/N8</f>
        <v>0.81765186188032568</v>
      </c>
      <c r="O34" s="105">
        <f>AVERAGE(G34:N34)</f>
        <v>0.81895746779428225</v>
      </c>
    </row>
    <row r="35" spans="2:15" x14ac:dyDescent="0.25">
      <c r="B35" s="79" t="s">
        <v>152</v>
      </c>
      <c r="C35" s="100"/>
      <c r="D35" s="79"/>
      <c r="E35" s="79"/>
      <c r="F35" s="87">
        <f t="shared" ref="F35:M35" si="34">F23/F8</f>
        <v>0.53230020114112442</v>
      </c>
      <c r="G35" s="87">
        <f t="shared" ref="G35" si="35">G23/G8</f>
        <v>0.67545458143085635</v>
      </c>
      <c r="H35" s="87">
        <f t="shared" si="34"/>
        <v>0.7962512389185511</v>
      </c>
      <c r="I35" s="87">
        <f t="shared" si="34"/>
        <v>0.79906549475412625</v>
      </c>
      <c r="J35" s="87">
        <f t="shared" si="34"/>
        <v>0.80069147659212681</v>
      </c>
      <c r="K35" s="87">
        <f t="shared" si="34"/>
        <v>0.80130068018751233</v>
      </c>
      <c r="L35" s="87">
        <f t="shared" si="34"/>
        <v>0.80103753034407843</v>
      </c>
      <c r="M35" s="87">
        <f t="shared" si="34"/>
        <v>0.80002434028536207</v>
      </c>
      <c r="N35" s="87">
        <f t="shared" ref="N35" si="36">N23/N8</f>
        <v>0.7983651788370576</v>
      </c>
      <c r="O35" s="105">
        <f t="shared" ref="O35:O36" si="37">AVERAGE(G35:N35)</f>
        <v>0.78402381516870889</v>
      </c>
    </row>
    <row r="36" spans="2:15" x14ac:dyDescent="0.25">
      <c r="B36" s="79" t="s">
        <v>153</v>
      </c>
      <c r="C36" s="100"/>
      <c r="D36" s="79"/>
      <c r="E36" s="79"/>
      <c r="F36" s="87">
        <f t="shared" ref="F36:M36" si="38">F29/F8</f>
        <v>0.26027845693568208</v>
      </c>
      <c r="G36" s="87">
        <f t="shared" ref="G36" si="39">G29/G8</f>
        <v>0.27144656457574423</v>
      </c>
      <c r="H36" s="87">
        <f t="shared" si="38"/>
        <v>0.39711812611070668</v>
      </c>
      <c r="I36" s="87">
        <f t="shared" si="38"/>
        <v>0.42107438755358795</v>
      </c>
      <c r="J36" s="87">
        <f t="shared" si="38"/>
        <v>0.44598503824079111</v>
      </c>
      <c r="K36" s="87">
        <f t="shared" si="38"/>
        <v>0.47212501989880601</v>
      </c>
      <c r="L36" s="87">
        <f t="shared" si="38"/>
        <v>0.49976169575724816</v>
      </c>
      <c r="M36" s="87">
        <f t="shared" si="38"/>
        <v>0.52915895855416972</v>
      </c>
      <c r="N36" s="87">
        <f t="shared" ref="N36" si="40">N29/N8</f>
        <v>0.56058102876852856</v>
      </c>
      <c r="O36" s="105">
        <f t="shared" si="37"/>
        <v>0.44965635243244778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M46"/>
  <sheetViews>
    <sheetView workbookViewId="0">
      <pane ySplit="4" topLeftCell="A20" activePane="bottomLeft" state="frozen"/>
      <selection activeCell="B1" sqref="B1"/>
      <selection pane="bottomLeft" activeCell="E31" sqref="E31:L36"/>
    </sheetView>
  </sheetViews>
  <sheetFormatPr defaultRowHeight="15" x14ac:dyDescent="0.15"/>
  <cols>
    <col min="1" max="1" width="10.140625" style="197" bestFit="1" customWidth="1"/>
    <col min="2" max="2" width="36" style="96" customWidth="1"/>
    <col min="3" max="4" width="13.7109375" style="96" customWidth="1"/>
    <col min="5" max="7" width="13.7109375" style="153" bestFit="1" customWidth="1"/>
    <col min="8" max="11" width="13.140625" style="153" bestFit="1" customWidth="1"/>
    <col min="12" max="12" width="12.42578125" style="96" bestFit="1" customWidth="1"/>
    <col min="13" max="13" width="10.140625" style="96" bestFit="1" customWidth="1"/>
    <col min="14" max="16384" width="9.140625" style="96"/>
  </cols>
  <sheetData>
    <row r="2" spans="1:12" x14ac:dyDescent="0.15">
      <c r="B2" s="80" t="str">
        <f>Historicals!B2</f>
        <v>Al-Saqib Exports Private Limited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4" spans="1:12" x14ac:dyDescent="0.25">
      <c r="B4" s="97" t="s">
        <v>127</v>
      </c>
      <c r="C4" s="83" t="str">
        <f>+Historicals!S6</f>
        <v>FY 2024</v>
      </c>
      <c r="D4" s="190">
        <v>45626</v>
      </c>
      <c r="E4" s="152" t="s">
        <v>104</v>
      </c>
      <c r="F4" s="152" t="s">
        <v>105</v>
      </c>
      <c r="G4" s="152" t="s">
        <v>106</v>
      </c>
      <c r="H4" s="152" t="s">
        <v>107</v>
      </c>
      <c r="I4" s="152" t="s">
        <v>108</v>
      </c>
      <c r="J4" s="152" t="s">
        <v>109</v>
      </c>
      <c r="K4" s="152" t="s">
        <v>110</v>
      </c>
      <c r="L4" s="152" t="s">
        <v>354</v>
      </c>
    </row>
    <row r="5" spans="1:12" x14ac:dyDescent="0.25">
      <c r="B5" s="79" t="s">
        <v>40</v>
      </c>
      <c r="C5" s="79"/>
      <c r="D5" s="79"/>
      <c r="L5" s="153"/>
    </row>
    <row r="6" spans="1:12" x14ac:dyDescent="0.25">
      <c r="B6" s="78" t="s">
        <v>38</v>
      </c>
      <c r="C6" s="78">
        <f>+Historicals!S9</f>
        <v>2000</v>
      </c>
      <c r="D6" s="78">
        <f>+Historicals!T9</f>
        <v>2000</v>
      </c>
      <c r="E6" s="154">
        <f>200000000/10^5</f>
        <v>2000</v>
      </c>
      <c r="F6" s="154">
        <f>E6</f>
        <v>2000</v>
      </c>
      <c r="G6" s="154">
        <f t="shared" ref="G6:L6" si="0">F6</f>
        <v>2000</v>
      </c>
      <c r="H6" s="154">
        <f t="shared" si="0"/>
        <v>2000</v>
      </c>
      <c r="I6" s="154">
        <f t="shared" si="0"/>
        <v>2000</v>
      </c>
      <c r="J6" s="154">
        <f t="shared" si="0"/>
        <v>2000</v>
      </c>
      <c r="K6" s="154">
        <f t="shared" si="0"/>
        <v>2000</v>
      </c>
      <c r="L6" s="154">
        <f t="shared" si="0"/>
        <v>2000</v>
      </c>
    </row>
    <row r="7" spans="1:12" x14ac:dyDescent="0.25">
      <c r="B7" s="78" t="s">
        <v>363</v>
      </c>
      <c r="C7" s="78"/>
      <c r="D7" s="78"/>
      <c r="E7" s="154"/>
      <c r="F7" s="154"/>
      <c r="G7" s="154"/>
      <c r="H7" s="154"/>
      <c r="I7" s="154"/>
      <c r="J7" s="154"/>
      <c r="K7" s="154"/>
      <c r="L7" s="154"/>
    </row>
    <row r="8" spans="1:12" x14ac:dyDescent="0.25">
      <c r="B8" s="78" t="s">
        <v>160</v>
      </c>
      <c r="C8" s="78">
        <f>+Historicals!S10</f>
        <v>949.32651849999991</v>
      </c>
      <c r="D8" s="78">
        <f>+Historicals!T10</f>
        <v>1205.4532161999998</v>
      </c>
      <c r="E8" s="154">
        <f>+C8+'Projected P&amp;L'!G29</f>
        <v>1388.2517432695838</v>
      </c>
      <c r="F8" s="154">
        <f>E8+'Projected P&amp;L'!H29</f>
        <v>1957.2425943610042</v>
      </c>
      <c r="G8" s="154">
        <f>F8+'Projected P&amp;L'!I29</f>
        <v>2567.9857290442305</v>
      </c>
      <c r="H8" s="154">
        <f>G8+'Projected P&amp;L'!J29</f>
        <v>3223.1208027884995</v>
      </c>
      <c r="I8" s="154">
        <f>H8+'Projected P&amp;L'!K29</f>
        <v>3925.8364508685836</v>
      </c>
      <c r="J8" s="154">
        <f>I8+'Projected P&amp;L'!L29</f>
        <v>4679.892192633818</v>
      </c>
      <c r="K8" s="154">
        <f>J8+'Projected P&amp;L'!M29</f>
        <v>5489.6494020271739</v>
      </c>
      <c r="L8" s="154">
        <f>K8+'Projected P&amp;L'!N29</f>
        <v>6360.1116307416441</v>
      </c>
    </row>
    <row r="9" spans="1:12" x14ac:dyDescent="0.25">
      <c r="B9" s="84" t="s">
        <v>161</v>
      </c>
      <c r="C9" s="84">
        <f t="shared" ref="C9:L9" si="1">SUM(C6:C8)</f>
        <v>2949.3265185</v>
      </c>
      <c r="D9" s="84">
        <f t="shared" si="1"/>
        <v>3205.4532161999996</v>
      </c>
      <c r="E9" s="155">
        <f t="shared" si="1"/>
        <v>3388.251743269584</v>
      </c>
      <c r="F9" s="155">
        <f t="shared" si="1"/>
        <v>3957.2425943610042</v>
      </c>
      <c r="G9" s="155">
        <f t="shared" si="1"/>
        <v>4567.9857290442305</v>
      </c>
      <c r="H9" s="155">
        <f t="shared" si="1"/>
        <v>5223.1208027884995</v>
      </c>
      <c r="I9" s="155">
        <f t="shared" si="1"/>
        <v>5925.8364508685836</v>
      </c>
      <c r="J9" s="155">
        <f t="shared" si="1"/>
        <v>6679.892192633818</v>
      </c>
      <c r="K9" s="155">
        <f t="shared" si="1"/>
        <v>7489.6494020271739</v>
      </c>
      <c r="L9" s="155">
        <f t="shared" si="1"/>
        <v>8360.1116307416451</v>
      </c>
    </row>
    <row r="10" spans="1:12" x14ac:dyDescent="0.25">
      <c r="B10" s="79" t="s">
        <v>31</v>
      </c>
      <c r="C10" s="79"/>
      <c r="D10" s="79"/>
      <c r="L10" s="153"/>
    </row>
    <row r="11" spans="1:12" x14ac:dyDescent="0.25">
      <c r="B11" s="78" t="s">
        <v>29</v>
      </c>
      <c r="C11" s="78">
        <f>+Historicals!S13</f>
        <v>1073.4625723000001</v>
      </c>
      <c r="D11" s="78">
        <f>+Historicals!T13</f>
        <v>1082.3693648000001</v>
      </c>
      <c r="E11" s="154">
        <f>+'Debt Schedule'!M9</f>
        <v>3359.4212504631787</v>
      </c>
      <c r="F11" s="154">
        <f>+'Debt Schedule'!M10</f>
        <v>3016.2023984213215</v>
      </c>
      <c r="G11" s="154">
        <f>+'Debt Schedule'!M11-'Projected BS'!G16</f>
        <v>2633.2666563794642</v>
      </c>
      <c r="H11" s="154">
        <f>+'Debt Schedule'!M12-'Projected BS'!H16</f>
        <v>2206.017994337607</v>
      </c>
      <c r="I11" s="154">
        <f>+'Debt Schedule'!M13-'Projected BS'!I16</f>
        <v>1729.3286722957498</v>
      </c>
      <c r="J11" s="154">
        <f>+'Debt Schedule'!M14-'Projected BS'!J16</f>
        <v>1197.4774002538925</v>
      </c>
      <c r="K11" s="154">
        <f>+'Debt Schedule'!M15-'Projected BS'!K16</f>
        <v>604.08091821203527</v>
      </c>
      <c r="L11" s="154">
        <f>+'Debt Schedule'!N15-'Projected BS'!L16</f>
        <v>0</v>
      </c>
    </row>
    <row r="12" spans="1:12" x14ac:dyDescent="0.25">
      <c r="B12" s="78" t="s">
        <v>325</v>
      </c>
      <c r="C12" s="78">
        <f>+Historicals!S14</f>
        <v>73.688020999999992</v>
      </c>
      <c r="D12" s="78">
        <f>+Historicals!T14</f>
        <v>73.688020999999992</v>
      </c>
      <c r="E12" s="154">
        <f>+D12</f>
        <v>73.688020999999992</v>
      </c>
      <c r="F12" s="154">
        <f t="shared" ref="F12:L12" si="2">+E12</f>
        <v>73.688020999999992</v>
      </c>
      <c r="G12" s="154">
        <f t="shared" si="2"/>
        <v>73.688020999999992</v>
      </c>
      <c r="H12" s="154">
        <f t="shared" si="2"/>
        <v>73.688020999999992</v>
      </c>
      <c r="I12" s="154">
        <f t="shared" si="2"/>
        <v>73.688020999999992</v>
      </c>
      <c r="J12" s="154">
        <f t="shared" si="2"/>
        <v>73.688020999999992</v>
      </c>
      <c r="K12" s="154">
        <f t="shared" si="2"/>
        <v>73.688020999999992</v>
      </c>
      <c r="L12" s="154">
        <f t="shared" si="2"/>
        <v>73.688020999999992</v>
      </c>
    </row>
    <row r="13" spans="1:12" x14ac:dyDescent="0.25">
      <c r="B13" s="78" t="s">
        <v>328</v>
      </c>
      <c r="C13" s="78"/>
      <c r="D13" s="78"/>
      <c r="E13" s="154">
        <f>89500700/10^5</f>
        <v>895.00699999999995</v>
      </c>
      <c r="F13" s="154">
        <f>+E13</f>
        <v>895.00699999999995</v>
      </c>
      <c r="G13" s="154">
        <f t="shared" ref="G13:L13" si="3">+F13</f>
        <v>895.00699999999995</v>
      </c>
      <c r="H13" s="154">
        <f t="shared" si="3"/>
        <v>895.00699999999995</v>
      </c>
      <c r="I13" s="154">
        <f t="shared" si="3"/>
        <v>895.00699999999995</v>
      </c>
      <c r="J13" s="154">
        <f t="shared" si="3"/>
        <v>895.00699999999995</v>
      </c>
      <c r="K13" s="154">
        <f t="shared" si="3"/>
        <v>895.00699999999995</v>
      </c>
      <c r="L13" s="154">
        <f t="shared" si="3"/>
        <v>895.00699999999995</v>
      </c>
    </row>
    <row r="14" spans="1:12" x14ac:dyDescent="0.25">
      <c r="B14" s="84" t="s">
        <v>25</v>
      </c>
      <c r="C14" s="84">
        <f>SUM(C11:C13)</f>
        <v>1147.1505933000001</v>
      </c>
      <c r="D14" s="84">
        <f>SUM(D11:D13)</f>
        <v>1156.0573858</v>
      </c>
      <c r="E14" s="155">
        <f>SUM(E11:E13)</f>
        <v>4328.1162714631782</v>
      </c>
      <c r="F14" s="155">
        <f t="shared" ref="F14:K14" si="4">SUM(F11:F13)</f>
        <v>3984.8974194213215</v>
      </c>
      <c r="G14" s="155">
        <f t="shared" si="4"/>
        <v>3601.9616773794642</v>
      </c>
      <c r="H14" s="155">
        <f t="shared" si="4"/>
        <v>3174.713015337607</v>
      </c>
      <c r="I14" s="155">
        <f t="shared" si="4"/>
        <v>2698.0236932957496</v>
      </c>
      <c r="J14" s="155">
        <f t="shared" si="4"/>
        <v>2166.1724212538925</v>
      </c>
      <c r="K14" s="155">
        <f t="shared" si="4"/>
        <v>1572.7759392120352</v>
      </c>
      <c r="L14" s="155">
        <f t="shared" ref="L14" si="5">SUM(L11:L13)</f>
        <v>968.695021</v>
      </c>
    </row>
    <row r="15" spans="1:12" x14ac:dyDescent="0.25">
      <c r="A15" s="197">
        <f>+C11+C16</f>
        <v>4211.4772523000001</v>
      </c>
      <c r="B15" s="79" t="s">
        <v>23</v>
      </c>
      <c r="C15" s="79"/>
      <c r="D15" s="79"/>
      <c r="E15" s="154"/>
      <c r="F15" s="154"/>
      <c r="G15" s="154"/>
      <c r="H15" s="154"/>
      <c r="I15" s="154"/>
      <c r="J15" s="154"/>
      <c r="K15" s="154"/>
      <c r="L15" s="154"/>
    </row>
    <row r="16" spans="1:12" x14ac:dyDescent="0.25">
      <c r="A16" s="197">
        <f>+E11+E13</f>
        <v>4254.4282504631783</v>
      </c>
      <c r="B16" s="78" t="s">
        <v>362</v>
      </c>
      <c r="C16" s="78">
        <f>+Historicals!S17</f>
        <v>3138.0146800000002</v>
      </c>
      <c r="D16" s="78">
        <f>+Historicals!T17</f>
        <v>3499.0048299999999</v>
      </c>
      <c r="E16" s="154"/>
      <c r="F16" s="154"/>
      <c r="G16" s="154"/>
      <c r="H16" s="154"/>
      <c r="I16" s="154"/>
      <c r="J16" s="154"/>
      <c r="K16" s="154"/>
      <c r="L16" s="154"/>
    </row>
    <row r="17" spans="1:12" x14ac:dyDescent="0.25">
      <c r="A17" s="197">
        <f>+A15-A16</f>
        <v>-42.950998163178156</v>
      </c>
      <c r="B17" s="78" t="s">
        <v>162</v>
      </c>
      <c r="C17" s="78">
        <f>+Historicals!S18</f>
        <v>724.88368480000008</v>
      </c>
      <c r="D17" s="78">
        <f>+Historicals!T18</f>
        <v>724.98368479999999</v>
      </c>
      <c r="E17" s="154">
        <f>+D17</f>
        <v>724.98368479999999</v>
      </c>
      <c r="F17" s="154">
        <f t="shared" ref="F17:L17" si="6">+E17</f>
        <v>724.98368479999999</v>
      </c>
      <c r="G17" s="154">
        <f t="shared" si="6"/>
        <v>724.98368479999999</v>
      </c>
      <c r="H17" s="154">
        <f t="shared" si="6"/>
        <v>724.98368479999999</v>
      </c>
      <c r="I17" s="154">
        <f t="shared" si="6"/>
        <v>724.98368479999999</v>
      </c>
      <c r="J17" s="154">
        <f t="shared" si="6"/>
        <v>724.98368479999999</v>
      </c>
      <c r="K17" s="154">
        <f t="shared" si="6"/>
        <v>724.98368479999999</v>
      </c>
      <c r="L17" s="154">
        <f t="shared" si="6"/>
        <v>724.98368479999999</v>
      </c>
    </row>
    <row r="18" spans="1:12" x14ac:dyDescent="0.25">
      <c r="B18" s="78" t="s">
        <v>17</v>
      </c>
      <c r="C18" s="78">
        <f>+Historicals!S19</f>
        <v>229.92079179999999</v>
      </c>
      <c r="D18" s="78">
        <f>+Historicals!T19</f>
        <v>321.92919309999996</v>
      </c>
      <c r="E18" s="154">
        <f>+D18</f>
        <v>321.92919309999996</v>
      </c>
      <c r="F18" s="154">
        <f t="shared" ref="F18:L18" si="7">+E18</f>
        <v>321.92919309999996</v>
      </c>
      <c r="G18" s="154">
        <f t="shared" si="7"/>
        <v>321.92919309999996</v>
      </c>
      <c r="H18" s="154">
        <f t="shared" si="7"/>
        <v>321.92919309999996</v>
      </c>
      <c r="I18" s="154">
        <f t="shared" si="7"/>
        <v>321.92919309999996</v>
      </c>
      <c r="J18" s="154">
        <f t="shared" si="7"/>
        <v>321.92919309999996</v>
      </c>
      <c r="K18" s="154">
        <f t="shared" si="7"/>
        <v>321.92919309999996</v>
      </c>
      <c r="L18" s="154">
        <f t="shared" si="7"/>
        <v>321.92919309999996</v>
      </c>
    </row>
    <row r="19" spans="1:12" x14ac:dyDescent="0.25">
      <c r="B19" s="84" t="s">
        <v>15</v>
      </c>
      <c r="C19" s="155">
        <f>SUM(C16:C18)</f>
        <v>4092.8191566000005</v>
      </c>
      <c r="D19" s="155">
        <f>SUM(D16:D18)</f>
        <v>4545.9177078999992</v>
      </c>
      <c r="E19" s="155">
        <f>SUM(E16:E18)</f>
        <v>1046.9128779</v>
      </c>
      <c r="F19" s="155">
        <f t="shared" ref="F19:K19" si="8">SUM(F16:F18)</f>
        <v>1046.9128779</v>
      </c>
      <c r="G19" s="155">
        <f t="shared" si="8"/>
        <v>1046.9128779</v>
      </c>
      <c r="H19" s="155">
        <f t="shared" si="8"/>
        <v>1046.9128779</v>
      </c>
      <c r="I19" s="155">
        <f t="shared" si="8"/>
        <v>1046.9128779</v>
      </c>
      <c r="J19" s="155">
        <f t="shared" si="8"/>
        <v>1046.9128779</v>
      </c>
      <c r="K19" s="155">
        <f t="shared" si="8"/>
        <v>1046.9128779</v>
      </c>
      <c r="L19" s="155">
        <f t="shared" ref="L19" si="9">SUM(L16:L18)</f>
        <v>1046.9128779</v>
      </c>
    </row>
    <row r="20" spans="1:12" x14ac:dyDescent="0.25">
      <c r="B20" s="84" t="s">
        <v>163</v>
      </c>
      <c r="C20" s="155">
        <f>C19+C14+C9</f>
        <v>8189.2962684000004</v>
      </c>
      <c r="D20" s="155">
        <f>D19+D14+D9</f>
        <v>8907.4283098999986</v>
      </c>
      <c r="E20" s="155">
        <f>E19+E14+E9</f>
        <v>8763.2808926327634</v>
      </c>
      <c r="F20" s="155">
        <f t="shared" ref="F20:K20" si="10">F19+F14+F9</f>
        <v>8989.0528916823259</v>
      </c>
      <c r="G20" s="155">
        <f t="shared" si="10"/>
        <v>9216.8602843236949</v>
      </c>
      <c r="H20" s="155">
        <f t="shared" si="10"/>
        <v>9444.7466960261063</v>
      </c>
      <c r="I20" s="155">
        <f t="shared" si="10"/>
        <v>9670.7730220643334</v>
      </c>
      <c r="J20" s="155">
        <f t="shared" si="10"/>
        <v>9892.9774917877112</v>
      </c>
      <c r="K20" s="155">
        <f t="shared" si="10"/>
        <v>10109.338219139208</v>
      </c>
      <c r="L20" s="155">
        <f t="shared" ref="L20" si="11">L19+L14+L9</f>
        <v>10375.719529641645</v>
      </c>
    </row>
    <row r="21" spans="1:12" x14ac:dyDescent="0.25">
      <c r="B21" s="79" t="s">
        <v>12</v>
      </c>
      <c r="C21" s="79"/>
      <c r="D21" s="79"/>
      <c r="L21" s="153"/>
    </row>
    <row r="22" spans="1:12" x14ac:dyDescent="0.25">
      <c r="B22" s="79" t="s">
        <v>11</v>
      </c>
      <c r="C22" s="79"/>
      <c r="D22" s="79"/>
      <c r="L22" s="153"/>
    </row>
    <row r="23" spans="1:12" x14ac:dyDescent="0.25">
      <c r="B23" s="78" t="s">
        <v>154</v>
      </c>
      <c r="C23" s="78"/>
      <c r="D23" s="78"/>
      <c r="E23" s="222">
        <f>'Dep-WDV'!F120</f>
        <v>4045.0798262000008</v>
      </c>
      <c r="F23" s="222">
        <f>'Dep-WDV'!G120</f>
        <v>4045.0798262000008</v>
      </c>
      <c r="G23" s="222">
        <f>'Dep-WDV'!H120</f>
        <v>4045.0798262000008</v>
      </c>
      <c r="H23" s="222">
        <f>'Dep-WDV'!I120</f>
        <v>4045.0798262000008</v>
      </c>
      <c r="I23" s="222">
        <f>'Dep-WDV'!J120</f>
        <v>4045.0798262000008</v>
      </c>
      <c r="J23" s="222">
        <f>'Dep-WDV'!K120</f>
        <v>4045.0798262000008</v>
      </c>
      <c r="K23" s="222">
        <f>'Dep-WDV'!L120</f>
        <v>4045.0798262000008</v>
      </c>
      <c r="L23" s="222">
        <f>'Dep-WDV'!M120</f>
        <v>4045.0798262000008</v>
      </c>
    </row>
    <row r="24" spans="1:12" x14ac:dyDescent="0.25">
      <c r="B24" s="78" t="s">
        <v>155</v>
      </c>
      <c r="C24" s="78"/>
      <c r="D24" s="78"/>
      <c r="E24" s="222">
        <f>'Dep-WDV'!F121</f>
        <v>2833.9572513200001</v>
      </c>
      <c r="F24" s="222">
        <f>+E24+'Projected P&amp;L'!H16</f>
        <v>2905.5142628975</v>
      </c>
      <c r="G24" s="222">
        <f>+F24+'Projected P&amp;L'!I16</f>
        <v>2967.2720818753251</v>
      </c>
      <c r="H24" s="222">
        <f>+G24+'Projected P&amp;L'!J16</f>
        <v>3020.6202681231312</v>
      </c>
      <c r="I24" s="222">
        <f>+H24+'Projected P&amp;L'!K16</f>
        <v>3066.7427326747961</v>
      </c>
      <c r="J24" s="222">
        <f>+I24+'Projected P&amp;L'!L16</f>
        <v>3106.650405242262</v>
      </c>
      <c r="K24" s="222">
        <f>+J24+'Projected P&amp;L'!M16</f>
        <v>3141.2079801022778</v>
      </c>
      <c r="L24" s="222">
        <f>+K24+'Projected P&amp;L'!N16</f>
        <v>3171.1560665425786</v>
      </c>
    </row>
    <row r="25" spans="1:12" x14ac:dyDescent="0.25">
      <c r="B25" s="79" t="s">
        <v>71</v>
      </c>
      <c r="C25" s="79">
        <f>+Historicals!S25</f>
        <v>1294.1144870999999</v>
      </c>
      <c r="D25" s="79">
        <f>+Historicals!T25</f>
        <v>1234.0125161000001</v>
      </c>
      <c r="E25" s="223">
        <f>E23-E24</f>
        <v>1211.1225748800007</v>
      </c>
      <c r="F25" s="223">
        <f t="shared" ref="F25:K25" si="12">F23-F24</f>
        <v>1139.5655633025008</v>
      </c>
      <c r="G25" s="223">
        <f t="shared" si="12"/>
        <v>1077.8077443246757</v>
      </c>
      <c r="H25" s="223">
        <f t="shared" si="12"/>
        <v>1024.4595580768696</v>
      </c>
      <c r="I25" s="223">
        <f t="shared" si="12"/>
        <v>978.33709352520464</v>
      </c>
      <c r="J25" s="223">
        <f t="shared" si="12"/>
        <v>938.42942095773878</v>
      </c>
      <c r="K25" s="223">
        <f t="shared" si="12"/>
        <v>903.87184609772294</v>
      </c>
      <c r="L25" s="223">
        <f t="shared" ref="L25" si="13">L23-L24</f>
        <v>873.92375965742212</v>
      </c>
    </row>
    <row r="26" spans="1:12" x14ac:dyDescent="0.25">
      <c r="A26" s="197">
        <f>+C25-'Dep-WDV'!E119</f>
        <v>1.0000007932831068E-7</v>
      </c>
      <c r="B26" s="78" t="s">
        <v>313</v>
      </c>
      <c r="C26" s="78">
        <f>+Historicals!S26</f>
        <v>1114.0000199999999</v>
      </c>
      <c r="D26" s="78">
        <f>+Historicals!T26</f>
        <v>1114.0000199999999</v>
      </c>
      <c r="E26" s="222">
        <f>+D26</f>
        <v>1114.0000199999999</v>
      </c>
      <c r="F26" s="222">
        <f t="shared" ref="F26:L26" si="14">+E26</f>
        <v>1114.0000199999999</v>
      </c>
      <c r="G26" s="222">
        <f t="shared" si="14"/>
        <v>1114.0000199999999</v>
      </c>
      <c r="H26" s="222">
        <f t="shared" si="14"/>
        <v>1114.0000199999999</v>
      </c>
      <c r="I26" s="222">
        <f t="shared" si="14"/>
        <v>1114.0000199999999</v>
      </c>
      <c r="J26" s="222">
        <f t="shared" si="14"/>
        <v>1114.0000199999999</v>
      </c>
      <c r="K26" s="222">
        <f t="shared" si="14"/>
        <v>1114.0000199999999</v>
      </c>
      <c r="L26" s="222">
        <f t="shared" si="14"/>
        <v>1114.0000199999999</v>
      </c>
    </row>
    <row r="27" spans="1:12" x14ac:dyDescent="0.25">
      <c r="B27" s="78" t="s">
        <v>314</v>
      </c>
      <c r="C27" s="78">
        <f>+Historicals!S27</f>
        <v>24.72738</v>
      </c>
      <c r="D27" s="78">
        <f>+Historicals!T27</f>
        <v>24.72738</v>
      </c>
      <c r="E27" s="222">
        <f>+D27</f>
        <v>24.72738</v>
      </c>
      <c r="F27" s="222">
        <f t="shared" ref="F27:L27" si="15">+E27</f>
        <v>24.72738</v>
      </c>
      <c r="G27" s="222">
        <f t="shared" si="15"/>
        <v>24.72738</v>
      </c>
      <c r="H27" s="222">
        <f t="shared" si="15"/>
        <v>24.72738</v>
      </c>
      <c r="I27" s="222">
        <f t="shared" si="15"/>
        <v>24.72738</v>
      </c>
      <c r="J27" s="222">
        <f t="shared" si="15"/>
        <v>24.72738</v>
      </c>
      <c r="K27" s="222">
        <f t="shared" si="15"/>
        <v>24.72738</v>
      </c>
      <c r="L27" s="222">
        <f t="shared" si="15"/>
        <v>24.72738</v>
      </c>
    </row>
    <row r="28" spans="1:12" x14ac:dyDescent="0.25">
      <c r="B28" s="84" t="s">
        <v>7</v>
      </c>
      <c r="C28" s="84">
        <f>SUM(C25:C27)</f>
        <v>2432.8418870999999</v>
      </c>
      <c r="D28" s="84">
        <f>SUM(D25:D27)</f>
        <v>2372.7399160999998</v>
      </c>
      <c r="E28" s="224">
        <f t="shared" ref="E28:K28" si="16">SUM(E25:E27)</f>
        <v>2349.8499748800004</v>
      </c>
      <c r="F28" s="224">
        <f t="shared" si="16"/>
        <v>2278.2929633025005</v>
      </c>
      <c r="G28" s="224">
        <f t="shared" si="16"/>
        <v>2216.5351443246755</v>
      </c>
      <c r="H28" s="224">
        <f t="shared" si="16"/>
        <v>2163.1869580768694</v>
      </c>
      <c r="I28" s="224">
        <f t="shared" si="16"/>
        <v>2117.0644935252044</v>
      </c>
      <c r="J28" s="224">
        <f t="shared" si="16"/>
        <v>2077.1568209577385</v>
      </c>
      <c r="K28" s="224">
        <f t="shared" si="16"/>
        <v>2042.5992460977229</v>
      </c>
      <c r="L28" s="224">
        <f t="shared" ref="L28" si="17">SUM(L25:L27)</f>
        <v>2012.6511596574221</v>
      </c>
    </row>
    <row r="29" spans="1:12" x14ac:dyDescent="0.25">
      <c r="B29" s="79" t="s">
        <v>6</v>
      </c>
      <c r="C29" s="79"/>
      <c r="D29" s="79"/>
      <c r="E29" s="154"/>
      <c r="F29" s="154"/>
      <c r="G29" s="154"/>
      <c r="H29" s="154"/>
      <c r="I29" s="154"/>
      <c r="J29" s="154"/>
      <c r="K29" s="154"/>
      <c r="L29" s="154"/>
    </row>
    <row r="30" spans="1:12" x14ac:dyDescent="0.25">
      <c r="B30" s="78" t="s">
        <v>5</v>
      </c>
      <c r="C30" s="78">
        <f>+Historicals!S30</f>
        <v>230.31908250000001</v>
      </c>
      <c r="D30" s="78">
        <f>+Historicals!T30</f>
        <v>230.31908250000001</v>
      </c>
      <c r="E30" s="78">
        <v>0</v>
      </c>
      <c r="F30" s="78">
        <f t="shared" ref="F30:L30" si="18">+E30</f>
        <v>0</v>
      </c>
      <c r="G30" s="78">
        <f t="shared" si="18"/>
        <v>0</v>
      </c>
      <c r="H30" s="78">
        <f t="shared" si="18"/>
        <v>0</v>
      </c>
      <c r="I30" s="78">
        <f t="shared" si="18"/>
        <v>0</v>
      </c>
      <c r="J30" s="78">
        <f t="shared" si="18"/>
        <v>0</v>
      </c>
      <c r="K30" s="78">
        <f t="shared" si="18"/>
        <v>0</v>
      </c>
      <c r="L30" s="78">
        <f t="shared" si="18"/>
        <v>0</v>
      </c>
    </row>
    <row r="31" spans="1:12" x14ac:dyDescent="0.25">
      <c r="A31" s="197">
        <f>+E38+A26</f>
        <v>1.0000007932831068E-7</v>
      </c>
      <c r="B31" s="78" t="s">
        <v>157</v>
      </c>
      <c r="C31" s="78">
        <f>+Historicals!S31</f>
        <v>5144.8908216</v>
      </c>
      <c r="D31" s="78">
        <f>+Historicals!T31</f>
        <v>5955.4512191999993</v>
      </c>
      <c r="E31" s="154">
        <f>+D31</f>
        <v>5955.4512191999993</v>
      </c>
      <c r="F31" s="154">
        <f t="shared" ref="F31:L31" si="19">+E31</f>
        <v>5955.4512191999993</v>
      </c>
      <c r="G31" s="154">
        <f t="shared" si="19"/>
        <v>5955.4512191999993</v>
      </c>
      <c r="H31" s="154">
        <f t="shared" si="19"/>
        <v>5955.4512191999993</v>
      </c>
      <c r="I31" s="154">
        <f t="shared" si="19"/>
        <v>5955.4512191999993</v>
      </c>
      <c r="J31" s="154">
        <f t="shared" si="19"/>
        <v>5955.4512191999993</v>
      </c>
      <c r="K31" s="154">
        <f t="shared" si="19"/>
        <v>5955.4512191999993</v>
      </c>
      <c r="L31" s="154">
        <f t="shared" si="19"/>
        <v>5955.4512191999993</v>
      </c>
    </row>
    <row r="32" spans="1:12" x14ac:dyDescent="0.25">
      <c r="B32" s="78" t="s">
        <v>158</v>
      </c>
      <c r="C32" s="78">
        <f>+Historicals!S32</f>
        <v>87.196984600000008</v>
      </c>
      <c r="D32" s="78">
        <f>+Historicals!T32</f>
        <v>54.870599400000003</v>
      </c>
      <c r="E32" s="154">
        <f>'Projected CFS'!C25</f>
        <v>163.93220585276339</v>
      </c>
      <c r="F32" s="154">
        <f>'Projected CFS'!D25</f>
        <v>461.26121647982666</v>
      </c>
      <c r="G32" s="154">
        <f>'Projected CFS'!E25</f>
        <v>750.82642809902052</v>
      </c>
      <c r="H32" s="154">
        <f>'Projected CFS'!F25</f>
        <v>1032.0610260492385</v>
      </c>
      <c r="I32" s="154">
        <f>'Projected CFS'!G25</f>
        <v>1304.2098166391299</v>
      </c>
      <c r="J32" s="154">
        <f>'Projected CFS'!H25</f>
        <v>1566.3219589299731</v>
      </c>
      <c r="K32" s="154">
        <f>'Projected CFS'!I25</f>
        <v>1817.2402611414873</v>
      </c>
      <c r="L32" s="154">
        <f>'Projected CFS'!J25</f>
        <v>2113.5696580842196</v>
      </c>
    </row>
    <row r="33" spans="2:13" x14ac:dyDescent="0.25">
      <c r="B33" s="78" t="s">
        <v>159</v>
      </c>
      <c r="C33" s="78">
        <f>+Historicals!S33</f>
        <v>269.97590409999998</v>
      </c>
      <c r="D33" s="78">
        <f>+Historicals!T33</f>
        <v>269.97590409999998</v>
      </c>
      <c r="E33" s="154">
        <f>+D33</f>
        <v>269.97590409999998</v>
      </c>
      <c r="F33" s="154">
        <f>E33</f>
        <v>269.97590409999998</v>
      </c>
      <c r="G33" s="154">
        <f t="shared" ref="G33:L33" si="20">F33</f>
        <v>269.97590409999998</v>
      </c>
      <c r="H33" s="154">
        <f t="shared" si="20"/>
        <v>269.97590409999998</v>
      </c>
      <c r="I33" s="154">
        <f t="shared" si="20"/>
        <v>269.97590409999998</v>
      </c>
      <c r="J33" s="154">
        <f t="shared" si="20"/>
        <v>269.97590409999998</v>
      </c>
      <c r="K33" s="154">
        <f t="shared" si="20"/>
        <v>269.97590409999998</v>
      </c>
      <c r="L33" s="154">
        <f t="shared" si="20"/>
        <v>269.97590409999998</v>
      </c>
    </row>
    <row r="34" spans="2:13" x14ac:dyDescent="0.25">
      <c r="B34" s="78" t="s">
        <v>326</v>
      </c>
      <c r="C34" s="78">
        <f>+Historicals!S34</f>
        <v>24.071588599999998</v>
      </c>
      <c r="D34" s="78">
        <f>+Historicals!T34</f>
        <v>24.071588599999998</v>
      </c>
      <c r="E34" s="154">
        <f>+D34</f>
        <v>24.071588599999998</v>
      </c>
      <c r="F34" s="154">
        <f>E34</f>
        <v>24.071588599999998</v>
      </c>
      <c r="G34" s="154">
        <f t="shared" ref="G34:L34" si="21">F34</f>
        <v>24.071588599999998</v>
      </c>
      <c r="H34" s="154">
        <f t="shared" si="21"/>
        <v>24.071588599999998</v>
      </c>
      <c r="I34" s="154">
        <f t="shared" si="21"/>
        <v>24.071588599999998</v>
      </c>
      <c r="J34" s="154">
        <f t="shared" si="21"/>
        <v>24.071588599999998</v>
      </c>
      <c r="K34" s="154">
        <f t="shared" si="21"/>
        <v>24.071588599999998</v>
      </c>
      <c r="L34" s="154">
        <f t="shared" si="21"/>
        <v>24.071588599999998</v>
      </c>
    </row>
    <row r="35" spans="2:13" x14ac:dyDescent="0.25">
      <c r="B35" s="84" t="s">
        <v>2</v>
      </c>
      <c r="C35" s="155">
        <f t="shared" ref="C35:E35" si="22">SUM(C30:C34)</f>
        <v>5756.4543813999999</v>
      </c>
      <c r="D35" s="155">
        <f t="shared" si="22"/>
        <v>6534.6883937999992</v>
      </c>
      <c r="E35" s="155">
        <f t="shared" si="22"/>
        <v>6413.4309177527621</v>
      </c>
      <c r="F35" s="155">
        <f t="shared" ref="F35" si="23">SUM(F30:F34)</f>
        <v>6710.7599283798254</v>
      </c>
      <c r="G35" s="155">
        <f t="shared" ref="G35" si="24">SUM(G30:G34)</f>
        <v>7000.3251399990195</v>
      </c>
      <c r="H35" s="155">
        <f t="shared" ref="H35" si="25">SUM(H30:H34)</f>
        <v>7281.5597379492374</v>
      </c>
      <c r="I35" s="155">
        <f t="shared" ref="I35" si="26">SUM(I30:I34)</f>
        <v>7553.7085285391286</v>
      </c>
      <c r="J35" s="155">
        <f t="shared" ref="J35" si="27">SUM(J30:J34)</f>
        <v>7815.8206708299722</v>
      </c>
      <c r="K35" s="155">
        <f t="shared" ref="K35:L35" si="28">SUM(K30:K34)</f>
        <v>8066.7389730414861</v>
      </c>
      <c r="L35" s="155">
        <f t="shared" si="28"/>
        <v>8363.0683699842193</v>
      </c>
    </row>
    <row r="36" spans="2:13" x14ac:dyDescent="0.25">
      <c r="B36" s="84" t="s">
        <v>1</v>
      </c>
      <c r="C36" s="155">
        <f t="shared" ref="C36:D36" si="29">C35+C28</f>
        <v>8189.2962685000002</v>
      </c>
      <c r="D36" s="155">
        <f t="shared" si="29"/>
        <v>8907.4283098999986</v>
      </c>
      <c r="E36" s="155">
        <f>E35+E28</f>
        <v>8763.2808926327634</v>
      </c>
      <c r="F36" s="155">
        <f t="shared" ref="F36:K36" si="30">F35+F28</f>
        <v>8989.0528916823259</v>
      </c>
      <c r="G36" s="155">
        <f t="shared" si="30"/>
        <v>9216.8602843236949</v>
      </c>
      <c r="H36" s="155">
        <f t="shared" si="30"/>
        <v>9444.7466960261063</v>
      </c>
      <c r="I36" s="155">
        <f t="shared" si="30"/>
        <v>9670.7730220643334</v>
      </c>
      <c r="J36" s="155">
        <f t="shared" si="30"/>
        <v>9892.9774917877112</v>
      </c>
      <c r="K36" s="155">
        <f t="shared" si="30"/>
        <v>10109.338219139208</v>
      </c>
      <c r="L36" s="155">
        <f t="shared" ref="L36" si="31">L35+L28</f>
        <v>10375.719529641641</v>
      </c>
    </row>
    <row r="37" spans="2:13" x14ac:dyDescent="0.15">
      <c r="L37" s="153"/>
    </row>
    <row r="38" spans="2:13" x14ac:dyDescent="0.15">
      <c r="C38" s="154">
        <f t="shared" ref="C38:K38" si="32">C36-C20</f>
        <v>9.9999851954635233E-8</v>
      </c>
      <c r="D38" s="154">
        <f t="shared" si="32"/>
        <v>0</v>
      </c>
      <c r="E38" s="154">
        <f t="shared" si="32"/>
        <v>0</v>
      </c>
      <c r="F38" s="154">
        <f t="shared" si="32"/>
        <v>0</v>
      </c>
      <c r="G38" s="154">
        <f t="shared" si="32"/>
        <v>0</v>
      </c>
      <c r="H38" s="154">
        <f t="shared" si="32"/>
        <v>0</v>
      </c>
      <c r="I38" s="154">
        <f t="shared" si="32"/>
        <v>0</v>
      </c>
      <c r="J38" s="154">
        <f t="shared" si="32"/>
        <v>0</v>
      </c>
      <c r="K38" s="154">
        <f t="shared" si="32"/>
        <v>0</v>
      </c>
      <c r="L38" s="154">
        <f t="shared" ref="L38" si="33">L36-L20</f>
        <v>0</v>
      </c>
    </row>
    <row r="40" spans="2:13" x14ac:dyDescent="0.15">
      <c r="C40" s="185" t="s">
        <v>103</v>
      </c>
      <c r="D40" s="190">
        <f>+D4</f>
        <v>45626</v>
      </c>
      <c r="E40" s="152" t="s">
        <v>104</v>
      </c>
      <c r="F40" s="152" t="s">
        <v>105</v>
      </c>
      <c r="G40" s="152" t="s">
        <v>106</v>
      </c>
      <c r="H40" s="152" t="s">
        <v>107</v>
      </c>
      <c r="I40" s="152" t="s">
        <v>108</v>
      </c>
      <c r="J40" s="152" t="s">
        <v>109</v>
      </c>
      <c r="K40" s="82" t="s">
        <v>110</v>
      </c>
      <c r="L40" s="82" t="s">
        <v>354</v>
      </c>
    </row>
    <row r="41" spans="2:13" x14ac:dyDescent="0.15">
      <c r="B41" s="139" t="s">
        <v>157</v>
      </c>
      <c r="C41" s="154">
        <f>+C31+C30+C33+C34</f>
        <v>5669.2573967999997</v>
      </c>
      <c r="D41" s="154">
        <f t="shared" ref="D41:L41" si="34">+D31+D30+D33+D34</f>
        <v>6479.817794399999</v>
      </c>
      <c r="E41" s="154">
        <f t="shared" si="34"/>
        <v>6249.4987118999989</v>
      </c>
      <c r="F41" s="154">
        <f t="shared" si="34"/>
        <v>6249.4987118999989</v>
      </c>
      <c r="G41" s="154">
        <f t="shared" si="34"/>
        <v>6249.4987118999989</v>
      </c>
      <c r="H41" s="154">
        <f t="shared" si="34"/>
        <v>6249.4987118999989</v>
      </c>
      <c r="I41" s="154">
        <f t="shared" si="34"/>
        <v>6249.4987118999989</v>
      </c>
      <c r="J41" s="154">
        <f t="shared" si="34"/>
        <v>6249.4987118999989</v>
      </c>
      <c r="K41" s="154">
        <f t="shared" si="34"/>
        <v>6249.4987118999989</v>
      </c>
      <c r="L41" s="154">
        <f t="shared" si="34"/>
        <v>6249.4987118999989</v>
      </c>
      <c r="M41" s="154"/>
    </row>
    <row r="42" spans="2:13" x14ac:dyDescent="0.15">
      <c r="B42" s="139" t="s">
        <v>333</v>
      </c>
      <c r="C42" s="154">
        <f>+C17+C18</f>
        <v>954.80447660000004</v>
      </c>
      <c r="D42" s="154">
        <f t="shared" ref="D42:L42" si="35">+D17+D18</f>
        <v>1046.9128779</v>
      </c>
      <c r="E42" s="154">
        <f t="shared" si="35"/>
        <v>1046.9128779</v>
      </c>
      <c r="F42" s="154">
        <f t="shared" si="35"/>
        <v>1046.9128779</v>
      </c>
      <c r="G42" s="154">
        <f t="shared" si="35"/>
        <v>1046.9128779</v>
      </c>
      <c r="H42" s="154">
        <f t="shared" si="35"/>
        <v>1046.9128779</v>
      </c>
      <c r="I42" s="154">
        <f t="shared" si="35"/>
        <v>1046.9128779</v>
      </c>
      <c r="J42" s="154">
        <f t="shared" si="35"/>
        <v>1046.9128779</v>
      </c>
      <c r="K42" s="154">
        <f t="shared" si="35"/>
        <v>1046.9128779</v>
      </c>
      <c r="L42" s="154">
        <f t="shared" si="35"/>
        <v>1046.9128779</v>
      </c>
      <c r="M42" s="154"/>
    </row>
    <row r="43" spans="2:13" x14ac:dyDescent="0.15">
      <c r="B43" s="140"/>
      <c r="C43" s="140"/>
      <c r="D43" s="140"/>
    </row>
    <row r="44" spans="2:13" x14ac:dyDescent="0.25">
      <c r="B44" s="103" t="s">
        <v>336</v>
      </c>
      <c r="C44" s="156">
        <f>+C41-C42</f>
        <v>4714.4529201999994</v>
      </c>
      <c r="D44" s="156">
        <f t="shared" ref="D44:L44" si="36">+D41-D42</f>
        <v>5432.9049164999988</v>
      </c>
      <c r="E44" s="156">
        <f t="shared" si="36"/>
        <v>5202.5858339999986</v>
      </c>
      <c r="F44" s="156">
        <f t="shared" si="36"/>
        <v>5202.5858339999986</v>
      </c>
      <c r="G44" s="156">
        <f t="shared" si="36"/>
        <v>5202.5858339999986</v>
      </c>
      <c r="H44" s="156">
        <f t="shared" si="36"/>
        <v>5202.5858339999986</v>
      </c>
      <c r="I44" s="156">
        <f t="shared" si="36"/>
        <v>5202.5858339999986</v>
      </c>
      <c r="J44" s="156">
        <f t="shared" si="36"/>
        <v>5202.5858339999986</v>
      </c>
      <c r="K44" s="156">
        <f t="shared" si="36"/>
        <v>5202.5858339999986</v>
      </c>
      <c r="L44" s="156">
        <f t="shared" si="36"/>
        <v>5202.5858339999986</v>
      </c>
      <c r="M44" s="153"/>
    </row>
    <row r="45" spans="2:13" x14ac:dyDescent="0.25">
      <c r="B45" s="103"/>
      <c r="C45" s="103"/>
      <c r="D45" s="103"/>
      <c r="E45" s="156">
        <f>E44-C44</f>
        <v>488.13291379999919</v>
      </c>
      <c r="F45" s="156">
        <f t="shared" ref="F45:L45" si="37">F44-E44</f>
        <v>0</v>
      </c>
      <c r="G45" s="156">
        <f t="shared" si="37"/>
        <v>0</v>
      </c>
      <c r="H45" s="156">
        <f t="shared" si="37"/>
        <v>0</v>
      </c>
      <c r="I45" s="156">
        <f t="shared" si="37"/>
        <v>0</v>
      </c>
      <c r="J45" s="156">
        <f t="shared" si="37"/>
        <v>0</v>
      </c>
      <c r="K45" s="156">
        <f t="shared" si="37"/>
        <v>0</v>
      </c>
      <c r="L45" s="156">
        <f t="shared" si="37"/>
        <v>0</v>
      </c>
      <c r="M45" s="153"/>
    </row>
    <row r="46" spans="2:13" x14ac:dyDescent="0.25">
      <c r="B46" s="78"/>
      <c r="C46" s="78"/>
      <c r="D46" s="78"/>
      <c r="E46" s="156"/>
      <c r="F46" s="156"/>
      <c r="G46" s="156"/>
      <c r="H46" s="156"/>
      <c r="I46" s="156"/>
      <c r="J46" s="156"/>
      <c r="K46" s="156"/>
      <c r="L46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J25"/>
  <sheetViews>
    <sheetView topLeftCell="A7" workbookViewId="0">
      <selection activeCell="C23" sqref="C23:J25"/>
    </sheetView>
  </sheetViews>
  <sheetFormatPr defaultRowHeight="12" x14ac:dyDescent="0.15"/>
  <cols>
    <col min="1" max="1" width="9.140625" style="96"/>
    <col min="2" max="2" width="30.5703125" style="96" bestFit="1" customWidth="1"/>
    <col min="3" max="3" width="9.7109375" style="153" bestFit="1" customWidth="1"/>
    <col min="4" max="9" width="9.140625" style="153"/>
    <col min="10" max="16384" width="9.140625" style="96"/>
  </cols>
  <sheetData>
    <row r="2" spans="2:10" ht="15" x14ac:dyDescent="0.15">
      <c r="B2" s="217" t="str">
        <f>Historicals!B2</f>
        <v>Al-Saqib Exports Private Limited</v>
      </c>
      <c r="C2" s="217"/>
      <c r="D2" s="217"/>
      <c r="E2" s="217"/>
      <c r="F2" s="217"/>
      <c r="G2" s="217"/>
      <c r="H2" s="217"/>
      <c r="I2" s="217"/>
      <c r="J2" s="183"/>
    </row>
    <row r="3" spans="2:10" ht="15" x14ac:dyDescent="0.15">
      <c r="C3" s="188">
        <v>12</v>
      </c>
      <c r="D3" s="188">
        <v>12</v>
      </c>
      <c r="E3" s="188">
        <v>12</v>
      </c>
      <c r="F3" s="188">
        <v>12</v>
      </c>
      <c r="G3" s="188">
        <v>12</v>
      </c>
      <c r="H3" s="188">
        <v>12</v>
      </c>
      <c r="I3" s="188">
        <v>12</v>
      </c>
      <c r="J3" s="188">
        <v>12</v>
      </c>
    </row>
    <row r="4" spans="2:10" ht="15" x14ac:dyDescent="0.25">
      <c r="B4" s="81" t="s">
        <v>127</v>
      </c>
      <c r="C4" s="152" t="s">
        <v>104</v>
      </c>
      <c r="D4" s="152" t="s">
        <v>105</v>
      </c>
      <c r="E4" s="152" t="s">
        <v>106</v>
      </c>
      <c r="F4" s="152" t="s">
        <v>107</v>
      </c>
      <c r="G4" s="152" t="s">
        <v>108</v>
      </c>
      <c r="H4" s="152" t="s">
        <v>109</v>
      </c>
      <c r="I4" s="152" t="s">
        <v>110</v>
      </c>
      <c r="J4" s="152" t="s">
        <v>354</v>
      </c>
    </row>
    <row r="5" spans="2:10" ht="15" x14ac:dyDescent="0.15">
      <c r="B5" s="106" t="s">
        <v>164</v>
      </c>
      <c r="J5" s="153"/>
    </row>
    <row r="6" spans="2:10" ht="15" x14ac:dyDescent="0.25">
      <c r="B6" s="107" t="s">
        <v>165</v>
      </c>
      <c r="C6" s="154">
        <f>+'Projected BS'!E7</f>
        <v>0</v>
      </c>
      <c r="D6" s="154"/>
      <c r="E6" s="154"/>
      <c r="F6" s="154"/>
      <c r="G6" s="154"/>
      <c r="H6" s="154"/>
      <c r="I6" s="154"/>
      <c r="J6" s="154"/>
    </row>
    <row r="7" spans="2:10" ht="15" x14ac:dyDescent="0.25">
      <c r="B7" s="107" t="s">
        <v>166</v>
      </c>
      <c r="C7" s="154"/>
      <c r="D7" s="154"/>
      <c r="E7" s="154"/>
      <c r="F7" s="154"/>
      <c r="G7" s="154"/>
      <c r="H7" s="154"/>
      <c r="I7" s="154"/>
      <c r="J7" s="154"/>
    </row>
    <row r="8" spans="2:10" ht="15" x14ac:dyDescent="0.25">
      <c r="B8" s="107" t="s">
        <v>149</v>
      </c>
      <c r="C8" s="154">
        <f>+'Projected P&amp;L'!G31</f>
        <v>521.91713688958396</v>
      </c>
      <c r="D8" s="154">
        <f>'Projected P&amp;L'!H31</f>
        <v>640.54786266892052</v>
      </c>
      <c r="E8" s="154">
        <f>'Projected P&amp;L'!I31</f>
        <v>672.50095366105108</v>
      </c>
      <c r="F8" s="154">
        <f>'Projected P&amp;L'!J31</f>
        <v>708.4832599920752</v>
      </c>
      <c r="G8" s="154">
        <f>'Projected P&amp;L'!K31</f>
        <v>748.83811263174869</v>
      </c>
      <c r="H8" s="154">
        <f>'Projected P&amp;L'!L31</f>
        <v>793.96341433270038</v>
      </c>
      <c r="I8" s="154">
        <f>'Projected P&amp;L'!M31</f>
        <v>844.31478425337139</v>
      </c>
      <c r="J8" s="154">
        <f>'Projected P&amp;L'!N31</f>
        <v>900.41031515477118</v>
      </c>
    </row>
    <row r="9" spans="2:10" ht="15" x14ac:dyDescent="0.25">
      <c r="B9" s="107" t="s">
        <v>167</v>
      </c>
      <c r="C9" s="154">
        <f>+'Debt Schedule'!M9-'Debt Schedule'!M7</f>
        <v>42.95099816317861</v>
      </c>
      <c r="D9" s="154"/>
      <c r="E9" s="154"/>
      <c r="F9" s="154"/>
      <c r="G9" s="154"/>
      <c r="H9" s="154"/>
      <c r="I9" s="154"/>
      <c r="J9" s="154"/>
    </row>
    <row r="10" spans="2:10" ht="15" x14ac:dyDescent="0.25">
      <c r="B10" s="107" t="s">
        <v>168</v>
      </c>
      <c r="C10" s="154"/>
      <c r="D10" s="154"/>
      <c r="E10" s="154"/>
      <c r="F10" s="154"/>
      <c r="G10" s="154"/>
      <c r="H10" s="154"/>
      <c r="I10" s="154"/>
      <c r="J10" s="154"/>
    </row>
    <row r="11" spans="2:10" ht="15" x14ac:dyDescent="0.25">
      <c r="B11" s="107" t="s">
        <v>169</v>
      </c>
      <c r="C11" s="154"/>
      <c r="D11" s="154">
        <f>+'Projected BS'!E41-'Projected BS'!F41</f>
        <v>0</v>
      </c>
      <c r="E11" s="154">
        <f>+'Projected BS'!F41-'Projected BS'!G41</f>
        <v>0</v>
      </c>
      <c r="F11" s="154">
        <f>+'Projected BS'!G41-'Projected BS'!H41</f>
        <v>0</v>
      </c>
      <c r="G11" s="154">
        <f>+'Projected BS'!H41-'Projected BS'!I41</f>
        <v>0</v>
      </c>
      <c r="H11" s="154">
        <f>+'Projected BS'!I41-'Projected BS'!J41</f>
        <v>0</v>
      </c>
      <c r="I11" s="154">
        <f>+'Projected BS'!J41-'Projected BS'!K41</f>
        <v>0</v>
      </c>
      <c r="J11" s="154">
        <f>+'Projected BS'!K41-'Projected BS'!L41</f>
        <v>0</v>
      </c>
    </row>
    <row r="12" spans="2:10" ht="15" x14ac:dyDescent="0.25">
      <c r="B12" s="107" t="s">
        <v>170</v>
      </c>
      <c r="C12" s="154">
        <f>+'Projected BS'!E18+'Projected BS'!E17-'Projected BS'!C18-'Projected BS'!C17</f>
        <v>92.108401299999969</v>
      </c>
      <c r="D12" s="154"/>
      <c r="E12" s="154"/>
      <c r="F12" s="154"/>
      <c r="G12" s="154"/>
      <c r="H12" s="154"/>
      <c r="I12" s="154"/>
      <c r="J12" s="154"/>
    </row>
    <row r="13" spans="2:10" ht="15" x14ac:dyDescent="0.25">
      <c r="B13" s="107" t="s">
        <v>171</v>
      </c>
      <c r="C13" s="154"/>
      <c r="E13" s="154"/>
      <c r="F13" s="154"/>
      <c r="G13" s="154"/>
      <c r="H13" s="154"/>
      <c r="I13" s="154"/>
      <c r="J13" s="154"/>
    </row>
    <row r="14" spans="2:10" ht="15" x14ac:dyDescent="0.15">
      <c r="B14" s="108" t="s">
        <v>172</v>
      </c>
      <c r="C14" s="155">
        <f>SUM(C6:C13)</f>
        <v>656.97653635276254</v>
      </c>
      <c r="D14" s="155">
        <f t="shared" ref="D14:I14" si="0">SUM(D7:D13)</f>
        <v>640.54786266892052</v>
      </c>
      <c r="E14" s="155">
        <f t="shared" si="0"/>
        <v>672.50095366105108</v>
      </c>
      <c r="F14" s="155">
        <f t="shared" si="0"/>
        <v>708.4832599920752</v>
      </c>
      <c r="G14" s="155">
        <f t="shared" si="0"/>
        <v>748.83811263174869</v>
      </c>
      <c r="H14" s="155">
        <f t="shared" si="0"/>
        <v>793.96341433270038</v>
      </c>
      <c r="I14" s="155">
        <f t="shared" si="0"/>
        <v>844.31478425337139</v>
      </c>
      <c r="J14" s="155">
        <f t="shared" ref="J14" si="1">SUM(J7:J13)</f>
        <v>900.41031515477118</v>
      </c>
    </row>
    <row r="15" spans="2:10" ht="15" x14ac:dyDescent="0.15">
      <c r="B15" s="106" t="s">
        <v>173</v>
      </c>
      <c r="C15" s="154"/>
      <c r="D15" s="154"/>
      <c r="E15" s="154"/>
      <c r="F15" s="154"/>
      <c r="G15" s="154"/>
      <c r="H15" s="154"/>
      <c r="I15" s="154"/>
      <c r="J15" s="154"/>
    </row>
    <row r="16" spans="2:10" ht="15" x14ac:dyDescent="0.25">
      <c r="B16" s="107" t="s">
        <v>174</v>
      </c>
      <c r="C16" s="154">
        <f>'Dep-WDV'!F116</f>
        <v>0</v>
      </c>
      <c r="D16" s="154">
        <f>'Dep-WDV'!G116</f>
        <v>0</v>
      </c>
      <c r="E16" s="154">
        <f>'Dep-WDV'!H116</f>
        <v>0</v>
      </c>
      <c r="F16" s="154">
        <f>'Dep-WDV'!I116</f>
        <v>0</v>
      </c>
      <c r="G16" s="154">
        <f>'Dep-WDV'!J116</f>
        <v>0</v>
      </c>
      <c r="H16" s="154">
        <f>'Dep-WDV'!K116</f>
        <v>0</v>
      </c>
      <c r="I16" s="154">
        <f>'Dep-WDV'!L116</f>
        <v>0</v>
      </c>
      <c r="J16" s="154">
        <f>'Dep-WDV'!M116</f>
        <v>0</v>
      </c>
    </row>
    <row r="17" spans="2:10" ht="15" x14ac:dyDescent="0.25">
      <c r="B17" s="107" t="s">
        <v>327</v>
      </c>
      <c r="C17" s="154"/>
      <c r="D17" s="154">
        <f>'Debt Schedule'!L10</f>
        <v>343.21885204185725</v>
      </c>
      <c r="E17" s="154">
        <f>'Debt Schedule'!L11</f>
        <v>382.93574204185722</v>
      </c>
      <c r="F17" s="154">
        <f>'Debt Schedule'!L12</f>
        <v>427.24866204185724</v>
      </c>
      <c r="G17" s="154">
        <f>'Debt Schedule'!L13</f>
        <v>476.68932204185722</v>
      </c>
      <c r="H17" s="154">
        <f>'Debt Schedule'!L14</f>
        <v>531.85127204185721</v>
      </c>
      <c r="I17" s="154">
        <f>'Debt Schedule'!L15</f>
        <v>593.39648204185721</v>
      </c>
      <c r="J17" s="154">
        <f>'Debt Schedule'!L16</f>
        <v>604.08091821203902</v>
      </c>
    </row>
    <row r="18" spans="2:10" ht="15" x14ac:dyDescent="0.25">
      <c r="B18" s="107" t="s">
        <v>175</v>
      </c>
      <c r="C18" s="154"/>
      <c r="D18" s="154">
        <f>'Projected BS'!E17-'Projected BS'!F17</f>
        <v>0</v>
      </c>
      <c r="E18" s="154">
        <f>'Projected BS'!F17-'Projected BS'!G17</f>
        <v>0</v>
      </c>
      <c r="F18" s="154">
        <f>'Projected BS'!G17-'Projected BS'!H17</f>
        <v>0</v>
      </c>
      <c r="G18" s="154">
        <f>'Projected BS'!H17-'Projected BS'!I17</f>
        <v>0</v>
      </c>
      <c r="H18" s="154">
        <f>'Projected BS'!I17-'Projected BS'!J17</f>
        <v>0</v>
      </c>
      <c r="I18" s="154">
        <f>'Projected BS'!J17-'Projected BS'!K17</f>
        <v>0</v>
      </c>
      <c r="J18" s="154">
        <f>'Projected BS'!K17-'Projected BS'!L17</f>
        <v>0</v>
      </c>
    </row>
    <row r="19" spans="2:10" ht="15" x14ac:dyDescent="0.25">
      <c r="B19" s="107" t="s">
        <v>176</v>
      </c>
      <c r="C19" s="154">
        <f>+'Projected BS'!E30+'Projected BS'!E31+'Projected BS'!E33-SUM('Projected BS'!C30:C31,'Projected BS'!C33)</f>
        <v>580.24131509999916</v>
      </c>
      <c r="D19" s="154"/>
      <c r="E19" s="154"/>
      <c r="F19" s="154"/>
      <c r="G19" s="154"/>
      <c r="H19" s="154"/>
      <c r="I19" s="154"/>
      <c r="J19" s="154"/>
    </row>
    <row r="20" spans="2:10" ht="15" x14ac:dyDescent="0.25">
      <c r="B20" s="107" t="s">
        <v>177</v>
      </c>
      <c r="C20" s="154"/>
      <c r="D20" s="154"/>
      <c r="E20" s="154"/>
      <c r="F20" s="154"/>
      <c r="H20" s="154"/>
      <c r="I20" s="154"/>
      <c r="J20" s="154"/>
    </row>
    <row r="21" spans="2:10" ht="15" x14ac:dyDescent="0.15">
      <c r="B21" s="108" t="s">
        <v>172</v>
      </c>
      <c r="C21" s="155">
        <f t="shared" ref="C21:I21" si="2">SUM(C16:C20)</f>
        <v>580.24131509999916</v>
      </c>
      <c r="D21" s="155">
        <f t="shared" si="2"/>
        <v>343.21885204185725</v>
      </c>
      <c r="E21" s="155">
        <f t="shared" si="2"/>
        <v>382.93574204185722</v>
      </c>
      <c r="F21" s="155">
        <f t="shared" si="2"/>
        <v>427.24866204185724</v>
      </c>
      <c r="G21" s="155">
        <f t="shared" si="2"/>
        <v>476.68932204185722</v>
      </c>
      <c r="H21" s="155">
        <f t="shared" si="2"/>
        <v>531.85127204185721</v>
      </c>
      <c r="I21" s="155">
        <f t="shared" si="2"/>
        <v>593.39648204185721</v>
      </c>
      <c r="J21" s="155">
        <f t="shared" ref="J21" si="3">SUM(J16:J20)</f>
        <v>604.08091821203902</v>
      </c>
    </row>
    <row r="22" spans="2:10" ht="15" x14ac:dyDescent="0.15">
      <c r="B22" s="106" t="s">
        <v>178</v>
      </c>
      <c r="D22" s="154"/>
      <c r="E22" s="154"/>
      <c r="F22" s="154"/>
      <c r="G22" s="154"/>
      <c r="H22" s="154"/>
      <c r="I22" s="154"/>
      <c r="J22" s="154"/>
    </row>
    <row r="23" spans="2:10" ht="15" x14ac:dyDescent="0.25">
      <c r="B23" s="107" t="s">
        <v>99</v>
      </c>
      <c r="C23" s="154">
        <f>+'Projected BS'!C32</f>
        <v>87.196984600000008</v>
      </c>
      <c r="D23" s="154">
        <f>C25</f>
        <v>163.93220585276339</v>
      </c>
      <c r="E23" s="154">
        <f t="shared" ref="E23:J23" si="4">D25</f>
        <v>461.26121647982666</v>
      </c>
      <c r="F23" s="154">
        <f t="shared" si="4"/>
        <v>750.82642809902052</v>
      </c>
      <c r="G23" s="154">
        <f t="shared" si="4"/>
        <v>1032.0610260492385</v>
      </c>
      <c r="H23" s="154">
        <f t="shared" si="4"/>
        <v>1304.2098166391299</v>
      </c>
      <c r="I23" s="154">
        <f t="shared" si="4"/>
        <v>1566.3219589299731</v>
      </c>
      <c r="J23" s="154">
        <f t="shared" si="4"/>
        <v>1817.2402611414873</v>
      </c>
    </row>
    <row r="24" spans="2:10" ht="15" x14ac:dyDescent="0.25">
      <c r="B24" s="107" t="s">
        <v>179</v>
      </c>
      <c r="C24" s="154">
        <f t="shared" ref="C24:I24" si="5">C14-C21</f>
        <v>76.735221252763381</v>
      </c>
      <c r="D24" s="154">
        <f t="shared" si="5"/>
        <v>297.32901062706327</v>
      </c>
      <c r="E24" s="154">
        <f t="shared" si="5"/>
        <v>289.56521161919386</v>
      </c>
      <c r="F24" s="154">
        <f t="shared" si="5"/>
        <v>281.23459795021796</v>
      </c>
      <c r="G24" s="154">
        <f t="shared" si="5"/>
        <v>272.14879058989146</v>
      </c>
      <c r="H24" s="154">
        <f t="shared" si="5"/>
        <v>262.11214229084317</v>
      </c>
      <c r="I24" s="154">
        <f t="shared" si="5"/>
        <v>250.91830221151417</v>
      </c>
      <c r="J24" s="154">
        <f t="shared" ref="J24" si="6">J14-J21</f>
        <v>296.32939694273216</v>
      </c>
    </row>
    <row r="25" spans="2:10" ht="15" x14ac:dyDescent="0.25">
      <c r="B25" s="109" t="s">
        <v>102</v>
      </c>
      <c r="C25" s="155">
        <f>C23+C24</f>
        <v>163.93220585276339</v>
      </c>
      <c r="D25" s="155">
        <f t="shared" ref="D25:I25" si="7">D23+D24</f>
        <v>461.26121647982666</v>
      </c>
      <c r="E25" s="155">
        <f t="shared" si="7"/>
        <v>750.82642809902052</v>
      </c>
      <c r="F25" s="155">
        <f t="shared" si="7"/>
        <v>1032.0610260492385</v>
      </c>
      <c r="G25" s="155">
        <f t="shared" si="7"/>
        <v>1304.2098166391299</v>
      </c>
      <c r="H25" s="155">
        <f t="shared" si="7"/>
        <v>1566.3219589299731</v>
      </c>
      <c r="I25" s="155">
        <f t="shared" si="7"/>
        <v>1817.2402611414873</v>
      </c>
      <c r="J25" s="155">
        <f t="shared" ref="J25" si="8">J23+J24</f>
        <v>2113.5696580842196</v>
      </c>
    </row>
  </sheetData>
  <mergeCells count="1"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N144"/>
  <sheetViews>
    <sheetView topLeftCell="B119" zoomScale="90" zoomScaleNormal="90" workbookViewId="0">
      <selection activeCell="F134" sqref="F134:M144"/>
    </sheetView>
  </sheetViews>
  <sheetFormatPr defaultRowHeight="12" x14ac:dyDescent="0.15"/>
  <cols>
    <col min="1" max="1" width="9.140625" style="11"/>
    <col min="2" max="2" width="19" style="11" customWidth="1"/>
    <col min="3" max="3" width="19.28515625" style="169" customWidth="1"/>
    <col min="4" max="4" width="33.140625" style="11" bestFit="1" customWidth="1"/>
    <col min="5" max="13" width="16.28515625" style="11" bestFit="1" customWidth="1"/>
    <col min="14" max="14" width="15.28515625" style="11" bestFit="1" customWidth="1"/>
    <col min="15" max="16384" width="9.140625" style="11"/>
  </cols>
  <sheetData>
    <row r="2" spans="2:14" ht="12" customHeight="1" x14ac:dyDescent="0.15">
      <c r="B2" s="80" t="str">
        <f>Historicals!B2</f>
        <v>Al-Saqib Exports Private Limited</v>
      </c>
      <c r="C2" s="161"/>
      <c r="D2" s="72"/>
      <c r="E2" s="72"/>
      <c r="F2" s="72"/>
      <c r="G2" s="72"/>
      <c r="H2" s="72"/>
      <c r="I2" s="72"/>
      <c r="J2" s="72"/>
      <c r="K2" s="72"/>
      <c r="L2" s="72"/>
      <c r="M2" s="72"/>
    </row>
    <row r="4" spans="2:14" ht="15" x14ac:dyDescent="0.25">
      <c r="B4" s="23" t="s">
        <v>91</v>
      </c>
      <c r="C4" s="162"/>
      <c r="D4" s="23"/>
      <c r="E4" s="25">
        <v>366</v>
      </c>
      <c r="F4" s="23">
        <f t="shared" ref="F4:M4" si="0">F6-E6</f>
        <v>365</v>
      </c>
      <c r="G4" s="23">
        <f t="shared" si="0"/>
        <v>365</v>
      </c>
      <c r="H4" s="23">
        <f t="shared" si="0"/>
        <v>365</v>
      </c>
      <c r="I4" s="23">
        <f t="shared" si="0"/>
        <v>366</v>
      </c>
      <c r="J4" s="23">
        <f t="shared" si="0"/>
        <v>365</v>
      </c>
      <c r="K4" s="23">
        <f t="shared" si="0"/>
        <v>365</v>
      </c>
      <c r="L4" s="23">
        <f t="shared" si="0"/>
        <v>365</v>
      </c>
      <c r="M4" s="23">
        <f t="shared" si="0"/>
        <v>366</v>
      </c>
    </row>
    <row r="5" spans="2:14" ht="15" x14ac:dyDescent="0.25">
      <c r="B5" s="23" t="s">
        <v>90</v>
      </c>
      <c r="C5" s="162">
        <f>SUM(E4:S4)</f>
        <v>3288</v>
      </c>
      <c r="D5" s="23"/>
      <c r="E5" s="25"/>
      <c r="F5" s="23"/>
      <c r="G5" s="23"/>
      <c r="H5" s="23"/>
      <c r="I5" s="23"/>
      <c r="J5" s="23"/>
      <c r="K5" s="23"/>
      <c r="L5" s="23"/>
      <c r="M5" s="23"/>
    </row>
    <row r="6" spans="2:14" ht="15" x14ac:dyDescent="0.25">
      <c r="B6" s="45" t="s">
        <v>89</v>
      </c>
      <c r="C6" s="163" t="s">
        <v>88</v>
      </c>
      <c r="D6" s="23"/>
      <c r="E6" s="47">
        <v>45382</v>
      </c>
      <c r="F6" s="46">
        <f t="shared" ref="F6:M6" si="1">EDATE(E6,12)</f>
        <v>45747</v>
      </c>
      <c r="G6" s="46">
        <f t="shared" si="1"/>
        <v>46112</v>
      </c>
      <c r="H6" s="46">
        <f t="shared" si="1"/>
        <v>46477</v>
      </c>
      <c r="I6" s="46">
        <f t="shared" si="1"/>
        <v>46843</v>
      </c>
      <c r="J6" s="46">
        <f t="shared" si="1"/>
        <v>47208</v>
      </c>
      <c r="K6" s="46">
        <f t="shared" si="1"/>
        <v>47573</v>
      </c>
      <c r="L6" s="46">
        <f t="shared" si="1"/>
        <v>47938</v>
      </c>
      <c r="M6" s="46">
        <f t="shared" si="1"/>
        <v>48304</v>
      </c>
    </row>
    <row r="7" spans="2:14" ht="15" x14ac:dyDescent="0.25">
      <c r="B7" s="45" t="s">
        <v>87</v>
      </c>
      <c r="C7" s="164"/>
      <c r="D7" s="38" t="s">
        <v>86</v>
      </c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2:14" ht="15" x14ac:dyDescent="0.25">
      <c r="B8" s="23"/>
      <c r="C8" s="162"/>
      <c r="D8" s="23" t="s">
        <v>80</v>
      </c>
      <c r="E8" s="54">
        <v>45661137</v>
      </c>
      <c r="F8" s="55">
        <f t="shared" ref="F8:M8" si="2">E8+E9-E10</f>
        <v>45661137</v>
      </c>
      <c r="G8" s="55">
        <f t="shared" si="2"/>
        <v>45661137</v>
      </c>
      <c r="H8" s="55">
        <f t="shared" si="2"/>
        <v>45661137</v>
      </c>
      <c r="I8" s="55">
        <f t="shared" si="2"/>
        <v>45661137</v>
      </c>
      <c r="J8" s="55">
        <f t="shared" si="2"/>
        <v>45661137</v>
      </c>
      <c r="K8" s="55">
        <f t="shared" si="2"/>
        <v>45661137</v>
      </c>
      <c r="L8" s="55">
        <f t="shared" si="2"/>
        <v>45661137</v>
      </c>
      <c r="M8" s="55">
        <f t="shared" si="2"/>
        <v>45661137</v>
      </c>
      <c r="N8" s="23"/>
    </row>
    <row r="9" spans="2:14" ht="15" x14ac:dyDescent="0.25">
      <c r="B9" s="23"/>
      <c r="C9" s="162"/>
      <c r="D9" s="23" t="s">
        <v>79</v>
      </c>
      <c r="E9" s="56"/>
      <c r="F9" s="57"/>
      <c r="G9" s="57"/>
      <c r="H9" s="57"/>
      <c r="I9" s="57"/>
      <c r="J9" s="57"/>
      <c r="K9" s="57"/>
      <c r="L9" s="57"/>
      <c r="M9" s="57"/>
      <c r="N9" s="23"/>
    </row>
    <row r="10" spans="2:14" ht="15" x14ac:dyDescent="0.25">
      <c r="B10" s="23"/>
      <c r="C10" s="162"/>
      <c r="D10" s="23" t="s">
        <v>78</v>
      </c>
      <c r="E10" s="56"/>
      <c r="F10" s="57"/>
      <c r="G10" s="57"/>
      <c r="H10" s="57"/>
      <c r="I10" s="57"/>
      <c r="J10" s="57"/>
      <c r="K10" s="57"/>
      <c r="L10" s="57"/>
      <c r="M10" s="57"/>
      <c r="N10" s="23"/>
    </row>
    <row r="11" spans="2:14" ht="15" x14ac:dyDescent="0.25">
      <c r="B11" s="23"/>
      <c r="C11" s="162"/>
      <c r="D11" s="23" t="s">
        <v>24</v>
      </c>
      <c r="E11" s="56"/>
      <c r="F11" s="57"/>
      <c r="G11" s="57"/>
      <c r="H11" s="57"/>
      <c r="I11" s="57"/>
      <c r="J11" s="57"/>
      <c r="K11" s="57"/>
      <c r="L11" s="57"/>
      <c r="M11" s="57"/>
      <c r="N11" s="23"/>
    </row>
    <row r="12" spans="2:14" ht="15" x14ac:dyDescent="0.25">
      <c r="B12" s="23"/>
      <c r="C12" s="162"/>
      <c r="D12" s="23" t="s">
        <v>77</v>
      </c>
      <c r="E12" s="56"/>
      <c r="F12" s="57"/>
      <c r="G12" s="57"/>
      <c r="H12" s="57"/>
      <c r="I12" s="57"/>
      <c r="J12" s="57"/>
      <c r="K12" s="57"/>
      <c r="L12" s="57"/>
      <c r="M12" s="57"/>
      <c r="N12" s="23"/>
    </row>
    <row r="13" spans="2:14" ht="15" x14ac:dyDescent="0.25">
      <c r="B13" s="23"/>
      <c r="C13" s="162"/>
      <c r="D13" s="23" t="s">
        <v>76</v>
      </c>
      <c r="E13" s="58"/>
      <c r="F13" s="59"/>
      <c r="G13" s="59"/>
      <c r="H13" s="59"/>
      <c r="I13" s="59"/>
      <c r="J13" s="59"/>
      <c r="K13" s="57"/>
      <c r="L13" s="57"/>
      <c r="M13" s="57"/>
      <c r="N13" s="23"/>
    </row>
    <row r="14" spans="2:14" ht="15" x14ac:dyDescent="0.25">
      <c r="B14" s="23"/>
      <c r="C14" s="162"/>
      <c r="D14" s="23" t="s">
        <v>71</v>
      </c>
      <c r="E14" s="60">
        <f t="shared" ref="E14:L14" si="3">E8</f>
        <v>45661137</v>
      </c>
      <c r="F14" s="61">
        <f t="shared" si="3"/>
        <v>45661137</v>
      </c>
      <c r="G14" s="61">
        <f t="shared" si="3"/>
        <v>45661137</v>
      </c>
      <c r="H14" s="61">
        <f t="shared" si="3"/>
        <v>45661137</v>
      </c>
      <c r="I14" s="61">
        <f t="shared" si="3"/>
        <v>45661137</v>
      </c>
      <c r="J14" s="61">
        <f t="shared" si="3"/>
        <v>45661137</v>
      </c>
      <c r="K14" s="61">
        <f t="shared" si="3"/>
        <v>45661137</v>
      </c>
      <c r="L14" s="61">
        <f t="shared" si="3"/>
        <v>45661137</v>
      </c>
      <c r="M14" s="61">
        <f t="shared" ref="M14" si="4">M8</f>
        <v>45661137</v>
      </c>
      <c r="N14" s="23"/>
    </row>
    <row r="15" spans="2:14" ht="15" x14ac:dyDescent="0.25">
      <c r="B15" s="23"/>
      <c r="C15" s="162"/>
      <c r="D15" s="23"/>
      <c r="E15" s="40"/>
      <c r="F15" s="42"/>
      <c r="G15" s="42"/>
      <c r="H15" s="42"/>
      <c r="I15" s="42"/>
      <c r="J15" s="42"/>
      <c r="K15" s="23"/>
      <c r="L15" s="23"/>
      <c r="M15" s="23"/>
      <c r="N15" s="23"/>
    </row>
    <row r="16" spans="2:14" ht="15" x14ac:dyDescent="0.25">
      <c r="B16" s="23"/>
      <c r="C16" s="162"/>
      <c r="D16" s="38" t="s">
        <v>85</v>
      </c>
      <c r="E16" s="25"/>
      <c r="F16" s="23"/>
      <c r="G16" s="23"/>
      <c r="H16" s="23"/>
      <c r="I16" s="23"/>
      <c r="J16" s="23"/>
      <c r="K16" s="23"/>
      <c r="L16" s="23"/>
      <c r="M16" s="23"/>
      <c r="N16" s="23"/>
    </row>
    <row r="17" spans="2:14" ht="15" x14ac:dyDescent="0.25">
      <c r="B17" s="36"/>
      <c r="C17" s="162"/>
      <c r="D17" s="23" t="s">
        <v>80</v>
      </c>
      <c r="E17" s="54">
        <v>48435597.240000002</v>
      </c>
      <c r="F17" s="55">
        <f t="shared" ref="F17:M17" si="5">SUM(E17,E18,E19)</f>
        <v>48435597.240000002</v>
      </c>
      <c r="G17" s="55">
        <f t="shared" si="5"/>
        <v>48435597.240000002</v>
      </c>
      <c r="H17" s="55">
        <f t="shared" si="5"/>
        <v>48435597.240000002</v>
      </c>
      <c r="I17" s="55">
        <f t="shared" si="5"/>
        <v>48435597.240000002</v>
      </c>
      <c r="J17" s="55">
        <f t="shared" si="5"/>
        <v>48435597.240000002</v>
      </c>
      <c r="K17" s="55">
        <f t="shared" si="5"/>
        <v>48435597.240000002</v>
      </c>
      <c r="L17" s="55">
        <f t="shared" si="5"/>
        <v>48435597.240000002</v>
      </c>
      <c r="M17" s="55">
        <f t="shared" si="5"/>
        <v>48435597.240000002</v>
      </c>
      <c r="N17" s="23"/>
    </row>
    <row r="18" spans="2:14" ht="15" x14ac:dyDescent="0.25">
      <c r="B18" s="36"/>
      <c r="C18" s="200">
        <v>0.1</v>
      </c>
      <c r="D18" s="23" t="s">
        <v>79</v>
      </c>
      <c r="E18" s="56"/>
      <c r="F18" s="57"/>
      <c r="G18" s="57"/>
      <c r="H18" s="57"/>
      <c r="I18" s="57"/>
      <c r="J18" s="57"/>
      <c r="K18" s="57"/>
      <c r="L18" s="57"/>
      <c r="M18" s="57"/>
      <c r="N18" s="23"/>
    </row>
    <row r="19" spans="2:14" ht="15" x14ac:dyDescent="0.25">
      <c r="B19" s="23"/>
      <c r="C19" s="165"/>
      <c r="D19" s="23" t="s">
        <v>78</v>
      </c>
      <c r="E19" s="56"/>
      <c r="F19" s="57"/>
      <c r="G19" s="57"/>
      <c r="H19" s="57"/>
      <c r="I19" s="57"/>
      <c r="J19" s="57"/>
      <c r="K19" s="57"/>
      <c r="L19" s="57"/>
      <c r="M19" s="57"/>
      <c r="N19" s="23"/>
    </row>
    <row r="20" spans="2:14" ht="15" x14ac:dyDescent="0.25">
      <c r="B20" s="23"/>
      <c r="C20" s="162"/>
      <c r="D20" s="23" t="s">
        <v>24</v>
      </c>
      <c r="E20" s="56">
        <v>1691885.16</v>
      </c>
      <c r="F20" s="57">
        <f t="shared" ref="F20:M20" si="6">E23*$C$18</f>
        <v>1522696.6400000004</v>
      </c>
      <c r="G20" s="57">
        <f t="shared" si="6"/>
        <v>1370426.9760000007</v>
      </c>
      <c r="H20" s="57">
        <f t="shared" si="6"/>
        <v>1233384.2784000002</v>
      </c>
      <c r="I20" s="57">
        <f t="shared" si="6"/>
        <v>1110045.8505599999</v>
      </c>
      <c r="J20" s="57">
        <f t="shared" si="6"/>
        <v>999041.26550399966</v>
      </c>
      <c r="K20" s="57">
        <f t="shared" si="6"/>
        <v>899137.13895359938</v>
      </c>
      <c r="L20" s="57">
        <f t="shared" si="6"/>
        <v>809223.42505823972</v>
      </c>
      <c r="M20" s="57">
        <f t="shared" si="6"/>
        <v>728301.0825524159</v>
      </c>
      <c r="N20" s="23"/>
    </row>
    <row r="21" spans="2:14" ht="15" x14ac:dyDescent="0.25">
      <c r="B21" s="23"/>
      <c r="C21" s="162"/>
      <c r="D21" s="23" t="s">
        <v>77</v>
      </c>
      <c r="E21" s="56"/>
      <c r="F21" s="57"/>
      <c r="G21" s="57"/>
      <c r="H21" s="57"/>
      <c r="I21" s="57"/>
      <c r="J21" s="57"/>
      <c r="K21" s="57"/>
      <c r="L21" s="57"/>
      <c r="M21" s="57"/>
      <c r="N21" s="23"/>
    </row>
    <row r="22" spans="2:14" ht="15" x14ac:dyDescent="0.25">
      <c r="B22" s="23"/>
      <c r="C22" s="162"/>
      <c r="D22" s="23" t="s">
        <v>76</v>
      </c>
      <c r="E22" s="58">
        <v>33208630.84</v>
      </c>
      <c r="F22" s="59">
        <f t="shared" ref="F22:M22" si="7">F20+E22+F21-F19</f>
        <v>34731327.479999997</v>
      </c>
      <c r="G22" s="59">
        <f t="shared" si="7"/>
        <v>36101754.456</v>
      </c>
      <c r="H22" s="59">
        <f t="shared" si="7"/>
        <v>37335138.734400004</v>
      </c>
      <c r="I22" s="59">
        <f t="shared" si="7"/>
        <v>38445184.584960006</v>
      </c>
      <c r="J22" s="59">
        <f t="shared" si="7"/>
        <v>39444225.850464009</v>
      </c>
      <c r="K22" s="59">
        <f t="shared" si="7"/>
        <v>40343362.989417605</v>
      </c>
      <c r="L22" s="59">
        <f t="shared" si="7"/>
        <v>41152586.414475843</v>
      </c>
      <c r="M22" s="59">
        <f t="shared" si="7"/>
        <v>41880887.497028261</v>
      </c>
      <c r="N22" s="23"/>
    </row>
    <row r="23" spans="2:14" ht="15" x14ac:dyDescent="0.25">
      <c r="B23" s="23"/>
      <c r="C23" s="162"/>
      <c r="D23" s="23" t="s">
        <v>71</v>
      </c>
      <c r="E23" s="60">
        <f t="shared" ref="E23:L23" si="8">E17+E18-E22-E19</f>
        <v>15226966.400000002</v>
      </c>
      <c r="F23" s="61">
        <f t="shared" si="8"/>
        <v>13704269.760000005</v>
      </c>
      <c r="G23" s="61">
        <f t="shared" si="8"/>
        <v>12333842.784000002</v>
      </c>
      <c r="H23" s="61">
        <f t="shared" si="8"/>
        <v>11100458.505599998</v>
      </c>
      <c r="I23" s="61">
        <f t="shared" si="8"/>
        <v>9990412.6550399959</v>
      </c>
      <c r="J23" s="61">
        <f t="shared" si="8"/>
        <v>8991371.3895359933</v>
      </c>
      <c r="K23" s="61">
        <f t="shared" si="8"/>
        <v>8092234.250582397</v>
      </c>
      <c r="L23" s="61">
        <f t="shared" si="8"/>
        <v>7283010.8255241588</v>
      </c>
      <c r="M23" s="61">
        <f t="shared" ref="M23" si="9">M17+M18-M22-M19</f>
        <v>6554709.7429717407</v>
      </c>
      <c r="N23" s="23"/>
    </row>
    <row r="24" spans="2:14" ht="15" x14ac:dyDescent="0.25">
      <c r="B24" s="23"/>
      <c r="C24" s="162"/>
      <c r="D24" s="38" t="s">
        <v>84</v>
      </c>
      <c r="E24" s="56"/>
      <c r="F24" s="57"/>
      <c r="G24" s="57"/>
      <c r="H24" s="57"/>
      <c r="I24" s="57"/>
      <c r="J24" s="57"/>
      <c r="K24" s="57"/>
      <c r="L24" s="57"/>
      <c r="M24" s="57"/>
      <c r="N24" s="23"/>
    </row>
    <row r="25" spans="2:14" ht="15" x14ac:dyDescent="0.25">
      <c r="B25" s="36"/>
      <c r="C25" s="162"/>
      <c r="D25" s="23" t="s">
        <v>80</v>
      </c>
      <c r="E25" s="54">
        <f>109213298.37</f>
        <v>109213298.37</v>
      </c>
      <c r="F25" s="55">
        <f t="shared" ref="F25:M25" si="10">E25+E26-E27</f>
        <v>109213298.37</v>
      </c>
      <c r="G25" s="55">
        <f t="shared" si="10"/>
        <v>109213298.37</v>
      </c>
      <c r="H25" s="55">
        <f t="shared" si="10"/>
        <v>109213298.37</v>
      </c>
      <c r="I25" s="55">
        <f t="shared" si="10"/>
        <v>109213298.37</v>
      </c>
      <c r="J25" s="55">
        <f t="shared" si="10"/>
        <v>109213298.37</v>
      </c>
      <c r="K25" s="55">
        <f t="shared" si="10"/>
        <v>109213298.37</v>
      </c>
      <c r="L25" s="55">
        <f t="shared" si="10"/>
        <v>109213298.37</v>
      </c>
      <c r="M25" s="55">
        <f t="shared" si="10"/>
        <v>109213298.37</v>
      </c>
      <c r="N25" s="23"/>
    </row>
    <row r="26" spans="2:14" ht="15" x14ac:dyDescent="0.25">
      <c r="B26" s="23"/>
      <c r="C26" s="166">
        <v>0.15</v>
      </c>
      <c r="D26" s="23" t="s">
        <v>79</v>
      </c>
      <c r="E26" s="56"/>
      <c r="F26" s="57"/>
      <c r="G26" s="57"/>
      <c r="H26" s="57"/>
      <c r="I26" s="57"/>
      <c r="J26" s="57"/>
      <c r="K26" s="57"/>
      <c r="L26" s="57"/>
      <c r="M26" s="57"/>
      <c r="N26" s="23"/>
    </row>
    <row r="27" spans="2:14" ht="15" x14ac:dyDescent="0.25">
      <c r="B27" s="36"/>
      <c r="C27" s="165"/>
      <c r="D27" s="23" t="s">
        <v>78</v>
      </c>
      <c r="E27" s="56"/>
      <c r="F27" s="57"/>
      <c r="G27" s="57"/>
      <c r="H27" s="57"/>
      <c r="I27" s="57"/>
      <c r="J27" s="57"/>
      <c r="K27" s="57"/>
      <c r="L27" s="57"/>
      <c r="M27" s="57"/>
      <c r="N27" s="23"/>
    </row>
    <row r="28" spans="2:14" ht="15" x14ac:dyDescent="0.25">
      <c r="B28" s="23"/>
      <c r="C28" s="162"/>
      <c r="D28" s="23" t="s">
        <v>24</v>
      </c>
      <c r="E28" s="56">
        <f>3876698.52</f>
        <v>3876698.52</v>
      </c>
      <c r="F28" s="57">
        <f t="shared" ref="F28:M28" si="11">E31*$C$26</f>
        <v>3295193.7390000005</v>
      </c>
      <c r="G28" s="57">
        <f t="shared" si="11"/>
        <v>2800914.6781499996</v>
      </c>
      <c r="H28" s="57">
        <f t="shared" si="11"/>
        <v>2380777.4764274997</v>
      </c>
      <c r="I28" s="57">
        <f t="shared" si="11"/>
        <v>2023660.8549633755</v>
      </c>
      <c r="J28" s="57">
        <f t="shared" si="11"/>
        <v>1720111.7267188691</v>
      </c>
      <c r="K28" s="57">
        <f t="shared" si="11"/>
        <v>1462094.9677110382</v>
      </c>
      <c r="L28" s="57">
        <f t="shared" si="11"/>
        <v>1242780.7225543833</v>
      </c>
      <c r="M28" s="57">
        <f t="shared" si="11"/>
        <v>1056363.6141712256</v>
      </c>
      <c r="N28" s="23"/>
    </row>
    <row r="29" spans="2:14" ht="15" x14ac:dyDescent="0.25">
      <c r="B29" s="23"/>
      <c r="C29" s="162"/>
      <c r="D29" s="23" t="s">
        <v>77</v>
      </c>
      <c r="E29" s="56"/>
      <c r="F29" s="57"/>
      <c r="G29" s="57"/>
      <c r="H29" s="57"/>
      <c r="I29" s="57"/>
      <c r="J29" s="57"/>
      <c r="K29" s="57"/>
      <c r="L29" s="57"/>
      <c r="M29" s="57"/>
      <c r="N29" s="23"/>
    </row>
    <row r="30" spans="2:14" ht="15" x14ac:dyDescent="0.25">
      <c r="B30" s="23"/>
      <c r="C30" s="162"/>
      <c r="D30" s="23" t="s">
        <v>76</v>
      </c>
      <c r="E30" s="58">
        <f>87245340.11</f>
        <v>87245340.109999999</v>
      </c>
      <c r="F30" s="59">
        <f t="shared" ref="F30:M30" si="12">F28+E30+F29-F27</f>
        <v>90540533.849000007</v>
      </c>
      <c r="G30" s="59">
        <f t="shared" si="12"/>
        <v>93341448.527150005</v>
      </c>
      <c r="H30" s="59">
        <f t="shared" si="12"/>
        <v>95722226.003577501</v>
      </c>
      <c r="I30" s="59">
        <f t="shared" si="12"/>
        <v>97745886.858540878</v>
      </c>
      <c r="J30" s="59">
        <f t="shared" si="12"/>
        <v>99465998.58525975</v>
      </c>
      <c r="K30" s="59">
        <f t="shared" si="12"/>
        <v>100928093.55297078</v>
      </c>
      <c r="L30" s="59">
        <f t="shared" si="12"/>
        <v>102170874.27552517</v>
      </c>
      <c r="M30" s="59">
        <f t="shared" si="12"/>
        <v>103227237.88969639</v>
      </c>
      <c r="N30" s="23"/>
    </row>
    <row r="31" spans="2:14" ht="15" x14ac:dyDescent="0.25">
      <c r="B31" s="23"/>
      <c r="C31" s="162"/>
      <c r="D31" s="23" t="s">
        <v>71</v>
      </c>
      <c r="E31" s="60">
        <f t="shared" ref="E31:J31" si="13">E25+E26-E30-E27</f>
        <v>21967958.260000005</v>
      </c>
      <c r="F31" s="61">
        <f t="shared" si="13"/>
        <v>18672764.520999998</v>
      </c>
      <c r="G31" s="61">
        <f t="shared" si="13"/>
        <v>15871849.84285</v>
      </c>
      <c r="H31" s="61">
        <f t="shared" si="13"/>
        <v>13491072.366422504</v>
      </c>
      <c r="I31" s="61">
        <f t="shared" si="13"/>
        <v>11467411.511459127</v>
      </c>
      <c r="J31" s="61">
        <f t="shared" si="13"/>
        <v>9747299.7847402543</v>
      </c>
      <c r="K31" s="61">
        <f>K25+J26-K30-K27</f>
        <v>8285204.8170292228</v>
      </c>
      <c r="L31" s="61">
        <f>L25+L26-L30-L27</f>
        <v>7042424.0944748372</v>
      </c>
      <c r="M31" s="61">
        <f>M25+M26-M30-M27</f>
        <v>5986060.4803036153</v>
      </c>
      <c r="N31" s="23"/>
    </row>
    <row r="32" spans="2:14" ht="15" x14ac:dyDescent="0.25">
      <c r="B32" s="23"/>
      <c r="C32" s="162"/>
      <c r="D32" s="23"/>
      <c r="E32" s="41">
        <f t="shared" ref="E32:L32" si="14">IF(E30=0,(E29-E27)/E25,E31/E25)</f>
        <v>0.20114728323262895</v>
      </c>
      <c r="F32" s="44">
        <f t="shared" si="14"/>
        <v>0.17097519074773454</v>
      </c>
      <c r="G32" s="44">
        <f t="shared" si="14"/>
        <v>0.14532891213557439</v>
      </c>
      <c r="H32" s="44">
        <f t="shared" si="14"/>
        <v>0.12352957531523827</v>
      </c>
      <c r="I32" s="44">
        <f t="shared" si="14"/>
        <v>0.10500013901795251</v>
      </c>
      <c r="J32" s="44">
        <f t="shared" si="14"/>
        <v>8.9250118165259601E-2</v>
      </c>
      <c r="K32" s="44">
        <f t="shared" si="14"/>
        <v>7.5862600440470718E-2</v>
      </c>
      <c r="L32" s="44">
        <f t="shared" si="14"/>
        <v>6.4483210374400093E-2</v>
      </c>
      <c r="M32" s="44">
        <f t="shared" ref="M32" si="15">IF(M30=0,(M29-M27)/M25,M31/M25)</f>
        <v>5.4810728818240111E-2</v>
      </c>
      <c r="N32" s="23"/>
    </row>
    <row r="33" spans="2:14" ht="15" x14ac:dyDescent="0.25">
      <c r="B33" s="23"/>
      <c r="C33" s="162"/>
      <c r="D33" s="23"/>
      <c r="E33" s="43"/>
      <c r="F33" s="27"/>
      <c r="G33" s="27"/>
      <c r="H33" s="27"/>
      <c r="I33" s="27"/>
      <c r="J33" s="27"/>
      <c r="K33" s="23"/>
      <c r="L33" s="23"/>
      <c r="M33" s="23"/>
      <c r="N33" s="23"/>
    </row>
    <row r="34" spans="2:14" ht="15" x14ac:dyDescent="0.25">
      <c r="B34" s="23"/>
      <c r="C34" s="162"/>
      <c r="D34" s="38" t="s">
        <v>83</v>
      </c>
      <c r="E34" s="25"/>
      <c r="F34" s="23"/>
      <c r="G34" s="23"/>
      <c r="H34" s="23"/>
      <c r="I34" s="23"/>
      <c r="J34" s="23"/>
      <c r="K34" s="23"/>
      <c r="L34" s="23"/>
      <c r="M34" s="23"/>
      <c r="N34" s="23"/>
    </row>
    <row r="35" spans="2:14" ht="15" x14ac:dyDescent="0.25">
      <c r="B35" s="36"/>
      <c r="C35" s="162"/>
      <c r="D35" s="23" t="s">
        <v>80</v>
      </c>
      <c r="E35" s="54">
        <f>19262285.51</f>
        <v>19262285.510000002</v>
      </c>
      <c r="F35" s="55">
        <f t="shared" ref="F35:M35" si="16">E35+E36-E37</f>
        <v>19262285.510000002</v>
      </c>
      <c r="G35" s="55">
        <f t="shared" si="16"/>
        <v>19262285.510000002</v>
      </c>
      <c r="H35" s="55">
        <f t="shared" si="16"/>
        <v>19262285.510000002</v>
      </c>
      <c r="I35" s="55">
        <f t="shared" si="16"/>
        <v>19262285.510000002</v>
      </c>
      <c r="J35" s="55">
        <f t="shared" si="16"/>
        <v>19262285.510000002</v>
      </c>
      <c r="K35" s="55">
        <f t="shared" si="16"/>
        <v>19262285.510000002</v>
      </c>
      <c r="L35" s="55">
        <f t="shared" si="16"/>
        <v>19262285.510000002</v>
      </c>
      <c r="M35" s="55">
        <f t="shared" si="16"/>
        <v>19262285.510000002</v>
      </c>
      <c r="N35" s="23"/>
    </row>
    <row r="36" spans="2:14" ht="15" x14ac:dyDescent="0.25">
      <c r="B36" s="23"/>
      <c r="C36" s="200">
        <v>0.1</v>
      </c>
      <c r="D36" s="23" t="s">
        <v>79</v>
      </c>
      <c r="E36" s="34"/>
      <c r="F36" s="33"/>
      <c r="G36" s="32"/>
      <c r="H36" s="32"/>
      <c r="I36" s="32"/>
      <c r="J36" s="33"/>
      <c r="K36" s="33"/>
      <c r="L36" s="32"/>
      <c r="M36" s="32"/>
      <c r="N36" s="23"/>
    </row>
    <row r="37" spans="2:14" ht="15" x14ac:dyDescent="0.25">
      <c r="B37" s="36"/>
      <c r="C37" s="167"/>
      <c r="D37" s="23" t="s">
        <v>78</v>
      </c>
      <c r="E37" s="34"/>
      <c r="F37" s="32"/>
      <c r="G37" s="32"/>
      <c r="H37" s="32"/>
      <c r="I37" s="32"/>
      <c r="J37" s="32"/>
      <c r="K37" s="32"/>
      <c r="L37" s="32"/>
      <c r="M37" s="32"/>
      <c r="N37" s="23"/>
    </row>
    <row r="38" spans="2:14" ht="15" x14ac:dyDescent="0.25">
      <c r="B38" s="35"/>
      <c r="C38" s="162"/>
      <c r="D38" s="23" t="s">
        <v>24</v>
      </c>
      <c r="E38" s="34">
        <f>723132.41</f>
        <v>723132.41</v>
      </c>
      <c r="F38" s="33">
        <f t="shared" ref="F38:M38" si="17">E41*$C$36</f>
        <v>650819.17100000009</v>
      </c>
      <c r="G38" s="33">
        <f t="shared" si="17"/>
        <v>585737.25390000013</v>
      </c>
      <c r="H38" s="33">
        <f t="shared" si="17"/>
        <v>527163.52850999997</v>
      </c>
      <c r="I38" s="33">
        <f t="shared" si="17"/>
        <v>474447.17565899994</v>
      </c>
      <c r="J38" s="33">
        <f t="shared" si="17"/>
        <v>427002.45809310005</v>
      </c>
      <c r="K38" s="33">
        <f t="shared" si="17"/>
        <v>384302.21228379011</v>
      </c>
      <c r="L38" s="33">
        <f t="shared" si="17"/>
        <v>345871.99105541111</v>
      </c>
      <c r="M38" s="33">
        <f t="shared" si="17"/>
        <v>311284.79194987006</v>
      </c>
      <c r="N38" s="23"/>
    </row>
    <row r="39" spans="2:14" ht="15" x14ac:dyDescent="0.25">
      <c r="B39" s="23"/>
      <c r="C39" s="162"/>
      <c r="D39" s="23" t="s">
        <v>77</v>
      </c>
      <c r="E39" s="34"/>
      <c r="F39" s="32"/>
      <c r="G39" s="32"/>
      <c r="H39" s="32"/>
      <c r="I39" s="32"/>
      <c r="J39" s="32"/>
      <c r="K39" s="32"/>
      <c r="L39" s="32"/>
      <c r="M39" s="32"/>
      <c r="N39" s="23"/>
    </row>
    <row r="40" spans="2:14" ht="15" x14ac:dyDescent="0.25">
      <c r="B40" s="23"/>
      <c r="C40" s="162"/>
      <c r="D40" s="23" t="s">
        <v>76</v>
      </c>
      <c r="E40" s="34">
        <f>12754093.8</f>
        <v>12754093.800000001</v>
      </c>
      <c r="F40" s="57">
        <f t="shared" ref="F40:M40" si="18">E40+F38+F39-F37</f>
        <v>13404912.971000001</v>
      </c>
      <c r="G40" s="57">
        <f t="shared" si="18"/>
        <v>13990650.224900002</v>
      </c>
      <c r="H40" s="57">
        <f t="shared" si="18"/>
        <v>14517813.753410002</v>
      </c>
      <c r="I40" s="57">
        <f t="shared" si="18"/>
        <v>14992260.929069001</v>
      </c>
      <c r="J40" s="57">
        <f t="shared" si="18"/>
        <v>15419263.387162101</v>
      </c>
      <c r="K40" s="57">
        <f t="shared" si="18"/>
        <v>15803565.599445891</v>
      </c>
      <c r="L40" s="57">
        <f t="shared" si="18"/>
        <v>16149437.590501301</v>
      </c>
      <c r="M40" s="57">
        <f t="shared" si="18"/>
        <v>16460722.382451171</v>
      </c>
      <c r="N40" s="23"/>
    </row>
    <row r="41" spans="2:14" ht="15" x14ac:dyDescent="0.25">
      <c r="B41" s="23"/>
      <c r="C41" s="165"/>
      <c r="D41" s="23" t="s">
        <v>71</v>
      </c>
      <c r="E41" s="31">
        <f t="shared" ref="E41:L41" si="19">E35+E36-E40-E37</f>
        <v>6508191.7100000009</v>
      </c>
      <c r="F41" s="61">
        <f t="shared" si="19"/>
        <v>5857372.5390000008</v>
      </c>
      <c r="G41" s="61">
        <f t="shared" si="19"/>
        <v>5271635.2851</v>
      </c>
      <c r="H41" s="61">
        <f t="shared" si="19"/>
        <v>4744471.7565899994</v>
      </c>
      <c r="I41" s="61">
        <f t="shared" si="19"/>
        <v>4270024.5809310004</v>
      </c>
      <c r="J41" s="61">
        <f t="shared" si="19"/>
        <v>3843022.1228379011</v>
      </c>
      <c r="K41" s="61">
        <f t="shared" si="19"/>
        <v>3458719.910554111</v>
      </c>
      <c r="L41" s="61">
        <f t="shared" si="19"/>
        <v>3112847.9194987006</v>
      </c>
      <c r="M41" s="61">
        <f t="shared" ref="M41" si="20">M35+M36-M40-M37</f>
        <v>2801563.1275488306</v>
      </c>
      <c r="N41" s="23"/>
    </row>
    <row r="42" spans="2:14" ht="15" x14ac:dyDescent="0.25">
      <c r="B42" s="23"/>
      <c r="C42" s="162"/>
      <c r="D42" s="23"/>
      <c r="E42" s="41">
        <f t="shared" ref="E42:L42" si="21">IF(E40=0,(E39-E37)/E35,E41/E35)</f>
        <v>0.33787224816189532</v>
      </c>
      <c r="F42" s="41">
        <f t="shared" si="21"/>
        <v>0.30408502334570581</v>
      </c>
      <c r="G42" s="41">
        <f t="shared" si="21"/>
        <v>0.27367652101113515</v>
      </c>
      <c r="H42" s="41">
        <f t="shared" si="21"/>
        <v>0.24630886891002163</v>
      </c>
      <c r="I42" s="41">
        <f t="shared" si="21"/>
        <v>0.2216779820190195</v>
      </c>
      <c r="J42" s="41">
        <f t="shared" si="21"/>
        <v>0.1995101838171176</v>
      </c>
      <c r="K42" s="41">
        <f t="shared" si="21"/>
        <v>0.17955916543540584</v>
      </c>
      <c r="L42" s="41">
        <f t="shared" si="21"/>
        <v>0.16160324889186528</v>
      </c>
      <c r="M42" s="41">
        <f t="shared" ref="M42" si="22">IF(M40=0,(M39-M37)/M35,M41/M35)</f>
        <v>0.14544292400267878</v>
      </c>
      <c r="N42" s="23"/>
    </row>
    <row r="43" spans="2:14" ht="15" x14ac:dyDescent="0.25">
      <c r="B43" s="23"/>
      <c r="C43" s="162"/>
      <c r="D43" s="23"/>
      <c r="E43" s="40"/>
      <c r="F43" s="42"/>
      <c r="G43" s="42"/>
      <c r="H43" s="42"/>
      <c r="I43" s="42"/>
      <c r="J43" s="42"/>
      <c r="K43" s="23"/>
      <c r="L43" s="23"/>
      <c r="M43" s="23"/>
      <c r="N43" s="23"/>
    </row>
    <row r="44" spans="2:14" ht="15" x14ac:dyDescent="0.25">
      <c r="B44" s="23"/>
      <c r="C44" s="162"/>
      <c r="D44" s="38" t="s">
        <v>82</v>
      </c>
      <c r="E44" s="25"/>
      <c r="F44" s="23"/>
      <c r="G44" s="23"/>
      <c r="H44" s="23"/>
      <c r="I44" s="23"/>
      <c r="J44" s="23"/>
      <c r="K44" s="23"/>
      <c r="L44" s="23"/>
      <c r="M44" s="23"/>
      <c r="N44" s="23"/>
    </row>
    <row r="45" spans="2:14" ht="15" x14ac:dyDescent="0.25">
      <c r="B45" s="36"/>
      <c r="C45" s="162"/>
      <c r="D45" s="23" t="s">
        <v>80</v>
      </c>
      <c r="E45" s="37">
        <f>4153541.4</f>
        <v>4153541.4</v>
      </c>
      <c r="F45" s="55">
        <f t="shared" ref="F45:M45" si="23">E45+E46-E47</f>
        <v>4153541.4</v>
      </c>
      <c r="G45" s="55">
        <f t="shared" si="23"/>
        <v>4153541.4</v>
      </c>
      <c r="H45" s="55">
        <f t="shared" si="23"/>
        <v>4153541.4</v>
      </c>
      <c r="I45" s="55">
        <f t="shared" si="23"/>
        <v>4153541.4</v>
      </c>
      <c r="J45" s="55">
        <f t="shared" si="23"/>
        <v>4153541.4</v>
      </c>
      <c r="K45" s="55">
        <f t="shared" si="23"/>
        <v>4153541.4</v>
      </c>
      <c r="L45" s="55">
        <f t="shared" si="23"/>
        <v>4153541.4</v>
      </c>
      <c r="M45" s="55">
        <f t="shared" si="23"/>
        <v>4153541.4</v>
      </c>
      <c r="N45" s="23"/>
    </row>
    <row r="46" spans="2:14" ht="15" x14ac:dyDescent="0.25">
      <c r="B46" s="23"/>
      <c r="C46" s="166">
        <v>0.15</v>
      </c>
      <c r="D46" s="23" t="s">
        <v>79</v>
      </c>
      <c r="E46" s="34"/>
      <c r="F46" s="33"/>
      <c r="G46" s="32"/>
      <c r="H46" s="32"/>
      <c r="I46" s="33"/>
      <c r="J46" s="32"/>
      <c r="K46" s="33"/>
      <c r="L46" s="33"/>
      <c r="M46" s="33"/>
      <c r="N46" s="23"/>
    </row>
    <row r="47" spans="2:14" ht="15" x14ac:dyDescent="0.25">
      <c r="B47" s="36"/>
      <c r="C47" s="167"/>
      <c r="D47" s="23" t="s">
        <v>78</v>
      </c>
      <c r="E47" s="34"/>
      <c r="F47" s="32"/>
      <c r="G47" s="32"/>
      <c r="H47" s="32"/>
      <c r="I47" s="32"/>
      <c r="J47" s="32"/>
      <c r="K47" s="32"/>
      <c r="L47" s="32"/>
      <c r="M47" s="32"/>
      <c r="N47" s="23"/>
    </row>
    <row r="48" spans="2:14" ht="15" x14ac:dyDescent="0.25">
      <c r="B48" s="35"/>
      <c r="C48" s="162"/>
      <c r="D48" s="23" t="s">
        <v>24</v>
      </c>
      <c r="E48" s="34">
        <f>200262.65</f>
        <v>200262.65</v>
      </c>
      <c r="F48" s="33">
        <f t="shared" ref="F48:M48" si="24">E51*$C$46</f>
        <v>170223.24600000001</v>
      </c>
      <c r="G48" s="33">
        <f t="shared" si="24"/>
        <v>144689.75910000005</v>
      </c>
      <c r="H48" s="33">
        <f t="shared" si="24"/>
        <v>122986.29523500006</v>
      </c>
      <c r="I48" s="33">
        <f t="shared" si="24"/>
        <v>104538.35094975005</v>
      </c>
      <c r="J48" s="33">
        <f t="shared" si="24"/>
        <v>88857.598307287568</v>
      </c>
      <c r="K48" s="33">
        <f t="shared" si="24"/>
        <v>75528.958561194406</v>
      </c>
      <c r="L48" s="33">
        <f t="shared" si="24"/>
        <v>64199.614777015217</v>
      </c>
      <c r="M48" s="33">
        <f t="shared" si="24"/>
        <v>54569.672560462961</v>
      </c>
      <c r="N48" s="23"/>
    </row>
    <row r="49" spans="2:14" ht="15" x14ac:dyDescent="0.25">
      <c r="B49" s="23"/>
      <c r="C49" s="162"/>
      <c r="D49" s="23" t="s">
        <v>77</v>
      </c>
      <c r="E49" s="34"/>
      <c r="F49" s="32"/>
      <c r="G49" s="32"/>
      <c r="H49" s="32"/>
      <c r="I49" s="32"/>
      <c r="J49" s="32"/>
      <c r="K49" s="32"/>
      <c r="L49" s="32"/>
      <c r="M49" s="32"/>
      <c r="N49" s="23"/>
    </row>
    <row r="50" spans="2:14" ht="15" x14ac:dyDescent="0.25">
      <c r="B50" s="23"/>
      <c r="C50" s="162"/>
      <c r="D50" s="23" t="s">
        <v>76</v>
      </c>
      <c r="E50" s="34">
        <f>3018719.76</f>
        <v>3018719.76</v>
      </c>
      <c r="F50" s="57">
        <f t="shared" ref="F50:M50" si="25">E50+F48+F49-F47</f>
        <v>3188943.0059999996</v>
      </c>
      <c r="G50" s="57">
        <f t="shared" si="25"/>
        <v>3333632.7650999995</v>
      </c>
      <c r="H50" s="57">
        <f t="shared" si="25"/>
        <v>3456619.0603349996</v>
      </c>
      <c r="I50" s="57">
        <f t="shared" si="25"/>
        <v>3561157.4112847494</v>
      </c>
      <c r="J50" s="57">
        <f t="shared" si="25"/>
        <v>3650015.0095920372</v>
      </c>
      <c r="K50" s="57">
        <f t="shared" si="25"/>
        <v>3725543.9681532318</v>
      </c>
      <c r="L50" s="57">
        <f t="shared" si="25"/>
        <v>3789743.5829302468</v>
      </c>
      <c r="M50" s="57">
        <f t="shared" si="25"/>
        <v>3844313.25549071</v>
      </c>
      <c r="N50" s="23"/>
    </row>
    <row r="51" spans="2:14" ht="15" x14ac:dyDescent="0.25">
      <c r="B51" s="23"/>
      <c r="C51" s="165"/>
      <c r="D51" s="23" t="s">
        <v>71</v>
      </c>
      <c r="E51" s="31">
        <f t="shared" ref="E51:L51" si="26">E45+E46-E50-E47</f>
        <v>1134821.6400000001</v>
      </c>
      <c r="F51" s="61">
        <f t="shared" si="26"/>
        <v>964598.39400000032</v>
      </c>
      <c r="G51" s="61">
        <f t="shared" si="26"/>
        <v>819908.63490000041</v>
      </c>
      <c r="H51" s="61">
        <f t="shared" si="26"/>
        <v>696922.33966500033</v>
      </c>
      <c r="I51" s="61">
        <f t="shared" si="26"/>
        <v>592383.98871525051</v>
      </c>
      <c r="J51" s="61">
        <f t="shared" si="26"/>
        <v>503526.39040796272</v>
      </c>
      <c r="K51" s="61">
        <f t="shared" si="26"/>
        <v>427997.43184676813</v>
      </c>
      <c r="L51" s="61">
        <f t="shared" si="26"/>
        <v>363797.81706975307</v>
      </c>
      <c r="M51" s="61">
        <f t="shared" ref="M51" si="27">M45+M46-M50-M47</f>
        <v>309228.14450928988</v>
      </c>
      <c r="N51" s="23"/>
    </row>
    <row r="52" spans="2:14" ht="15" x14ac:dyDescent="0.25">
      <c r="B52" s="23"/>
      <c r="C52" s="165"/>
      <c r="D52" s="23"/>
      <c r="E52" s="41">
        <f t="shared" ref="E52:L52" si="28">IF(E50=0,(E49-E47)/E45,E51/E45)</f>
        <v>0.27321784730495285</v>
      </c>
      <c r="F52" s="41">
        <f t="shared" si="28"/>
        <v>0.23223517020920997</v>
      </c>
      <c r="G52" s="41">
        <f t="shared" si="28"/>
        <v>0.19739989467782854</v>
      </c>
      <c r="H52" s="41">
        <f t="shared" si="28"/>
        <v>0.16778991047615424</v>
      </c>
      <c r="I52" s="41">
        <f t="shared" si="28"/>
        <v>0.14262142390473115</v>
      </c>
      <c r="J52" s="41">
        <f t="shared" si="28"/>
        <v>0.12122821031902144</v>
      </c>
      <c r="K52" s="41">
        <f t="shared" si="28"/>
        <v>0.10304397877116818</v>
      </c>
      <c r="L52" s="41">
        <f t="shared" si="28"/>
        <v>8.7587381955492982E-2</v>
      </c>
      <c r="M52" s="41">
        <f t="shared" ref="M52" si="29">IF(M50=0,(M49-M47)/M45,M51/M45)</f>
        <v>7.4449274662168982E-2</v>
      </c>
      <c r="N52" s="23"/>
    </row>
    <row r="53" spans="2:14" ht="15" x14ac:dyDescent="0.25">
      <c r="B53" s="23"/>
      <c r="C53" s="165"/>
      <c r="D53" s="23"/>
      <c r="E53" s="28"/>
      <c r="F53" s="27"/>
      <c r="G53" s="27"/>
      <c r="H53" s="27"/>
      <c r="I53" s="27"/>
      <c r="J53" s="27"/>
      <c r="K53" s="23"/>
      <c r="L53" s="23"/>
      <c r="M53" s="23"/>
      <c r="N53" s="23"/>
    </row>
    <row r="54" spans="2:14" ht="15" x14ac:dyDescent="0.25">
      <c r="B54" s="23"/>
      <c r="C54" s="162"/>
      <c r="D54" s="38" t="s">
        <v>81</v>
      </c>
      <c r="E54" s="25"/>
      <c r="F54" s="23"/>
      <c r="G54" s="23"/>
      <c r="H54" s="23"/>
      <c r="I54" s="23"/>
      <c r="J54" s="23"/>
      <c r="K54" s="23"/>
      <c r="L54" s="23"/>
      <c r="M54" s="23"/>
      <c r="N54" s="23"/>
    </row>
    <row r="55" spans="2:14" ht="15" x14ac:dyDescent="0.25">
      <c r="B55" s="36"/>
      <c r="C55" s="162"/>
      <c r="D55" s="23" t="s">
        <v>80</v>
      </c>
      <c r="E55" s="37">
        <f>2982536.93</f>
        <v>2982536.93</v>
      </c>
      <c r="F55" s="55">
        <f t="shared" ref="F55:M55" si="30">E55+E56-E57</f>
        <v>2982536.93</v>
      </c>
      <c r="G55" s="55">
        <f t="shared" si="30"/>
        <v>2982536.93</v>
      </c>
      <c r="H55" s="55">
        <f t="shared" si="30"/>
        <v>2982536.93</v>
      </c>
      <c r="I55" s="55">
        <f t="shared" si="30"/>
        <v>2982536.93</v>
      </c>
      <c r="J55" s="55">
        <f t="shared" si="30"/>
        <v>2982536.93</v>
      </c>
      <c r="K55" s="55">
        <f t="shared" si="30"/>
        <v>2982536.93</v>
      </c>
      <c r="L55" s="55">
        <f t="shared" si="30"/>
        <v>2982536.93</v>
      </c>
      <c r="M55" s="55">
        <f t="shared" si="30"/>
        <v>2982536.93</v>
      </c>
      <c r="N55" s="23"/>
    </row>
    <row r="56" spans="2:14" ht="15" x14ac:dyDescent="0.25">
      <c r="B56" s="23"/>
      <c r="C56" s="166">
        <v>0.4</v>
      </c>
      <c r="D56" s="23" t="s">
        <v>79</v>
      </c>
      <c r="E56" s="34"/>
      <c r="F56" s="32"/>
      <c r="G56" s="33"/>
      <c r="H56" s="32"/>
      <c r="I56" s="32"/>
      <c r="J56" s="33"/>
      <c r="K56" s="33"/>
      <c r="L56" s="32"/>
      <c r="M56" s="32"/>
      <c r="N56" s="23"/>
    </row>
    <row r="57" spans="2:14" ht="15" x14ac:dyDescent="0.25">
      <c r="B57" s="36"/>
      <c r="C57" s="167"/>
      <c r="D57" s="23" t="s">
        <v>78</v>
      </c>
      <c r="E57" s="34"/>
      <c r="F57" s="32"/>
      <c r="G57" s="32"/>
      <c r="H57" s="32"/>
      <c r="I57" s="32"/>
      <c r="J57" s="32"/>
      <c r="K57" s="32"/>
      <c r="L57" s="32"/>
      <c r="M57" s="32"/>
      <c r="N57" s="23"/>
    </row>
    <row r="58" spans="2:14" ht="15" x14ac:dyDescent="0.25">
      <c r="B58" s="35"/>
      <c r="C58" s="162"/>
      <c r="D58" s="23" t="s">
        <v>24</v>
      </c>
      <c r="E58" s="34">
        <f>48581.09</f>
        <v>48581.09</v>
      </c>
      <c r="F58" s="33">
        <f t="shared" ref="F58:M58" si="31">E61*$C$56</f>
        <v>29148.652000000144</v>
      </c>
      <c r="G58" s="33">
        <f t="shared" si="31"/>
        <v>17489.191200000048</v>
      </c>
      <c r="H58" s="33">
        <f t="shared" si="31"/>
        <v>10493.514719999956</v>
      </c>
      <c r="I58" s="33">
        <f t="shared" si="31"/>
        <v>6296.1088320000099</v>
      </c>
      <c r="J58" s="33">
        <f t="shared" si="31"/>
        <v>3777.6652992000804</v>
      </c>
      <c r="K58" s="33">
        <f t="shared" si="31"/>
        <v>2266.5991795200857</v>
      </c>
      <c r="L58" s="33">
        <f t="shared" si="31"/>
        <v>1359.9595077119768</v>
      </c>
      <c r="M58" s="33">
        <f t="shared" si="31"/>
        <v>815.97570462711155</v>
      </c>
      <c r="N58" s="23"/>
    </row>
    <row r="59" spans="2:14" ht="15" x14ac:dyDescent="0.25">
      <c r="B59" s="23"/>
      <c r="C59" s="162"/>
      <c r="D59" s="23" t="s">
        <v>77</v>
      </c>
      <c r="E59" s="34"/>
      <c r="F59" s="32"/>
      <c r="G59" s="32"/>
      <c r="H59" s="32"/>
      <c r="I59" s="32"/>
      <c r="J59" s="32"/>
      <c r="K59" s="32"/>
      <c r="L59" s="32"/>
      <c r="M59" s="32"/>
      <c r="N59" s="23"/>
    </row>
    <row r="60" spans="2:14" ht="15" x14ac:dyDescent="0.25">
      <c r="B60" s="23"/>
      <c r="C60" s="162"/>
      <c r="D60" s="23" t="s">
        <v>76</v>
      </c>
      <c r="E60" s="34">
        <f>2909665.3</f>
        <v>2909665.3</v>
      </c>
      <c r="F60" s="57">
        <f t="shared" ref="F60:M60" si="32">E60+F58+F59-F57</f>
        <v>2938813.952</v>
      </c>
      <c r="G60" s="57">
        <f t="shared" si="32"/>
        <v>2956303.1432000003</v>
      </c>
      <c r="H60" s="57">
        <f t="shared" si="32"/>
        <v>2966796.6579200001</v>
      </c>
      <c r="I60" s="57">
        <f t="shared" si="32"/>
        <v>2973092.766752</v>
      </c>
      <c r="J60" s="57">
        <f t="shared" si="32"/>
        <v>2976870.4320512</v>
      </c>
      <c r="K60" s="57">
        <f t="shared" si="32"/>
        <v>2979137.0312307202</v>
      </c>
      <c r="L60" s="57">
        <f t="shared" si="32"/>
        <v>2980496.9907384324</v>
      </c>
      <c r="M60" s="57">
        <f t="shared" si="32"/>
        <v>2981312.9664430595</v>
      </c>
      <c r="N60" s="23"/>
    </row>
    <row r="61" spans="2:14" ht="15" x14ac:dyDescent="0.25">
      <c r="B61" s="23"/>
      <c r="C61" s="165"/>
      <c r="D61" s="23" t="s">
        <v>71</v>
      </c>
      <c r="E61" s="31">
        <f t="shared" ref="E61:L61" si="33">E55+E56-E60-E57</f>
        <v>72871.630000000354</v>
      </c>
      <c r="F61" s="61">
        <f t="shared" si="33"/>
        <v>43722.978000000119</v>
      </c>
      <c r="G61" s="61">
        <f t="shared" si="33"/>
        <v>26233.786799999885</v>
      </c>
      <c r="H61" s="61">
        <f t="shared" si="33"/>
        <v>15740.272080000024</v>
      </c>
      <c r="I61" s="61">
        <f t="shared" si="33"/>
        <v>9444.1632480002008</v>
      </c>
      <c r="J61" s="61">
        <f t="shared" si="33"/>
        <v>5666.4979488002136</v>
      </c>
      <c r="K61" s="61">
        <f t="shared" si="33"/>
        <v>3399.8987692799419</v>
      </c>
      <c r="L61" s="61">
        <f t="shared" si="33"/>
        <v>2039.9392615677789</v>
      </c>
      <c r="M61" s="61">
        <f t="shared" ref="M61" si="34">M55+M56-M60-M57</f>
        <v>1223.9635569406673</v>
      </c>
      <c r="N61" s="23"/>
    </row>
    <row r="62" spans="2:14" ht="15" x14ac:dyDescent="0.25">
      <c r="B62" s="23"/>
      <c r="C62" s="165"/>
      <c r="D62" s="23"/>
      <c r="E62" s="41">
        <f t="shared" ref="E62:L62" si="35">IF(E60=0,(E59-E57)/E55,E61/E55)</f>
        <v>2.4432767040373362E-2</v>
      </c>
      <c r="F62" s="41">
        <f t="shared" si="35"/>
        <v>1.4659660224223985E-2</v>
      </c>
      <c r="G62" s="41">
        <f t="shared" si="35"/>
        <v>8.7957961345343279E-3</v>
      </c>
      <c r="H62" s="41">
        <f t="shared" si="35"/>
        <v>5.2774776807206283E-3</v>
      </c>
      <c r="I62" s="41">
        <f t="shared" si="35"/>
        <v>3.1664866084324395E-3</v>
      </c>
      <c r="J62" s="41">
        <f t="shared" si="35"/>
        <v>1.8998919650594949E-3</v>
      </c>
      <c r="K62" s="41">
        <f t="shared" si="35"/>
        <v>1.1399351790356345E-3</v>
      </c>
      <c r="L62" s="41">
        <f t="shared" si="35"/>
        <v>6.8396110742131823E-4</v>
      </c>
      <c r="M62" s="41">
        <f t="shared" ref="M62" si="36">IF(M60=0,(M59-M57)/M55,M61/M55)</f>
        <v>4.1037666445279097E-4</v>
      </c>
      <c r="N62" s="23"/>
    </row>
    <row r="63" spans="2:14" ht="15" x14ac:dyDescent="0.25">
      <c r="B63" s="23"/>
      <c r="C63" s="165"/>
      <c r="D63" s="23"/>
      <c r="E63" s="28"/>
      <c r="F63" s="27"/>
      <c r="G63" s="27"/>
      <c r="H63" s="27"/>
      <c r="I63" s="27"/>
      <c r="J63" s="27"/>
      <c r="K63" s="23"/>
      <c r="L63" s="23"/>
      <c r="M63" s="23"/>
      <c r="N63" s="23"/>
    </row>
    <row r="64" spans="2:14" ht="15" x14ac:dyDescent="0.25">
      <c r="B64" s="23"/>
      <c r="C64" s="162"/>
      <c r="D64" s="38" t="s">
        <v>92</v>
      </c>
      <c r="E64" s="25"/>
      <c r="F64" s="23"/>
      <c r="G64" s="23"/>
      <c r="H64" s="23"/>
      <c r="I64" s="23"/>
      <c r="J64" s="23"/>
      <c r="K64" s="23"/>
      <c r="L64" s="23"/>
      <c r="M64" s="23"/>
      <c r="N64" s="23"/>
    </row>
    <row r="65" spans="2:14" ht="15" x14ac:dyDescent="0.25">
      <c r="B65" s="36"/>
      <c r="C65" s="162"/>
      <c r="D65" s="23" t="s">
        <v>80</v>
      </c>
      <c r="E65" s="37">
        <f>12944941</f>
        <v>12944941</v>
      </c>
      <c r="F65" s="55">
        <f t="shared" ref="F65:M65" si="37">E65+E66-E67</f>
        <v>12944941</v>
      </c>
      <c r="G65" s="55">
        <f t="shared" si="37"/>
        <v>12944941</v>
      </c>
      <c r="H65" s="55">
        <f t="shared" si="37"/>
        <v>12944941</v>
      </c>
      <c r="I65" s="55">
        <f t="shared" si="37"/>
        <v>12944941</v>
      </c>
      <c r="J65" s="55">
        <f t="shared" si="37"/>
        <v>12944941</v>
      </c>
      <c r="K65" s="55">
        <f t="shared" si="37"/>
        <v>12944941</v>
      </c>
      <c r="L65" s="55">
        <f t="shared" si="37"/>
        <v>12944941</v>
      </c>
      <c r="M65" s="55">
        <f t="shared" si="37"/>
        <v>12944941</v>
      </c>
      <c r="N65" s="23"/>
    </row>
    <row r="66" spans="2:14" ht="15" x14ac:dyDescent="0.25">
      <c r="B66" s="23"/>
      <c r="C66" s="168">
        <v>0.15</v>
      </c>
      <c r="D66" s="23" t="s">
        <v>79</v>
      </c>
      <c r="E66" s="34"/>
      <c r="F66" s="32"/>
      <c r="G66" s="33"/>
      <c r="H66" s="32"/>
      <c r="I66" s="32"/>
      <c r="J66" s="33"/>
      <c r="K66" s="33"/>
      <c r="L66" s="32"/>
      <c r="M66" s="32"/>
      <c r="N66" s="23"/>
    </row>
    <row r="67" spans="2:14" ht="15" x14ac:dyDescent="0.25">
      <c r="B67" s="36"/>
      <c r="C67" s="167"/>
      <c r="D67" s="23" t="s">
        <v>78</v>
      </c>
      <c r="E67" s="34"/>
      <c r="F67" s="32"/>
      <c r="G67" s="32"/>
      <c r="H67" s="32"/>
      <c r="I67" s="32"/>
      <c r="J67" s="32"/>
      <c r="K67" s="32"/>
      <c r="L67" s="32"/>
      <c r="M67" s="32"/>
      <c r="N67" s="23"/>
    </row>
    <row r="68" spans="2:14" ht="15" x14ac:dyDescent="0.25">
      <c r="B68" s="35"/>
      <c r="C68" s="162"/>
      <c r="D68" s="23" t="s">
        <v>24</v>
      </c>
      <c r="E68" s="34">
        <f>260946.95</f>
        <v>260946.95</v>
      </c>
      <c r="F68" s="33">
        <f>E71*$C$66</f>
        <v>221804.91150000002</v>
      </c>
      <c r="G68" s="33">
        <f t="shared" ref="G68:M68" si="38">F71*$C$66</f>
        <v>188534.17477500011</v>
      </c>
      <c r="H68" s="33">
        <f t="shared" si="38"/>
        <v>160254.04855874999</v>
      </c>
      <c r="I68" s="33">
        <f t="shared" si="38"/>
        <v>136215.94127493762</v>
      </c>
      <c r="J68" s="33">
        <f t="shared" si="38"/>
        <v>115783.55008369703</v>
      </c>
      <c r="K68" s="33">
        <f t="shared" si="38"/>
        <v>98416.017571142496</v>
      </c>
      <c r="L68" s="33">
        <f t="shared" si="38"/>
        <v>83653.614935471211</v>
      </c>
      <c r="M68" s="33">
        <f t="shared" si="38"/>
        <v>71105.572695150593</v>
      </c>
      <c r="N68" s="23"/>
    </row>
    <row r="69" spans="2:14" ht="15" x14ac:dyDescent="0.25">
      <c r="B69" s="23"/>
      <c r="C69" s="162"/>
      <c r="D69" s="23" t="s">
        <v>77</v>
      </c>
      <c r="E69" s="34"/>
      <c r="F69" s="32"/>
      <c r="G69" s="32"/>
      <c r="H69" s="32"/>
      <c r="I69" s="32"/>
      <c r="J69" s="32"/>
      <c r="K69" s="32"/>
      <c r="L69" s="32"/>
      <c r="M69" s="32"/>
      <c r="N69" s="23"/>
    </row>
    <row r="70" spans="2:14" ht="15" x14ac:dyDescent="0.25">
      <c r="B70" s="23"/>
      <c r="C70" s="162"/>
      <c r="D70" s="23" t="s">
        <v>76</v>
      </c>
      <c r="E70" s="34">
        <f>11466241.59</f>
        <v>11466241.59</v>
      </c>
      <c r="F70" s="57">
        <f t="shared" ref="F70:M70" si="39">E70+F68+F69-F67</f>
        <v>11688046.501499999</v>
      </c>
      <c r="G70" s="57">
        <f t="shared" si="39"/>
        <v>11876580.676275</v>
      </c>
      <c r="H70" s="57">
        <f t="shared" si="39"/>
        <v>12036834.724833749</v>
      </c>
      <c r="I70" s="57">
        <f t="shared" si="39"/>
        <v>12173050.666108686</v>
      </c>
      <c r="J70" s="57">
        <f t="shared" si="39"/>
        <v>12288834.216192383</v>
      </c>
      <c r="K70" s="57">
        <f t="shared" si="39"/>
        <v>12387250.233763525</v>
      </c>
      <c r="L70" s="57">
        <f t="shared" si="39"/>
        <v>12470903.848698996</v>
      </c>
      <c r="M70" s="57">
        <f t="shared" si="39"/>
        <v>12542009.421394147</v>
      </c>
      <c r="N70" s="23"/>
    </row>
    <row r="71" spans="2:14" ht="15" x14ac:dyDescent="0.25">
      <c r="B71" s="23"/>
      <c r="C71" s="165"/>
      <c r="D71" s="23" t="s">
        <v>71</v>
      </c>
      <c r="E71" s="31">
        <f t="shared" ref="E71:L71" si="40">E65+E66-E70-E67</f>
        <v>1478699.4100000001</v>
      </c>
      <c r="F71" s="61">
        <f t="shared" si="40"/>
        <v>1256894.4985000007</v>
      </c>
      <c r="G71" s="61">
        <f t="shared" si="40"/>
        <v>1068360.323725</v>
      </c>
      <c r="H71" s="61">
        <f t="shared" si="40"/>
        <v>908106.27516625077</v>
      </c>
      <c r="I71" s="61">
        <f t="shared" si="40"/>
        <v>771890.33389131352</v>
      </c>
      <c r="J71" s="61">
        <f t="shared" si="40"/>
        <v>656106.78380761668</v>
      </c>
      <c r="K71" s="61">
        <f t="shared" si="40"/>
        <v>557690.76623647474</v>
      </c>
      <c r="L71" s="61">
        <f t="shared" si="40"/>
        <v>474037.15130100399</v>
      </c>
      <c r="M71" s="61">
        <f t="shared" ref="M71" si="41">M65+M66-M70-M67</f>
        <v>402931.57860585302</v>
      </c>
      <c r="N71" s="23"/>
    </row>
    <row r="72" spans="2:14" ht="15" x14ac:dyDescent="0.25">
      <c r="B72" s="23"/>
      <c r="C72" s="165"/>
      <c r="D72" s="23"/>
      <c r="E72" s="41">
        <f t="shared" ref="E72:L72" si="42">IF(E70=0,(E69-E67)/E65,E71/E65)</f>
        <v>0.11422990726647578</v>
      </c>
      <c r="F72" s="41">
        <f t="shared" si="42"/>
        <v>9.7095421176504451E-2</v>
      </c>
      <c r="G72" s="41">
        <f t="shared" si="42"/>
        <v>8.2531108000028733E-2</v>
      </c>
      <c r="H72" s="41">
        <f t="shared" si="42"/>
        <v>7.0151441800024486E-2</v>
      </c>
      <c r="I72" s="41">
        <f t="shared" si="42"/>
        <v>5.962872553002084E-2</v>
      </c>
      <c r="J72" s="41">
        <f t="shared" si="42"/>
        <v>5.068441670051773E-2</v>
      </c>
      <c r="K72" s="41">
        <f t="shared" si="42"/>
        <v>4.3081754195440115E-2</v>
      </c>
      <c r="L72" s="41">
        <f t="shared" si="42"/>
        <v>3.6619491066124131E-2</v>
      </c>
      <c r="M72" s="41">
        <f t="shared" ref="M72" si="43">IF(M70=0,(M69-M67)/M65,M71/M65)</f>
        <v>3.1126567406205483E-2</v>
      </c>
      <c r="N72" s="23"/>
    </row>
    <row r="73" spans="2:14" ht="15" x14ac:dyDescent="0.25">
      <c r="B73" s="23"/>
      <c r="C73" s="165"/>
      <c r="D73" s="23"/>
      <c r="E73" s="40"/>
      <c r="F73" s="39"/>
      <c r="G73" s="39"/>
      <c r="H73" s="39"/>
      <c r="I73" s="39"/>
      <c r="J73" s="39"/>
      <c r="K73" s="39"/>
      <c r="L73" s="39"/>
      <c r="M73" s="39"/>
      <c r="N73" s="23"/>
    </row>
    <row r="74" spans="2:14" ht="15" x14ac:dyDescent="0.25">
      <c r="B74" s="23"/>
      <c r="C74" s="162"/>
      <c r="D74" s="38" t="s">
        <v>93</v>
      </c>
      <c r="E74" s="25"/>
      <c r="F74" s="23"/>
      <c r="G74" s="23"/>
      <c r="H74" s="23"/>
      <c r="I74" s="23"/>
      <c r="J74" s="23"/>
      <c r="K74" s="23"/>
      <c r="L74" s="23"/>
      <c r="M74" s="23"/>
      <c r="N74" s="23"/>
    </row>
    <row r="75" spans="2:14" ht="15" x14ac:dyDescent="0.25">
      <c r="B75" s="36"/>
      <c r="C75" s="164"/>
      <c r="D75" s="23" t="s">
        <v>80</v>
      </c>
      <c r="E75" s="37">
        <f>31127514</f>
        <v>31127514</v>
      </c>
      <c r="F75" s="55">
        <f t="shared" ref="F75:M75" si="44">E75+E76-E77</f>
        <v>31127514</v>
      </c>
      <c r="G75" s="55">
        <f t="shared" si="44"/>
        <v>31127514</v>
      </c>
      <c r="H75" s="55">
        <f t="shared" si="44"/>
        <v>31127514</v>
      </c>
      <c r="I75" s="55">
        <f t="shared" si="44"/>
        <v>31127514</v>
      </c>
      <c r="J75" s="55">
        <f t="shared" si="44"/>
        <v>31127514</v>
      </c>
      <c r="K75" s="55">
        <f t="shared" si="44"/>
        <v>31127514</v>
      </c>
      <c r="L75" s="55">
        <f t="shared" si="44"/>
        <v>31127514</v>
      </c>
      <c r="M75" s="55">
        <f t="shared" si="44"/>
        <v>31127514</v>
      </c>
      <c r="N75" s="23"/>
    </row>
    <row r="76" spans="2:14" ht="15" x14ac:dyDescent="0.25">
      <c r="B76" s="23"/>
      <c r="C76" s="168">
        <v>0.15</v>
      </c>
      <c r="D76" s="23" t="s">
        <v>79</v>
      </c>
      <c r="E76" s="34"/>
      <c r="F76" s="57"/>
      <c r="G76" s="57"/>
      <c r="H76" s="57"/>
      <c r="I76" s="57"/>
      <c r="J76" s="57"/>
      <c r="K76" s="57"/>
      <c r="L76" s="57"/>
      <c r="M76" s="57"/>
      <c r="N76" s="23"/>
    </row>
    <row r="77" spans="2:14" ht="15" x14ac:dyDescent="0.25">
      <c r="B77" s="36"/>
      <c r="C77" s="167"/>
      <c r="D77" s="23" t="s">
        <v>78</v>
      </c>
      <c r="E77" s="34"/>
      <c r="F77" s="57"/>
      <c r="G77" s="57"/>
      <c r="H77" s="57"/>
      <c r="I77" s="57"/>
      <c r="J77" s="57"/>
      <c r="K77" s="57"/>
      <c r="L77" s="57"/>
      <c r="M77" s="57"/>
      <c r="N77" s="23"/>
    </row>
    <row r="78" spans="2:14" ht="15" x14ac:dyDescent="0.25">
      <c r="B78" s="35"/>
      <c r="C78" s="164"/>
      <c r="D78" s="23" t="s">
        <v>24</v>
      </c>
      <c r="E78" s="34">
        <f>727413.93</f>
        <v>727413.93</v>
      </c>
      <c r="F78" s="57">
        <f t="shared" ref="F78:M78" si="45">E81*$C$76</f>
        <v>618301.84200000018</v>
      </c>
      <c r="G78" s="57">
        <f t="shared" si="45"/>
        <v>525556.56570000015</v>
      </c>
      <c r="H78" s="57">
        <f t="shared" si="45"/>
        <v>446723.08084499981</v>
      </c>
      <c r="I78" s="57">
        <f t="shared" si="45"/>
        <v>379714.61871825007</v>
      </c>
      <c r="J78" s="57">
        <f t="shared" si="45"/>
        <v>322757.42591051233</v>
      </c>
      <c r="K78" s="57">
        <f t="shared" si="45"/>
        <v>274343.81202393526</v>
      </c>
      <c r="L78" s="57">
        <f t="shared" si="45"/>
        <v>233192.24022034518</v>
      </c>
      <c r="M78" s="57">
        <f t="shared" si="45"/>
        <v>198213.40418729334</v>
      </c>
      <c r="N78" s="23"/>
    </row>
    <row r="79" spans="2:14" ht="15" x14ac:dyDescent="0.25">
      <c r="B79" s="23"/>
      <c r="C79" s="164"/>
      <c r="D79" s="23" t="s">
        <v>77</v>
      </c>
      <c r="E79" s="34"/>
      <c r="F79" s="57"/>
      <c r="G79" s="57"/>
      <c r="H79" s="57"/>
      <c r="I79" s="57"/>
      <c r="J79" s="57"/>
      <c r="K79" s="57"/>
      <c r="L79" s="57"/>
      <c r="M79" s="57"/>
      <c r="N79" s="23"/>
    </row>
    <row r="80" spans="2:14" ht="15" x14ac:dyDescent="0.25">
      <c r="B80" s="23"/>
      <c r="C80" s="164"/>
      <c r="D80" s="23" t="s">
        <v>76</v>
      </c>
      <c r="E80" s="34">
        <f>27005501.72</f>
        <v>27005501.719999999</v>
      </c>
      <c r="F80" s="57">
        <f t="shared" ref="F80:M80" si="46">E80+F78+F79-F77</f>
        <v>27623803.561999999</v>
      </c>
      <c r="G80" s="57">
        <f t="shared" si="46"/>
        <v>28149360.127700001</v>
      </c>
      <c r="H80" s="57">
        <f t="shared" si="46"/>
        <v>28596083.208544999</v>
      </c>
      <c r="I80" s="57">
        <f t="shared" si="46"/>
        <v>28975797.827263251</v>
      </c>
      <c r="J80" s="57">
        <f t="shared" si="46"/>
        <v>29298555.253173765</v>
      </c>
      <c r="K80" s="57">
        <f t="shared" si="46"/>
        <v>29572899.065197699</v>
      </c>
      <c r="L80" s="57">
        <f t="shared" si="46"/>
        <v>29806091.305418044</v>
      </c>
      <c r="M80" s="57">
        <f t="shared" si="46"/>
        <v>30004304.709605336</v>
      </c>
      <c r="N80" s="23"/>
    </row>
    <row r="81" spans="2:14" ht="15" x14ac:dyDescent="0.25">
      <c r="B81" s="23"/>
      <c r="C81" s="167"/>
      <c r="D81" s="23" t="s">
        <v>71</v>
      </c>
      <c r="E81" s="31">
        <f t="shared" ref="E81:L81" si="47">E75+E76-E80-E77</f>
        <v>4122012.2800000012</v>
      </c>
      <c r="F81" s="61">
        <f t="shared" si="47"/>
        <v>3503710.438000001</v>
      </c>
      <c r="G81" s="61">
        <f t="shared" si="47"/>
        <v>2978153.872299999</v>
      </c>
      <c r="H81" s="61">
        <f t="shared" si="47"/>
        <v>2531430.7914550006</v>
      </c>
      <c r="I81" s="61">
        <f t="shared" si="47"/>
        <v>2151716.1727367491</v>
      </c>
      <c r="J81" s="61">
        <f t="shared" si="47"/>
        <v>1828958.7468262352</v>
      </c>
      <c r="K81" s="61">
        <f t="shared" si="47"/>
        <v>1554614.9348023012</v>
      </c>
      <c r="L81" s="61">
        <f t="shared" si="47"/>
        <v>1321422.6945819557</v>
      </c>
      <c r="M81" s="61">
        <f t="shared" ref="M81" si="48">M75+M76-M80-M77</f>
        <v>1123209.2903946638</v>
      </c>
      <c r="N81" s="23"/>
    </row>
    <row r="82" spans="2:14" ht="15" x14ac:dyDescent="0.25">
      <c r="B82" s="23"/>
      <c r="C82" s="164"/>
      <c r="D82" s="23"/>
      <c r="E82" s="30">
        <f t="shared" ref="E82:L82" si="49">IF(E80=0,(E79-E77)/E75,E81/E75)</f>
        <v>0.13242343349359673</v>
      </c>
      <c r="F82" s="29">
        <f t="shared" si="49"/>
        <v>0.11255991846955722</v>
      </c>
      <c r="G82" s="29">
        <f t="shared" si="49"/>
        <v>9.5675930699123585E-2</v>
      </c>
      <c r="H82" s="29">
        <f t="shared" si="49"/>
        <v>8.132454109425509E-2</v>
      </c>
      <c r="I82" s="29">
        <f t="shared" si="49"/>
        <v>6.9125859930116773E-2</v>
      </c>
      <c r="J82" s="29">
        <f t="shared" si="49"/>
        <v>5.8756980940599217E-2</v>
      </c>
      <c r="K82" s="29">
        <f t="shared" si="49"/>
        <v>4.9943433799509371E-2</v>
      </c>
      <c r="L82" s="29">
        <f t="shared" si="49"/>
        <v>4.2451918729582955E-2</v>
      </c>
      <c r="M82" s="29">
        <f t="shared" ref="M82" si="50">IF(M80=0,(M79-M77)/M75,M81/M75)</f>
        <v>3.6084130920145563E-2</v>
      </c>
      <c r="N82" s="23"/>
    </row>
    <row r="83" spans="2:14" ht="15" x14ac:dyDescent="0.25">
      <c r="B83" s="23"/>
      <c r="C83" s="164"/>
      <c r="D83" s="23"/>
      <c r="E83" s="48"/>
      <c r="F83" s="49"/>
      <c r="G83" s="49"/>
      <c r="H83" s="49"/>
      <c r="I83" s="49"/>
      <c r="J83" s="49"/>
      <c r="K83" s="49"/>
      <c r="L83" s="49"/>
      <c r="M83" s="49"/>
      <c r="N83" s="23"/>
    </row>
    <row r="84" spans="2:14" ht="15" x14ac:dyDescent="0.25">
      <c r="B84" s="23"/>
      <c r="C84" s="164"/>
      <c r="D84" s="38" t="s">
        <v>96</v>
      </c>
      <c r="E84" s="25"/>
      <c r="F84" s="23"/>
      <c r="G84" s="23"/>
      <c r="H84" s="23"/>
      <c r="I84" s="23"/>
      <c r="J84" s="23"/>
      <c r="K84" s="23"/>
      <c r="L84" s="23"/>
      <c r="M84" s="23"/>
      <c r="N84" s="23"/>
    </row>
    <row r="85" spans="2:14" ht="15" x14ac:dyDescent="0.25">
      <c r="B85" s="36"/>
      <c r="C85" s="164"/>
      <c r="D85" s="23" t="s">
        <v>80</v>
      </c>
      <c r="E85" s="37">
        <f>79781759.5</f>
        <v>79781759.5</v>
      </c>
      <c r="F85" s="55">
        <f t="shared" ref="F85:M85" si="51">E85+E86-E87</f>
        <v>79781759.5</v>
      </c>
      <c r="G85" s="55">
        <f t="shared" si="51"/>
        <v>79781759.5</v>
      </c>
      <c r="H85" s="55">
        <f t="shared" si="51"/>
        <v>79781759.5</v>
      </c>
      <c r="I85" s="55">
        <f t="shared" si="51"/>
        <v>79781759.5</v>
      </c>
      <c r="J85" s="55">
        <f t="shared" si="51"/>
        <v>79781759.5</v>
      </c>
      <c r="K85" s="55">
        <f t="shared" si="51"/>
        <v>79781759.5</v>
      </c>
      <c r="L85" s="55">
        <f t="shared" si="51"/>
        <v>79781759.5</v>
      </c>
      <c r="M85" s="55">
        <f t="shared" si="51"/>
        <v>79781759.5</v>
      </c>
      <c r="N85" s="23"/>
    </row>
    <row r="86" spans="2:14" ht="15" x14ac:dyDescent="0.25">
      <c r="B86" s="23"/>
      <c r="C86" s="168">
        <v>0.15</v>
      </c>
      <c r="D86" s="23" t="s">
        <v>79</v>
      </c>
      <c r="E86" s="34"/>
      <c r="F86" s="57"/>
      <c r="G86" s="57"/>
      <c r="H86" s="57"/>
      <c r="I86" s="57"/>
      <c r="J86" s="57"/>
      <c r="K86" s="57"/>
      <c r="L86" s="57"/>
      <c r="M86" s="57"/>
      <c r="N86" s="23"/>
    </row>
    <row r="87" spans="2:14" ht="15" x14ac:dyDescent="0.25">
      <c r="B87" s="36"/>
      <c r="C87" s="167"/>
      <c r="D87" s="23" t="s">
        <v>78</v>
      </c>
      <c r="E87" s="34"/>
      <c r="F87" s="57"/>
      <c r="G87" s="57"/>
      <c r="H87" s="57"/>
      <c r="I87" s="57"/>
      <c r="J87" s="57"/>
      <c r="K87" s="57"/>
      <c r="L87" s="57"/>
      <c r="M87" s="57"/>
      <c r="N87" s="23"/>
    </row>
    <row r="88" spans="2:14" ht="15" x14ac:dyDescent="0.25">
      <c r="B88" s="35"/>
      <c r="C88" s="164"/>
      <c r="D88" s="23" t="s">
        <v>24</v>
      </c>
      <c r="E88" s="34">
        <f>2095160.49</f>
        <v>2095160.49</v>
      </c>
      <c r="F88" s="57">
        <f>E91*$C$86</f>
        <v>1780886.4164999998</v>
      </c>
      <c r="G88" s="57">
        <f t="shared" ref="G88:M88" si="52">F91*$C$86</f>
        <v>1513753.4540249996</v>
      </c>
      <c r="H88" s="57">
        <f t="shared" si="52"/>
        <v>1286690.4359212494</v>
      </c>
      <c r="I88" s="57">
        <f t="shared" si="52"/>
        <v>1093686.8705330617</v>
      </c>
      <c r="J88" s="57">
        <f t="shared" si="52"/>
        <v>929633.83995310217</v>
      </c>
      <c r="K88" s="57">
        <f t="shared" si="52"/>
        <v>790188.76396013796</v>
      </c>
      <c r="L88" s="57">
        <f t="shared" si="52"/>
        <v>671660.44936611725</v>
      </c>
      <c r="M88" s="57">
        <f t="shared" si="52"/>
        <v>570911.38196119887</v>
      </c>
      <c r="N88" s="23"/>
    </row>
    <row r="89" spans="2:14" ht="15" x14ac:dyDescent="0.25">
      <c r="B89" s="23"/>
      <c r="C89" s="164"/>
      <c r="D89" s="23" t="s">
        <v>77</v>
      </c>
      <c r="E89" s="34"/>
      <c r="F89" s="57"/>
      <c r="G89" s="57"/>
      <c r="H89" s="57"/>
      <c r="I89" s="57"/>
      <c r="J89" s="57"/>
      <c r="K89" s="57"/>
      <c r="L89" s="57"/>
      <c r="M89" s="57"/>
      <c r="N89" s="23"/>
    </row>
    <row r="90" spans="2:14" ht="15" x14ac:dyDescent="0.25">
      <c r="B90" s="23"/>
      <c r="C90" s="164"/>
      <c r="D90" s="23" t="s">
        <v>76</v>
      </c>
      <c r="E90" s="34">
        <f>67909183.39</f>
        <v>67909183.390000001</v>
      </c>
      <c r="F90" s="57">
        <f t="shared" ref="F90:M90" si="53">E90+F88+F89-F87</f>
        <v>69690069.806500003</v>
      </c>
      <c r="G90" s="57">
        <f t="shared" si="53"/>
        <v>71203823.260525003</v>
      </c>
      <c r="H90" s="57">
        <f t="shared" si="53"/>
        <v>72490513.696446255</v>
      </c>
      <c r="I90" s="57">
        <f t="shared" si="53"/>
        <v>73584200.566979319</v>
      </c>
      <c r="J90" s="57">
        <f t="shared" si="53"/>
        <v>74513834.406932414</v>
      </c>
      <c r="K90" s="57">
        <f t="shared" si="53"/>
        <v>75304023.170892552</v>
      </c>
      <c r="L90" s="57">
        <f t="shared" si="53"/>
        <v>75975683.620258674</v>
      </c>
      <c r="M90" s="57">
        <f t="shared" si="53"/>
        <v>76546595.002219871</v>
      </c>
      <c r="N90" s="23"/>
    </row>
    <row r="91" spans="2:14" ht="15" x14ac:dyDescent="0.25">
      <c r="B91" s="23"/>
      <c r="C91" s="167"/>
      <c r="D91" s="23" t="s">
        <v>71</v>
      </c>
      <c r="E91" s="31">
        <f t="shared" ref="E91:L91" si="54">E85+E86-E90-E87</f>
        <v>11872576.109999999</v>
      </c>
      <c r="F91" s="61">
        <f t="shared" si="54"/>
        <v>10091689.693499997</v>
      </c>
      <c r="G91" s="61">
        <f t="shared" si="54"/>
        <v>8577936.2394749969</v>
      </c>
      <c r="H91" s="61">
        <f t="shared" si="54"/>
        <v>7291245.8035537452</v>
      </c>
      <c r="I91" s="61">
        <f t="shared" si="54"/>
        <v>6197558.9330206811</v>
      </c>
      <c r="J91" s="61">
        <f t="shared" si="54"/>
        <v>5267925.0930675864</v>
      </c>
      <c r="K91" s="61">
        <f t="shared" si="54"/>
        <v>4477736.3291074485</v>
      </c>
      <c r="L91" s="61">
        <f t="shared" si="54"/>
        <v>3806075.879741326</v>
      </c>
      <c r="M91" s="61">
        <f t="shared" ref="M91" si="55">M85+M86-M90-M87</f>
        <v>3235164.4977801293</v>
      </c>
      <c r="N91" s="23"/>
    </row>
    <row r="92" spans="2:14" ht="15" x14ac:dyDescent="0.25">
      <c r="B92" s="23"/>
      <c r="C92" s="164"/>
      <c r="D92" s="23"/>
      <c r="E92" s="30">
        <f t="shared" ref="E92:L92" si="56">IF(E90=0,(E89-E87)/E85,E91/E85)</f>
        <v>0.1488131646181606</v>
      </c>
      <c r="F92" s="29">
        <f t="shared" si="56"/>
        <v>0.12649118992543648</v>
      </c>
      <c r="G92" s="29">
        <f t="shared" si="56"/>
        <v>0.10751751143662101</v>
      </c>
      <c r="H92" s="29">
        <f t="shared" si="56"/>
        <v>9.1389884721127829E-2</v>
      </c>
      <c r="I92" s="29">
        <f t="shared" si="56"/>
        <v>7.7681402012958631E-2</v>
      </c>
      <c r="J92" s="29">
        <f t="shared" si="56"/>
        <v>6.6029191711014928E-2</v>
      </c>
      <c r="K92" s="29">
        <f t="shared" si="56"/>
        <v>5.6124812954362689E-2</v>
      </c>
      <c r="L92" s="29">
        <f t="shared" si="56"/>
        <v>4.7706091011208221E-2</v>
      </c>
      <c r="M92" s="29">
        <f t="shared" ref="M92" si="57">IF(M90=0,(M89-M87)/M85,M91/M85)</f>
        <v>4.0550177359527012E-2</v>
      </c>
      <c r="N92" s="23"/>
    </row>
    <row r="93" spans="2:14" ht="15" x14ac:dyDescent="0.25">
      <c r="B93" s="23"/>
      <c r="C93" s="167"/>
      <c r="D93" s="23"/>
      <c r="E93" s="40"/>
      <c r="F93" s="39"/>
      <c r="G93" s="39"/>
      <c r="H93" s="39"/>
      <c r="I93" s="39"/>
      <c r="J93" s="39"/>
      <c r="K93" s="39"/>
      <c r="L93" s="39"/>
      <c r="M93" s="39"/>
      <c r="N93" s="23"/>
    </row>
    <row r="94" spans="2:14" ht="15" x14ac:dyDescent="0.25">
      <c r="B94" s="23"/>
      <c r="C94" s="164"/>
      <c r="D94" s="38" t="s">
        <v>94</v>
      </c>
      <c r="E94" s="25"/>
      <c r="F94" s="23"/>
      <c r="G94" s="23"/>
      <c r="H94" s="23"/>
      <c r="I94" s="23"/>
      <c r="J94" s="23"/>
      <c r="K94" s="23"/>
      <c r="L94" s="23"/>
      <c r="M94" s="23"/>
      <c r="N94" s="23"/>
    </row>
    <row r="95" spans="2:14" ht="15" x14ac:dyDescent="0.25">
      <c r="B95" s="36"/>
      <c r="C95" s="164"/>
      <c r="D95" s="23" t="s">
        <v>80</v>
      </c>
      <c r="E95" s="37">
        <f>50417968.67</f>
        <v>50417968.670000002</v>
      </c>
      <c r="F95" s="55">
        <f t="shared" ref="F95:M95" si="58">E95+E96-E97</f>
        <v>50417968.670000002</v>
      </c>
      <c r="G95" s="55">
        <f t="shared" si="58"/>
        <v>50417968.670000002</v>
      </c>
      <c r="H95" s="55">
        <f t="shared" si="58"/>
        <v>50417968.670000002</v>
      </c>
      <c r="I95" s="55">
        <f t="shared" si="58"/>
        <v>50417968.670000002</v>
      </c>
      <c r="J95" s="55">
        <f t="shared" si="58"/>
        <v>50417968.670000002</v>
      </c>
      <c r="K95" s="55">
        <f t="shared" si="58"/>
        <v>50417968.670000002</v>
      </c>
      <c r="L95" s="55">
        <f t="shared" si="58"/>
        <v>50417968.670000002</v>
      </c>
      <c r="M95" s="55">
        <f t="shared" si="58"/>
        <v>50417968.670000002</v>
      </c>
      <c r="N95" s="23"/>
    </row>
    <row r="96" spans="2:14" ht="15" x14ac:dyDescent="0.25">
      <c r="B96" s="23"/>
      <c r="C96" s="168">
        <v>0</v>
      </c>
      <c r="D96" s="23" t="s">
        <v>79</v>
      </c>
      <c r="E96" s="34"/>
      <c r="F96" s="57"/>
      <c r="G96" s="57"/>
      <c r="H96" s="57"/>
      <c r="I96" s="57"/>
      <c r="J96" s="57"/>
      <c r="K96" s="57"/>
      <c r="L96" s="57"/>
      <c r="M96" s="57"/>
      <c r="N96" s="23"/>
    </row>
    <row r="97" spans="2:14" ht="15" x14ac:dyDescent="0.25">
      <c r="B97" s="36"/>
      <c r="C97" s="167"/>
      <c r="D97" s="23" t="s">
        <v>78</v>
      </c>
      <c r="E97" s="34"/>
      <c r="F97" s="57"/>
      <c r="G97" s="57"/>
      <c r="H97" s="57"/>
      <c r="I97" s="57"/>
      <c r="J97" s="57"/>
      <c r="K97" s="57"/>
      <c r="L97" s="57"/>
      <c r="M97" s="57"/>
      <c r="N97" s="23"/>
    </row>
    <row r="98" spans="2:14" ht="15" x14ac:dyDescent="0.25">
      <c r="B98" s="35"/>
      <c r="C98" s="164"/>
      <c r="D98" s="23" t="s">
        <v>24</v>
      </c>
      <c r="E98" s="34"/>
      <c r="F98" s="57">
        <f>E101*$C$96</f>
        <v>0</v>
      </c>
      <c r="G98" s="57">
        <f t="shared" ref="G98:M98" si="59">F101*$C$96</f>
        <v>0</v>
      </c>
      <c r="H98" s="57">
        <f t="shared" si="59"/>
        <v>0</v>
      </c>
      <c r="I98" s="57">
        <f t="shared" si="59"/>
        <v>0</v>
      </c>
      <c r="J98" s="57">
        <f t="shared" si="59"/>
        <v>0</v>
      </c>
      <c r="K98" s="57">
        <f t="shared" si="59"/>
        <v>0</v>
      </c>
      <c r="L98" s="57">
        <f t="shared" si="59"/>
        <v>0</v>
      </c>
      <c r="M98" s="57">
        <f t="shared" si="59"/>
        <v>0</v>
      </c>
      <c r="N98" s="23"/>
    </row>
    <row r="99" spans="2:14" ht="15" x14ac:dyDescent="0.25">
      <c r="B99" s="23"/>
      <c r="C99" s="164"/>
      <c r="D99" s="23" t="s">
        <v>77</v>
      </c>
      <c r="E99" s="34"/>
      <c r="F99" s="57"/>
      <c r="G99" s="57"/>
      <c r="H99" s="57"/>
      <c r="I99" s="57"/>
      <c r="J99" s="57"/>
      <c r="K99" s="57"/>
      <c r="L99" s="57"/>
      <c r="M99" s="57"/>
      <c r="N99" s="23"/>
    </row>
    <row r="100" spans="2:14" ht="15" x14ac:dyDescent="0.25">
      <c r="B100" s="23"/>
      <c r="C100" s="164"/>
      <c r="D100" s="23" t="s">
        <v>76</v>
      </c>
      <c r="E100" s="34">
        <f>29119198.37</f>
        <v>29119198.370000001</v>
      </c>
      <c r="F100" s="57">
        <f t="shared" ref="F100:M100" si="60">E100+F98+F99-F97</f>
        <v>29119198.370000001</v>
      </c>
      <c r="G100" s="57">
        <f t="shared" si="60"/>
        <v>29119198.370000001</v>
      </c>
      <c r="H100" s="57">
        <f t="shared" si="60"/>
        <v>29119198.370000001</v>
      </c>
      <c r="I100" s="57">
        <f t="shared" si="60"/>
        <v>29119198.370000001</v>
      </c>
      <c r="J100" s="57">
        <f t="shared" si="60"/>
        <v>29119198.370000001</v>
      </c>
      <c r="K100" s="57">
        <f t="shared" si="60"/>
        <v>29119198.370000001</v>
      </c>
      <c r="L100" s="57">
        <f t="shared" si="60"/>
        <v>29119198.370000001</v>
      </c>
      <c r="M100" s="57">
        <f t="shared" si="60"/>
        <v>29119198.370000001</v>
      </c>
      <c r="N100" s="23"/>
    </row>
    <row r="101" spans="2:14" ht="15" x14ac:dyDescent="0.25">
      <c r="B101" s="23"/>
      <c r="C101" s="167"/>
      <c r="D101" s="23" t="s">
        <v>71</v>
      </c>
      <c r="E101" s="31">
        <f t="shared" ref="E101:L101" si="61">E95+E96-E100-E97</f>
        <v>21298770.300000001</v>
      </c>
      <c r="F101" s="61">
        <f t="shared" si="61"/>
        <v>21298770.300000001</v>
      </c>
      <c r="G101" s="61">
        <f t="shared" si="61"/>
        <v>21298770.300000001</v>
      </c>
      <c r="H101" s="61">
        <f t="shared" si="61"/>
        <v>21298770.300000001</v>
      </c>
      <c r="I101" s="61">
        <f t="shared" si="61"/>
        <v>21298770.300000001</v>
      </c>
      <c r="J101" s="61">
        <f t="shared" si="61"/>
        <v>21298770.300000001</v>
      </c>
      <c r="K101" s="61">
        <f t="shared" si="61"/>
        <v>21298770.300000001</v>
      </c>
      <c r="L101" s="61">
        <f t="shared" si="61"/>
        <v>21298770.300000001</v>
      </c>
      <c r="M101" s="61">
        <f t="shared" ref="M101" si="62">M95+M96-M100-M97</f>
        <v>21298770.300000001</v>
      </c>
      <c r="N101" s="23"/>
    </row>
    <row r="102" spans="2:14" ht="15" x14ac:dyDescent="0.25">
      <c r="B102" s="23"/>
      <c r="C102" s="164"/>
      <c r="D102" s="23"/>
      <c r="E102" s="30">
        <f t="shared" ref="E102:L102" si="63">IF(E100=0,(E99-E97)/E95,E101/E95)</f>
        <v>0.42244403854122986</v>
      </c>
      <c r="F102" s="29">
        <f t="shared" si="63"/>
        <v>0.42244403854122986</v>
      </c>
      <c r="G102" s="29">
        <f t="shared" si="63"/>
        <v>0.42244403854122986</v>
      </c>
      <c r="H102" s="29">
        <f t="shared" si="63"/>
        <v>0.42244403854122986</v>
      </c>
      <c r="I102" s="29">
        <f t="shared" si="63"/>
        <v>0.42244403854122986</v>
      </c>
      <c r="J102" s="29">
        <f t="shared" si="63"/>
        <v>0.42244403854122986</v>
      </c>
      <c r="K102" s="29">
        <f t="shared" si="63"/>
        <v>0.42244403854122986</v>
      </c>
      <c r="L102" s="29">
        <f t="shared" si="63"/>
        <v>0.42244403854122986</v>
      </c>
      <c r="M102" s="29">
        <f t="shared" ref="M102" si="64">IF(M100=0,(M99-M97)/M95,M101/M95)</f>
        <v>0.42244403854122986</v>
      </c>
      <c r="N102" s="23"/>
    </row>
    <row r="103" spans="2:14" ht="15" x14ac:dyDescent="0.25">
      <c r="B103" s="23"/>
      <c r="C103" s="164"/>
      <c r="E103" s="48"/>
      <c r="F103" s="49"/>
      <c r="G103" s="49"/>
      <c r="H103" s="49"/>
      <c r="I103" s="49"/>
      <c r="J103" s="49"/>
      <c r="K103" s="49"/>
      <c r="L103" s="49"/>
      <c r="M103" s="49"/>
      <c r="N103" s="23"/>
    </row>
    <row r="104" spans="2:14" ht="15" x14ac:dyDescent="0.25">
      <c r="B104" s="23"/>
      <c r="C104" s="164"/>
      <c r="D104" s="38" t="s">
        <v>95</v>
      </c>
      <c r="E104" s="25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2:14" ht="15" x14ac:dyDescent="0.25">
      <c r="B105" s="23"/>
      <c r="C105" s="164"/>
      <c r="D105" s="23" t="s">
        <v>80</v>
      </c>
      <c r="E105" s="37">
        <f>527403</f>
        <v>527403</v>
      </c>
      <c r="F105" s="55">
        <f t="shared" ref="F105:M105" si="65">E105+E106-E107</f>
        <v>527403</v>
      </c>
      <c r="G105" s="55">
        <f t="shared" si="65"/>
        <v>527403</v>
      </c>
      <c r="H105" s="55">
        <f t="shared" si="65"/>
        <v>527403</v>
      </c>
      <c r="I105" s="55">
        <f t="shared" si="65"/>
        <v>527403</v>
      </c>
      <c r="J105" s="55">
        <f t="shared" si="65"/>
        <v>527403</v>
      </c>
      <c r="K105" s="55">
        <f t="shared" si="65"/>
        <v>527403</v>
      </c>
      <c r="L105" s="55">
        <f t="shared" si="65"/>
        <v>527403</v>
      </c>
      <c r="M105" s="55">
        <f t="shared" si="65"/>
        <v>527403</v>
      </c>
      <c r="N105" s="23"/>
    </row>
    <row r="106" spans="2:14" ht="15" x14ac:dyDescent="0.25">
      <c r="B106" s="23"/>
      <c r="C106" s="168">
        <v>0.15</v>
      </c>
      <c r="D106" s="23" t="s">
        <v>79</v>
      </c>
      <c r="E106" s="34"/>
      <c r="F106" s="57"/>
      <c r="G106" s="57"/>
      <c r="H106" s="57"/>
      <c r="I106" s="57"/>
      <c r="J106" s="57"/>
      <c r="K106" s="57"/>
      <c r="L106" s="57"/>
      <c r="M106" s="57"/>
      <c r="N106" s="23"/>
    </row>
    <row r="107" spans="2:14" ht="15" x14ac:dyDescent="0.25">
      <c r="B107" s="23"/>
      <c r="C107" s="167"/>
      <c r="D107" s="23" t="s">
        <v>78</v>
      </c>
      <c r="E107" s="34"/>
      <c r="F107" s="57"/>
      <c r="G107" s="57"/>
      <c r="H107" s="57"/>
      <c r="I107" s="57"/>
      <c r="J107" s="57"/>
      <c r="K107" s="57"/>
      <c r="L107" s="57"/>
      <c r="M107" s="57"/>
      <c r="N107" s="23"/>
    </row>
    <row r="108" spans="2:14" ht="15" x14ac:dyDescent="0.25">
      <c r="B108" s="23"/>
      <c r="C108" s="162"/>
      <c r="D108" s="23" t="s">
        <v>24</v>
      </c>
      <c r="E108" s="34">
        <f>11901.87</f>
        <v>11901.87</v>
      </c>
      <c r="F108" s="57">
        <f>E111*$C$106</f>
        <v>10116.594000000003</v>
      </c>
      <c r="G108" s="57">
        <f t="shared" ref="G108:M108" si="66">F111*$C$106</f>
        <v>8599.1049000000057</v>
      </c>
      <c r="H108" s="57">
        <f t="shared" si="66"/>
        <v>7309.239165</v>
      </c>
      <c r="I108" s="57">
        <f t="shared" si="66"/>
        <v>6212.8532902500037</v>
      </c>
      <c r="J108" s="57">
        <f t="shared" si="66"/>
        <v>5280.925296712504</v>
      </c>
      <c r="K108" s="57">
        <f t="shared" si="66"/>
        <v>4488.7865022056294</v>
      </c>
      <c r="L108" s="57">
        <f t="shared" si="66"/>
        <v>3815.4685268747821</v>
      </c>
      <c r="M108" s="57">
        <f t="shared" si="66"/>
        <v>3243.1482478435646</v>
      </c>
      <c r="N108" s="23"/>
    </row>
    <row r="109" spans="2:14" ht="15" x14ac:dyDescent="0.25">
      <c r="B109" s="23"/>
      <c r="C109" s="162"/>
      <c r="D109" s="23" t="s">
        <v>77</v>
      </c>
      <c r="E109" s="34"/>
      <c r="F109" s="57"/>
      <c r="G109" s="57"/>
      <c r="H109" s="57"/>
      <c r="I109" s="57"/>
      <c r="J109" s="57"/>
      <c r="K109" s="57"/>
      <c r="L109" s="57"/>
      <c r="M109" s="57"/>
      <c r="N109" s="23"/>
    </row>
    <row r="110" spans="2:14" ht="15" x14ac:dyDescent="0.25">
      <c r="B110" s="23"/>
      <c r="C110" s="162"/>
      <c r="D110" s="23" t="s">
        <v>76</v>
      </c>
      <c r="E110" s="34">
        <f>459959.04</f>
        <v>459959.03999999998</v>
      </c>
      <c r="F110" s="57">
        <f t="shared" ref="F110:M110" si="67">E110+F108+F109-F107</f>
        <v>470075.63399999996</v>
      </c>
      <c r="G110" s="57">
        <f t="shared" si="67"/>
        <v>478674.7389</v>
      </c>
      <c r="H110" s="57">
        <f t="shared" si="67"/>
        <v>485983.97806499997</v>
      </c>
      <c r="I110" s="57">
        <f t="shared" si="67"/>
        <v>492196.83135524997</v>
      </c>
      <c r="J110" s="57">
        <f t="shared" si="67"/>
        <v>497477.75665196247</v>
      </c>
      <c r="K110" s="57">
        <f t="shared" si="67"/>
        <v>501966.54315416812</v>
      </c>
      <c r="L110" s="57">
        <f t="shared" si="67"/>
        <v>505782.0116810429</v>
      </c>
      <c r="M110" s="57">
        <f t="shared" si="67"/>
        <v>509025.15992888645</v>
      </c>
      <c r="N110" s="23"/>
    </row>
    <row r="111" spans="2:14" ht="15" x14ac:dyDescent="0.25">
      <c r="B111" s="23"/>
      <c r="C111" s="165"/>
      <c r="D111" s="23" t="s">
        <v>71</v>
      </c>
      <c r="E111" s="31">
        <f t="shared" ref="E111:L111" si="68">E105+E106-E110-E107</f>
        <v>67443.960000000021</v>
      </c>
      <c r="F111" s="61">
        <f t="shared" si="68"/>
        <v>57327.366000000038</v>
      </c>
      <c r="G111" s="61">
        <f t="shared" si="68"/>
        <v>48728.261100000003</v>
      </c>
      <c r="H111" s="61">
        <f t="shared" si="68"/>
        <v>41419.021935000026</v>
      </c>
      <c r="I111" s="61">
        <f t="shared" si="68"/>
        <v>35206.168644750025</v>
      </c>
      <c r="J111" s="61">
        <f t="shared" si="68"/>
        <v>29925.243348037533</v>
      </c>
      <c r="K111" s="61">
        <f t="shared" si="68"/>
        <v>25436.456845831883</v>
      </c>
      <c r="L111" s="61">
        <f t="shared" si="68"/>
        <v>21620.988318957097</v>
      </c>
      <c r="M111" s="61">
        <f t="shared" ref="M111" si="69">M105+M106-M110-M107</f>
        <v>18377.840071113547</v>
      </c>
      <c r="N111" s="23"/>
    </row>
    <row r="112" spans="2:14" ht="15" x14ac:dyDescent="0.25">
      <c r="B112" s="23"/>
      <c r="C112" s="162"/>
      <c r="D112" s="23"/>
      <c r="E112" s="30">
        <f t="shared" ref="E112:L112" si="70">IF(E110=0,(E109-E107)/E105,E111/E105)</f>
        <v>0.12787936359861438</v>
      </c>
      <c r="F112" s="29">
        <f t="shared" si="70"/>
        <v>0.10869745905882226</v>
      </c>
      <c r="G112" s="29">
        <f t="shared" si="70"/>
        <v>9.2392840199998869E-2</v>
      </c>
      <c r="H112" s="29">
        <f t="shared" si="70"/>
        <v>7.8533914169999081E-2</v>
      </c>
      <c r="I112" s="29">
        <f t="shared" si="70"/>
        <v>6.6753827044499225E-2</v>
      </c>
      <c r="J112" s="29">
        <f t="shared" si="70"/>
        <v>5.6740752987824362E-2</v>
      </c>
      <c r="K112" s="29">
        <f t="shared" si="70"/>
        <v>4.8229640039650669E-2</v>
      </c>
      <c r="L112" s="29">
        <f t="shared" si="70"/>
        <v>4.0995194033703067E-2</v>
      </c>
      <c r="M112" s="29">
        <f t="shared" ref="M112" si="71">IF(M110=0,(M109-M107)/M105,M111/M105)</f>
        <v>3.484591492864763E-2</v>
      </c>
      <c r="N112" s="23"/>
    </row>
    <row r="113" spans="2:14" ht="15" x14ac:dyDescent="0.25">
      <c r="B113" s="23"/>
      <c r="C113" s="16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2:14" ht="15" x14ac:dyDescent="0.25">
      <c r="B114" s="23"/>
      <c r="C114" s="16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2:14" ht="15" x14ac:dyDescent="0.25">
      <c r="B115" s="23"/>
      <c r="C115" s="162"/>
      <c r="D115" s="26" t="s">
        <v>75</v>
      </c>
      <c r="E115" s="25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2:14" ht="15" x14ac:dyDescent="0.25">
      <c r="B116" s="23"/>
      <c r="C116" s="162"/>
      <c r="D116" s="24" t="s">
        <v>74</v>
      </c>
      <c r="E116" s="62">
        <f>SUMIF($D$7:$D$112,"Addition",E$7:E$112)/10^5</f>
        <v>0</v>
      </c>
      <c r="F116" s="62">
        <f t="shared" ref="F116:M116" si="72">SUMIF($D$7:$D$112,"Addition",F$7:F$112)/10^5</f>
        <v>0</v>
      </c>
      <c r="G116" s="62">
        <f t="shared" si="72"/>
        <v>0</v>
      </c>
      <c r="H116" s="62">
        <f t="shared" si="72"/>
        <v>0</v>
      </c>
      <c r="I116" s="62">
        <f t="shared" si="72"/>
        <v>0</v>
      </c>
      <c r="J116" s="62">
        <f t="shared" si="72"/>
        <v>0</v>
      </c>
      <c r="K116" s="62">
        <f t="shared" si="72"/>
        <v>0</v>
      </c>
      <c r="L116" s="62">
        <f t="shared" si="72"/>
        <v>0</v>
      </c>
      <c r="M116" s="62">
        <f t="shared" si="72"/>
        <v>0</v>
      </c>
      <c r="N116" s="23"/>
    </row>
    <row r="117" spans="2:14" ht="15" x14ac:dyDescent="0.25">
      <c r="B117" s="23"/>
      <c r="C117" s="162"/>
      <c r="D117" s="24" t="s">
        <v>73</v>
      </c>
      <c r="E117" s="62">
        <f>SUMIF($D$7:$D$112,"Asset Write off (Net block)",E$7:E$112)/10^5</f>
        <v>0</v>
      </c>
      <c r="F117" s="62">
        <f t="shared" ref="F117:M117" si="73">SUMIF($D$7:$D$112,"Asset Write off (Net block)",F$7:F$112)/10^5</f>
        <v>0</v>
      </c>
      <c r="G117" s="62">
        <f t="shared" si="73"/>
        <v>0</v>
      </c>
      <c r="H117" s="62">
        <f t="shared" si="73"/>
        <v>0</v>
      </c>
      <c r="I117" s="62">
        <f t="shared" si="73"/>
        <v>0</v>
      </c>
      <c r="J117" s="62">
        <f t="shared" si="73"/>
        <v>0</v>
      </c>
      <c r="K117" s="62">
        <f t="shared" si="73"/>
        <v>0</v>
      </c>
      <c r="L117" s="62">
        <f t="shared" si="73"/>
        <v>0</v>
      </c>
      <c r="M117" s="62">
        <f t="shared" si="73"/>
        <v>0</v>
      </c>
      <c r="N117" s="23"/>
    </row>
    <row r="118" spans="2:14" ht="15" x14ac:dyDescent="0.25">
      <c r="B118" s="23"/>
      <c r="C118" s="162"/>
      <c r="D118" s="24" t="s">
        <v>72</v>
      </c>
      <c r="E118" s="62">
        <f>SUMIF($D$7:$D$112,"Depreciation",E$7:E$112)/10^5</f>
        <v>96.359830699999989</v>
      </c>
      <c r="F118" s="62">
        <f t="shared" ref="F118:M118" si="74">SUMIF($D$7:$D$112,"Depreciation",F$7:F$112)/10^5</f>
        <v>82.991912120000009</v>
      </c>
      <c r="G118" s="62">
        <f t="shared" si="74"/>
        <v>71.557011577500006</v>
      </c>
      <c r="H118" s="62">
        <f t="shared" si="74"/>
        <v>61.757818977824996</v>
      </c>
      <c r="I118" s="62">
        <f t="shared" si="74"/>
        <v>53.34818624780624</v>
      </c>
      <c r="J118" s="62">
        <f t="shared" si="74"/>
        <v>46.122464551664812</v>
      </c>
      <c r="K118" s="62">
        <f t="shared" si="74"/>
        <v>39.907672567465639</v>
      </c>
      <c r="L118" s="62">
        <f t="shared" si="74"/>
        <v>34.557574860015698</v>
      </c>
      <c r="M118" s="62">
        <f t="shared" si="74"/>
        <v>29.94808644030088</v>
      </c>
      <c r="N118" s="23"/>
    </row>
    <row r="119" spans="2:14" ht="15" x14ac:dyDescent="0.25">
      <c r="B119" s="23"/>
      <c r="C119" s="162"/>
      <c r="D119" s="24" t="s">
        <v>71</v>
      </c>
      <c r="E119" s="62">
        <f>SUMIF($D$7:$D$112,"Net Block",E$7:E$112)/10^5</f>
        <v>1294.1144869999998</v>
      </c>
      <c r="F119" s="62">
        <f t="shared" ref="F119:M119" si="75">SUMIF($D$7:$D$112,"Net Block",F$7:F$112)/10^5</f>
        <v>1211.12257488</v>
      </c>
      <c r="G119" s="62">
        <f t="shared" si="75"/>
        <v>1139.5655633024999</v>
      </c>
      <c r="H119" s="62">
        <f t="shared" si="75"/>
        <v>1077.807744324675</v>
      </c>
      <c r="I119" s="62">
        <f t="shared" si="75"/>
        <v>1024.4595580768687</v>
      </c>
      <c r="J119" s="62">
        <f t="shared" si="75"/>
        <v>978.33709352520373</v>
      </c>
      <c r="K119" s="62">
        <f t="shared" si="75"/>
        <v>938.42942095773833</v>
      </c>
      <c r="L119" s="62">
        <f t="shared" si="75"/>
        <v>903.87184609772248</v>
      </c>
      <c r="M119" s="62">
        <f t="shared" si="75"/>
        <v>873.92375965742167</v>
      </c>
      <c r="N119" s="23"/>
    </row>
    <row r="120" spans="2:14" ht="15" x14ac:dyDescent="0.25">
      <c r="B120" s="23"/>
      <c r="C120" s="162"/>
      <c r="D120" s="24" t="s">
        <v>80</v>
      </c>
      <c r="E120" s="62">
        <f>SUMIF($D$7:$D$112,"Gross Block",E$7:E$112)/10^5</f>
        <v>4045.0798262000008</v>
      </c>
      <c r="F120" s="62">
        <f t="shared" ref="F120:M120" si="76">SUMIF($D$7:$D$112,"Gross Block",F$7:F$112)/10^5</f>
        <v>4045.0798262000008</v>
      </c>
      <c r="G120" s="62">
        <f t="shared" si="76"/>
        <v>4045.0798262000008</v>
      </c>
      <c r="H120" s="62">
        <f t="shared" si="76"/>
        <v>4045.0798262000008</v>
      </c>
      <c r="I120" s="62">
        <f t="shared" si="76"/>
        <v>4045.0798262000008</v>
      </c>
      <c r="J120" s="62">
        <f t="shared" si="76"/>
        <v>4045.0798262000008</v>
      </c>
      <c r="K120" s="62">
        <f t="shared" si="76"/>
        <v>4045.0798262000008</v>
      </c>
      <c r="L120" s="62">
        <f t="shared" si="76"/>
        <v>4045.0798262000008</v>
      </c>
      <c r="M120" s="62">
        <f t="shared" si="76"/>
        <v>4045.0798262000008</v>
      </c>
      <c r="N120" s="23"/>
    </row>
    <row r="121" spans="2:14" ht="15" x14ac:dyDescent="0.25">
      <c r="B121" s="23"/>
      <c r="C121" s="162"/>
      <c r="D121" s="24" t="s">
        <v>76</v>
      </c>
      <c r="E121" s="62">
        <f>SUMIF($D$7:$D$112,"Accumulated Depreciation",E$7:E$112)/10^5</f>
        <v>2750.9653392</v>
      </c>
      <c r="F121" s="62">
        <f t="shared" ref="F121:M121" si="77">SUMIF($D$7:$D$112,"Accumulated Depreciation",F$7:F$112)/10^5</f>
        <v>2833.9572513200001</v>
      </c>
      <c r="G121" s="62">
        <f t="shared" si="77"/>
        <v>2905.5142628975004</v>
      </c>
      <c r="H121" s="62">
        <f t="shared" si="77"/>
        <v>2967.2720818753255</v>
      </c>
      <c r="I121" s="62">
        <f t="shared" si="77"/>
        <v>3020.6202681231316</v>
      </c>
      <c r="J121" s="62">
        <f t="shared" si="77"/>
        <v>3066.7427326747961</v>
      </c>
      <c r="K121" s="62">
        <f t="shared" si="77"/>
        <v>3106.650405242262</v>
      </c>
      <c r="L121" s="62">
        <f t="shared" si="77"/>
        <v>3141.2079801022774</v>
      </c>
      <c r="M121" s="62">
        <f t="shared" si="77"/>
        <v>3171.1560665425782</v>
      </c>
      <c r="N121" s="23"/>
    </row>
    <row r="122" spans="2:14" ht="15" x14ac:dyDescent="0.25">
      <c r="B122" s="23"/>
      <c r="C122" s="16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2:14" ht="15" x14ac:dyDescent="0.25">
      <c r="B123" s="23"/>
      <c r="C123" s="16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2:14" ht="12.75" x14ac:dyDescent="0.2">
      <c r="B124" s="22" t="s">
        <v>70</v>
      </c>
    </row>
    <row r="125" spans="2:14" ht="15" x14ac:dyDescent="0.25">
      <c r="B125" s="21" t="s">
        <v>69</v>
      </c>
      <c r="C125" s="170" t="s">
        <v>68</v>
      </c>
      <c r="D125" s="19" t="s">
        <v>67</v>
      </c>
      <c r="E125" s="19" t="s">
        <v>66</v>
      </c>
      <c r="F125" s="19" t="s">
        <v>65</v>
      </c>
      <c r="G125" s="19" t="s">
        <v>64</v>
      </c>
      <c r="H125" s="19" t="s">
        <v>63</v>
      </c>
      <c r="I125" s="19" t="s">
        <v>62</v>
      </c>
      <c r="J125" s="19" t="s">
        <v>61</v>
      </c>
      <c r="K125" s="20" t="s">
        <v>60</v>
      </c>
      <c r="L125" s="19" t="s">
        <v>59</v>
      </c>
      <c r="M125" s="19" t="s">
        <v>58</v>
      </c>
      <c r="N125" s="19" t="s">
        <v>57</v>
      </c>
    </row>
    <row r="126" spans="2:14" ht="12.75" x14ac:dyDescent="0.2">
      <c r="B126" s="17" t="s">
        <v>56</v>
      </c>
      <c r="C126" s="171">
        <v>100</v>
      </c>
      <c r="D126" s="18">
        <v>106.9</v>
      </c>
      <c r="E126" s="18">
        <v>112.5</v>
      </c>
      <c r="F126" s="18">
        <v>113.9</v>
      </c>
      <c r="G126" s="18">
        <v>109.7</v>
      </c>
      <c r="H126" s="18">
        <v>111.6</v>
      </c>
      <c r="I126" s="18">
        <v>114.9</v>
      </c>
      <c r="J126" s="18">
        <v>119.8</v>
      </c>
      <c r="K126" s="18">
        <v>121.8</v>
      </c>
      <c r="L126" s="18">
        <v>123.4</v>
      </c>
      <c r="M126" s="18">
        <v>139.4</v>
      </c>
      <c r="N126" s="18">
        <v>152.5</v>
      </c>
    </row>
    <row r="127" spans="2:14" ht="12.75" x14ac:dyDescent="0.2">
      <c r="B127" s="17"/>
      <c r="C127" s="171"/>
      <c r="D127" s="16">
        <f t="shared" ref="D127:N127" si="78">+D126/C126-1</f>
        <v>6.899999999999995E-2</v>
      </c>
      <c r="E127" s="16">
        <f t="shared" si="78"/>
        <v>5.2385406922357269E-2</v>
      </c>
      <c r="F127" s="16">
        <f t="shared" si="78"/>
        <v>1.244444444444448E-2</v>
      </c>
      <c r="G127" s="16">
        <f t="shared" si="78"/>
        <v>-3.687445127304656E-2</v>
      </c>
      <c r="H127" s="16">
        <f t="shared" si="78"/>
        <v>1.7319963536918781E-2</v>
      </c>
      <c r="I127" s="16">
        <f t="shared" si="78"/>
        <v>2.9569892473118475E-2</v>
      </c>
      <c r="J127" s="16">
        <f t="shared" si="78"/>
        <v>4.2645778938207091E-2</v>
      </c>
      <c r="K127" s="16">
        <f t="shared" si="78"/>
        <v>1.6694490818029983E-2</v>
      </c>
      <c r="L127" s="16">
        <f t="shared" si="78"/>
        <v>1.3136288998357948E-2</v>
      </c>
      <c r="M127" s="16">
        <f t="shared" si="78"/>
        <v>0.12965964343598047</v>
      </c>
      <c r="N127" s="16">
        <f t="shared" si="78"/>
        <v>9.3974175035868024E-2</v>
      </c>
    </row>
    <row r="128" spans="2:14" ht="12.75" x14ac:dyDescent="0.2">
      <c r="B128" s="15" t="s">
        <v>55</v>
      </c>
      <c r="C128" s="172">
        <f>(N126/C126)^(1/COUNT(D126:N126))-1</f>
        <v>3.9108493961018453E-2</v>
      </c>
      <c r="D128" s="13"/>
      <c r="E128" s="12"/>
      <c r="F128" s="12"/>
      <c r="G128" s="12"/>
      <c r="H128" s="12"/>
      <c r="I128" s="12"/>
      <c r="J128" s="12"/>
    </row>
    <row r="129" spans="2:13" ht="12.75" x14ac:dyDescent="0.2">
      <c r="B129" s="14" t="s">
        <v>54</v>
      </c>
      <c r="C129" s="173">
        <f>C128</f>
        <v>3.9108493961018453E-2</v>
      </c>
      <c r="D129" s="13"/>
      <c r="E129" s="12"/>
      <c r="F129" s="12"/>
      <c r="G129" s="12"/>
      <c r="H129" s="12"/>
      <c r="I129" s="12"/>
      <c r="J129" s="12"/>
    </row>
    <row r="133" spans="2:13" ht="12.75" thickBot="1" x14ac:dyDescent="0.2"/>
    <row r="134" spans="2:13" ht="15.75" thickBot="1" x14ac:dyDescent="0.3">
      <c r="D134" s="225" t="s">
        <v>378</v>
      </c>
      <c r="E134" s="78">
        <f>+E20/10^5</f>
        <v>16.9188516</v>
      </c>
      <c r="F134" s="78">
        <f t="shared" ref="F134:M134" si="79">+F20/10^5</f>
        <v>15.226966400000004</v>
      </c>
      <c r="G134" s="78">
        <f t="shared" si="79"/>
        <v>13.704269760000008</v>
      </c>
      <c r="H134" s="78">
        <f t="shared" si="79"/>
        <v>12.333842784000002</v>
      </c>
      <c r="I134" s="78">
        <f t="shared" si="79"/>
        <v>11.100458505599999</v>
      </c>
      <c r="J134" s="78">
        <f t="shared" si="79"/>
        <v>9.9904126550399965</v>
      </c>
      <c r="K134" s="78">
        <f t="shared" si="79"/>
        <v>8.9913713895359937</v>
      </c>
      <c r="L134" s="78">
        <f t="shared" si="79"/>
        <v>8.092234250582397</v>
      </c>
      <c r="M134" s="78">
        <f t="shared" si="79"/>
        <v>7.2830108255241592</v>
      </c>
    </row>
    <row r="135" spans="2:13" ht="15.75" thickBot="1" x14ac:dyDescent="0.3">
      <c r="D135" s="226" t="s">
        <v>379</v>
      </c>
      <c r="E135" s="78">
        <f>+E28/10^5</f>
        <v>38.766985200000001</v>
      </c>
      <c r="F135" s="78">
        <f t="shared" ref="F135:M135" si="80">+F28/10^5</f>
        <v>32.951937390000005</v>
      </c>
      <c r="G135" s="78">
        <f t="shared" si="80"/>
        <v>28.009146781499997</v>
      </c>
      <c r="H135" s="78">
        <f t="shared" si="80"/>
        <v>23.807774764274996</v>
      </c>
      <c r="I135" s="78">
        <f t="shared" si="80"/>
        <v>20.236608549633754</v>
      </c>
      <c r="J135" s="78">
        <f t="shared" si="80"/>
        <v>17.201117267188689</v>
      </c>
      <c r="K135" s="78">
        <f t="shared" si="80"/>
        <v>14.620949677110382</v>
      </c>
      <c r="L135" s="78">
        <f t="shared" si="80"/>
        <v>12.427807225543834</v>
      </c>
      <c r="M135" s="78">
        <f t="shared" si="80"/>
        <v>10.563636141712255</v>
      </c>
    </row>
    <row r="136" spans="2:13" ht="15.75" thickBot="1" x14ac:dyDescent="0.3">
      <c r="D136" s="226" t="s">
        <v>380</v>
      </c>
      <c r="E136" s="78">
        <f>+E38/10^5</f>
        <v>7.2313241000000001</v>
      </c>
      <c r="F136" s="78">
        <f t="shared" ref="F136:M136" si="81">+F38/10^5</f>
        <v>6.5081917100000011</v>
      </c>
      <c r="G136" s="78">
        <f t="shared" si="81"/>
        <v>5.8573725390000009</v>
      </c>
      <c r="H136" s="78">
        <f t="shared" si="81"/>
        <v>5.2716352850999995</v>
      </c>
      <c r="I136" s="78">
        <f t="shared" si="81"/>
        <v>4.7444717565899994</v>
      </c>
      <c r="J136" s="78">
        <f t="shared" si="81"/>
        <v>4.2700245809310005</v>
      </c>
      <c r="K136" s="78">
        <f t="shared" si="81"/>
        <v>3.8430221228379011</v>
      </c>
      <c r="L136" s="78">
        <f t="shared" si="81"/>
        <v>3.4587199105541111</v>
      </c>
      <c r="M136" s="78">
        <f t="shared" si="81"/>
        <v>3.1128479194987007</v>
      </c>
    </row>
    <row r="137" spans="2:13" ht="15.75" thickBot="1" x14ac:dyDescent="0.3">
      <c r="D137" s="226" t="s">
        <v>381</v>
      </c>
      <c r="E137" s="78">
        <f>+E58/10^5</f>
        <v>0.48581089999999999</v>
      </c>
      <c r="F137" s="78">
        <f t="shared" ref="F137:M137" si="82">+F58/10^5</f>
        <v>0.29148652000000141</v>
      </c>
      <c r="G137" s="78">
        <f t="shared" si="82"/>
        <v>0.17489191200000048</v>
      </c>
      <c r="H137" s="78">
        <f t="shared" si="82"/>
        <v>0.10493514719999955</v>
      </c>
      <c r="I137" s="78">
        <f t="shared" si="82"/>
        <v>6.2961088320000094E-2</v>
      </c>
      <c r="J137" s="78">
        <f t="shared" si="82"/>
        <v>3.7776652992000802E-2</v>
      </c>
      <c r="K137" s="78">
        <f t="shared" si="82"/>
        <v>2.2665991795200856E-2</v>
      </c>
      <c r="L137" s="78">
        <f t="shared" si="82"/>
        <v>1.3599595077119768E-2</v>
      </c>
      <c r="M137" s="78">
        <f t="shared" si="82"/>
        <v>8.1597570462711155E-3</v>
      </c>
    </row>
    <row r="138" spans="2:13" ht="15.75" thickBot="1" x14ac:dyDescent="0.3">
      <c r="D138" s="226" t="s">
        <v>382</v>
      </c>
      <c r="E138" s="78">
        <f>+E48/10^5</f>
        <v>2.0026264999999999</v>
      </c>
      <c r="F138" s="78">
        <f t="shared" ref="F138:M138" si="83">+F48/10^5</f>
        <v>1.7022324600000001</v>
      </c>
      <c r="G138" s="78">
        <f t="shared" si="83"/>
        <v>1.4468975910000006</v>
      </c>
      <c r="H138" s="78">
        <f t="shared" si="83"/>
        <v>1.2298629523500006</v>
      </c>
      <c r="I138" s="78">
        <f t="shared" si="83"/>
        <v>1.0453835094975006</v>
      </c>
      <c r="J138" s="78">
        <f t="shared" si="83"/>
        <v>0.88857598307287566</v>
      </c>
      <c r="K138" s="78">
        <f t="shared" si="83"/>
        <v>0.75528958561194404</v>
      </c>
      <c r="L138" s="78">
        <f t="shared" si="83"/>
        <v>0.64199614777015213</v>
      </c>
      <c r="M138" s="78">
        <f t="shared" si="83"/>
        <v>0.54569672560462956</v>
      </c>
    </row>
    <row r="139" spans="2:13" ht="15.75" thickBot="1" x14ac:dyDescent="0.3">
      <c r="D139" s="226" t="s">
        <v>383</v>
      </c>
      <c r="E139" s="78">
        <f>+E68/10^5</f>
        <v>2.6094695000000003</v>
      </c>
      <c r="F139" s="78">
        <f t="shared" ref="F139:M139" si="84">+F68/10^5</f>
        <v>2.2180491150000003</v>
      </c>
      <c r="G139" s="78">
        <f t="shared" si="84"/>
        <v>1.8853417477500012</v>
      </c>
      <c r="H139" s="78">
        <f t="shared" si="84"/>
        <v>1.6025404855874998</v>
      </c>
      <c r="I139" s="78">
        <f t="shared" si="84"/>
        <v>1.3621594127493761</v>
      </c>
      <c r="J139" s="78">
        <f t="shared" si="84"/>
        <v>1.1578355008369703</v>
      </c>
      <c r="K139" s="78">
        <f t="shared" si="84"/>
        <v>0.984160175711425</v>
      </c>
      <c r="L139" s="78">
        <f t="shared" si="84"/>
        <v>0.8365361493547121</v>
      </c>
      <c r="M139" s="78">
        <f t="shared" si="84"/>
        <v>0.71105572695150598</v>
      </c>
    </row>
    <row r="140" spans="2:13" ht="15.75" thickBot="1" x14ac:dyDescent="0.3">
      <c r="D140" s="226" t="s">
        <v>384</v>
      </c>
      <c r="E140" s="78">
        <f>+E78/10^5</f>
        <v>7.2741393000000008</v>
      </c>
      <c r="F140" s="78">
        <f t="shared" ref="F140:M140" si="85">+F78/10^5</f>
        <v>6.1830184200000016</v>
      </c>
      <c r="G140" s="78">
        <f t="shared" si="85"/>
        <v>5.2555656570000018</v>
      </c>
      <c r="H140" s="78">
        <f t="shared" si="85"/>
        <v>4.4672308084499983</v>
      </c>
      <c r="I140" s="78">
        <f t="shared" si="85"/>
        <v>3.7971461871825007</v>
      </c>
      <c r="J140" s="78">
        <f t="shared" si="85"/>
        <v>3.2275742591051233</v>
      </c>
      <c r="K140" s="78">
        <f t="shared" si="85"/>
        <v>2.7434381202393525</v>
      </c>
      <c r="L140" s="78">
        <f t="shared" si="85"/>
        <v>2.3319224022034519</v>
      </c>
      <c r="M140" s="78">
        <f t="shared" si="85"/>
        <v>1.9821340418729334</v>
      </c>
    </row>
    <row r="141" spans="2:13" ht="15.75" thickBot="1" x14ac:dyDescent="0.3">
      <c r="D141" s="226" t="s">
        <v>385</v>
      </c>
      <c r="E141" s="78">
        <f>+E88/10^5</f>
        <v>20.9516049</v>
      </c>
      <c r="F141" s="78">
        <f t="shared" ref="F141:M141" si="86">+F88/10^5</f>
        <v>17.808864164999999</v>
      </c>
      <c r="G141" s="78">
        <f t="shared" si="86"/>
        <v>15.137534540249996</v>
      </c>
      <c r="H141" s="78">
        <f t="shared" si="86"/>
        <v>12.866904359212494</v>
      </c>
      <c r="I141" s="78">
        <f t="shared" si="86"/>
        <v>10.936868705330618</v>
      </c>
      <c r="J141" s="78">
        <f t="shared" si="86"/>
        <v>9.296338399531022</v>
      </c>
      <c r="K141" s="78">
        <f t="shared" si="86"/>
        <v>7.9018876396013793</v>
      </c>
      <c r="L141" s="78">
        <f t="shared" si="86"/>
        <v>6.7166044936611726</v>
      </c>
      <c r="M141" s="78">
        <f t="shared" si="86"/>
        <v>5.7091138196119884</v>
      </c>
    </row>
    <row r="142" spans="2:13" ht="15.75" thickBot="1" x14ac:dyDescent="0.3">
      <c r="D142" s="226" t="s">
        <v>386</v>
      </c>
      <c r="E142" s="78">
        <f>+E98/10^5</f>
        <v>0</v>
      </c>
      <c r="F142" s="78">
        <f t="shared" ref="F142:M142" si="87">+F98/10^5</f>
        <v>0</v>
      </c>
      <c r="G142" s="78">
        <f t="shared" si="87"/>
        <v>0</v>
      </c>
      <c r="H142" s="78">
        <f t="shared" si="87"/>
        <v>0</v>
      </c>
      <c r="I142" s="78">
        <f t="shared" si="87"/>
        <v>0</v>
      </c>
      <c r="J142" s="78">
        <f t="shared" si="87"/>
        <v>0</v>
      </c>
      <c r="K142" s="78">
        <f t="shared" si="87"/>
        <v>0</v>
      </c>
      <c r="L142" s="78">
        <f t="shared" si="87"/>
        <v>0</v>
      </c>
      <c r="M142" s="78">
        <f t="shared" si="87"/>
        <v>0</v>
      </c>
    </row>
    <row r="143" spans="2:13" ht="15.75" thickBot="1" x14ac:dyDescent="0.3">
      <c r="D143" s="226" t="s">
        <v>387</v>
      </c>
      <c r="E143" s="78">
        <f>+E108/10^5</f>
        <v>0.11901870000000001</v>
      </c>
      <c r="F143" s="78">
        <f t="shared" ref="F143:M143" si="88">+F108/10^5</f>
        <v>0.10116594000000002</v>
      </c>
      <c r="G143" s="78">
        <f t="shared" si="88"/>
        <v>8.5991049000000055E-2</v>
      </c>
      <c r="H143" s="78">
        <f t="shared" si="88"/>
        <v>7.3092391650000005E-2</v>
      </c>
      <c r="I143" s="78">
        <f t="shared" si="88"/>
        <v>6.212853290250004E-2</v>
      </c>
      <c r="J143" s="78">
        <f t="shared" si="88"/>
        <v>5.2809252967125041E-2</v>
      </c>
      <c r="K143" s="78">
        <f t="shared" si="88"/>
        <v>4.4887865022056293E-2</v>
      </c>
      <c r="L143" s="78">
        <f t="shared" si="88"/>
        <v>3.8154685268747823E-2</v>
      </c>
      <c r="M143" s="78">
        <f t="shared" si="88"/>
        <v>3.2431482478435643E-2</v>
      </c>
    </row>
    <row r="144" spans="2:13" ht="15.75" thickBot="1" x14ac:dyDescent="0.2">
      <c r="D144" s="227" t="s">
        <v>388</v>
      </c>
      <c r="E144" s="228">
        <f>SUM(E134:E143)</f>
        <v>96.359830700000003</v>
      </c>
      <c r="F144" s="228">
        <f t="shared" ref="F144:M144" si="89">SUM(F134:F143)</f>
        <v>82.991912120000009</v>
      </c>
      <c r="G144" s="228">
        <f t="shared" si="89"/>
        <v>71.55701157750002</v>
      </c>
      <c r="H144" s="228">
        <f t="shared" si="89"/>
        <v>61.757818977824989</v>
      </c>
      <c r="I144" s="228">
        <f t="shared" si="89"/>
        <v>53.348186247806247</v>
      </c>
      <c r="J144" s="228">
        <f t="shared" si="89"/>
        <v>46.122464551664798</v>
      </c>
      <c r="K144" s="228">
        <f t="shared" si="89"/>
        <v>39.907672567465632</v>
      </c>
      <c r="L144" s="228">
        <f t="shared" si="89"/>
        <v>34.557574860015706</v>
      </c>
      <c r="M144" s="228">
        <f t="shared" si="89"/>
        <v>29.94808644030088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A2:W235"/>
  <sheetViews>
    <sheetView tabSelected="1" topLeftCell="A130" zoomScaleNormal="100" workbookViewId="0">
      <selection activeCell="J145" sqref="J145"/>
    </sheetView>
  </sheetViews>
  <sheetFormatPr defaultRowHeight="15" x14ac:dyDescent="0.25"/>
  <cols>
    <col min="1" max="1" width="9.140625" style="120"/>
    <col min="2" max="2" width="14.5703125" style="133" customWidth="1"/>
    <col min="3" max="3" width="15.7109375" style="195" customWidth="1"/>
    <col min="4" max="4" width="14.85546875" style="120" bestFit="1" customWidth="1"/>
    <col min="5" max="5" width="16" style="120" bestFit="1" customWidth="1"/>
    <col min="6" max="6" width="15.85546875" style="120" bestFit="1" customWidth="1"/>
    <col min="7" max="7" width="14.85546875" style="120" bestFit="1" customWidth="1"/>
    <col min="8" max="8" width="7" style="120" bestFit="1" customWidth="1"/>
    <col min="9" max="9" width="15.85546875" style="120" bestFit="1" customWidth="1"/>
    <col min="10" max="10" width="12.5703125" style="120" bestFit="1" customWidth="1"/>
    <col min="11" max="11" width="20.28515625" style="120" bestFit="1" customWidth="1"/>
    <col min="12" max="12" width="30.28515625" style="120" bestFit="1" customWidth="1"/>
    <col min="13" max="13" width="9.5703125" style="120" bestFit="1" customWidth="1"/>
    <col min="14" max="15" width="9.28515625" style="120" bestFit="1" customWidth="1"/>
    <col min="16" max="16" width="19.28515625" style="120" customWidth="1"/>
    <col min="17" max="19" width="9.28515625" style="120" bestFit="1" customWidth="1"/>
    <col min="20" max="257" width="9.140625" style="120"/>
    <col min="258" max="258" width="14.5703125" style="120" customWidth="1"/>
    <col min="259" max="259" width="15.7109375" style="120" customWidth="1"/>
    <col min="260" max="260" width="15.85546875" style="120" customWidth="1"/>
    <col min="261" max="262" width="15.5703125" style="120" bestFit="1" customWidth="1"/>
    <col min="263" max="263" width="15" style="120" customWidth="1"/>
    <col min="264" max="264" width="7.42578125" style="120" customWidth="1"/>
    <col min="265" max="265" width="16.28515625" style="120" customWidth="1"/>
    <col min="266" max="267" width="14.5703125" style="120" bestFit="1" customWidth="1"/>
    <col min="268" max="268" width="14.42578125" style="120" bestFit="1" customWidth="1"/>
    <col min="269" max="271" width="9.140625" style="120"/>
    <col min="272" max="272" width="19.28515625" style="120" customWidth="1"/>
    <col min="273" max="513" width="9.140625" style="120"/>
    <col min="514" max="514" width="14.5703125" style="120" customWidth="1"/>
    <col min="515" max="515" width="15.7109375" style="120" customWidth="1"/>
    <col min="516" max="516" width="15.85546875" style="120" customWidth="1"/>
    <col min="517" max="518" width="15.5703125" style="120" bestFit="1" customWidth="1"/>
    <col min="519" max="519" width="15" style="120" customWidth="1"/>
    <col min="520" max="520" width="7.42578125" style="120" customWidth="1"/>
    <col min="521" max="521" width="16.28515625" style="120" customWidth="1"/>
    <col min="522" max="523" width="14.5703125" style="120" bestFit="1" customWidth="1"/>
    <col min="524" max="524" width="14.42578125" style="120" bestFit="1" customWidth="1"/>
    <col min="525" max="527" width="9.140625" style="120"/>
    <col min="528" max="528" width="19.28515625" style="120" customWidth="1"/>
    <col min="529" max="769" width="9.140625" style="120"/>
    <col min="770" max="770" width="14.5703125" style="120" customWidth="1"/>
    <col min="771" max="771" width="15.7109375" style="120" customWidth="1"/>
    <col min="772" max="772" width="15.85546875" style="120" customWidth="1"/>
    <col min="773" max="774" width="15.5703125" style="120" bestFit="1" customWidth="1"/>
    <col min="775" max="775" width="15" style="120" customWidth="1"/>
    <col min="776" max="776" width="7.42578125" style="120" customWidth="1"/>
    <col min="777" max="777" width="16.28515625" style="120" customWidth="1"/>
    <col min="778" max="779" width="14.5703125" style="120" bestFit="1" customWidth="1"/>
    <col min="780" max="780" width="14.42578125" style="120" bestFit="1" customWidth="1"/>
    <col min="781" max="783" width="9.140625" style="120"/>
    <col min="784" max="784" width="19.28515625" style="120" customWidth="1"/>
    <col min="785" max="1025" width="9.140625" style="120"/>
    <col min="1026" max="1026" width="14.5703125" style="120" customWidth="1"/>
    <col min="1027" max="1027" width="15.7109375" style="120" customWidth="1"/>
    <col min="1028" max="1028" width="15.85546875" style="120" customWidth="1"/>
    <col min="1029" max="1030" width="15.5703125" style="120" bestFit="1" customWidth="1"/>
    <col min="1031" max="1031" width="15" style="120" customWidth="1"/>
    <col min="1032" max="1032" width="7.42578125" style="120" customWidth="1"/>
    <col min="1033" max="1033" width="16.28515625" style="120" customWidth="1"/>
    <col min="1034" max="1035" width="14.5703125" style="120" bestFit="1" customWidth="1"/>
    <col min="1036" max="1036" width="14.42578125" style="120" bestFit="1" customWidth="1"/>
    <col min="1037" max="1039" width="9.140625" style="120"/>
    <col min="1040" max="1040" width="19.28515625" style="120" customWidth="1"/>
    <col min="1041" max="1281" width="9.140625" style="120"/>
    <col min="1282" max="1282" width="14.5703125" style="120" customWidth="1"/>
    <col min="1283" max="1283" width="15.7109375" style="120" customWidth="1"/>
    <col min="1284" max="1284" width="15.85546875" style="120" customWidth="1"/>
    <col min="1285" max="1286" width="15.5703125" style="120" bestFit="1" customWidth="1"/>
    <col min="1287" max="1287" width="15" style="120" customWidth="1"/>
    <col min="1288" max="1288" width="7.42578125" style="120" customWidth="1"/>
    <col min="1289" max="1289" width="16.28515625" style="120" customWidth="1"/>
    <col min="1290" max="1291" width="14.5703125" style="120" bestFit="1" customWidth="1"/>
    <col min="1292" max="1292" width="14.42578125" style="120" bestFit="1" customWidth="1"/>
    <col min="1293" max="1295" width="9.140625" style="120"/>
    <col min="1296" max="1296" width="19.28515625" style="120" customWidth="1"/>
    <col min="1297" max="1537" width="9.140625" style="120"/>
    <col min="1538" max="1538" width="14.5703125" style="120" customWidth="1"/>
    <col min="1539" max="1539" width="15.7109375" style="120" customWidth="1"/>
    <col min="1540" max="1540" width="15.85546875" style="120" customWidth="1"/>
    <col min="1541" max="1542" width="15.5703125" style="120" bestFit="1" customWidth="1"/>
    <col min="1543" max="1543" width="15" style="120" customWidth="1"/>
    <col min="1544" max="1544" width="7.42578125" style="120" customWidth="1"/>
    <col min="1545" max="1545" width="16.28515625" style="120" customWidth="1"/>
    <col min="1546" max="1547" width="14.5703125" style="120" bestFit="1" customWidth="1"/>
    <col min="1548" max="1548" width="14.42578125" style="120" bestFit="1" customWidth="1"/>
    <col min="1549" max="1551" width="9.140625" style="120"/>
    <col min="1552" max="1552" width="19.28515625" style="120" customWidth="1"/>
    <col min="1553" max="1793" width="9.140625" style="120"/>
    <col min="1794" max="1794" width="14.5703125" style="120" customWidth="1"/>
    <col min="1795" max="1795" width="15.7109375" style="120" customWidth="1"/>
    <col min="1796" max="1796" width="15.85546875" style="120" customWidth="1"/>
    <col min="1797" max="1798" width="15.5703125" style="120" bestFit="1" customWidth="1"/>
    <col min="1799" max="1799" width="15" style="120" customWidth="1"/>
    <col min="1800" max="1800" width="7.42578125" style="120" customWidth="1"/>
    <col min="1801" max="1801" width="16.28515625" style="120" customWidth="1"/>
    <col min="1802" max="1803" width="14.5703125" style="120" bestFit="1" customWidth="1"/>
    <col min="1804" max="1804" width="14.42578125" style="120" bestFit="1" customWidth="1"/>
    <col min="1805" max="1807" width="9.140625" style="120"/>
    <col min="1808" max="1808" width="19.28515625" style="120" customWidth="1"/>
    <col min="1809" max="2049" width="9.140625" style="120"/>
    <col min="2050" max="2050" width="14.5703125" style="120" customWidth="1"/>
    <col min="2051" max="2051" width="15.7109375" style="120" customWidth="1"/>
    <col min="2052" max="2052" width="15.85546875" style="120" customWidth="1"/>
    <col min="2053" max="2054" width="15.5703125" style="120" bestFit="1" customWidth="1"/>
    <col min="2055" max="2055" width="15" style="120" customWidth="1"/>
    <col min="2056" max="2056" width="7.42578125" style="120" customWidth="1"/>
    <col min="2057" max="2057" width="16.28515625" style="120" customWidth="1"/>
    <col min="2058" max="2059" width="14.5703125" style="120" bestFit="1" customWidth="1"/>
    <col min="2060" max="2060" width="14.42578125" style="120" bestFit="1" customWidth="1"/>
    <col min="2061" max="2063" width="9.140625" style="120"/>
    <col min="2064" max="2064" width="19.28515625" style="120" customWidth="1"/>
    <col min="2065" max="2305" width="9.140625" style="120"/>
    <col min="2306" max="2306" width="14.5703125" style="120" customWidth="1"/>
    <col min="2307" max="2307" width="15.7109375" style="120" customWidth="1"/>
    <col min="2308" max="2308" width="15.85546875" style="120" customWidth="1"/>
    <col min="2309" max="2310" width="15.5703125" style="120" bestFit="1" customWidth="1"/>
    <col min="2311" max="2311" width="15" style="120" customWidth="1"/>
    <col min="2312" max="2312" width="7.42578125" style="120" customWidth="1"/>
    <col min="2313" max="2313" width="16.28515625" style="120" customWidth="1"/>
    <col min="2314" max="2315" width="14.5703125" style="120" bestFit="1" customWidth="1"/>
    <col min="2316" max="2316" width="14.42578125" style="120" bestFit="1" customWidth="1"/>
    <col min="2317" max="2319" width="9.140625" style="120"/>
    <col min="2320" max="2320" width="19.28515625" style="120" customWidth="1"/>
    <col min="2321" max="2561" width="9.140625" style="120"/>
    <col min="2562" max="2562" width="14.5703125" style="120" customWidth="1"/>
    <col min="2563" max="2563" width="15.7109375" style="120" customWidth="1"/>
    <col min="2564" max="2564" width="15.85546875" style="120" customWidth="1"/>
    <col min="2565" max="2566" width="15.5703125" style="120" bestFit="1" customWidth="1"/>
    <col min="2567" max="2567" width="15" style="120" customWidth="1"/>
    <col min="2568" max="2568" width="7.42578125" style="120" customWidth="1"/>
    <col min="2569" max="2569" width="16.28515625" style="120" customWidth="1"/>
    <col min="2570" max="2571" width="14.5703125" style="120" bestFit="1" customWidth="1"/>
    <col min="2572" max="2572" width="14.42578125" style="120" bestFit="1" customWidth="1"/>
    <col min="2573" max="2575" width="9.140625" style="120"/>
    <col min="2576" max="2576" width="19.28515625" style="120" customWidth="1"/>
    <col min="2577" max="2817" width="9.140625" style="120"/>
    <col min="2818" max="2818" width="14.5703125" style="120" customWidth="1"/>
    <col min="2819" max="2819" width="15.7109375" style="120" customWidth="1"/>
    <col min="2820" max="2820" width="15.85546875" style="120" customWidth="1"/>
    <col min="2821" max="2822" width="15.5703125" style="120" bestFit="1" customWidth="1"/>
    <col min="2823" max="2823" width="15" style="120" customWidth="1"/>
    <col min="2824" max="2824" width="7.42578125" style="120" customWidth="1"/>
    <col min="2825" max="2825" width="16.28515625" style="120" customWidth="1"/>
    <col min="2826" max="2827" width="14.5703125" style="120" bestFit="1" customWidth="1"/>
    <col min="2828" max="2828" width="14.42578125" style="120" bestFit="1" customWidth="1"/>
    <col min="2829" max="2831" width="9.140625" style="120"/>
    <col min="2832" max="2832" width="19.28515625" style="120" customWidth="1"/>
    <col min="2833" max="3073" width="9.140625" style="120"/>
    <col min="3074" max="3074" width="14.5703125" style="120" customWidth="1"/>
    <col min="3075" max="3075" width="15.7109375" style="120" customWidth="1"/>
    <col min="3076" max="3076" width="15.85546875" style="120" customWidth="1"/>
    <col min="3077" max="3078" width="15.5703125" style="120" bestFit="1" customWidth="1"/>
    <col min="3079" max="3079" width="15" style="120" customWidth="1"/>
    <col min="3080" max="3080" width="7.42578125" style="120" customWidth="1"/>
    <col min="3081" max="3081" width="16.28515625" style="120" customWidth="1"/>
    <col min="3082" max="3083" width="14.5703125" style="120" bestFit="1" customWidth="1"/>
    <col min="3084" max="3084" width="14.42578125" style="120" bestFit="1" customWidth="1"/>
    <col min="3085" max="3087" width="9.140625" style="120"/>
    <col min="3088" max="3088" width="19.28515625" style="120" customWidth="1"/>
    <col min="3089" max="3329" width="9.140625" style="120"/>
    <col min="3330" max="3330" width="14.5703125" style="120" customWidth="1"/>
    <col min="3331" max="3331" width="15.7109375" style="120" customWidth="1"/>
    <col min="3332" max="3332" width="15.85546875" style="120" customWidth="1"/>
    <col min="3333" max="3334" width="15.5703125" style="120" bestFit="1" customWidth="1"/>
    <col min="3335" max="3335" width="15" style="120" customWidth="1"/>
    <col min="3336" max="3336" width="7.42578125" style="120" customWidth="1"/>
    <col min="3337" max="3337" width="16.28515625" style="120" customWidth="1"/>
    <col min="3338" max="3339" width="14.5703125" style="120" bestFit="1" customWidth="1"/>
    <col min="3340" max="3340" width="14.42578125" style="120" bestFit="1" customWidth="1"/>
    <col min="3341" max="3343" width="9.140625" style="120"/>
    <col min="3344" max="3344" width="19.28515625" style="120" customWidth="1"/>
    <col min="3345" max="3585" width="9.140625" style="120"/>
    <col min="3586" max="3586" width="14.5703125" style="120" customWidth="1"/>
    <col min="3587" max="3587" width="15.7109375" style="120" customWidth="1"/>
    <col min="3588" max="3588" width="15.85546875" style="120" customWidth="1"/>
    <col min="3589" max="3590" width="15.5703125" style="120" bestFit="1" customWidth="1"/>
    <col min="3591" max="3591" width="15" style="120" customWidth="1"/>
    <col min="3592" max="3592" width="7.42578125" style="120" customWidth="1"/>
    <col min="3593" max="3593" width="16.28515625" style="120" customWidth="1"/>
    <col min="3594" max="3595" width="14.5703125" style="120" bestFit="1" customWidth="1"/>
    <col min="3596" max="3596" width="14.42578125" style="120" bestFit="1" customWidth="1"/>
    <col min="3597" max="3599" width="9.140625" style="120"/>
    <col min="3600" max="3600" width="19.28515625" style="120" customWidth="1"/>
    <col min="3601" max="3841" width="9.140625" style="120"/>
    <col min="3842" max="3842" width="14.5703125" style="120" customWidth="1"/>
    <col min="3843" max="3843" width="15.7109375" style="120" customWidth="1"/>
    <col min="3844" max="3844" width="15.85546875" style="120" customWidth="1"/>
    <col min="3845" max="3846" width="15.5703125" style="120" bestFit="1" customWidth="1"/>
    <col min="3847" max="3847" width="15" style="120" customWidth="1"/>
    <col min="3848" max="3848" width="7.42578125" style="120" customWidth="1"/>
    <col min="3849" max="3849" width="16.28515625" style="120" customWidth="1"/>
    <col min="3850" max="3851" width="14.5703125" style="120" bestFit="1" customWidth="1"/>
    <col min="3852" max="3852" width="14.42578125" style="120" bestFit="1" customWidth="1"/>
    <col min="3853" max="3855" width="9.140625" style="120"/>
    <col min="3856" max="3856" width="19.28515625" style="120" customWidth="1"/>
    <col min="3857" max="4097" width="9.140625" style="120"/>
    <col min="4098" max="4098" width="14.5703125" style="120" customWidth="1"/>
    <col min="4099" max="4099" width="15.7109375" style="120" customWidth="1"/>
    <col min="4100" max="4100" width="15.85546875" style="120" customWidth="1"/>
    <col min="4101" max="4102" width="15.5703125" style="120" bestFit="1" customWidth="1"/>
    <col min="4103" max="4103" width="15" style="120" customWidth="1"/>
    <col min="4104" max="4104" width="7.42578125" style="120" customWidth="1"/>
    <col min="4105" max="4105" width="16.28515625" style="120" customWidth="1"/>
    <col min="4106" max="4107" width="14.5703125" style="120" bestFit="1" customWidth="1"/>
    <col min="4108" max="4108" width="14.42578125" style="120" bestFit="1" customWidth="1"/>
    <col min="4109" max="4111" width="9.140625" style="120"/>
    <col min="4112" max="4112" width="19.28515625" style="120" customWidth="1"/>
    <col min="4113" max="4353" width="9.140625" style="120"/>
    <col min="4354" max="4354" width="14.5703125" style="120" customWidth="1"/>
    <col min="4355" max="4355" width="15.7109375" style="120" customWidth="1"/>
    <col min="4356" max="4356" width="15.85546875" style="120" customWidth="1"/>
    <col min="4357" max="4358" width="15.5703125" style="120" bestFit="1" customWidth="1"/>
    <col min="4359" max="4359" width="15" style="120" customWidth="1"/>
    <col min="4360" max="4360" width="7.42578125" style="120" customWidth="1"/>
    <col min="4361" max="4361" width="16.28515625" style="120" customWidth="1"/>
    <col min="4362" max="4363" width="14.5703125" style="120" bestFit="1" customWidth="1"/>
    <col min="4364" max="4364" width="14.42578125" style="120" bestFit="1" customWidth="1"/>
    <col min="4365" max="4367" width="9.140625" style="120"/>
    <col min="4368" max="4368" width="19.28515625" style="120" customWidth="1"/>
    <col min="4369" max="4609" width="9.140625" style="120"/>
    <col min="4610" max="4610" width="14.5703125" style="120" customWidth="1"/>
    <col min="4611" max="4611" width="15.7109375" style="120" customWidth="1"/>
    <col min="4612" max="4612" width="15.85546875" style="120" customWidth="1"/>
    <col min="4613" max="4614" width="15.5703125" style="120" bestFit="1" customWidth="1"/>
    <col min="4615" max="4615" width="15" style="120" customWidth="1"/>
    <col min="4616" max="4616" width="7.42578125" style="120" customWidth="1"/>
    <col min="4617" max="4617" width="16.28515625" style="120" customWidth="1"/>
    <col min="4618" max="4619" width="14.5703125" style="120" bestFit="1" customWidth="1"/>
    <col min="4620" max="4620" width="14.42578125" style="120" bestFit="1" customWidth="1"/>
    <col min="4621" max="4623" width="9.140625" style="120"/>
    <col min="4624" max="4624" width="19.28515625" style="120" customWidth="1"/>
    <col min="4625" max="4865" width="9.140625" style="120"/>
    <col min="4866" max="4866" width="14.5703125" style="120" customWidth="1"/>
    <col min="4867" max="4867" width="15.7109375" style="120" customWidth="1"/>
    <col min="4868" max="4868" width="15.85546875" style="120" customWidth="1"/>
    <col min="4869" max="4870" width="15.5703125" style="120" bestFit="1" customWidth="1"/>
    <col min="4871" max="4871" width="15" style="120" customWidth="1"/>
    <col min="4872" max="4872" width="7.42578125" style="120" customWidth="1"/>
    <col min="4873" max="4873" width="16.28515625" style="120" customWidth="1"/>
    <col min="4874" max="4875" width="14.5703125" style="120" bestFit="1" customWidth="1"/>
    <col min="4876" max="4876" width="14.42578125" style="120" bestFit="1" customWidth="1"/>
    <col min="4877" max="4879" width="9.140625" style="120"/>
    <col min="4880" max="4880" width="19.28515625" style="120" customWidth="1"/>
    <col min="4881" max="5121" width="9.140625" style="120"/>
    <col min="5122" max="5122" width="14.5703125" style="120" customWidth="1"/>
    <col min="5123" max="5123" width="15.7109375" style="120" customWidth="1"/>
    <col min="5124" max="5124" width="15.85546875" style="120" customWidth="1"/>
    <col min="5125" max="5126" width="15.5703125" style="120" bestFit="1" customWidth="1"/>
    <col min="5127" max="5127" width="15" style="120" customWidth="1"/>
    <col min="5128" max="5128" width="7.42578125" style="120" customWidth="1"/>
    <col min="5129" max="5129" width="16.28515625" style="120" customWidth="1"/>
    <col min="5130" max="5131" width="14.5703125" style="120" bestFit="1" customWidth="1"/>
    <col min="5132" max="5132" width="14.42578125" style="120" bestFit="1" customWidth="1"/>
    <col min="5133" max="5135" width="9.140625" style="120"/>
    <col min="5136" max="5136" width="19.28515625" style="120" customWidth="1"/>
    <col min="5137" max="5377" width="9.140625" style="120"/>
    <col min="5378" max="5378" width="14.5703125" style="120" customWidth="1"/>
    <col min="5379" max="5379" width="15.7109375" style="120" customWidth="1"/>
    <col min="5380" max="5380" width="15.85546875" style="120" customWidth="1"/>
    <col min="5381" max="5382" width="15.5703125" style="120" bestFit="1" customWidth="1"/>
    <col min="5383" max="5383" width="15" style="120" customWidth="1"/>
    <col min="5384" max="5384" width="7.42578125" style="120" customWidth="1"/>
    <col min="5385" max="5385" width="16.28515625" style="120" customWidth="1"/>
    <col min="5386" max="5387" width="14.5703125" style="120" bestFit="1" customWidth="1"/>
    <col min="5388" max="5388" width="14.42578125" style="120" bestFit="1" customWidth="1"/>
    <col min="5389" max="5391" width="9.140625" style="120"/>
    <col min="5392" max="5392" width="19.28515625" style="120" customWidth="1"/>
    <col min="5393" max="5633" width="9.140625" style="120"/>
    <col min="5634" max="5634" width="14.5703125" style="120" customWidth="1"/>
    <col min="5635" max="5635" width="15.7109375" style="120" customWidth="1"/>
    <col min="5636" max="5636" width="15.85546875" style="120" customWidth="1"/>
    <col min="5637" max="5638" width="15.5703125" style="120" bestFit="1" customWidth="1"/>
    <col min="5639" max="5639" width="15" style="120" customWidth="1"/>
    <col min="5640" max="5640" width="7.42578125" style="120" customWidth="1"/>
    <col min="5641" max="5641" width="16.28515625" style="120" customWidth="1"/>
    <col min="5642" max="5643" width="14.5703125" style="120" bestFit="1" customWidth="1"/>
    <col min="5644" max="5644" width="14.42578125" style="120" bestFit="1" customWidth="1"/>
    <col min="5645" max="5647" width="9.140625" style="120"/>
    <col min="5648" max="5648" width="19.28515625" style="120" customWidth="1"/>
    <col min="5649" max="5889" width="9.140625" style="120"/>
    <col min="5890" max="5890" width="14.5703125" style="120" customWidth="1"/>
    <col min="5891" max="5891" width="15.7109375" style="120" customWidth="1"/>
    <col min="5892" max="5892" width="15.85546875" style="120" customWidth="1"/>
    <col min="5893" max="5894" width="15.5703125" style="120" bestFit="1" customWidth="1"/>
    <col min="5895" max="5895" width="15" style="120" customWidth="1"/>
    <col min="5896" max="5896" width="7.42578125" style="120" customWidth="1"/>
    <col min="5897" max="5897" width="16.28515625" style="120" customWidth="1"/>
    <col min="5898" max="5899" width="14.5703125" style="120" bestFit="1" customWidth="1"/>
    <col min="5900" max="5900" width="14.42578125" style="120" bestFit="1" customWidth="1"/>
    <col min="5901" max="5903" width="9.140625" style="120"/>
    <col min="5904" max="5904" width="19.28515625" style="120" customWidth="1"/>
    <col min="5905" max="6145" width="9.140625" style="120"/>
    <col min="6146" max="6146" width="14.5703125" style="120" customWidth="1"/>
    <col min="6147" max="6147" width="15.7109375" style="120" customWidth="1"/>
    <col min="6148" max="6148" width="15.85546875" style="120" customWidth="1"/>
    <col min="6149" max="6150" width="15.5703125" style="120" bestFit="1" customWidth="1"/>
    <col min="6151" max="6151" width="15" style="120" customWidth="1"/>
    <col min="6152" max="6152" width="7.42578125" style="120" customWidth="1"/>
    <col min="6153" max="6153" width="16.28515625" style="120" customWidth="1"/>
    <col min="6154" max="6155" width="14.5703125" style="120" bestFit="1" customWidth="1"/>
    <col min="6156" max="6156" width="14.42578125" style="120" bestFit="1" customWidth="1"/>
    <col min="6157" max="6159" width="9.140625" style="120"/>
    <col min="6160" max="6160" width="19.28515625" style="120" customWidth="1"/>
    <col min="6161" max="6401" width="9.140625" style="120"/>
    <col min="6402" max="6402" width="14.5703125" style="120" customWidth="1"/>
    <col min="6403" max="6403" width="15.7109375" style="120" customWidth="1"/>
    <col min="6404" max="6404" width="15.85546875" style="120" customWidth="1"/>
    <col min="6405" max="6406" width="15.5703125" style="120" bestFit="1" customWidth="1"/>
    <col min="6407" max="6407" width="15" style="120" customWidth="1"/>
    <col min="6408" max="6408" width="7.42578125" style="120" customWidth="1"/>
    <col min="6409" max="6409" width="16.28515625" style="120" customWidth="1"/>
    <col min="6410" max="6411" width="14.5703125" style="120" bestFit="1" customWidth="1"/>
    <col min="6412" max="6412" width="14.42578125" style="120" bestFit="1" customWidth="1"/>
    <col min="6413" max="6415" width="9.140625" style="120"/>
    <col min="6416" max="6416" width="19.28515625" style="120" customWidth="1"/>
    <col min="6417" max="6657" width="9.140625" style="120"/>
    <col min="6658" max="6658" width="14.5703125" style="120" customWidth="1"/>
    <col min="6659" max="6659" width="15.7109375" style="120" customWidth="1"/>
    <col min="6660" max="6660" width="15.85546875" style="120" customWidth="1"/>
    <col min="6661" max="6662" width="15.5703125" style="120" bestFit="1" customWidth="1"/>
    <col min="6663" max="6663" width="15" style="120" customWidth="1"/>
    <col min="6664" max="6664" width="7.42578125" style="120" customWidth="1"/>
    <col min="6665" max="6665" width="16.28515625" style="120" customWidth="1"/>
    <col min="6666" max="6667" width="14.5703125" style="120" bestFit="1" customWidth="1"/>
    <col min="6668" max="6668" width="14.42578125" style="120" bestFit="1" customWidth="1"/>
    <col min="6669" max="6671" width="9.140625" style="120"/>
    <col min="6672" max="6672" width="19.28515625" style="120" customWidth="1"/>
    <col min="6673" max="6913" width="9.140625" style="120"/>
    <col min="6914" max="6914" width="14.5703125" style="120" customWidth="1"/>
    <col min="6915" max="6915" width="15.7109375" style="120" customWidth="1"/>
    <col min="6916" max="6916" width="15.85546875" style="120" customWidth="1"/>
    <col min="6917" max="6918" width="15.5703125" style="120" bestFit="1" customWidth="1"/>
    <col min="6919" max="6919" width="15" style="120" customWidth="1"/>
    <col min="6920" max="6920" width="7.42578125" style="120" customWidth="1"/>
    <col min="6921" max="6921" width="16.28515625" style="120" customWidth="1"/>
    <col min="6922" max="6923" width="14.5703125" style="120" bestFit="1" customWidth="1"/>
    <col min="6924" max="6924" width="14.42578125" style="120" bestFit="1" customWidth="1"/>
    <col min="6925" max="6927" width="9.140625" style="120"/>
    <col min="6928" max="6928" width="19.28515625" style="120" customWidth="1"/>
    <col min="6929" max="7169" width="9.140625" style="120"/>
    <col min="7170" max="7170" width="14.5703125" style="120" customWidth="1"/>
    <col min="7171" max="7171" width="15.7109375" style="120" customWidth="1"/>
    <col min="7172" max="7172" width="15.85546875" style="120" customWidth="1"/>
    <col min="7173" max="7174" width="15.5703125" style="120" bestFit="1" customWidth="1"/>
    <col min="7175" max="7175" width="15" style="120" customWidth="1"/>
    <col min="7176" max="7176" width="7.42578125" style="120" customWidth="1"/>
    <col min="7177" max="7177" width="16.28515625" style="120" customWidth="1"/>
    <col min="7178" max="7179" width="14.5703125" style="120" bestFit="1" customWidth="1"/>
    <col min="7180" max="7180" width="14.42578125" style="120" bestFit="1" customWidth="1"/>
    <col min="7181" max="7183" width="9.140625" style="120"/>
    <col min="7184" max="7184" width="19.28515625" style="120" customWidth="1"/>
    <col min="7185" max="7425" width="9.140625" style="120"/>
    <col min="7426" max="7426" width="14.5703125" style="120" customWidth="1"/>
    <col min="7427" max="7427" width="15.7109375" style="120" customWidth="1"/>
    <col min="7428" max="7428" width="15.85546875" style="120" customWidth="1"/>
    <col min="7429" max="7430" width="15.5703125" style="120" bestFit="1" customWidth="1"/>
    <col min="7431" max="7431" width="15" style="120" customWidth="1"/>
    <col min="7432" max="7432" width="7.42578125" style="120" customWidth="1"/>
    <col min="7433" max="7433" width="16.28515625" style="120" customWidth="1"/>
    <col min="7434" max="7435" width="14.5703125" style="120" bestFit="1" customWidth="1"/>
    <col min="7436" max="7436" width="14.42578125" style="120" bestFit="1" customWidth="1"/>
    <col min="7437" max="7439" width="9.140625" style="120"/>
    <col min="7440" max="7440" width="19.28515625" style="120" customWidth="1"/>
    <col min="7441" max="7681" width="9.140625" style="120"/>
    <col min="7682" max="7682" width="14.5703125" style="120" customWidth="1"/>
    <col min="7683" max="7683" width="15.7109375" style="120" customWidth="1"/>
    <col min="7684" max="7684" width="15.85546875" style="120" customWidth="1"/>
    <col min="7685" max="7686" width="15.5703125" style="120" bestFit="1" customWidth="1"/>
    <col min="7687" max="7687" width="15" style="120" customWidth="1"/>
    <col min="7688" max="7688" width="7.42578125" style="120" customWidth="1"/>
    <col min="7689" max="7689" width="16.28515625" style="120" customWidth="1"/>
    <col min="7690" max="7691" width="14.5703125" style="120" bestFit="1" customWidth="1"/>
    <col min="7692" max="7692" width="14.42578125" style="120" bestFit="1" customWidth="1"/>
    <col min="7693" max="7695" width="9.140625" style="120"/>
    <col min="7696" max="7696" width="19.28515625" style="120" customWidth="1"/>
    <col min="7697" max="7937" width="9.140625" style="120"/>
    <col min="7938" max="7938" width="14.5703125" style="120" customWidth="1"/>
    <col min="7939" max="7939" width="15.7109375" style="120" customWidth="1"/>
    <col min="7940" max="7940" width="15.85546875" style="120" customWidth="1"/>
    <col min="7941" max="7942" width="15.5703125" style="120" bestFit="1" customWidth="1"/>
    <col min="7943" max="7943" width="15" style="120" customWidth="1"/>
    <col min="7944" max="7944" width="7.42578125" style="120" customWidth="1"/>
    <col min="7945" max="7945" width="16.28515625" style="120" customWidth="1"/>
    <col min="7946" max="7947" width="14.5703125" style="120" bestFit="1" customWidth="1"/>
    <col min="7948" max="7948" width="14.42578125" style="120" bestFit="1" customWidth="1"/>
    <col min="7949" max="7951" width="9.140625" style="120"/>
    <col min="7952" max="7952" width="19.28515625" style="120" customWidth="1"/>
    <col min="7953" max="8193" width="9.140625" style="120"/>
    <col min="8194" max="8194" width="14.5703125" style="120" customWidth="1"/>
    <col min="8195" max="8195" width="15.7109375" style="120" customWidth="1"/>
    <col min="8196" max="8196" width="15.85546875" style="120" customWidth="1"/>
    <col min="8197" max="8198" width="15.5703125" style="120" bestFit="1" customWidth="1"/>
    <col min="8199" max="8199" width="15" style="120" customWidth="1"/>
    <col min="8200" max="8200" width="7.42578125" style="120" customWidth="1"/>
    <col min="8201" max="8201" width="16.28515625" style="120" customWidth="1"/>
    <col min="8202" max="8203" width="14.5703125" style="120" bestFit="1" customWidth="1"/>
    <col min="8204" max="8204" width="14.42578125" style="120" bestFit="1" customWidth="1"/>
    <col min="8205" max="8207" width="9.140625" style="120"/>
    <col min="8208" max="8208" width="19.28515625" style="120" customWidth="1"/>
    <col min="8209" max="8449" width="9.140625" style="120"/>
    <col min="8450" max="8450" width="14.5703125" style="120" customWidth="1"/>
    <col min="8451" max="8451" width="15.7109375" style="120" customWidth="1"/>
    <col min="8452" max="8452" width="15.85546875" style="120" customWidth="1"/>
    <col min="8453" max="8454" width="15.5703125" style="120" bestFit="1" customWidth="1"/>
    <col min="8455" max="8455" width="15" style="120" customWidth="1"/>
    <col min="8456" max="8456" width="7.42578125" style="120" customWidth="1"/>
    <col min="8457" max="8457" width="16.28515625" style="120" customWidth="1"/>
    <col min="8458" max="8459" width="14.5703125" style="120" bestFit="1" customWidth="1"/>
    <col min="8460" max="8460" width="14.42578125" style="120" bestFit="1" customWidth="1"/>
    <col min="8461" max="8463" width="9.140625" style="120"/>
    <col min="8464" max="8464" width="19.28515625" style="120" customWidth="1"/>
    <col min="8465" max="8705" width="9.140625" style="120"/>
    <col min="8706" max="8706" width="14.5703125" style="120" customWidth="1"/>
    <col min="8707" max="8707" width="15.7109375" style="120" customWidth="1"/>
    <col min="8708" max="8708" width="15.85546875" style="120" customWidth="1"/>
    <col min="8709" max="8710" width="15.5703125" style="120" bestFit="1" customWidth="1"/>
    <col min="8711" max="8711" width="15" style="120" customWidth="1"/>
    <col min="8712" max="8712" width="7.42578125" style="120" customWidth="1"/>
    <col min="8713" max="8713" width="16.28515625" style="120" customWidth="1"/>
    <col min="8714" max="8715" width="14.5703125" style="120" bestFit="1" customWidth="1"/>
    <col min="8716" max="8716" width="14.42578125" style="120" bestFit="1" customWidth="1"/>
    <col min="8717" max="8719" width="9.140625" style="120"/>
    <col min="8720" max="8720" width="19.28515625" style="120" customWidth="1"/>
    <col min="8721" max="8961" width="9.140625" style="120"/>
    <col min="8962" max="8962" width="14.5703125" style="120" customWidth="1"/>
    <col min="8963" max="8963" width="15.7109375" style="120" customWidth="1"/>
    <col min="8964" max="8964" width="15.85546875" style="120" customWidth="1"/>
    <col min="8965" max="8966" width="15.5703125" style="120" bestFit="1" customWidth="1"/>
    <col min="8967" max="8967" width="15" style="120" customWidth="1"/>
    <col min="8968" max="8968" width="7.42578125" style="120" customWidth="1"/>
    <col min="8969" max="8969" width="16.28515625" style="120" customWidth="1"/>
    <col min="8970" max="8971" width="14.5703125" style="120" bestFit="1" customWidth="1"/>
    <col min="8972" max="8972" width="14.42578125" style="120" bestFit="1" customWidth="1"/>
    <col min="8973" max="8975" width="9.140625" style="120"/>
    <col min="8976" max="8976" width="19.28515625" style="120" customWidth="1"/>
    <col min="8977" max="9217" width="9.140625" style="120"/>
    <col min="9218" max="9218" width="14.5703125" style="120" customWidth="1"/>
    <col min="9219" max="9219" width="15.7109375" style="120" customWidth="1"/>
    <col min="9220" max="9220" width="15.85546875" style="120" customWidth="1"/>
    <col min="9221" max="9222" width="15.5703125" style="120" bestFit="1" customWidth="1"/>
    <col min="9223" max="9223" width="15" style="120" customWidth="1"/>
    <col min="9224" max="9224" width="7.42578125" style="120" customWidth="1"/>
    <col min="9225" max="9225" width="16.28515625" style="120" customWidth="1"/>
    <col min="9226" max="9227" width="14.5703125" style="120" bestFit="1" customWidth="1"/>
    <col min="9228" max="9228" width="14.42578125" style="120" bestFit="1" customWidth="1"/>
    <col min="9229" max="9231" width="9.140625" style="120"/>
    <col min="9232" max="9232" width="19.28515625" style="120" customWidth="1"/>
    <col min="9233" max="9473" width="9.140625" style="120"/>
    <col min="9474" max="9474" width="14.5703125" style="120" customWidth="1"/>
    <col min="9475" max="9475" width="15.7109375" style="120" customWidth="1"/>
    <col min="9476" max="9476" width="15.85546875" style="120" customWidth="1"/>
    <col min="9477" max="9478" width="15.5703125" style="120" bestFit="1" customWidth="1"/>
    <col min="9479" max="9479" width="15" style="120" customWidth="1"/>
    <col min="9480" max="9480" width="7.42578125" style="120" customWidth="1"/>
    <col min="9481" max="9481" width="16.28515625" style="120" customWidth="1"/>
    <col min="9482" max="9483" width="14.5703125" style="120" bestFit="1" customWidth="1"/>
    <col min="9484" max="9484" width="14.42578125" style="120" bestFit="1" customWidth="1"/>
    <col min="9485" max="9487" width="9.140625" style="120"/>
    <col min="9488" max="9488" width="19.28515625" style="120" customWidth="1"/>
    <col min="9489" max="9729" width="9.140625" style="120"/>
    <col min="9730" max="9730" width="14.5703125" style="120" customWidth="1"/>
    <col min="9731" max="9731" width="15.7109375" style="120" customWidth="1"/>
    <col min="9732" max="9732" width="15.85546875" style="120" customWidth="1"/>
    <col min="9733" max="9734" width="15.5703125" style="120" bestFit="1" customWidth="1"/>
    <col min="9735" max="9735" width="15" style="120" customWidth="1"/>
    <col min="9736" max="9736" width="7.42578125" style="120" customWidth="1"/>
    <col min="9737" max="9737" width="16.28515625" style="120" customWidth="1"/>
    <col min="9738" max="9739" width="14.5703125" style="120" bestFit="1" customWidth="1"/>
    <col min="9740" max="9740" width="14.42578125" style="120" bestFit="1" customWidth="1"/>
    <col min="9741" max="9743" width="9.140625" style="120"/>
    <col min="9744" max="9744" width="19.28515625" style="120" customWidth="1"/>
    <col min="9745" max="9985" width="9.140625" style="120"/>
    <col min="9986" max="9986" width="14.5703125" style="120" customWidth="1"/>
    <col min="9987" max="9987" width="15.7109375" style="120" customWidth="1"/>
    <col min="9988" max="9988" width="15.85546875" style="120" customWidth="1"/>
    <col min="9989" max="9990" width="15.5703125" style="120" bestFit="1" customWidth="1"/>
    <col min="9991" max="9991" width="15" style="120" customWidth="1"/>
    <col min="9992" max="9992" width="7.42578125" style="120" customWidth="1"/>
    <col min="9993" max="9993" width="16.28515625" style="120" customWidth="1"/>
    <col min="9994" max="9995" width="14.5703125" style="120" bestFit="1" customWidth="1"/>
    <col min="9996" max="9996" width="14.42578125" style="120" bestFit="1" customWidth="1"/>
    <col min="9997" max="9999" width="9.140625" style="120"/>
    <col min="10000" max="10000" width="19.28515625" style="120" customWidth="1"/>
    <col min="10001" max="10241" width="9.140625" style="120"/>
    <col min="10242" max="10242" width="14.5703125" style="120" customWidth="1"/>
    <col min="10243" max="10243" width="15.7109375" style="120" customWidth="1"/>
    <col min="10244" max="10244" width="15.85546875" style="120" customWidth="1"/>
    <col min="10245" max="10246" width="15.5703125" style="120" bestFit="1" customWidth="1"/>
    <col min="10247" max="10247" width="15" style="120" customWidth="1"/>
    <col min="10248" max="10248" width="7.42578125" style="120" customWidth="1"/>
    <col min="10249" max="10249" width="16.28515625" style="120" customWidth="1"/>
    <col min="10250" max="10251" width="14.5703125" style="120" bestFit="1" customWidth="1"/>
    <col min="10252" max="10252" width="14.42578125" style="120" bestFit="1" customWidth="1"/>
    <col min="10253" max="10255" width="9.140625" style="120"/>
    <col min="10256" max="10256" width="19.28515625" style="120" customWidth="1"/>
    <col min="10257" max="10497" width="9.140625" style="120"/>
    <col min="10498" max="10498" width="14.5703125" style="120" customWidth="1"/>
    <col min="10499" max="10499" width="15.7109375" style="120" customWidth="1"/>
    <col min="10500" max="10500" width="15.85546875" style="120" customWidth="1"/>
    <col min="10501" max="10502" width="15.5703125" style="120" bestFit="1" customWidth="1"/>
    <col min="10503" max="10503" width="15" style="120" customWidth="1"/>
    <col min="10504" max="10504" width="7.42578125" style="120" customWidth="1"/>
    <col min="10505" max="10505" width="16.28515625" style="120" customWidth="1"/>
    <col min="10506" max="10507" width="14.5703125" style="120" bestFit="1" customWidth="1"/>
    <col min="10508" max="10508" width="14.42578125" style="120" bestFit="1" customWidth="1"/>
    <col min="10509" max="10511" width="9.140625" style="120"/>
    <col min="10512" max="10512" width="19.28515625" style="120" customWidth="1"/>
    <col min="10513" max="10753" width="9.140625" style="120"/>
    <col min="10754" max="10754" width="14.5703125" style="120" customWidth="1"/>
    <col min="10755" max="10755" width="15.7109375" style="120" customWidth="1"/>
    <col min="10756" max="10756" width="15.85546875" style="120" customWidth="1"/>
    <col min="10757" max="10758" width="15.5703125" style="120" bestFit="1" customWidth="1"/>
    <col min="10759" max="10759" width="15" style="120" customWidth="1"/>
    <col min="10760" max="10760" width="7.42578125" style="120" customWidth="1"/>
    <col min="10761" max="10761" width="16.28515625" style="120" customWidth="1"/>
    <col min="10762" max="10763" width="14.5703125" style="120" bestFit="1" customWidth="1"/>
    <col min="10764" max="10764" width="14.42578125" style="120" bestFit="1" customWidth="1"/>
    <col min="10765" max="10767" width="9.140625" style="120"/>
    <col min="10768" max="10768" width="19.28515625" style="120" customWidth="1"/>
    <col min="10769" max="11009" width="9.140625" style="120"/>
    <col min="11010" max="11010" width="14.5703125" style="120" customWidth="1"/>
    <col min="11011" max="11011" width="15.7109375" style="120" customWidth="1"/>
    <col min="11012" max="11012" width="15.85546875" style="120" customWidth="1"/>
    <col min="11013" max="11014" width="15.5703125" style="120" bestFit="1" customWidth="1"/>
    <col min="11015" max="11015" width="15" style="120" customWidth="1"/>
    <col min="11016" max="11016" width="7.42578125" style="120" customWidth="1"/>
    <col min="11017" max="11017" width="16.28515625" style="120" customWidth="1"/>
    <col min="11018" max="11019" width="14.5703125" style="120" bestFit="1" customWidth="1"/>
    <col min="11020" max="11020" width="14.42578125" style="120" bestFit="1" customWidth="1"/>
    <col min="11021" max="11023" width="9.140625" style="120"/>
    <col min="11024" max="11024" width="19.28515625" style="120" customWidth="1"/>
    <col min="11025" max="11265" width="9.140625" style="120"/>
    <col min="11266" max="11266" width="14.5703125" style="120" customWidth="1"/>
    <col min="11267" max="11267" width="15.7109375" style="120" customWidth="1"/>
    <col min="11268" max="11268" width="15.85546875" style="120" customWidth="1"/>
    <col min="11269" max="11270" width="15.5703125" style="120" bestFit="1" customWidth="1"/>
    <col min="11271" max="11271" width="15" style="120" customWidth="1"/>
    <col min="11272" max="11272" width="7.42578125" style="120" customWidth="1"/>
    <col min="11273" max="11273" width="16.28515625" style="120" customWidth="1"/>
    <col min="11274" max="11275" width="14.5703125" style="120" bestFit="1" customWidth="1"/>
    <col min="11276" max="11276" width="14.42578125" style="120" bestFit="1" customWidth="1"/>
    <col min="11277" max="11279" width="9.140625" style="120"/>
    <col min="11280" max="11280" width="19.28515625" style="120" customWidth="1"/>
    <col min="11281" max="11521" width="9.140625" style="120"/>
    <col min="11522" max="11522" width="14.5703125" style="120" customWidth="1"/>
    <col min="11523" max="11523" width="15.7109375" style="120" customWidth="1"/>
    <col min="11524" max="11524" width="15.85546875" style="120" customWidth="1"/>
    <col min="11525" max="11526" width="15.5703125" style="120" bestFit="1" customWidth="1"/>
    <col min="11527" max="11527" width="15" style="120" customWidth="1"/>
    <col min="11528" max="11528" width="7.42578125" style="120" customWidth="1"/>
    <col min="11529" max="11529" width="16.28515625" style="120" customWidth="1"/>
    <col min="11530" max="11531" width="14.5703125" style="120" bestFit="1" customWidth="1"/>
    <col min="11532" max="11532" width="14.42578125" style="120" bestFit="1" customWidth="1"/>
    <col min="11533" max="11535" width="9.140625" style="120"/>
    <col min="11536" max="11536" width="19.28515625" style="120" customWidth="1"/>
    <col min="11537" max="11777" width="9.140625" style="120"/>
    <col min="11778" max="11778" width="14.5703125" style="120" customWidth="1"/>
    <col min="11779" max="11779" width="15.7109375" style="120" customWidth="1"/>
    <col min="11780" max="11780" width="15.85546875" style="120" customWidth="1"/>
    <col min="11781" max="11782" width="15.5703125" style="120" bestFit="1" customWidth="1"/>
    <col min="11783" max="11783" width="15" style="120" customWidth="1"/>
    <col min="11784" max="11784" width="7.42578125" style="120" customWidth="1"/>
    <col min="11785" max="11785" width="16.28515625" style="120" customWidth="1"/>
    <col min="11786" max="11787" width="14.5703125" style="120" bestFit="1" customWidth="1"/>
    <col min="11788" max="11788" width="14.42578125" style="120" bestFit="1" customWidth="1"/>
    <col min="11789" max="11791" width="9.140625" style="120"/>
    <col min="11792" max="11792" width="19.28515625" style="120" customWidth="1"/>
    <col min="11793" max="12033" width="9.140625" style="120"/>
    <col min="12034" max="12034" width="14.5703125" style="120" customWidth="1"/>
    <col min="12035" max="12035" width="15.7109375" style="120" customWidth="1"/>
    <col min="12036" max="12036" width="15.85546875" style="120" customWidth="1"/>
    <col min="12037" max="12038" width="15.5703125" style="120" bestFit="1" customWidth="1"/>
    <col min="12039" max="12039" width="15" style="120" customWidth="1"/>
    <col min="12040" max="12040" width="7.42578125" style="120" customWidth="1"/>
    <col min="12041" max="12041" width="16.28515625" style="120" customWidth="1"/>
    <col min="12042" max="12043" width="14.5703125" style="120" bestFit="1" customWidth="1"/>
    <col min="12044" max="12044" width="14.42578125" style="120" bestFit="1" customWidth="1"/>
    <col min="12045" max="12047" width="9.140625" style="120"/>
    <col min="12048" max="12048" width="19.28515625" style="120" customWidth="1"/>
    <col min="12049" max="12289" width="9.140625" style="120"/>
    <col min="12290" max="12290" width="14.5703125" style="120" customWidth="1"/>
    <col min="12291" max="12291" width="15.7109375" style="120" customWidth="1"/>
    <col min="12292" max="12292" width="15.85546875" style="120" customWidth="1"/>
    <col min="12293" max="12294" width="15.5703125" style="120" bestFit="1" customWidth="1"/>
    <col min="12295" max="12295" width="15" style="120" customWidth="1"/>
    <col min="12296" max="12296" width="7.42578125" style="120" customWidth="1"/>
    <col min="12297" max="12297" width="16.28515625" style="120" customWidth="1"/>
    <col min="12298" max="12299" width="14.5703125" style="120" bestFit="1" customWidth="1"/>
    <col min="12300" max="12300" width="14.42578125" style="120" bestFit="1" customWidth="1"/>
    <col min="12301" max="12303" width="9.140625" style="120"/>
    <col min="12304" max="12304" width="19.28515625" style="120" customWidth="1"/>
    <col min="12305" max="12545" width="9.140625" style="120"/>
    <col min="12546" max="12546" width="14.5703125" style="120" customWidth="1"/>
    <col min="12547" max="12547" width="15.7109375" style="120" customWidth="1"/>
    <col min="12548" max="12548" width="15.85546875" style="120" customWidth="1"/>
    <col min="12549" max="12550" width="15.5703125" style="120" bestFit="1" customWidth="1"/>
    <col min="12551" max="12551" width="15" style="120" customWidth="1"/>
    <col min="12552" max="12552" width="7.42578125" style="120" customWidth="1"/>
    <col min="12553" max="12553" width="16.28515625" style="120" customWidth="1"/>
    <col min="12554" max="12555" width="14.5703125" style="120" bestFit="1" customWidth="1"/>
    <col min="12556" max="12556" width="14.42578125" style="120" bestFit="1" customWidth="1"/>
    <col min="12557" max="12559" width="9.140625" style="120"/>
    <col min="12560" max="12560" width="19.28515625" style="120" customWidth="1"/>
    <col min="12561" max="12801" width="9.140625" style="120"/>
    <col min="12802" max="12802" width="14.5703125" style="120" customWidth="1"/>
    <col min="12803" max="12803" width="15.7109375" style="120" customWidth="1"/>
    <col min="12804" max="12804" width="15.85546875" style="120" customWidth="1"/>
    <col min="12805" max="12806" width="15.5703125" style="120" bestFit="1" customWidth="1"/>
    <col min="12807" max="12807" width="15" style="120" customWidth="1"/>
    <col min="12808" max="12808" width="7.42578125" style="120" customWidth="1"/>
    <col min="12809" max="12809" width="16.28515625" style="120" customWidth="1"/>
    <col min="12810" max="12811" width="14.5703125" style="120" bestFit="1" customWidth="1"/>
    <col min="12812" max="12812" width="14.42578125" style="120" bestFit="1" customWidth="1"/>
    <col min="12813" max="12815" width="9.140625" style="120"/>
    <col min="12816" max="12816" width="19.28515625" style="120" customWidth="1"/>
    <col min="12817" max="13057" width="9.140625" style="120"/>
    <col min="13058" max="13058" width="14.5703125" style="120" customWidth="1"/>
    <col min="13059" max="13059" width="15.7109375" style="120" customWidth="1"/>
    <col min="13060" max="13060" width="15.85546875" style="120" customWidth="1"/>
    <col min="13061" max="13062" width="15.5703125" style="120" bestFit="1" customWidth="1"/>
    <col min="13063" max="13063" width="15" style="120" customWidth="1"/>
    <col min="13064" max="13064" width="7.42578125" style="120" customWidth="1"/>
    <col min="13065" max="13065" width="16.28515625" style="120" customWidth="1"/>
    <col min="13066" max="13067" width="14.5703125" style="120" bestFit="1" customWidth="1"/>
    <col min="13068" max="13068" width="14.42578125" style="120" bestFit="1" customWidth="1"/>
    <col min="13069" max="13071" width="9.140625" style="120"/>
    <col min="13072" max="13072" width="19.28515625" style="120" customWidth="1"/>
    <col min="13073" max="13313" width="9.140625" style="120"/>
    <col min="13314" max="13314" width="14.5703125" style="120" customWidth="1"/>
    <col min="13315" max="13315" width="15.7109375" style="120" customWidth="1"/>
    <col min="13316" max="13316" width="15.85546875" style="120" customWidth="1"/>
    <col min="13317" max="13318" width="15.5703125" style="120" bestFit="1" customWidth="1"/>
    <col min="13319" max="13319" width="15" style="120" customWidth="1"/>
    <col min="13320" max="13320" width="7.42578125" style="120" customWidth="1"/>
    <col min="13321" max="13321" width="16.28515625" style="120" customWidth="1"/>
    <col min="13322" max="13323" width="14.5703125" style="120" bestFit="1" customWidth="1"/>
    <col min="13324" max="13324" width="14.42578125" style="120" bestFit="1" customWidth="1"/>
    <col min="13325" max="13327" width="9.140625" style="120"/>
    <col min="13328" max="13328" width="19.28515625" style="120" customWidth="1"/>
    <col min="13329" max="13569" width="9.140625" style="120"/>
    <col min="13570" max="13570" width="14.5703125" style="120" customWidth="1"/>
    <col min="13571" max="13571" width="15.7109375" style="120" customWidth="1"/>
    <col min="13572" max="13572" width="15.85546875" style="120" customWidth="1"/>
    <col min="13573" max="13574" width="15.5703125" style="120" bestFit="1" customWidth="1"/>
    <col min="13575" max="13575" width="15" style="120" customWidth="1"/>
    <col min="13576" max="13576" width="7.42578125" style="120" customWidth="1"/>
    <col min="13577" max="13577" width="16.28515625" style="120" customWidth="1"/>
    <col min="13578" max="13579" width="14.5703125" style="120" bestFit="1" customWidth="1"/>
    <col min="13580" max="13580" width="14.42578125" style="120" bestFit="1" customWidth="1"/>
    <col min="13581" max="13583" width="9.140625" style="120"/>
    <col min="13584" max="13584" width="19.28515625" style="120" customWidth="1"/>
    <col min="13585" max="13825" width="9.140625" style="120"/>
    <col min="13826" max="13826" width="14.5703125" style="120" customWidth="1"/>
    <col min="13827" max="13827" width="15.7109375" style="120" customWidth="1"/>
    <col min="13828" max="13828" width="15.85546875" style="120" customWidth="1"/>
    <col min="13829" max="13830" width="15.5703125" style="120" bestFit="1" customWidth="1"/>
    <col min="13831" max="13831" width="15" style="120" customWidth="1"/>
    <col min="13832" max="13832" width="7.42578125" style="120" customWidth="1"/>
    <col min="13833" max="13833" width="16.28515625" style="120" customWidth="1"/>
    <col min="13834" max="13835" width="14.5703125" style="120" bestFit="1" customWidth="1"/>
    <col min="13836" max="13836" width="14.42578125" style="120" bestFit="1" customWidth="1"/>
    <col min="13837" max="13839" width="9.140625" style="120"/>
    <col min="13840" max="13840" width="19.28515625" style="120" customWidth="1"/>
    <col min="13841" max="14081" width="9.140625" style="120"/>
    <col min="14082" max="14082" width="14.5703125" style="120" customWidth="1"/>
    <col min="14083" max="14083" width="15.7109375" style="120" customWidth="1"/>
    <col min="14084" max="14084" width="15.85546875" style="120" customWidth="1"/>
    <col min="14085" max="14086" width="15.5703125" style="120" bestFit="1" customWidth="1"/>
    <col min="14087" max="14087" width="15" style="120" customWidth="1"/>
    <col min="14088" max="14088" width="7.42578125" style="120" customWidth="1"/>
    <col min="14089" max="14089" width="16.28515625" style="120" customWidth="1"/>
    <col min="14090" max="14091" width="14.5703125" style="120" bestFit="1" customWidth="1"/>
    <col min="14092" max="14092" width="14.42578125" style="120" bestFit="1" customWidth="1"/>
    <col min="14093" max="14095" width="9.140625" style="120"/>
    <col min="14096" max="14096" width="19.28515625" style="120" customWidth="1"/>
    <col min="14097" max="14337" width="9.140625" style="120"/>
    <col min="14338" max="14338" width="14.5703125" style="120" customWidth="1"/>
    <col min="14339" max="14339" width="15.7109375" style="120" customWidth="1"/>
    <col min="14340" max="14340" width="15.85546875" style="120" customWidth="1"/>
    <col min="14341" max="14342" width="15.5703125" style="120" bestFit="1" customWidth="1"/>
    <col min="14343" max="14343" width="15" style="120" customWidth="1"/>
    <col min="14344" max="14344" width="7.42578125" style="120" customWidth="1"/>
    <col min="14345" max="14345" width="16.28515625" style="120" customWidth="1"/>
    <col min="14346" max="14347" width="14.5703125" style="120" bestFit="1" customWidth="1"/>
    <col min="14348" max="14348" width="14.42578125" style="120" bestFit="1" customWidth="1"/>
    <col min="14349" max="14351" width="9.140625" style="120"/>
    <col min="14352" max="14352" width="19.28515625" style="120" customWidth="1"/>
    <col min="14353" max="14593" width="9.140625" style="120"/>
    <col min="14594" max="14594" width="14.5703125" style="120" customWidth="1"/>
    <col min="14595" max="14595" width="15.7109375" style="120" customWidth="1"/>
    <col min="14596" max="14596" width="15.85546875" style="120" customWidth="1"/>
    <col min="14597" max="14598" width="15.5703125" style="120" bestFit="1" customWidth="1"/>
    <col min="14599" max="14599" width="15" style="120" customWidth="1"/>
    <col min="14600" max="14600" width="7.42578125" style="120" customWidth="1"/>
    <col min="14601" max="14601" width="16.28515625" style="120" customWidth="1"/>
    <col min="14602" max="14603" width="14.5703125" style="120" bestFit="1" customWidth="1"/>
    <col min="14604" max="14604" width="14.42578125" style="120" bestFit="1" customWidth="1"/>
    <col min="14605" max="14607" width="9.140625" style="120"/>
    <col min="14608" max="14608" width="19.28515625" style="120" customWidth="1"/>
    <col min="14609" max="14849" width="9.140625" style="120"/>
    <col min="14850" max="14850" width="14.5703125" style="120" customWidth="1"/>
    <col min="14851" max="14851" width="15.7109375" style="120" customWidth="1"/>
    <col min="14852" max="14852" width="15.85546875" style="120" customWidth="1"/>
    <col min="14853" max="14854" width="15.5703125" style="120" bestFit="1" customWidth="1"/>
    <col min="14855" max="14855" width="15" style="120" customWidth="1"/>
    <col min="14856" max="14856" width="7.42578125" style="120" customWidth="1"/>
    <col min="14857" max="14857" width="16.28515625" style="120" customWidth="1"/>
    <col min="14858" max="14859" width="14.5703125" style="120" bestFit="1" customWidth="1"/>
    <col min="14860" max="14860" width="14.42578125" style="120" bestFit="1" customWidth="1"/>
    <col min="14861" max="14863" width="9.140625" style="120"/>
    <col min="14864" max="14864" width="19.28515625" style="120" customWidth="1"/>
    <col min="14865" max="15105" width="9.140625" style="120"/>
    <col min="15106" max="15106" width="14.5703125" style="120" customWidth="1"/>
    <col min="15107" max="15107" width="15.7109375" style="120" customWidth="1"/>
    <col min="15108" max="15108" width="15.85546875" style="120" customWidth="1"/>
    <col min="15109" max="15110" width="15.5703125" style="120" bestFit="1" customWidth="1"/>
    <col min="15111" max="15111" width="15" style="120" customWidth="1"/>
    <col min="15112" max="15112" width="7.42578125" style="120" customWidth="1"/>
    <col min="15113" max="15113" width="16.28515625" style="120" customWidth="1"/>
    <col min="15114" max="15115" width="14.5703125" style="120" bestFit="1" customWidth="1"/>
    <col min="15116" max="15116" width="14.42578125" style="120" bestFit="1" customWidth="1"/>
    <col min="15117" max="15119" width="9.140625" style="120"/>
    <col min="15120" max="15120" width="19.28515625" style="120" customWidth="1"/>
    <col min="15121" max="15361" width="9.140625" style="120"/>
    <col min="15362" max="15362" width="14.5703125" style="120" customWidth="1"/>
    <col min="15363" max="15363" width="15.7109375" style="120" customWidth="1"/>
    <col min="15364" max="15364" width="15.85546875" style="120" customWidth="1"/>
    <col min="15365" max="15366" width="15.5703125" style="120" bestFit="1" customWidth="1"/>
    <col min="15367" max="15367" width="15" style="120" customWidth="1"/>
    <col min="15368" max="15368" width="7.42578125" style="120" customWidth="1"/>
    <col min="15369" max="15369" width="16.28515625" style="120" customWidth="1"/>
    <col min="15370" max="15371" width="14.5703125" style="120" bestFit="1" customWidth="1"/>
    <col min="15372" max="15372" width="14.42578125" style="120" bestFit="1" customWidth="1"/>
    <col min="15373" max="15375" width="9.140625" style="120"/>
    <col min="15376" max="15376" width="19.28515625" style="120" customWidth="1"/>
    <col min="15377" max="15617" width="9.140625" style="120"/>
    <col min="15618" max="15618" width="14.5703125" style="120" customWidth="1"/>
    <col min="15619" max="15619" width="15.7109375" style="120" customWidth="1"/>
    <col min="15620" max="15620" width="15.85546875" style="120" customWidth="1"/>
    <col min="15621" max="15622" width="15.5703125" style="120" bestFit="1" customWidth="1"/>
    <col min="15623" max="15623" width="15" style="120" customWidth="1"/>
    <col min="15624" max="15624" width="7.42578125" style="120" customWidth="1"/>
    <col min="15625" max="15625" width="16.28515625" style="120" customWidth="1"/>
    <col min="15626" max="15627" width="14.5703125" style="120" bestFit="1" customWidth="1"/>
    <col min="15628" max="15628" width="14.42578125" style="120" bestFit="1" customWidth="1"/>
    <col min="15629" max="15631" width="9.140625" style="120"/>
    <col min="15632" max="15632" width="19.28515625" style="120" customWidth="1"/>
    <col min="15633" max="15873" width="9.140625" style="120"/>
    <col min="15874" max="15874" width="14.5703125" style="120" customWidth="1"/>
    <col min="15875" max="15875" width="15.7109375" style="120" customWidth="1"/>
    <col min="15876" max="15876" width="15.85546875" style="120" customWidth="1"/>
    <col min="15877" max="15878" width="15.5703125" style="120" bestFit="1" customWidth="1"/>
    <col min="15879" max="15879" width="15" style="120" customWidth="1"/>
    <col min="15880" max="15880" width="7.42578125" style="120" customWidth="1"/>
    <col min="15881" max="15881" width="16.28515625" style="120" customWidth="1"/>
    <col min="15882" max="15883" width="14.5703125" style="120" bestFit="1" customWidth="1"/>
    <col min="15884" max="15884" width="14.42578125" style="120" bestFit="1" customWidth="1"/>
    <col min="15885" max="15887" width="9.140625" style="120"/>
    <col min="15888" max="15888" width="19.28515625" style="120" customWidth="1"/>
    <col min="15889" max="16129" width="9.140625" style="120"/>
    <col min="16130" max="16130" width="14.5703125" style="120" customWidth="1"/>
    <col min="16131" max="16131" width="15.7109375" style="120" customWidth="1"/>
    <col min="16132" max="16132" width="15.85546875" style="120" customWidth="1"/>
    <col min="16133" max="16134" width="15.5703125" style="120" bestFit="1" customWidth="1"/>
    <col min="16135" max="16135" width="15" style="120" customWidth="1"/>
    <col min="16136" max="16136" width="7.42578125" style="120" customWidth="1"/>
    <col min="16137" max="16137" width="16.28515625" style="120" customWidth="1"/>
    <col min="16138" max="16139" width="14.5703125" style="120" bestFit="1" customWidth="1"/>
    <col min="16140" max="16140" width="14.42578125" style="120" bestFit="1" customWidth="1"/>
    <col min="16141" max="16143" width="9.140625" style="120"/>
    <col min="16144" max="16144" width="19.28515625" style="120" customWidth="1"/>
    <col min="16145" max="16384" width="9.140625" style="120"/>
  </cols>
  <sheetData>
    <row r="2" spans="2:23" s="78" customFormat="1" ht="16.5" customHeight="1" x14ac:dyDescent="0.25">
      <c r="B2" s="141" t="str">
        <f>Historicals!B2</f>
        <v>Al-Saqib Exports Private Limited</v>
      </c>
      <c r="C2" s="189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20"/>
    </row>
    <row r="3" spans="2:23" s="78" customFormat="1" x14ac:dyDescent="0.25">
      <c r="B3" s="77"/>
      <c r="C3" s="193"/>
    </row>
    <row r="4" spans="2:23" x14ac:dyDescent="0.25">
      <c r="B4" s="218" t="s">
        <v>97</v>
      </c>
      <c r="C4" s="218"/>
      <c r="D4" s="218"/>
      <c r="E4" s="218"/>
      <c r="F4" s="218"/>
      <c r="I4" s="218" t="s">
        <v>324</v>
      </c>
      <c r="J4" s="218"/>
      <c r="K4" s="218"/>
      <c r="L4" s="218"/>
      <c r="M4" s="218"/>
    </row>
    <row r="6" spans="2:23" ht="30" x14ac:dyDescent="0.25">
      <c r="B6" s="121" t="s">
        <v>98</v>
      </c>
      <c r="C6" s="121" t="s">
        <v>99</v>
      </c>
      <c r="D6" s="121" t="s">
        <v>100</v>
      </c>
      <c r="E6" s="121" t="s">
        <v>101</v>
      </c>
      <c r="F6" s="121" t="s">
        <v>102</v>
      </c>
      <c r="I6" s="121" t="s">
        <v>98</v>
      </c>
      <c r="J6" s="121" t="s">
        <v>99</v>
      </c>
      <c r="K6" s="121" t="s">
        <v>100</v>
      </c>
      <c r="L6" s="121" t="s">
        <v>101</v>
      </c>
      <c r="M6" s="121" t="s">
        <v>102</v>
      </c>
      <c r="O6" s="122"/>
      <c r="P6" s="122"/>
      <c r="Q6" s="122"/>
      <c r="R6" s="122"/>
      <c r="S6" s="122"/>
      <c r="T6" s="122"/>
      <c r="U6" s="122"/>
      <c r="V6" s="122"/>
      <c r="W6" s="122"/>
    </row>
    <row r="7" spans="2:23" x14ac:dyDescent="0.25">
      <c r="B7" s="187" t="s">
        <v>103</v>
      </c>
      <c r="C7" s="199"/>
      <c r="D7" s="199"/>
      <c r="E7" s="199"/>
      <c r="F7" s="199">
        <f>+I22+I37+I29</f>
        <v>331647025.23000002</v>
      </c>
      <c r="G7" s="186"/>
      <c r="H7" s="186"/>
      <c r="I7" s="123" t="str">
        <f>+B7</f>
        <v>2023-24</v>
      </c>
      <c r="J7" s="199"/>
      <c r="K7" s="199"/>
      <c r="L7" s="199"/>
      <c r="M7" s="198">
        <f>+F7/100000</f>
        <v>3316.4702523000001</v>
      </c>
      <c r="O7" s="122"/>
      <c r="P7" s="122"/>
      <c r="Q7" s="122"/>
      <c r="R7" s="122"/>
      <c r="S7" s="122"/>
      <c r="T7" s="122"/>
      <c r="U7" s="122"/>
      <c r="V7" s="122"/>
      <c r="W7" s="122"/>
    </row>
    <row r="8" spans="2:23" x14ac:dyDescent="0.25">
      <c r="B8" s="123" t="s">
        <v>357</v>
      </c>
      <c r="C8" s="198">
        <f>+F7</f>
        <v>331647025.23000002</v>
      </c>
      <c r="D8" s="198"/>
      <c r="E8" s="198">
        <f>+C8-F8</f>
        <v>-6989211.25</v>
      </c>
      <c r="F8" s="198">
        <f>+I24+I31+I38+I140</f>
        <v>338636236.48000002</v>
      </c>
      <c r="I8" s="123" t="str">
        <f t="shared" ref="I8:I16" si="0">+B8</f>
        <v>30.11.2024</v>
      </c>
      <c r="J8" s="198">
        <f>+M7</f>
        <v>3316.4702523000001</v>
      </c>
      <c r="K8" s="198">
        <f t="shared" ref="K8:L8" si="1">+D8/100000</f>
        <v>0</v>
      </c>
      <c r="L8" s="198">
        <f t="shared" si="1"/>
        <v>-69.892112499999996</v>
      </c>
      <c r="M8" s="198">
        <f>+F8/100000</f>
        <v>3386.3623648000003</v>
      </c>
      <c r="N8" s="53"/>
      <c r="O8" s="122"/>
      <c r="P8" s="122"/>
      <c r="Q8" s="122"/>
      <c r="R8" s="122"/>
      <c r="S8" s="122"/>
      <c r="T8" s="122"/>
      <c r="U8" s="122"/>
      <c r="V8" s="122"/>
      <c r="W8" s="122"/>
    </row>
    <row r="9" spans="2:23" x14ac:dyDescent="0.25">
      <c r="B9" s="123" t="s">
        <v>104</v>
      </c>
      <c r="C9" s="198">
        <f>F8</f>
        <v>338636236.48000002</v>
      </c>
      <c r="D9" s="198">
        <f>+G43+G145</f>
        <v>12059088</v>
      </c>
      <c r="E9" s="198">
        <f>+F43+F145</f>
        <v>2694111.4336821437</v>
      </c>
      <c r="F9" s="198">
        <f>+C9-E9</f>
        <v>335942125.04631788</v>
      </c>
      <c r="G9" s="124"/>
      <c r="I9" s="123" t="str">
        <f t="shared" si="0"/>
        <v>2024-25</v>
      </c>
      <c r="J9" s="198">
        <f>+M8</f>
        <v>3386.3623648000003</v>
      </c>
      <c r="K9" s="198">
        <f>+D9/100000</f>
        <v>120.59088</v>
      </c>
      <c r="L9" s="198">
        <f t="shared" ref="L9:M15" si="2">+E9/100000</f>
        <v>26.941114336821435</v>
      </c>
      <c r="M9" s="198">
        <f t="shared" si="2"/>
        <v>3359.4212504631787</v>
      </c>
      <c r="N9" s="53"/>
      <c r="O9" s="122"/>
      <c r="P9" s="122"/>
      <c r="Q9" s="122"/>
      <c r="R9" s="122"/>
      <c r="S9" s="122"/>
      <c r="T9" s="122"/>
      <c r="U9" s="122"/>
      <c r="V9" s="122"/>
      <c r="W9" s="122"/>
    </row>
    <row r="10" spans="2:23" x14ac:dyDescent="0.25">
      <c r="B10" s="123" t="s">
        <v>105</v>
      </c>
      <c r="C10" s="198">
        <f t="shared" ref="C10:C15" si="3">+F9</f>
        <v>335942125.04631788</v>
      </c>
      <c r="D10" s="198">
        <f>+G56+G158</f>
        <v>35257444</v>
      </c>
      <c r="E10" s="198">
        <f>+F56+F158</f>
        <v>34321885.204185724</v>
      </c>
      <c r="F10" s="198">
        <f t="shared" ref="F10:F16" si="4">+C10-E10</f>
        <v>301620239.84213215</v>
      </c>
      <c r="G10" s="124"/>
      <c r="I10" s="123" t="str">
        <f t="shared" si="0"/>
        <v>2025-26</v>
      </c>
      <c r="J10" s="198">
        <f t="shared" ref="J10:J15" si="5">+M9</f>
        <v>3359.4212504631787</v>
      </c>
      <c r="K10" s="198">
        <f t="shared" ref="K10:K15" si="6">+D10/100000</f>
        <v>352.57443999999998</v>
      </c>
      <c r="L10" s="198">
        <f t="shared" si="2"/>
        <v>343.21885204185725</v>
      </c>
      <c r="M10" s="198">
        <f t="shared" si="2"/>
        <v>3016.2023984213215</v>
      </c>
      <c r="N10" s="53"/>
      <c r="O10" s="53"/>
      <c r="P10" s="124"/>
    </row>
    <row r="11" spans="2:23" x14ac:dyDescent="0.25">
      <c r="B11" s="123" t="s">
        <v>106</v>
      </c>
      <c r="C11" s="198">
        <f t="shared" si="3"/>
        <v>301620239.84213215</v>
      </c>
      <c r="D11" s="198">
        <f>+G69+G171</f>
        <v>31285755</v>
      </c>
      <c r="E11" s="198">
        <f>+F69+F171</f>
        <v>38293574.204185724</v>
      </c>
      <c r="F11" s="198">
        <f t="shared" si="4"/>
        <v>263326665.63794643</v>
      </c>
      <c r="G11" s="124"/>
      <c r="I11" s="123" t="str">
        <f t="shared" si="0"/>
        <v>2026-27</v>
      </c>
      <c r="J11" s="198">
        <f t="shared" si="5"/>
        <v>3016.2023984213215</v>
      </c>
      <c r="K11" s="198">
        <f t="shared" si="6"/>
        <v>312.85755</v>
      </c>
      <c r="L11" s="198">
        <f t="shared" si="2"/>
        <v>382.93574204185722</v>
      </c>
      <c r="M11" s="198">
        <f t="shared" si="2"/>
        <v>2633.2666563794642</v>
      </c>
      <c r="N11" s="53"/>
      <c r="O11" s="53"/>
      <c r="P11" s="124"/>
    </row>
    <row r="12" spans="2:23" x14ac:dyDescent="0.25">
      <c r="B12" s="123" t="s">
        <v>107</v>
      </c>
      <c r="C12" s="198">
        <f t="shared" si="3"/>
        <v>263326665.63794643</v>
      </c>
      <c r="D12" s="198">
        <f>+G82+G184</f>
        <v>26854463</v>
      </c>
      <c r="E12" s="198">
        <f>+F82+F184</f>
        <v>42724866.204185724</v>
      </c>
      <c r="F12" s="198">
        <f t="shared" si="4"/>
        <v>220601799.4337607</v>
      </c>
      <c r="G12" s="124"/>
      <c r="I12" s="123" t="str">
        <f t="shared" si="0"/>
        <v>2027-28</v>
      </c>
      <c r="J12" s="198">
        <f t="shared" si="5"/>
        <v>2633.2666563794642</v>
      </c>
      <c r="K12" s="198">
        <f t="shared" si="6"/>
        <v>268.54462999999998</v>
      </c>
      <c r="L12" s="198">
        <f t="shared" si="2"/>
        <v>427.24866204185724</v>
      </c>
      <c r="M12" s="198">
        <f t="shared" si="2"/>
        <v>2206.017994337607</v>
      </c>
      <c r="N12" s="53"/>
      <c r="O12" s="53"/>
      <c r="P12" s="124"/>
    </row>
    <row r="13" spans="2:23" x14ac:dyDescent="0.25">
      <c r="B13" s="123" t="s">
        <v>108</v>
      </c>
      <c r="C13" s="198">
        <f t="shared" si="3"/>
        <v>220601799.4337607</v>
      </c>
      <c r="D13" s="198">
        <f>+G95+G197</f>
        <v>21910397</v>
      </c>
      <c r="E13" s="198">
        <f>+F95+F197</f>
        <v>47668932.204185724</v>
      </c>
      <c r="F13" s="198">
        <f t="shared" si="4"/>
        <v>172932867.22957498</v>
      </c>
      <c r="G13" s="124"/>
      <c r="I13" s="123" t="str">
        <f t="shared" si="0"/>
        <v>2028-29</v>
      </c>
      <c r="J13" s="198">
        <f t="shared" si="5"/>
        <v>2206.017994337607</v>
      </c>
      <c r="K13" s="198">
        <f t="shared" si="6"/>
        <v>219.10397</v>
      </c>
      <c r="L13" s="198">
        <f t="shared" si="2"/>
        <v>476.68932204185722</v>
      </c>
      <c r="M13" s="198">
        <f t="shared" si="2"/>
        <v>1729.3286722957498</v>
      </c>
      <c r="N13" s="53"/>
      <c r="O13" s="53"/>
      <c r="P13" s="124"/>
    </row>
    <row r="14" spans="2:23" x14ac:dyDescent="0.25">
      <c r="B14" s="123" t="s">
        <v>109</v>
      </c>
      <c r="C14" s="198">
        <f t="shared" si="3"/>
        <v>172932867.22957498</v>
      </c>
      <c r="D14" s="198">
        <f>+G108+G210</f>
        <v>16394202</v>
      </c>
      <c r="E14" s="198">
        <f>+F108+F210</f>
        <v>53185127.204185724</v>
      </c>
      <c r="F14" s="198">
        <f t="shared" si="4"/>
        <v>119747740.02538925</v>
      </c>
      <c r="G14" s="124"/>
      <c r="I14" s="123" t="str">
        <f t="shared" si="0"/>
        <v>2029-30</v>
      </c>
      <c r="J14" s="198">
        <f t="shared" si="5"/>
        <v>1729.3286722957498</v>
      </c>
      <c r="K14" s="198">
        <f t="shared" si="6"/>
        <v>163.94202000000001</v>
      </c>
      <c r="L14" s="198">
        <f t="shared" si="2"/>
        <v>531.85127204185721</v>
      </c>
      <c r="M14" s="198">
        <f t="shared" si="2"/>
        <v>1197.4774002538925</v>
      </c>
      <c r="N14" s="53"/>
      <c r="O14" s="53"/>
      <c r="P14" s="124"/>
    </row>
    <row r="15" spans="2:23" x14ac:dyDescent="0.25">
      <c r="B15" s="123" t="s">
        <v>110</v>
      </c>
      <c r="C15" s="198">
        <f t="shared" si="3"/>
        <v>119747740.02538925</v>
      </c>
      <c r="D15" s="198">
        <f>+G121+G223</f>
        <v>10239681</v>
      </c>
      <c r="E15" s="198">
        <f>+F121+F223</f>
        <v>59339648.204185724</v>
      </c>
      <c r="F15" s="198">
        <f t="shared" si="4"/>
        <v>60408091.82120353</v>
      </c>
      <c r="G15" s="124"/>
      <c r="I15" s="123" t="str">
        <f t="shared" si="0"/>
        <v>2030-31</v>
      </c>
      <c r="J15" s="198">
        <f t="shared" si="5"/>
        <v>1197.4774002538925</v>
      </c>
      <c r="K15" s="198">
        <f t="shared" si="6"/>
        <v>102.39681</v>
      </c>
      <c r="L15" s="198">
        <f t="shared" si="2"/>
        <v>593.39648204185721</v>
      </c>
      <c r="M15" s="198">
        <f t="shared" si="2"/>
        <v>604.08091821203527</v>
      </c>
      <c r="N15" s="53"/>
      <c r="O15" s="53"/>
      <c r="P15" s="124"/>
    </row>
    <row r="16" spans="2:23" x14ac:dyDescent="0.25">
      <c r="B16" s="123" t="s">
        <v>354</v>
      </c>
      <c r="C16" s="198">
        <f t="shared" ref="C16" si="7">+F15</f>
        <v>60408091.82120353</v>
      </c>
      <c r="D16" s="198">
        <f>+G133+G235</f>
        <v>3372965</v>
      </c>
      <c r="E16" s="198">
        <f>+F133+F235</f>
        <v>60408091.821203902</v>
      </c>
      <c r="F16" s="198">
        <f t="shared" si="4"/>
        <v>-3.7252902984619141E-7</v>
      </c>
      <c r="G16" s="124"/>
      <c r="I16" s="123" t="str">
        <f t="shared" si="0"/>
        <v>2031-32</v>
      </c>
      <c r="J16" s="198">
        <f t="shared" ref="J16" si="8">+M15</f>
        <v>604.08091821203527</v>
      </c>
      <c r="K16" s="198">
        <f t="shared" ref="K16" si="9">+D16/100000</f>
        <v>33.729649999999999</v>
      </c>
      <c r="L16" s="198">
        <f t="shared" ref="L16" si="10">+E16/100000</f>
        <v>604.08091821203902</v>
      </c>
      <c r="M16" s="198">
        <f t="shared" ref="M16" si="11">+F16/100000</f>
        <v>-3.7252902984619141E-12</v>
      </c>
      <c r="N16" s="53"/>
      <c r="O16" s="53"/>
      <c r="P16" s="124"/>
    </row>
    <row r="17" spans="1:20" x14ac:dyDescent="0.25">
      <c r="B17" s="134"/>
      <c r="C17" s="134"/>
      <c r="D17" s="134"/>
      <c r="E17" s="134"/>
      <c r="F17" s="134"/>
      <c r="I17" s="134"/>
      <c r="J17" s="134"/>
      <c r="K17" s="134"/>
      <c r="L17" s="134"/>
      <c r="M17" s="134"/>
      <c r="N17" s="53"/>
      <c r="O17" s="53"/>
      <c r="P17" s="124"/>
    </row>
    <row r="18" spans="1:20" x14ac:dyDescent="0.25">
      <c r="B18" s="134"/>
      <c r="C18" s="194"/>
      <c r="D18" s="52"/>
      <c r="E18" s="52"/>
      <c r="F18" s="52"/>
      <c r="I18" s="52"/>
      <c r="J18" s="52"/>
      <c r="K18" s="52"/>
      <c r="M18" s="52"/>
      <c r="N18" s="53"/>
      <c r="O18" s="53"/>
      <c r="P18" s="53"/>
      <c r="Q18" s="53"/>
      <c r="R18" s="53"/>
      <c r="S18" s="53"/>
      <c r="T18" s="53"/>
    </row>
    <row r="19" spans="1:20" x14ac:dyDescent="0.25">
      <c r="B19" s="191" t="s">
        <v>125</v>
      </c>
      <c r="K19" s="122" t="s">
        <v>372</v>
      </c>
      <c r="L19" s="122">
        <f>3*10^7</f>
        <v>30000000</v>
      </c>
      <c r="M19" s="122"/>
      <c r="N19" s="122"/>
      <c r="O19" s="122"/>
      <c r="P19" s="122"/>
      <c r="Q19" s="122"/>
    </row>
    <row r="20" spans="1:20" x14ac:dyDescent="0.25">
      <c r="K20" s="120" t="s">
        <v>373</v>
      </c>
      <c r="L20" s="174">
        <f>+I23</f>
        <v>16682625.33</v>
      </c>
      <c r="M20" s="124"/>
    </row>
    <row r="21" spans="1:20" x14ac:dyDescent="0.25">
      <c r="B21" s="192" t="s">
        <v>98</v>
      </c>
      <c r="C21" s="192" t="s">
        <v>120</v>
      </c>
      <c r="D21" s="126" t="s">
        <v>112</v>
      </c>
      <c r="E21" s="125" t="s">
        <v>113</v>
      </c>
      <c r="F21" s="125" t="s">
        <v>114</v>
      </c>
      <c r="G21" s="125" t="s">
        <v>100</v>
      </c>
      <c r="H21" s="125" t="s">
        <v>115</v>
      </c>
      <c r="I21" s="125" t="s">
        <v>116</v>
      </c>
      <c r="K21" s="120" t="s">
        <v>374</v>
      </c>
      <c r="L21" s="174">
        <f>+I30</f>
        <v>2053611.15</v>
      </c>
    </row>
    <row r="22" spans="1:20" x14ac:dyDescent="0.25">
      <c r="B22" s="191" t="s">
        <v>104</v>
      </c>
      <c r="E22" s="127"/>
      <c r="F22" s="127"/>
      <c r="G22" s="127"/>
      <c r="I22" s="128">
        <v>15685991.23</v>
      </c>
      <c r="K22" s="120" t="s">
        <v>375</v>
      </c>
      <c r="L22" s="124">
        <f>+L19-L20-L21</f>
        <v>11263763.52</v>
      </c>
    </row>
    <row r="23" spans="1:20" x14ac:dyDescent="0.25">
      <c r="C23" s="129">
        <v>45626</v>
      </c>
      <c r="E23" s="130"/>
      <c r="F23" s="130"/>
      <c r="G23" s="130"/>
      <c r="H23" s="130"/>
      <c r="I23" s="130">
        <v>16682625.33</v>
      </c>
    </row>
    <row r="24" spans="1:20" x14ac:dyDescent="0.25">
      <c r="B24" s="133">
        <v>1</v>
      </c>
      <c r="C24" s="129">
        <f>EDATE(C23,0)</f>
        <v>45626</v>
      </c>
      <c r="E24" s="130"/>
      <c r="F24" s="130">
        <f>+I23</f>
        <v>16682625.33</v>
      </c>
      <c r="G24" s="130"/>
      <c r="H24" s="130"/>
      <c r="I24" s="130">
        <f t="shared" ref="I24" si="12">+I23-F24</f>
        <v>0</v>
      </c>
    </row>
    <row r="26" spans="1:20" x14ac:dyDescent="0.25">
      <c r="A26" s="204"/>
      <c r="B26" s="205" t="s">
        <v>126</v>
      </c>
    </row>
    <row r="28" spans="1:20" x14ac:dyDescent="0.25">
      <c r="B28" s="192" t="s">
        <v>98</v>
      </c>
      <c r="C28" s="192" t="s">
        <v>111</v>
      </c>
      <c r="D28" s="126" t="s">
        <v>112</v>
      </c>
      <c r="E28" s="125" t="s">
        <v>113</v>
      </c>
      <c r="F28" s="125" t="s">
        <v>114</v>
      </c>
      <c r="G28" s="125" t="s">
        <v>100</v>
      </c>
      <c r="H28" s="125" t="s">
        <v>115</v>
      </c>
      <c r="I28" s="125" t="s">
        <v>116</v>
      </c>
    </row>
    <row r="29" spans="1:20" x14ac:dyDescent="0.25">
      <c r="B29" s="191" t="s">
        <v>117</v>
      </c>
      <c r="E29" s="127"/>
      <c r="F29" s="127"/>
      <c r="G29" s="127"/>
      <c r="I29" s="128">
        <v>2159566</v>
      </c>
    </row>
    <row r="30" spans="1:20" x14ac:dyDescent="0.25">
      <c r="C30" s="129">
        <v>45626</v>
      </c>
      <c r="E30" s="130"/>
      <c r="F30" s="130"/>
      <c r="G30" s="130"/>
      <c r="H30" s="130"/>
      <c r="I30" s="130">
        <v>2053611.15</v>
      </c>
      <c r="K30" s="156"/>
      <c r="L30" s="156"/>
      <c r="M30" s="156"/>
      <c r="N30" s="156"/>
      <c r="O30" s="156"/>
      <c r="P30" s="156"/>
      <c r="Q30" s="156"/>
      <c r="R30" s="156"/>
    </row>
    <row r="31" spans="1:20" x14ac:dyDescent="0.25">
      <c r="B31" s="133">
        <v>1</v>
      </c>
      <c r="C31" s="129">
        <f>EDATE(C30,0)</f>
        <v>45626</v>
      </c>
      <c r="E31" s="130"/>
      <c r="F31" s="130">
        <f>+I30</f>
        <v>2053611.15</v>
      </c>
      <c r="G31" s="130"/>
      <c r="H31" s="130"/>
      <c r="I31" s="130">
        <f>+I30-F31</f>
        <v>0</v>
      </c>
    </row>
    <row r="32" spans="1:20" x14ac:dyDescent="0.25">
      <c r="C32" s="129"/>
      <c r="E32" s="130"/>
      <c r="F32" s="130"/>
      <c r="G32" s="130"/>
      <c r="H32" s="130"/>
      <c r="I32" s="130"/>
    </row>
    <row r="33" spans="2:12" x14ac:dyDescent="0.25">
      <c r="B33" s="205" t="s">
        <v>323</v>
      </c>
      <c r="C33" s="129"/>
      <c r="E33" s="130"/>
      <c r="F33" s="130"/>
      <c r="G33" s="130"/>
      <c r="H33" s="130"/>
      <c r="I33" s="130"/>
    </row>
    <row r="34" spans="2:12" x14ac:dyDescent="0.25">
      <c r="B34" s="191" t="s">
        <v>376</v>
      </c>
    </row>
    <row r="36" spans="2:12" x14ac:dyDescent="0.25">
      <c r="B36" s="192" t="s">
        <v>98</v>
      </c>
      <c r="C36" s="192" t="s">
        <v>120</v>
      </c>
      <c r="D36" s="126" t="s">
        <v>112</v>
      </c>
      <c r="E36" s="125" t="s">
        <v>113</v>
      </c>
      <c r="F36" s="125" t="s">
        <v>114</v>
      </c>
      <c r="G36" s="125" t="s">
        <v>100</v>
      </c>
      <c r="H36" s="125" t="s">
        <v>115</v>
      </c>
      <c r="I36" s="125" t="s">
        <v>116</v>
      </c>
    </row>
    <row r="37" spans="2:12" x14ac:dyDescent="0.25">
      <c r="B37" s="191" t="s">
        <v>117</v>
      </c>
      <c r="D37" s="127"/>
      <c r="E37" s="127"/>
      <c r="F37" s="127"/>
      <c r="G37" s="127"/>
      <c r="I37" s="128">
        <v>313801468</v>
      </c>
      <c r="K37" s="120" t="s">
        <v>364</v>
      </c>
      <c r="L37" s="156">
        <v>11</v>
      </c>
    </row>
    <row r="38" spans="2:12" x14ac:dyDescent="0.25">
      <c r="C38" s="159">
        <v>45626</v>
      </c>
      <c r="E38" s="130"/>
      <c r="F38" s="130"/>
      <c r="G38" s="130"/>
      <c r="H38" s="130"/>
      <c r="I38" s="130">
        <v>299628000</v>
      </c>
      <c r="K38" s="120" t="s">
        <v>339</v>
      </c>
      <c r="L38" s="160">
        <f>+PMT(H39/1200,84,I41,0)</f>
        <v>-5130361.384115845</v>
      </c>
    </row>
    <row r="39" spans="2:12" x14ac:dyDescent="0.25">
      <c r="C39" s="159">
        <f t="shared" ref="C39:C42" si="13">EDATE(C38,1)</f>
        <v>45656</v>
      </c>
      <c r="E39" s="130">
        <f>+G39</f>
        <v>2746590</v>
      </c>
      <c r="F39" s="130"/>
      <c r="G39" s="130">
        <f t="shared" ref="G39:G42" si="14">ROUND(+I38*H39/1200,0)</f>
        <v>2746590</v>
      </c>
      <c r="H39" s="130">
        <f>+L37</f>
        <v>11</v>
      </c>
      <c r="I39" s="130">
        <f>+I38-F39</f>
        <v>299628000</v>
      </c>
      <c r="J39" s="124"/>
      <c r="K39" s="120" t="s">
        <v>340</v>
      </c>
      <c r="L39" s="129">
        <v>45627</v>
      </c>
    </row>
    <row r="40" spans="2:12" x14ac:dyDescent="0.25">
      <c r="C40" s="159">
        <f t="shared" si="13"/>
        <v>45687</v>
      </c>
      <c r="E40" s="130">
        <f t="shared" ref="E40:E41" si="15">+G40</f>
        <v>2746590</v>
      </c>
      <c r="F40" s="130"/>
      <c r="G40" s="130">
        <f t="shared" si="14"/>
        <v>2746590</v>
      </c>
      <c r="H40" s="130">
        <f>+H39</f>
        <v>11</v>
      </c>
      <c r="I40" s="130">
        <f t="shared" ref="I40:I55" si="16">+I39-F40</f>
        <v>299628000</v>
      </c>
      <c r="K40" s="120" t="s">
        <v>341</v>
      </c>
      <c r="L40" s="129">
        <v>45716</v>
      </c>
    </row>
    <row r="41" spans="2:12" x14ac:dyDescent="0.25">
      <c r="C41" s="159">
        <f t="shared" si="13"/>
        <v>45716</v>
      </c>
      <c r="E41" s="130">
        <f t="shared" si="15"/>
        <v>2746590</v>
      </c>
      <c r="F41" s="130"/>
      <c r="G41" s="130">
        <f t="shared" si="14"/>
        <v>2746590</v>
      </c>
      <c r="H41" s="130">
        <f t="shared" ref="H41:H42" si="17">+H40</f>
        <v>11</v>
      </c>
      <c r="I41" s="130">
        <f>+I40-F41</f>
        <v>299628000</v>
      </c>
      <c r="K41" s="120" t="s">
        <v>342</v>
      </c>
      <c r="L41" s="129">
        <v>45747</v>
      </c>
    </row>
    <row r="42" spans="2:12" x14ac:dyDescent="0.25">
      <c r="B42" s="133">
        <v>1</v>
      </c>
      <c r="C42" s="159">
        <f t="shared" si="13"/>
        <v>45744</v>
      </c>
      <c r="E42" s="130">
        <f>-$L$38</f>
        <v>5130361.384115845</v>
      </c>
      <c r="F42" s="130">
        <f t="shared" ref="F42:F103" si="18">+E42-G42</f>
        <v>2383771.384115845</v>
      </c>
      <c r="G42" s="130">
        <f t="shared" si="14"/>
        <v>2746590</v>
      </c>
      <c r="H42" s="130">
        <f t="shared" si="17"/>
        <v>11</v>
      </c>
      <c r="I42" s="130">
        <f t="shared" si="16"/>
        <v>297244228.61588418</v>
      </c>
      <c r="K42" s="120" t="s">
        <v>343</v>
      </c>
      <c r="L42" s="133" t="s">
        <v>344</v>
      </c>
    </row>
    <row r="43" spans="2:12" x14ac:dyDescent="0.25">
      <c r="B43" s="191" t="s">
        <v>118</v>
      </c>
      <c r="E43" s="131">
        <f>SUM(E38:E42)</f>
        <v>13370131.384115845</v>
      </c>
      <c r="F43" s="131">
        <f>SUM(F40:F42)</f>
        <v>2383771.384115845</v>
      </c>
      <c r="G43" s="131">
        <f>SUM(G38:G42)</f>
        <v>10986360</v>
      </c>
    </row>
    <row r="44" spans="2:12" x14ac:dyDescent="0.25">
      <c r="B44" s="133">
        <f>+B42+1</f>
        <v>2</v>
      </c>
      <c r="C44" s="159">
        <f>EDATE(C42,1)</f>
        <v>45775</v>
      </c>
      <c r="E44" s="130">
        <f t="shared" ref="E44:E55" si="19">-$L$38</f>
        <v>5130361.384115845</v>
      </c>
      <c r="F44" s="130">
        <f t="shared" si="18"/>
        <v>2405622.384115845</v>
      </c>
      <c r="G44" s="130">
        <f>ROUND(+I42*H44/1200,0)</f>
        <v>2724739</v>
      </c>
      <c r="H44" s="130">
        <f>+H42</f>
        <v>11</v>
      </c>
      <c r="I44" s="130">
        <f>+I42-F44</f>
        <v>294838606.23176837</v>
      </c>
    </row>
    <row r="45" spans="2:12" x14ac:dyDescent="0.25">
      <c r="B45" s="133">
        <f>+B44+1</f>
        <v>3</v>
      </c>
      <c r="C45" s="159">
        <f>EDATE(C44,1)</f>
        <v>45805</v>
      </c>
      <c r="E45" s="130">
        <f t="shared" si="19"/>
        <v>5130361.384115845</v>
      </c>
      <c r="F45" s="130">
        <f t="shared" si="18"/>
        <v>2427674.384115845</v>
      </c>
      <c r="G45" s="130">
        <f>ROUND(+I44*H45/1200,0)</f>
        <v>2702687</v>
      </c>
      <c r="H45" s="130">
        <f>+H44</f>
        <v>11</v>
      </c>
      <c r="I45" s="130">
        <f t="shared" si="16"/>
        <v>292410931.84765255</v>
      </c>
      <c r="L45" s="156">
        <f>+L38*84</f>
        <v>-430950356.26573098</v>
      </c>
    </row>
    <row r="46" spans="2:12" x14ac:dyDescent="0.25">
      <c r="B46" s="133">
        <f t="shared" ref="B46:B55" si="20">+B45+1</f>
        <v>4</v>
      </c>
      <c r="C46" s="159">
        <f t="shared" ref="C46:C55" si="21">EDATE(C45,1)</f>
        <v>45836</v>
      </c>
      <c r="E46" s="130">
        <f t="shared" si="19"/>
        <v>5130361.384115845</v>
      </c>
      <c r="F46" s="130">
        <f t="shared" si="18"/>
        <v>2449927.384115845</v>
      </c>
      <c r="G46" s="130">
        <f t="shared" ref="G46:G55" si="22">ROUND(+I45*H46/1200,0)</f>
        <v>2680434</v>
      </c>
      <c r="H46" s="130">
        <f t="shared" ref="H46:H55" si="23">+H45</f>
        <v>11</v>
      </c>
      <c r="I46" s="130">
        <f t="shared" si="16"/>
        <v>289961004.46353674</v>
      </c>
      <c r="L46" s="156">
        <f>+L45*0.2</f>
        <v>-86190071.253146201</v>
      </c>
    </row>
    <row r="47" spans="2:12" x14ac:dyDescent="0.25">
      <c r="B47" s="133">
        <f t="shared" si="20"/>
        <v>5</v>
      </c>
      <c r="C47" s="159">
        <f t="shared" si="21"/>
        <v>45866</v>
      </c>
      <c r="E47" s="130">
        <f t="shared" si="19"/>
        <v>5130361.384115845</v>
      </c>
      <c r="F47" s="130">
        <f t="shared" si="18"/>
        <v>2472385.384115845</v>
      </c>
      <c r="G47" s="130">
        <f t="shared" si="22"/>
        <v>2657976</v>
      </c>
      <c r="H47" s="130">
        <f t="shared" si="23"/>
        <v>11</v>
      </c>
      <c r="I47" s="130">
        <f t="shared" si="16"/>
        <v>287488619.07942092</v>
      </c>
    </row>
    <row r="48" spans="2:12" x14ac:dyDescent="0.25">
      <c r="B48" s="133">
        <f t="shared" si="20"/>
        <v>6</v>
      </c>
      <c r="C48" s="159">
        <f t="shared" si="21"/>
        <v>45897</v>
      </c>
      <c r="E48" s="130">
        <f t="shared" si="19"/>
        <v>5130361.384115845</v>
      </c>
      <c r="F48" s="130">
        <f t="shared" si="18"/>
        <v>2495049.384115845</v>
      </c>
      <c r="G48" s="130">
        <f t="shared" si="22"/>
        <v>2635312</v>
      </c>
      <c r="H48" s="130">
        <f t="shared" si="23"/>
        <v>11</v>
      </c>
      <c r="I48" s="130">
        <f t="shared" si="16"/>
        <v>284993569.69530511</v>
      </c>
      <c r="L48" s="156">
        <f>+L46*0.5</f>
        <v>-43095035.626573101</v>
      </c>
    </row>
    <row r="49" spans="2:12" x14ac:dyDescent="0.25">
      <c r="B49" s="133">
        <f t="shared" si="20"/>
        <v>7</v>
      </c>
      <c r="C49" s="159">
        <f t="shared" si="21"/>
        <v>45928</v>
      </c>
      <c r="E49" s="130">
        <f t="shared" si="19"/>
        <v>5130361.384115845</v>
      </c>
      <c r="F49" s="130">
        <f t="shared" si="18"/>
        <v>2517920.384115845</v>
      </c>
      <c r="G49" s="130">
        <f t="shared" si="22"/>
        <v>2612441</v>
      </c>
      <c r="H49" s="130">
        <f t="shared" si="23"/>
        <v>11</v>
      </c>
      <c r="I49" s="130">
        <f t="shared" si="16"/>
        <v>282475649.31118929</v>
      </c>
    </row>
    <row r="50" spans="2:12" x14ac:dyDescent="0.25">
      <c r="B50" s="133">
        <f t="shared" si="20"/>
        <v>8</v>
      </c>
      <c r="C50" s="159">
        <f t="shared" si="21"/>
        <v>45958</v>
      </c>
      <c r="E50" s="130">
        <f t="shared" si="19"/>
        <v>5130361.384115845</v>
      </c>
      <c r="F50" s="130">
        <f t="shared" si="18"/>
        <v>2541001.384115845</v>
      </c>
      <c r="G50" s="130">
        <f t="shared" si="22"/>
        <v>2589360</v>
      </c>
      <c r="H50" s="130">
        <f t="shared" si="23"/>
        <v>11</v>
      </c>
      <c r="I50" s="130">
        <f t="shared" si="16"/>
        <v>279934647.92707348</v>
      </c>
    </row>
    <row r="51" spans="2:12" x14ac:dyDescent="0.25">
      <c r="B51" s="133">
        <f t="shared" si="20"/>
        <v>9</v>
      </c>
      <c r="C51" s="159">
        <f t="shared" si="21"/>
        <v>45989</v>
      </c>
      <c r="E51" s="130">
        <f t="shared" si="19"/>
        <v>5130361.384115845</v>
      </c>
      <c r="F51" s="130">
        <f t="shared" si="18"/>
        <v>2564293.384115845</v>
      </c>
      <c r="G51" s="130">
        <f t="shared" si="22"/>
        <v>2566068</v>
      </c>
      <c r="H51" s="130">
        <f t="shared" si="23"/>
        <v>11</v>
      </c>
      <c r="I51" s="130">
        <f t="shared" si="16"/>
        <v>277370354.54295766</v>
      </c>
      <c r="L51" s="174">
        <f>+I38</f>
        <v>299628000</v>
      </c>
    </row>
    <row r="52" spans="2:12" x14ac:dyDescent="0.25">
      <c r="B52" s="133">
        <f t="shared" si="20"/>
        <v>10</v>
      </c>
      <c r="C52" s="159">
        <f t="shared" si="21"/>
        <v>46019</v>
      </c>
      <c r="E52" s="130">
        <f t="shared" si="19"/>
        <v>5130361.384115845</v>
      </c>
      <c r="F52" s="130">
        <f t="shared" si="18"/>
        <v>2587799.384115845</v>
      </c>
      <c r="G52" s="130">
        <f t="shared" si="22"/>
        <v>2542562</v>
      </c>
      <c r="H52" s="130">
        <f t="shared" si="23"/>
        <v>11</v>
      </c>
      <c r="I52" s="130">
        <f t="shared" si="16"/>
        <v>274782555.15884185</v>
      </c>
      <c r="L52" s="156">
        <f>+L51*0.2</f>
        <v>59925600</v>
      </c>
    </row>
    <row r="53" spans="2:12" x14ac:dyDescent="0.25">
      <c r="B53" s="133">
        <f t="shared" si="20"/>
        <v>11</v>
      </c>
      <c r="C53" s="159">
        <f t="shared" si="21"/>
        <v>46050</v>
      </c>
      <c r="E53" s="130">
        <f t="shared" si="19"/>
        <v>5130361.384115845</v>
      </c>
      <c r="F53" s="130">
        <f t="shared" si="18"/>
        <v>2611521.384115845</v>
      </c>
      <c r="G53" s="130">
        <f t="shared" si="22"/>
        <v>2518840</v>
      </c>
      <c r="H53" s="130">
        <f t="shared" si="23"/>
        <v>11</v>
      </c>
      <c r="I53" s="130">
        <f t="shared" si="16"/>
        <v>272171033.77472603</v>
      </c>
      <c r="L53" s="156">
        <f>+L52*0.5</f>
        <v>29962800</v>
      </c>
    </row>
    <row r="54" spans="2:12" x14ac:dyDescent="0.25">
      <c r="B54" s="133">
        <f t="shared" si="20"/>
        <v>12</v>
      </c>
      <c r="C54" s="159">
        <f t="shared" si="21"/>
        <v>46081</v>
      </c>
      <c r="E54" s="130">
        <f t="shared" si="19"/>
        <v>5130361.384115845</v>
      </c>
      <c r="F54" s="130">
        <f t="shared" si="18"/>
        <v>2635460.384115845</v>
      </c>
      <c r="G54" s="130">
        <f t="shared" si="22"/>
        <v>2494901</v>
      </c>
      <c r="H54" s="130">
        <f t="shared" si="23"/>
        <v>11</v>
      </c>
      <c r="I54" s="130">
        <f t="shared" si="16"/>
        <v>269535573.39061022</v>
      </c>
    </row>
    <row r="55" spans="2:12" x14ac:dyDescent="0.25">
      <c r="B55" s="133">
        <f t="shared" si="20"/>
        <v>13</v>
      </c>
      <c r="C55" s="159">
        <f t="shared" si="21"/>
        <v>46109</v>
      </c>
      <c r="E55" s="130">
        <f t="shared" si="19"/>
        <v>5130361.384115845</v>
      </c>
      <c r="F55" s="130">
        <f t="shared" si="18"/>
        <v>2659618.384115845</v>
      </c>
      <c r="G55" s="130">
        <f t="shared" si="22"/>
        <v>2470743</v>
      </c>
      <c r="H55" s="130">
        <f t="shared" si="23"/>
        <v>11</v>
      </c>
      <c r="I55" s="130">
        <f t="shared" si="16"/>
        <v>266875955.00649437</v>
      </c>
    </row>
    <row r="56" spans="2:12" x14ac:dyDescent="0.25">
      <c r="B56" s="191" t="s">
        <v>119</v>
      </c>
      <c r="C56" s="159"/>
      <c r="E56" s="131">
        <f>SUM(E44:E55)</f>
        <v>61564336.60939014</v>
      </c>
      <c r="F56" s="131">
        <f>SUM(F44:F55)</f>
        <v>30368273.60939014</v>
      </c>
      <c r="G56" s="131">
        <f>SUM(G44:G55)</f>
        <v>31196063</v>
      </c>
    </row>
    <row r="57" spans="2:12" x14ac:dyDescent="0.25">
      <c r="B57" s="133">
        <f>+B55+1</f>
        <v>14</v>
      </c>
      <c r="C57" s="159">
        <f>EDATE(C55,1)</f>
        <v>46140</v>
      </c>
      <c r="E57" s="130">
        <f t="shared" ref="E57:E68" si="24">-$L$38</f>
        <v>5130361.384115845</v>
      </c>
      <c r="F57" s="130">
        <f t="shared" si="18"/>
        <v>2683998.384115845</v>
      </c>
      <c r="G57" s="130">
        <f>ROUND(+I55*H57/1200,0)</f>
        <v>2446363</v>
      </c>
      <c r="H57" s="130">
        <f>+H55</f>
        <v>11</v>
      </c>
      <c r="I57" s="130">
        <f>+I55+G57-E57</f>
        <v>264191956.62237856</v>
      </c>
    </row>
    <row r="58" spans="2:12" x14ac:dyDescent="0.25">
      <c r="B58" s="133">
        <f>+B57+1</f>
        <v>15</v>
      </c>
      <c r="C58" s="159">
        <f>EDATE(C57,1)</f>
        <v>46170</v>
      </c>
      <c r="E58" s="130">
        <f t="shared" si="24"/>
        <v>5130361.384115845</v>
      </c>
      <c r="F58" s="130">
        <f t="shared" si="18"/>
        <v>2708601.384115845</v>
      </c>
      <c r="G58" s="130">
        <f>ROUND(+I57*H58/1200,0)</f>
        <v>2421760</v>
      </c>
      <c r="H58" s="130">
        <f>+H57</f>
        <v>11</v>
      </c>
      <c r="I58" s="130">
        <f t="shared" ref="I58:I68" si="25">+I57-F58</f>
        <v>261483355.23826271</v>
      </c>
    </row>
    <row r="59" spans="2:12" x14ac:dyDescent="0.25">
      <c r="B59" s="133">
        <f t="shared" ref="B59:B68" si="26">+B58+1</f>
        <v>16</v>
      </c>
      <c r="C59" s="159">
        <f t="shared" ref="C59:C68" si="27">EDATE(C58,1)</f>
        <v>46201</v>
      </c>
      <c r="E59" s="130">
        <f t="shared" si="24"/>
        <v>5130361.384115845</v>
      </c>
      <c r="F59" s="130">
        <f t="shared" si="18"/>
        <v>2733430.384115845</v>
      </c>
      <c r="G59" s="130">
        <f t="shared" ref="G59:G68" si="28">ROUND(+I58*H59/1200,0)</f>
        <v>2396931</v>
      </c>
      <c r="H59" s="130">
        <f t="shared" ref="H59:H68" si="29">+H58</f>
        <v>11</v>
      </c>
      <c r="I59" s="130">
        <f t="shared" si="25"/>
        <v>258749924.85414687</v>
      </c>
    </row>
    <row r="60" spans="2:12" x14ac:dyDescent="0.25">
      <c r="B60" s="133">
        <f t="shared" si="26"/>
        <v>17</v>
      </c>
      <c r="C60" s="159">
        <f t="shared" si="27"/>
        <v>46231</v>
      </c>
      <c r="E60" s="130">
        <f t="shared" si="24"/>
        <v>5130361.384115845</v>
      </c>
      <c r="F60" s="130">
        <f t="shared" si="18"/>
        <v>2758487.384115845</v>
      </c>
      <c r="G60" s="130">
        <f t="shared" si="28"/>
        <v>2371874</v>
      </c>
      <c r="H60" s="130">
        <f t="shared" si="29"/>
        <v>11</v>
      </c>
      <c r="I60" s="130">
        <f t="shared" si="25"/>
        <v>255991437.47003102</v>
      </c>
    </row>
    <row r="61" spans="2:12" x14ac:dyDescent="0.25">
      <c r="B61" s="133">
        <f t="shared" si="26"/>
        <v>18</v>
      </c>
      <c r="C61" s="159">
        <f t="shared" si="27"/>
        <v>46262</v>
      </c>
      <c r="E61" s="130">
        <f t="shared" si="24"/>
        <v>5130361.384115845</v>
      </c>
      <c r="F61" s="130">
        <f t="shared" si="18"/>
        <v>2783773.384115845</v>
      </c>
      <c r="G61" s="130">
        <f t="shared" si="28"/>
        <v>2346588</v>
      </c>
      <c r="H61" s="130">
        <f t="shared" si="29"/>
        <v>11</v>
      </c>
      <c r="I61" s="130">
        <f t="shared" si="25"/>
        <v>253207664.08591518</v>
      </c>
    </row>
    <row r="62" spans="2:12" x14ac:dyDescent="0.25">
      <c r="B62" s="133">
        <f t="shared" si="26"/>
        <v>19</v>
      </c>
      <c r="C62" s="159">
        <f t="shared" si="27"/>
        <v>46293</v>
      </c>
      <c r="E62" s="130">
        <f t="shared" si="24"/>
        <v>5130361.384115845</v>
      </c>
      <c r="F62" s="130">
        <f t="shared" si="18"/>
        <v>2809291.384115845</v>
      </c>
      <c r="G62" s="130">
        <f t="shared" si="28"/>
        <v>2321070</v>
      </c>
      <c r="H62" s="130">
        <f t="shared" si="29"/>
        <v>11</v>
      </c>
      <c r="I62" s="130">
        <f t="shared" si="25"/>
        <v>250398372.70179933</v>
      </c>
    </row>
    <row r="63" spans="2:12" x14ac:dyDescent="0.25">
      <c r="B63" s="133">
        <f t="shared" si="26"/>
        <v>20</v>
      </c>
      <c r="C63" s="159">
        <f t="shared" si="27"/>
        <v>46323</v>
      </c>
      <c r="E63" s="130">
        <f t="shared" si="24"/>
        <v>5130361.384115845</v>
      </c>
      <c r="F63" s="130">
        <f t="shared" si="18"/>
        <v>2835043.384115845</v>
      </c>
      <c r="G63" s="130">
        <f t="shared" si="28"/>
        <v>2295318</v>
      </c>
      <c r="H63" s="130">
        <f t="shared" si="29"/>
        <v>11</v>
      </c>
      <c r="I63" s="130">
        <f t="shared" si="25"/>
        <v>247563329.31768349</v>
      </c>
    </row>
    <row r="64" spans="2:12" x14ac:dyDescent="0.25">
      <c r="B64" s="133">
        <f t="shared" si="26"/>
        <v>21</v>
      </c>
      <c r="C64" s="159">
        <f t="shared" si="27"/>
        <v>46354</v>
      </c>
      <c r="E64" s="130">
        <f t="shared" si="24"/>
        <v>5130361.384115845</v>
      </c>
      <c r="F64" s="130">
        <f t="shared" si="18"/>
        <v>2861030.384115845</v>
      </c>
      <c r="G64" s="130">
        <f t="shared" si="28"/>
        <v>2269331</v>
      </c>
      <c r="H64" s="130">
        <f t="shared" si="29"/>
        <v>11</v>
      </c>
      <c r="I64" s="130">
        <f t="shared" si="25"/>
        <v>244702298.93356764</v>
      </c>
    </row>
    <row r="65" spans="2:9" x14ac:dyDescent="0.25">
      <c r="B65" s="133">
        <f t="shared" si="26"/>
        <v>22</v>
      </c>
      <c r="C65" s="159">
        <f t="shared" si="27"/>
        <v>46384</v>
      </c>
      <c r="E65" s="130">
        <f t="shared" si="24"/>
        <v>5130361.384115845</v>
      </c>
      <c r="F65" s="130">
        <f t="shared" si="18"/>
        <v>2887257.384115845</v>
      </c>
      <c r="G65" s="130">
        <f t="shared" si="28"/>
        <v>2243104</v>
      </c>
      <c r="H65" s="130">
        <f t="shared" si="29"/>
        <v>11</v>
      </c>
      <c r="I65" s="130">
        <f t="shared" si="25"/>
        <v>241815041.5494518</v>
      </c>
    </row>
    <row r="66" spans="2:9" x14ac:dyDescent="0.25">
      <c r="B66" s="133">
        <f t="shared" si="26"/>
        <v>23</v>
      </c>
      <c r="C66" s="159">
        <f t="shared" si="27"/>
        <v>46415</v>
      </c>
      <c r="E66" s="130">
        <f t="shared" si="24"/>
        <v>5130361.384115845</v>
      </c>
      <c r="F66" s="130">
        <f t="shared" si="18"/>
        <v>2913723.384115845</v>
      </c>
      <c r="G66" s="130">
        <f t="shared" si="28"/>
        <v>2216638</v>
      </c>
      <c r="H66" s="130">
        <f t="shared" si="29"/>
        <v>11</v>
      </c>
      <c r="I66" s="130">
        <f t="shared" si="25"/>
        <v>238901318.16533595</v>
      </c>
    </row>
    <row r="67" spans="2:9" x14ac:dyDescent="0.25">
      <c r="B67" s="133">
        <f t="shared" si="26"/>
        <v>24</v>
      </c>
      <c r="C67" s="159">
        <f t="shared" si="27"/>
        <v>46446</v>
      </c>
      <c r="E67" s="130">
        <f t="shared" si="24"/>
        <v>5130361.384115845</v>
      </c>
      <c r="F67" s="130">
        <f t="shared" si="18"/>
        <v>2940432.384115845</v>
      </c>
      <c r="G67" s="130">
        <f t="shared" si="28"/>
        <v>2189929</v>
      </c>
      <c r="H67" s="130">
        <f t="shared" si="29"/>
        <v>11</v>
      </c>
      <c r="I67" s="130">
        <f t="shared" si="25"/>
        <v>235960885.78122011</v>
      </c>
    </row>
    <row r="68" spans="2:9" x14ac:dyDescent="0.25">
      <c r="B68" s="133">
        <f t="shared" si="26"/>
        <v>25</v>
      </c>
      <c r="C68" s="159">
        <f t="shared" si="27"/>
        <v>46474</v>
      </c>
      <c r="E68" s="130">
        <f t="shared" si="24"/>
        <v>5130361.384115845</v>
      </c>
      <c r="F68" s="130">
        <f t="shared" si="18"/>
        <v>2967386.384115845</v>
      </c>
      <c r="G68" s="130">
        <f t="shared" si="28"/>
        <v>2162975</v>
      </c>
      <c r="H68" s="130">
        <f t="shared" si="29"/>
        <v>11</v>
      </c>
      <c r="I68" s="130">
        <f t="shared" si="25"/>
        <v>232993499.39710426</v>
      </c>
    </row>
    <row r="69" spans="2:9" x14ac:dyDescent="0.25">
      <c r="B69" s="191" t="s">
        <v>121</v>
      </c>
      <c r="C69" s="159"/>
      <c r="E69" s="131">
        <f>SUM(E57:E68)</f>
        <v>61564336.60939014</v>
      </c>
      <c r="F69" s="131">
        <f>SUM(F57:F68)</f>
        <v>33882455.60939014</v>
      </c>
      <c r="G69" s="131">
        <f>SUM(G57:G68)</f>
        <v>27681881</v>
      </c>
      <c r="H69" s="130"/>
      <c r="I69" s="130"/>
    </row>
    <row r="70" spans="2:9" x14ac:dyDescent="0.25">
      <c r="B70" s="133">
        <f>+B68+1</f>
        <v>26</v>
      </c>
      <c r="C70" s="159">
        <f>EDATE(C68,1)</f>
        <v>46505</v>
      </c>
      <c r="E70" s="130">
        <f t="shared" ref="E70:E81" si="30">-$L$38</f>
        <v>5130361.384115845</v>
      </c>
      <c r="F70" s="130">
        <f t="shared" si="18"/>
        <v>2994587.384115845</v>
      </c>
      <c r="G70" s="130">
        <f>ROUND(+I68*H70/1200,0)</f>
        <v>2135774</v>
      </c>
      <c r="H70" s="130">
        <f>+H68</f>
        <v>11</v>
      </c>
      <c r="I70" s="130">
        <f>+I68+G70-E70</f>
        <v>229998912.01298842</v>
      </c>
    </row>
    <row r="71" spans="2:9" x14ac:dyDescent="0.25">
      <c r="B71" s="133">
        <f>+B70+1</f>
        <v>27</v>
      </c>
      <c r="C71" s="159">
        <f>EDATE(C70,1)</f>
        <v>46535</v>
      </c>
      <c r="E71" s="130">
        <f t="shared" si="30"/>
        <v>5130361.384115845</v>
      </c>
      <c r="F71" s="130">
        <f t="shared" si="18"/>
        <v>3022038.384115845</v>
      </c>
      <c r="G71" s="130">
        <f>ROUND(+I70*H71/1200,0)</f>
        <v>2108323</v>
      </c>
      <c r="H71" s="130">
        <f>+H70</f>
        <v>11</v>
      </c>
      <c r="I71" s="130">
        <f t="shared" ref="I71:I81" si="31">+I70-F71</f>
        <v>226976873.62887257</v>
      </c>
    </row>
    <row r="72" spans="2:9" x14ac:dyDescent="0.25">
      <c r="B72" s="133">
        <f t="shared" ref="B72:B81" si="32">+B71+1</f>
        <v>28</v>
      </c>
      <c r="C72" s="159">
        <f t="shared" ref="C72:C81" si="33">EDATE(C71,1)</f>
        <v>46566</v>
      </c>
      <c r="E72" s="130">
        <f t="shared" si="30"/>
        <v>5130361.384115845</v>
      </c>
      <c r="F72" s="130">
        <f t="shared" si="18"/>
        <v>3049740.384115845</v>
      </c>
      <c r="G72" s="130">
        <f t="shared" ref="G72:G81" si="34">ROUND(+I71*H72/1200,0)</f>
        <v>2080621</v>
      </c>
      <c r="H72" s="130">
        <f t="shared" ref="H72:H81" si="35">+H71</f>
        <v>11</v>
      </c>
      <c r="I72" s="130">
        <f t="shared" si="31"/>
        <v>223927133.24475673</v>
      </c>
    </row>
    <row r="73" spans="2:9" x14ac:dyDescent="0.25">
      <c r="B73" s="133">
        <f t="shared" si="32"/>
        <v>29</v>
      </c>
      <c r="C73" s="159">
        <f t="shared" si="33"/>
        <v>46596</v>
      </c>
      <c r="E73" s="130">
        <f t="shared" si="30"/>
        <v>5130361.384115845</v>
      </c>
      <c r="F73" s="130">
        <f t="shared" si="18"/>
        <v>3077696.384115845</v>
      </c>
      <c r="G73" s="130">
        <f t="shared" si="34"/>
        <v>2052665</v>
      </c>
      <c r="H73" s="130">
        <f t="shared" si="35"/>
        <v>11</v>
      </c>
      <c r="I73" s="130">
        <f t="shared" si="31"/>
        <v>220849436.86064088</v>
      </c>
    </row>
    <row r="74" spans="2:9" x14ac:dyDescent="0.25">
      <c r="B74" s="133">
        <f t="shared" si="32"/>
        <v>30</v>
      </c>
      <c r="C74" s="159">
        <f t="shared" si="33"/>
        <v>46627</v>
      </c>
      <c r="E74" s="130">
        <f t="shared" si="30"/>
        <v>5130361.384115845</v>
      </c>
      <c r="F74" s="130">
        <f t="shared" si="18"/>
        <v>3105908.384115845</v>
      </c>
      <c r="G74" s="130">
        <f t="shared" si="34"/>
        <v>2024453</v>
      </c>
      <c r="H74" s="130">
        <f t="shared" si="35"/>
        <v>11</v>
      </c>
      <c r="I74" s="130">
        <f t="shared" si="31"/>
        <v>217743528.47652504</v>
      </c>
    </row>
    <row r="75" spans="2:9" x14ac:dyDescent="0.25">
      <c r="B75" s="133">
        <f t="shared" si="32"/>
        <v>31</v>
      </c>
      <c r="C75" s="159">
        <f t="shared" si="33"/>
        <v>46658</v>
      </c>
      <c r="E75" s="130">
        <f t="shared" si="30"/>
        <v>5130361.384115845</v>
      </c>
      <c r="F75" s="130">
        <f t="shared" si="18"/>
        <v>3134379.384115845</v>
      </c>
      <c r="G75" s="130">
        <f t="shared" si="34"/>
        <v>1995982</v>
      </c>
      <c r="H75" s="130">
        <f t="shared" si="35"/>
        <v>11</v>
      </c>
      <c r="I75" s="130">
        <f t="shared" si="31"/>
        <v>214609149.09240919</v>
      </c>
    </row>
    <row r="76" spans="2:9" x14ac:dyDescent="0.25">
      <c r="B76" s="133">
        <f t="shared" si="32"/>
        <v>32</v>
      </c>
      <c r="C76" s="159">
        <f t="shared" si="33"/>
        <v>46688</v>
      </c>
      <c r="E76" s="130">
        <f t="shared" si="30"/>
        <v>5130361.384115845</v>
      </c>
      <c r="F76" s="130">
        <f t="shared" si="18"/>
        <v>3163110.384115845</v>
      </c>
      <c r="G76" s="130">
        <f t="shared" si="34"/>
        <v>1967251</v>
      </c>
      <c r="H76" s="130">
        <f t="shared" si="35"/>
        <v>11</v>
      </c>
      <c r="I76" s="130">
        <f t="shared" si="31"/>
        <v>211446038.70829335</v>
      </c>
    </row>
    <row r="77" spans="2:9" x14ac:dyDescent="0.25">
      <c r="B77" s="133">
        <f t="shared" si="32"/>
        <v>33</v>
      </c>
      <c r="C77" s="159">
        <f t="shared" si="33"/>
        <v>46719</v>
      </c>
      <c r="E77" s="130">
        <f t="shared" si="30"/>
        <v>5130361.384115845</v>
      </c>
      <c r="F77" s="130">
        <f t="shared" si="18"/>
        <v>3192106.384115845</v>
      </c>
      <c r="G77" s="130">
        <f t="shared" si="34"/>
        <v>1938255</v>
      </c>
      <c r="H77" s="130">
        <f t="shared" si="35"/>
        <v>11</v>
      </c>
      <c r="I77" s="130">
        <f t="shared" si="31"/>
        <v>208253932.3241775</v>
      </c>
    </row>
    <row r="78" spans="2:9" x14ac:dyDescent="0.25">
      <c r="B78" s="133">
        <f t="shared" si="32"/>
        <v>34</v>
      </c>
      <c r="C78" s="159">
        <f t="shared" si="33"/>
        <v>46749</v>
      </c>
      <c r="E78" s="130">
        <f t="shared" si="30"/>
        <v>5130361.384115845</v>
      </c>
      <c r="F78" s="130">
        <f t="shared" si="18"/>
        <v>3221367.384115845</v>
      </c>
      <c r="G78" s="130">
        <f t="shared" si="34"/>
        <v>1908994</v>
      </c>
      <c r="H78" s="130">
        <f t="shared" si="35"/>
        <v>11</v>
      </c>
      <c r="I78" s="130">
        <f t="shared" si="31"/>
        <v>205032564.94006166</v>
      </c>
    </row>
    <row r="79" spans="2:9" x14ac:dyDescent="0.25">
      <c r="B79" s="133">
        <f t="shared" si="32"/>
        <v>35</v>
      </c>
      <c r="C79" s="159">
        <f t="shared" si="33"/>
        <v>46780</v>
      </c>
      <c r="E79" s="130">
        <f t="shared" si="30"/>
        <v>5130361.384115845</v>
      </c>
      <c r="F79" s="130">
        <f t="shared" si="18"/>
        <v>3250896.384115845</v>
      </c>
      <c r="G79" s="130">
        <f t="shared" si="34"/>
        <v>1879465</v>
      </c>
      <c r="H79" s="130">
        <f t="shared" si="35"/>
        <v>11</v>
      </c>
      <c r="I79" s="130">
        <f t="shared" si="31"/>
        <v>201781668.55594581</v>
      </c>
    </row>
    <row r="80" spans="2:9" x14ac:dyDescent="0.25">
      <c r="B80" s="133">
        <f t="shared" si="32"/>
        <v>36</v>
      </c>
      <c r="C80" s="159">
        <f t="shared" si="33"/>
        <v>46811</v>
      </c>
      <c r="E80" s="130">
        <f t="shared" si="30"/>
        <v>5130361.384115845</v>
      </c>
      <c r="F80" s="130">
        <f t="shared" si="18"/>
        <v>3280696.384115845</v>
      </c>
      <c r="G80" s="130">
        <f t="shared" si="34"/>
        <v>1849665</v>
      </c>
      <c r="H80" s="130">
        <f t="shared" si="35"/>
        <v>11</v>
      </c>
      <c r="I80" s="130">
        <f t="shared" si="31"/>
        <v>198500972.17182997</v>
      </c>
    </row>
    <row r="81" spans="2:9" x14ac:dyDescent="0.25">
      <c r="B81" s="133">
        <f t="shared" si="32"/>
        <v>37</v>
      </c>
      <c r="C81" s="159">
        <f t="shared" si="33"/>
        <v>46840</v>
      </c>
      <c r="E81" s="130">
        <f t="shared" si="30"/>
        <v>5130361.384115845</v>
      </c>
      <c r="F81" s="130">
        <f t="shared" si="18"/>
        <v>3310769.384115845</v>
      </c>
      <c r="G81" s="130">
        <f t="shared" si="34"/>
        <v>1819592</v>
      </c>
      <c r="H81" s="130">
        <f t="shared" si="35"/>
        <v>11</v>
      </c>
      <c r="I81" s="130">
        <f t="shared" si="31"/>
        <v>195190202.78771412</v>
      </c>
    </row>
    <row r="82" spans="2:9" x14ac:dyDescent="0.25">
      <c r="B82" s="191" t="s">
        <v>122</v>
      </c>
      <c r="C82" s="159"/>
      <c r="E82" s="131">
        <f>SUM(E70:E81)</f>
        <v>61564336.60939014</v>
      </c>
      <c r="F82" s="131">
        <f>SUM(F70:F81)</f>
        <v>37803296.60939014</v>
      </c>
      <c r="G82" s="131">
        <f>SUM(G70:G81)</f>
        <v>23761040</v>
      </c>
    </row>
    <row r="83" spans="2:9" x14ac:dyDescent="0.25">
      <c r="B83" s="133">
        <f>+B81+1</f>
        <v>38</v>
      </c>
      <c r="C83" s="159">
        <f>EDATE(C81,1)</f>
        <v>46871</v>
      </c>
      <c r="D83" s="128"/>
      <c r="E83" s="130">
        <f t="shared" ref="E83:E94" si="36">-$L$38</f>
        <v>5130361.384115845</v>
      </c>
      <c r="F83" s="130">
        <f t="shared" si="18"/>
        <v>3341117.384115845</v>
      </c>
      <c r="G83" s="128">
        <f>ROUND(I81*H83/1200,0)</f>
        <v>1789244</v>
      </c>
      <c r="H83" s="130">
        <f>+H81</f>
        <v>11</v>
      </c>
      <c r="I83" s="130">
        <f>+I81-E83+G83</f>
        <v>191849085.40359828</v>
      </c>
    </row>
    <row r="84" spans="2:9" x14ac:dyDescent="0.25">
      <c r="B84" s="133">
        <f>+B83+1</f>
        <v>39</v>
      </c>
      <c r="C84" s="159">
        <f>EDATE(C83,1)</f>
        <v>46901</v>
      </c>
      <c r="D84" s="128"/>
      <c r="E84" s="130">
        <f t="shared" si="36"/>
        <v>5130361.384115845</v>
      </c>
      <c r="F84" s="130">
        <f t="shared" si="18"/>
        <v>3371744.384115845</v>
      </c>
      <c r="G84" s="130">
        <f>ROUND(+I83*H84/1200,0)</f>
        <v>1758617</v>
      </c>
      <c r="H84" s="130">
        <f>+H83</f>
        <v>11</v>
      </c>
      <c r="I84" s="130">
        <f t="shared" ref="I84:I94" si="37">+I83-F84</f>
        <v>188477341.01948243</v>
      </c>
    </row>
    <row r="85" spans="2:9" x14ac:dyDescent="0.25">
      <c r="B85" s="133">
        <f t="shared" ref="B85:B94" si="38">+B84+1</f>
        <v>40</v>
      </c>
      <c r="C85" s="159">
        <f t="shared" ref="C85:C94" si="39">EDATE(C84,1)</f>
        <v>46932</v>
      </c>
      <c r="D85" s="128"/>
      <c r="E85" s="130">
        <f t="shared" si="36"/>
        <v>5130361.384115845</v>
      </c>
      <c r="F85" s="130">
        <f t="shared" si="18"/>
        <v>3402652.384115845</v>
      </c>
      <c r="G85" s="130">
        <f t="shared" ref="G85:G94" si="40">ROUND(+I84*H85/1200,0)</f>
        <v>1727709</v>
      </c>
      <c r="H85" s="130">
        <f t="shared" ref="H85:H94" si="41">+H84</f>
        <v>11</v>
      </c>
      <c r="I85" s="130">
        <f t="shared" si="37"/>
        <v>185074688.63536659</v>
      </c>
    </row>
    <row r="86" spans="2:9" x14ac:dyDescent="0.25">
      <c r="B86" s="133">
        <f t="shared" si="38"/>
        <v>41</v>
      </c>
      <c r="C86" s="159">
        <f t="shared" si="39"/>
        <v>46962</v>
      </c>
      <c r="D86" s="128"/>
      <c r="E86" s="130">
        <f t="shared" si="36"/>
        <v>5130361.384115845</v>
      </c>
      <c r="F86" s="130">
        <f t="shared" si="18"/>
        <v>3433843.384115845</v>
      </c>
      <c r="G86" s="130">
        <f t="shared" si="40"/>
        <v>1696518</v>
      </c>
      <c r="H86" s="130">
        <f t="shared" si="41"/>
        <v>11</v>
      </c>
      <c r="I86" s="130">
        <f t="shared" si="37"/>
        <v>181640845.25125074</v>
      </c>
    </row>
    <row r="87" spans="2:9" x14ac:dyDescent="0.25">
      <c r="B87" s="133">
        <f t="shared" si="38"/>
        <v>42</v>
      </c>
      <c r="C87" s="159">
        <f t="shared" si="39"/>
        <v>46993</v>
      </c>
      <c r="D87" s="128"/>
      <c r="E87" s="130">
        <f t="shared" si="36"/>
        <v>5130361.384115845</v>
      </c>
      <c r="F87" s="130">
        <f t="shared" si="18"/>
        <v>3465320.384115845</v>
      </c>
      <c r="G87" s="130">
        <f t="shared" si="40"/>
        <v>1665041</v>
      </c>
      <c r="H87" s="130">
        <f t="shared" si="41"/>
        <v>11</v>
      </c>
      <c r="I87" s="130">
        <f t="shared" si="37"/>
        <v>178175524.8671349</v>
      </c>
    </row>
    <row r="88" spans="2:9" x14ac:dyDescent="0.25">
      <c r="B88" s="133">
        <f t="shared" si="38"/>
        <v>43</v>
      </c>
      <c r="C88" s="159">
        <f t="shared" si="39"/>
        <v>47024</v>
      </c>
      <c r="D88" s="128"/>
      <c r="E88" s="130">
        <f t="shared" si="36"/>
        <v>5130361.384115845</v>
      </c>
      <c r="F88" s="130">
        <f t="shared" si="18"/>
        <v>3497085.384115845</v>
      </c>
      <c r="G88" s="130">
        <f t="shared" si="40"/>
        <v>1633276</v>
      </c>
      <c r="H88" s="130">
        <f t="shared" si="41"/>
        <v>11</v>
      </c>
      <c r="I88" s="130">
        <f t="shared" si="37"/>
        <v>174678439.48301905</v>
      </c>
    </row>
    <row r="89" spans="2:9" x14ac:dyDescent="0.25">
      <c r="B89" s="133">
        <f t="shared" si="38"/>
        <v>44</v>
      </c>
      <c r="C89" s="159">
        <f t="shared" si="39"/>
        <v>47054</v>
      </c>
      <c r="D89" s="128"/>
      <c r="E89" s="130">
        <f t="shared" si="36"/>
        <v>5130361.384115845</v>
      </c>
      <c r="F89" s="130">
        <f t="shared" si="18"/>
        <v>3529142.384115845</v>
      </c>
      <c r="G89" s="130">
        <f t="shared" si="40"/>
        <v>1601219</v>
      </c>
      <c r="H89" s="130">
        <f t="shared" si="41"/>
        <v>11</v>
      </c>
      <c r="I89" s="130">
        <f t="shared" si="37"/>
        <v>171149297.09890321</v>
      </c>
    </row>
    <row r="90" spans="2:9" x14ac:dyDescent="0.25">
      <c r="B90" s="133">
        <f t="shared" si="38"/>
        <v>45</v>
      </c>
      <c r="C90" s="159">
        <f t="shared" si="39"/>
        <v>47085</v>
      </c>
      <c r="D90" s="128"/>
      <c r="E90" s="130">
        <f t="shared" si="36"/>
        <v>5130361.384115845</v>
      </c>
      <c r="F90" s="130">
        <f t="shared" si="18"/>
        <v>3561492.384115845</v>
      </c>
      <c r="G90" s="130">
        <f t="shared" si="40"/>
        <v>1568869</v>
      </c>
      <c r="H90" s="130">
        <f t="shared" si="41"/>
        <v>11</v>
      </c>
      <c r="I90" s="130">
        <f t="shared" si="37"/>
        <v>167587804.71478736</v>
      </c>
    </row>
    <row r="91" spans="2:9" x14ac:dyDescent="0.25">
      <c r="B91" s="133">
        <f t="shared" si="38"/>
        <v>46</v>
      </c>
      <c r="C91" s="159">
        <f t="shared" si="39"/>
        <v>47115</v>
      </c>
      <c r="D91" s="128"/>
      <c r="E91" s="130">
        <f t="shared" si="36"/>
        <v>5130361.384115845</v>
      </c>
      <c r="F91" s="130">
        <f t="shared" si="18"/>
        <v>3594139.384115845</v>
      </c>
      <c r="G91" s="130">
        <f t="shared" si="40"/>
        <v>1536222</v>
      </c>
      <c r="H91" s="130">
        <f t="shared" si="41"/>
        <v>11</v>
      </c>
      <c r="I91" s="130">
        <f t="shared" si="37"/>
        <v>163993665.33067152</v>
      </c>
    </row>
    <row r="92" spans="2:9" x14ac:dyDescent="0.25">
      <c r="B92" s="133">
        <f t="shared" si="38"/>
        <v>47</v>
      </c>
      <c r="C92" s="159">
        <f t="shared" si="39"/>
        <v>47146</v>
      </c>
      <c r="D92" s="128"/>
      <c r="E92" s="130">
        <f t="shared" si="36"/>
        <v>5130361.384115845</v>
      </c>
      <c r="F92" s="130">
        <f t="shared" si="18"/>
        <v>3627086.384115845</v>
      </c>
      <c r="G92" s="130">
        <f t="shared" si="40"/>
        <v>1503275</v>
      </c>
      <c r="H92" s="130">
        <f t="shared" si="41"/>
        <v>11</v>
      </c>
      <c r="I92" s="130">
        <f t="shared" si="37"/>
        <v>160366578.94655567</v>
      </c>
    </row>
    <row r="93" spans="2:9" x14ac:dyDescent="0.25">
      <c r="B93" s="133">
        <f t="shared" si="38"/>
        <v>48</v>
      </c>
      <c r="C93" s="159">
        <f t="shared" si="39"/>
        <v>47177</v>
      </c>
      <c r="D93" s="128"/>
      <c r="E93" s="130">
        <f t="shared" si="36"/>
        <v>5130361.384115845</v>
      </c>
      <c r="F93" s="130">
        <f t="shared" si="18"/>
        <v>3660334.384115845</v>
      </c>
      <c r="G93" s="130">
        <f t="shared" si="40"/>
        <v>1470027</v>
      </c>
      <c r="H93" s="130">
        <f t="shared" si="41"/>
        <v>11</v>
      </c>
      <c r="I93" s="130">
        <f t="shared" si="37"/>
        <v>156706244.56243983</v>
      </c>
    </row>
    <row r="94" spans="2:9" x14ac:dyDescent="0.25">
      <c r="B94" s="133">
        <f t="shared" si="38"/>
        <v>49</v>
      </c>
      <c r="C94" s="159">
        <f t="shared" si="39"/>
        <v>47205</v>
      </c>
      <c r="D94" s="128"/>
      <c r="E94" s="130">
        <f t="shared" si="36"/>
        <v>5130361.384115845</v>
      </c>
      <c r="F94" s="130">
        <f t="shared" si="18"/>
        <v>3693887.384115845</v>
      </c>
      <c r="G94" s="130">
        <f t="shared" si="40"/>
        <v>1436474</v>
      </c>
      <c r="H94" s="130">
        <f t="shared" si="41"/>
        <v>11</v>
      </c>
      <c r="I94" s="130">
        <f t="shared" si="37"/>
        <v>153012357.17832398</v>
      </c>
    </row>
    <row r="95" spans="2:9" x14ac:dyDescent="0.25">
      <c r="B95" s="191" t="s">
        <v>123</v>
      </c>
      <c r="C95" s="159"/>
      <c r="D95" s="128"/>
      <c r="E95" s="132">
        <f>SUM(E83:E94)</f>
        <v>61564336.60939014</v>
      </c>
      <c r="F95" s="132">
        <f>SUM(F83:F94)</f>
        <v>42177845.60939014</v>
      </c>
      <c r="G95" s="132">
        <f>SUM(G83:G94)</f>
        <v>19386491</v>
      </c>
      <c r="H95" s="128"/>
      <c r="I95" s="128"/>
    </row>
    <row r="96" spans="2:9" x14ac:dyDescent="0.25">
      <c r="B96" s="133">
        <f>+B94+1</f>
        <v>50</v>
      </c>
      <c r="C96" s="159">
        <f>EDATE(C94,1)</f>
        <v>47236</v>
      </c>
      <c r="D96" s="128"/>
      <c r="E96" s="130">
        <f t="shared" ref="E96:E107" si="42">-$L$38</f>
        <v>5130361.384115845</v>
      </c>
      <c r="F96" s="130">
        <f t="shared" si="18"/>
        <v>3727748.384115845</v>
      </c>
      <c r="G96" s="128">
        <f>ROUND(+I94*H96/1200,0)</f>
        <v>1402613</v>
      </c>
      <c r="H96" s="130">
        <f>+H94</f>
        <v>11</v>
      </c>
      <c r="I96" s="130">
        <f>+I94+D96-F96</f>
        <v>149284608.79420814</v>
      </c>
    </row>
    <row r="97" spans="2:9" x14ac:dyDescent="0.25">
      <c r="B97" s="133">
        <f>+B96+1</f>
        <v>51</v>
      </c>
      <c r="C97" s="159">
        <f>EDATE(C96,1)</f>
        <v>47266</v>
      </c>
      <c r="D97" s="128"/>
      <c r="E97" s="130">
        <f t="shared" si="42"/>
        <v>5130361.384115845</v>
      </c>
      <c r="F97" s="130">
        <f t="shared" si="18"/>
        <v>3761919.384115845</v>
      </c>
      <c r="G97" s="130">
        <f>ROUND(+I96*H97/1200,0)</f>
        <v>1368442</v>
      </c>
      <c r="H97" s="130">
        <f>+H96</f>
        <v>11</v>
      </c>
      <c r="I97" s="130">
        <f t="shared" ref="I97:I107" si="43">+I96-F97</f>
        <v>145522689.41009229</v>
      </c>
    </row>
    <row r="98" spans="2:9" x14ac:dyDescent="0.25">
      <c r="B98" s="133">
        <f t="shared" ref="B98:B107" si="44">+B97+1</f>
        <v>52</v>
      </c>
      <c r="C98" s="159">
        <f t="shared" ref="C98:C107" si="45">EDATE(C97,1)</f>
        <v>47297</v>
      </c>
      <c r="D98" s="128"/>
      <c r="E98" s="130">
        <f t="shared" si="42"/>
        <v>5130361.384115845</v>
      </c>
      <c r="F98" s="130">
        <f t="shared" si="18"/>
        <v>3796403.384115845</v>
      </c>
      <c r="G98" s="130">
        <f t="shared" ref="G98:G107" si="46">ROUND(+I97*H98/1200,0)</f>
        <v>1333958</v>
      </c>
      <c r="H98" s="130">
        <f t="shared" ref="H98:H107" si="47">+H97</f>
        <v>11</v>
      </c>
      <c r="I98" s="130">
        <f t="shared" si="43"/>
        <v>141726286.02597645</v>
      </c>
    </row>
    <row r="99" spans="2:9" x14ac:dyDescent="0.25">
      <c r="B99" s="133">
        <f t="shared" si="44"/>
        <v>53</v>
      </c>
      <c r="C99" s="159">
        <f t="shared" si="45"/>
        <v>47327</v>
      </c>
      <c r="D99" s="128"/>
      <c r="E99" s="130">
        <f t="shared" si="42"/>
        <v>5130361.384115845</v>
      </c>
      <c r="F99" s="130">
        <f t="shared" si="18"/>
        <v>3831203.384115845</v>
      </c>
      <c r="G99" s="130">
        <f t="shared" si="46"/>
        <v>1299158</v>
      </c>
      <c r="H99" s="130">
        <f t="shared" si="47"/>
        <v>11</v>
      </c>
      <c r="I99" s="130">
        <f t="shared" si="43"/>
        <v>137895082.6418606</v>
      </c>
    </row>
    <row r="100" spans="2:9" x14ac:dyDescent="0.25">
      <c r="B100" s="133">
        <f t="shared" si="44"/>
        <v>54</v>
      </c>
      <c r="C100" s="159">
        <f t="shared" si="45"/>
        <v>47358</v>
      </c>
      <c r="D100" s="128"/>
      <c r="E100" s="130">
        <f t="shared" si="42"/>
        <v>5130361.384115845</v>
      </c>
      <c r="F100" s="130">
        <f t="shared" si="18"/>
        <v>3866323.384115845</v>
      </c>
      <c r="G100" s="130">
        <f t="shared" si="46"/>
        <v>1264038</v>
      </c>
      <c r="H100" s="130">
        <f t="shared" si="47"/>
        <v>11</v>
      </c>
      <c r="I100" s="130">
        <f t="shared" si="43"/>
        <v>134028759.25774476</v>
      </c>
    </row>
    <row r="101" spans="2:9" x14ac:dyDescent="0.25">
      <c r="B101" s="133">
        <f t="shared" si="44"/>
        <v>55</v>
      </c>
      <c r="C101" s="159">
        <f t="shared" si="45"/>
        <v>47389</v>
      </c>
      <c r="D101" s="128"/>
      <c r="E101" s="130">
        <f t="shared" si="42"/>
        <v>5130361.384115845</v>
      </c>
      <c r="F101" s="130">
        <f t="shared" si="18"/>
        <v>3901764.384115845</v>
      </c>
      <c r="G101" s="130">
        <f t="shared" si="46"/>
        <v>1228597</v>
      </c>
      <c r="H101" s="130">
        <f t="shared" si="47"/>
        <v>11</v>
      </c>
      <c r="I101" s="130">
        <f t="shared" si="43"/>
        <v>130126994.87362891</v>
      </c>
    </row>
    <row r="102" spans="2:9" x14ac:dyDescent="0.25">
      <c r="B102" s="133">
        <f t="shared" si="44"/>
        <v>56</v>
      </c>
      <c r="C102" s="159">
        <f t="shared" si="45"/>
        <v>47419</v>
      </c>
      <c r="D102" s="128"/>
      <c r="E102" s="130">
        <f t="shared" si="42"/>
        <v>5130361.384115845</v>
      </c>
      <c r="F102" s="130">
        <f t="shared" si="18"/>
        <v>3937530.384115845</v>
      </c>
      <c r="G102" s="130">
        <f t="shared" si="46"/>
        <v>1192831</v>
      </c>
      <c r="H102" s="130">
        <f t="shared" si="47"/>
        <v>11</v>
      </c>
      <c r="I102" s="130">
        <f t="shared" si="43"/>
        <v>126189464.48951307</v>
      </c>
    </row>
    <row r="103" spans="2:9" x14ac:dyDescent="0.25">
      <c r="B103" s="133">
        <f t="shared" si="44"/>
        <v>57</v>
      </c>
      <c r="C103" s="159">
        <f t="shared" si="45"/>
        <v>47450</v>
      </c>
      <c r="D103" s="128"/>
      <c r="E103" s="130">
        <f t="shared" si="42"/>
        <v>5130361.384115845</v>
      </c>
      <c r="F103" s="130">
        <f t="shared" si="18"/>
        <v>3973624.384115845</v>
      </c>
      <c r="G103" s="130">
        <f t="shared" si="46"/>
        <v>1156737</v>
      </c>
      <c r="H103" s="130">
        <f t="shared" si="47"/>
        <v>11</v>
      </c>
      <c r="I103" s="130">
        <f t="shared" si="43"/>
        <v>122215840.10539722</v>
      </c>
    </row>
    <row r="104" spans="2:9" x14ac:dyDescent="0.25">
      <c r="B104" s="133">
        <f t="shared" si="44"/>
        <v>58</v>
      </c>
      <c r="C104" s="159">
        <f t="shared" si="45"/>
        <v>47480</v>
      </c>
      <c r="D104" s="128"/>
      <c r="E104" s="130">
        <f t="shared" si="42"/>
        <v>5130361.384115845</v>
      </c>
      <c r="F104" s="130">
        <f t="shared" ref="F104:F107" si="48">+E104-G104</f>
        <v>4010049.384115845</v>
      </c>
      <c r="G104" s="130">
        <f t="shared" si="46"/>
        <v>1120312</v>
      </c>
      <c r="H104" s="130">
        <f t="shared" si="47"/>
        <v>11</v>
      </c>
      <c r="I104" s="130">
        <f t="shared" si="43"/>
        <v>118205790.72128138</v>
      </c>
    </row>
    <row r="105" spans="2:9" x14ac:dyDescent="0.25">
      <c r="B105" s="133">
        <f t="shared" si="44"/>
        <v>59</v>
      </c>
      <c r="C105" s="159">
        <f t="shared" si="45"/>
        <v>47511</v>
      </c>
      <c r="D105" s="128"/>
      <c r="E105" s="130">
        <f t="shared" si="42"/>
        <v>5130361.384115845</v>
      </c>
      <c r="F105" s="130">
        <f t="shared" si="48"/>
        <v>4046808.384115845</v>
      </c>
      <c r="G105" s="130">
        <f t="shared" si="46"/>
        <v>1083553</v>
      </c>
      <c r="H105" s="130">
        <f t="shared" si="47"/>
        <v>11</v>
      </c>
      <c r="I105" s="130">
        <f t="shared" si="43"/>
        <v>114158982.33716553</v>
      </c>
    </row>
    <row r="106" spans="2:9" x14ac:dyDescent="0.25">
      <c r="B106" s="133">
        <f t="shared" si="44"/>
        <v>60</v>
      </c>
      <c r="C106" s="159">
        <f t="shared" si="45"/>
        <v>47542</v>
      </c>
      <c r="D106" s="128"/>
      <c r="E106" s="130">
        <f t="shared" si="42"/>
        <v>5130361.384115845</v>
      </c>
      <c r="F106" s="130">
        <f t="shared" si="48"/>
        <v>4083904.384115845</v>
      </c>
      <c r="G106" s="130">
        <f t="shared" si="46"/>
        <v>1046457</v>
      </c>
      <c r="H106" s="130">
        <f t="shared" si="47"/>
        <v>11</v>
      </c>
      <c r="I106" s="130">
        <f t="shared" si="43"/>
        <v>110075077.95304969</v>
      </c>
    </row>
    <row r="107" spans="2:9" x14ac:dyDescent="0.25">
      <c r="B107" s="133">
        <f t="shared" si="44"/>
        <v>61</v>
      </c>
      <c r="C107" s="159">
        <f t="shared" si="45"/>
        <v>47570</v>
      </c>
      <c r="D107" s="128"/>
      <c r="E107" s="130">
        <f t="shared" si="42"/>
        <v>5130361.384115845</v>
      </c>
      <c r="F107" s="130">
        <f t="shared" si="48"/>
        <v>4121339.384115845</v>
      </c>
      <c r="G107" s="130">
        <f t="shared" si="46"/>
        <v>1009022</v>
      </c>
      <c r="H107" s="130">
        <f t="shared" si="47"/>
        <v>11</v>
      </c>
      <c r="I107" s="130">
        <f t="shared" si="43"/>
        <v>105953738.56893384</v>
      </c>
    </row>
    <row r="108" spans="2:9" x14ac:dyDescent="0.25">
      <c r="B108" s="191" t="s">
        <v>124</v>
      </c>
      <c r="C108" s="159"/>
      <c r="D108" s="128"/>
      <c r="E108" s="132">
        <f>SUM(E96:E107)</f>
        <v>61564336.60939014</v>
      </c>
      <c r="F108" s="132">
        <f>SUM(F96:F107)</f>
        <v>47058618.60939014</v>
      </c>
      <c r="G108" s="132">
        <f>SUM(G96:G107)</f>
        <v>14505718</v>
      </c>
      <c r="H108" s="128"/>
      <c r="I108" s="128"/>
    </row>
    <row r="109" spans="2:9" x14ac:dyDescent="0.25">
      <c r="B109" s="133">
        <f>+B107+1</f>
        <v>62</v>
      </c>
      <c r="C109" s="159">
        <f>EDATE(C107,1)</f>
        <v>47601</v>
      </c>
      <c r="D109" s="128"/>
      <c r="E109" s="130">
        <f t="shared" ref="E109:E120" si="49">-$L$38</f>
        <v>5130361.384115845</v>
      </c>
      <c r="F109" s="130">
        <f t="shared" ref="F109:F120" si="50">+E109-G109</f>
        <v>4159118.384115845</v>
      </c>
      <c r="G109" s="128">
        <f>ROUND(+I107*H109/1200,0)</f>
        <v>971243</v>
      </c>
      <c r="H109" s="130">
        <f>+H107</f>
        <v>11</v>
      </c>
      <c r="I109" s="130">
        <f>+I107-F109</f>
        <v>101794620.184818</v>
      </c>
    </row>
    <row r="110" spans="2:9" x14ac:dyDescent="0.25">
      <c r="B110" s="133">
        <f>+B109+1</f>
        <v>63</v>
      </c>
      <c r="C110" s="159">
        <f>EDATE(C109,1)</f>
        <v>47631</v>
      </c>
      <c r="D110" s="128"/>
      <c r="E110" s="130">
        <f t="shared" si="49"/>
        <v>5130361.384115845</v>
      </c>
      <c r="F110" s="130">
        <f t="shared" si="50"/>
        <v>4197244.384115845</v>
      </c>
      <c r="G110" s="130">
        <f>ROUND(+I109*H110/1200,0)</f>
        <v>933117</v>
      </c>
      <c r="H110" s="130">
        <f>+H109</f>
        <v>11</v>
      </c>
      <c r="I110" s="130">
        <f t="shared" ref="I110:I120" si="51">+I109-F110</f>
        <v>97597375.800702155</v>
      </c>
    </row>
    <row r="111" spans="2:9" x14ac:dyDescent="0.25">
      <c r="B111" s="133">
        <f t="shared" ref="B111:B120" si="52">+B110+1</f>
        <v>64</v>
      </c>
      <c r="C111" s="159">
        <f t="shared" ref="C111:C120" si="53">EDATE(C110,1)</f>
        <v>47662</v>
      </c>
      <c r="D111" s="128"/>
      <c r="E111" s="130">
        <f t="shared" si="49"/>
        <v>5130361.384115845</v>
      </c>
      <c r="F111" s="130">
        <f t="shared" si="50"/>
        <v>4235718.384115845</v>
      </c>
      <c r="G111" s="130">
        <f t="shared" ref="G111:G120" si="54">ROUND(+I110*H111/1200,0)</f>
        <v>894643</v>
      </c>
      <c r="H111" s="130">
        <f t="shared" ref="H111:H120" si="55">+H110</f>
        <v>11</v>
      </c>
      <c r="I111" s="130">
        <f t="shared" si="51"/>
        <v>93361657.41658631</v>
      </c>
    </row>
    <row r="112" spans="2:9" x14ac:dyDescent="0.25">
      <c r="B112" s="133">
        <f t="shared" si="52"/>
        <v>65</v>
      </c>
      <c r="C112" s="159">
        <f t="shared" si="53"/>
        <v>47692</v>
      </c>
      <c r="D112" s="128"/>
      <c r="E112" s="130">
        <f t="shared" si="49"/>
        <v>5130361.384115845</v>
      </c>
      <c r="F112" s="130">
        <f t="shared" si="50"/>
        <v>4274546.384115845</v>
      </c>
      <c r="G112" s="130">
        <f t="shared" si="54"/>
        <v>855815</v>
      </c>
      <c r="H112" s="130">
        <f t="shared" si="55"/>
        <v>11</v>
      </c>
      <c r="I112" s="130">
        <f t="shared" si="51"/>
        <v>89087111.032470465</v>
      </c>
    </row>
    <row r="113" spans="2:9" x14ac:dyDescent="0.25">
      <c r="B113" s="133">
        <f t="shared" si="52"/>
        <v>66</v>
      </c>
      <c r="C113" s="159">
        <f t="shared" si="53"/>
        <v>47723</v>
      </c>
      <c r="D113" s="128"/>
      <c r="E113" s="130">
        <f t="shared" si="49"/>
        <v>5130361.384115845</v>
      </c>
      <c r="F113" s="130">
        <f t="shared" si="50"/>
        <v>4313729.384115845</v>
      </c>
      <c r="G113" s="130">
        <f t="shared" si="54"/>
        <v>816632</v>
      </c>
      <c r="H113" s="130">
        <f t="shared" si="55"/>
        <v>11</v>
      </c>
      <c r="I113" s="130">
        <f t="shared" si="51"/>
        <v>84773381.64835462</v>
      </c>
    </row>
    <row r="114" spans="2:9" x14ac:dyDescent="0.25">
      <c r="B114" s="133">
        <f t="shared" si="52"/>
        <v>67</v>
      </c>
      <c r="C114" s="159">
        <f t="shared" si="53"/>
        <v>47754</v>
      </c>
      <c r="D114" s="128"/>
      <c r="E114" s="130">
        <f t="shared" si="49"/>
        <v>5130361.384115845</v>
      </c>
      <c r="F114" s="130">
        <f t="shared" si="50"/>
        <v>4353272.384115845</v>
      </c>
      <c r="G114" s="130">
        <f t="shared" si="54"/>
        <v>777089</v>
      </c>
      <c r="H114" s="130">
        <f t="shared" si="55"/>
        <v>11</v>
      </c>
      <c r="I114" s="130">
        <f t="shared" si="51"/>
        <v>80420109.264238775</v>
      </c>
    </row>
    <row r="115" spans="2:9" x14ac:dyDescent="0.25">
      <c r="B115" s="133">
        <f t="shared" si="52"/>
        <v>68</v>
      </c>
      <c r="C115" s="159">
        <f t="shared" si="53"/>
        <v>47784</v>
      </c>
      <c r="D115" s="128"/>
      <c r="E115" s="130">
        <f t="shared" si="49"/>
        <v>5130361.384115845</v>
      </c>
      <c r="F115" s="130">
        <f t="shared" si="50"/>
        <v>4393177.384115845</v>
      </c>
      <c r="G115" s="130">
        <f t="shared" si="54"/>
        <v>737184</v>
      </c>
      <c r="H115" s="130">
        <f t="shared" si="55"/>
        <v>11</v>
      </c>
      <c r="I115" s="130">
        <f t="shared" si="51"/>
        <v>76026931.88012293</v>
      </c>
    </row>
    <row r="116" spans="2:9" x14ac:dyDescent="0.25">
      <c r="B116" s="133">
        <f t="shared" si="52"/>
        <v>69</v>
      </c>
      <c r="C116" s="159">
        <f t="shared" si="53"/>
        <v>47815</v>
      </c>
      <c r="D116" s="128"/>
      <c r="E116" s="130">
        <f t="shared" si="49"/>
        <v>5130361.384115845</v>
      </c>
      <c r="F116" s="130">
        <f t="shared" si="50"/>
        <v>4433447.384115845</v>
      </c>
      <c r="G116" s="130">
        <f t="shared" si="54"/>
        <v>696914</v>
      </c>
      <c r="H116" s="130">
        <f t="shared" si="55"/>
        <v>11</v>
      </c>
      <c r="I116" s="130">
        <f t="shared" si="51"/>
        <v>71593484.496007085</v>
      </c>
    </row>
    <row r="117" spans="2:9" x14ac:dyDescent="0.25">
      <c r="B117" s="133">
        <f t="shared" si="52"/>
        <v>70</v>
      </c>
      <c r="C117" s="159">
        <f t="shared" si="53"/>
        <v>47845</v>
      </c>
      <c r="D117" s="128"/>
      <c r="E117" s="130">
        <f t="shared" si="49"/>
        <v>5130361.384115845</v>
      </c>
      <c r="F117" s="130">
        <f t="shared" si="50"/>
        <v>4474087.384115845</v>
      </c>
      <c r="G117" s="130">
        <f t="shared" si="54"/>
        <v>656274</v>
      </c>
      <c r="H117" s="130">
        <f t="shared" si="55"/>
        <v>11</v>
      </c>
      <c r="I117" s="130">
        <f t="shared" si="51"/>
        <v>67119397.11189124</v>
      </c>
    </row>
    <row r="118" spans="2:9" x14ac:dyDescent="0.25">
      <c r="B118" s="133">
        <f t="shared" si="52"/>
        <v>71</v>
      </c>
      <c r="C118" s="159">
        <f t="shared" si="53"/>
        <v>47876</v>
      </c>
      <c r="D118" s="128"/>
      <c r="E118" s="130">
        <f t="shared" si="49"/>
        <v>5130361.384115845</v>
      </c>
      <c r="F118" s="130">
        <f t="shared" si="50"/>
        <v>4515100.384115845</v>
      </c>
      <c r="G118" s="130">
        <f t="shared" si="54"/>
        <v>615261</v>
      </c>
      <c r="H118" s="130">
        <f t="shared" si="55"/>
        <v>11</v>
      </c>
      <c r="I118" s="130">
        <f t="shared" si="51"/>
        <v>62604296.727775395</v>
      </c>
    </row>
    <row r="119" spans="2:9" x14ac:dyDescent="0.25">
      <c r="B119" s="133">
        <f t="shared" si="52"/>
        <v>72</v>
      </c>
      <c r="C119" s="159">
        <f t="shared" si="53"/>
        <v>47907</v>
      </c>
      <c r="D119" s="128"/>
      <c r="E119" s="130">
        <f t="shared" si="49"/>
        <v>5130361.384115845</v>
      </c>
      <c r="F119" s="130">
        <f t="shared" si="50"/>
        <v>4556488.384115845</v>
      </c>
      <c r="G119" s="130">
        <f t="shared" si="54"/>
        <v>573873</v>
      </c>
      <c r="H119" s="130">
        <f t="shared" si="55"/>
        <v>11</v>
      </c>
      <c r="I119" s="130">
        <f t="shared" si="51"/>
        <v>58047808.34365955</v>
      </c>
    </row>
    <row r="120" spans="2:9" x14ac:dyDescent="0.25">
      <c r="B120" s="133">
        <f t="shared" si="52"/>
        <v>73</v>
      </c>
      <c r="C120" s="159">
        <f t="shared" si="53"/>
        <v>47935</v>
      </c>
      <c r="D120" s="128"/>
      <c r="E120" s="130">
        <f t="shared" si="49"/>
        <v>5130361.384115845</v>
      </c>
      <c r="F120" s="130">
        <f t="shared" si="50"/>
        <v>4598256.384115845</v>
      </c>
      <c r="G120" s="130">
        <f t="shared" si="54"/>
        <v>532105</v>
      </c>
      <c r="H120" s="130">
        <f t="shared" si="55"/>
        <v>11</v>
      </c>
      <c r="I120" s="130">
        <f t="shared" si="51"/>
        <v>53449551.959543705</v>
      </c>
    </row>
    <row r="121" spans="2:9" x14ac:dyDescent="0.25">
      <c r="B121" s="191" t="s">
        <v>338</v>
      </c>
      <c r="C121" s="159"/>
      <c r="D121" s="128"/>
      <c r="E121" s="132">
        <f>SUM(E109:E120)</f>
        <v>61564336.60939014</v>
      </c>
      <c r="F121" s="132">
        <f>SUM(F109:F120)</f>
        <v>52504186.60939014</v>
      </c>
      <c r="G121" s="132">
        <f>SUM(G109:G120)</f>
        <v>9060150</v>
      </c>
      <c r="H121" s="128"/>
      <c r="I121" s="128"/>
    </row>
    <row r="122" spans="2:9" x14ac:dyDescent="0.25">
      <c r="B122" s="133">
        <f>+B120+1</f>
        <v>74</v>
      </c>
      <c r="C122" s="159">
        <f>EDATE(C120,1)</f>
        <v>47966</v>
      </c>
      <c r="E122" s="130">
        <f t="shared" ref="E122:E131" si="56">-$L$38</f>
        <v>5130361.384115845</v>
      </c>
      <c r="F122" s="130">
        <f t="shared" ref="F122:F131" si="57">+E122-G122</f>
        <v>4640407.384115845</v>
      </c>
      <c r="G122" s="128">
        <f>ROUND(+I120*H122/1200,0)</f>
        <v>489954</v>
      </c>
      <c r="H122" s="130">
        <f>+H120</f>
        <v>11</v>
      </c>
      <c r="I122" s="130">
        <f>+I120-F122</f>
        <v>48809144.57542786</v>
      </c>
    </row>
    <row r="123" spans="2:9" x14ac:dyDescent="0.25">
      <c r="B123" s="133">
        <f>+B122+1</f>
        <v>75</v>
      </c>
      <c r="C123" s="159">
        <f>EDATE(C122,1)</f>
        <v>47996</v>
      </c>
      <c r="E123" s="130">
        <f t="shared" si="56"/>
        <v>5130361.384115845</v>
      </c>
      <c r="F123" s="130">
        <f t="shared" si="57"/>
        <v>4682944.384115845</v>
      </c>
      <c r="G123" s="130">
        <f t="shared" ref="G123:G128" si="58">ROUND(+I122*H123/1200,0)</f>
        <v>447417</v>
      </c>
      <c r="H123" s="130">
        <f>+H122</f>
        <v>11</v>
      </c>
      <c r="I123" s="130">
        <f t="shared" ref="I123:I128" si="59">+I122-F123</f>
        <v>44126200.191312015</v>
      </c>
    </row>
    <row r="124" spans="2:9" x14ac:dyDescent="0.25">
      <c r="B124" s="133">
        <f t="shared" ref="B124:B132" si="60">+B123+1</f>
        <v>76</v>
      </c>
      <c r="C124" s="159">
        <f t="shared" ref="C124:C132" si="61">EDATE(C123,1)</f>
        <v>48027</v>
      </c>
      <c r="E124" s="130">
        <f t="shared" si="56"/>
        <v>5130361.384115845</v>
      </c>
      <c r="F124" s="130">
        <f t="shared" si="57"/>
        <v>4725871.384115845</v>
      </c>
      <c r="G124" s="130">
        <f t="shared" si="58"/>
        <v>404490</v>
      </c>
      <c r="H124" s="130">
        <f t="shared" ref="H124:H132" si="62">+H123</f>
        <v>11</v>
      </c>
      <c r="I124" s="130">
        <f t="shared" si="59"/>
        <v>39400328.80719617</v>
      </c>
    </row>
    <row r="125" spans="2:9" x14ac:dyDescent="0.25">
      <c r="B125" s="133">
        <f t="shared" si="60"/>
        <v>77</v>
      </c>
      <c r="C125" s="159">
        <f t="shared" si="61"/>
        <v>48057</v>
      </c>
      <c r="E125" s="130">
        <f t="shared" si="56"/>
        <v>5130361.384115845</v>
      </c>
      <c r="F125" s="130">
        <f t="shared" si="57"/>
        <v>4769191.384115845</v>
      </c>
      <c r="G125" s="130">
        <f t="shared" si="58"/>
        <v>361170</v>
      </c>
      <c r="H125" s="130">
        <f t="shared" si="62"/>
        <v>11</v>
      </c>
      <c r="I125" s="130">
        <f t="shared" si="59"/>
        <v>34631137.423080325</v>
      </c>
    </row>
    <row r="126" spans="2:9" x14ac:dyDescent="0.25">
      <c r="B126" s="133">
        <f t="shared" si="60"/>
        <v>78</v>
      </c>
      <c r="C126" s="159">
        <f t="shared" si="61"/>
        <v>48088</v>
      </c>
      <c r="E126" s="130">
        <f t="shared" si="56"/>
        <v>5130361.384115845</v>
      </c>
      <c r="F126" s="130">
        <f t="shared" si="57"/>
        <v>4812909.384115845</v>
      </c>
      <c r="G126" s="130">
        <f t="shared" si="58"/>
        <v>317452</v>
      </c>
      <c r="H126" s="130">
        <f t="shared" si="62"/>
        <v>11</v>
      </c>
      <c r="I126" s="130">
        <f t="shared" si="59"/>
        <v>29818228.03896448</v>
      </c>
    </row>
    <row r="127" spans="2:9" x14ac:dyDescent="0.25">
      <c r="B127" s="133">
        <f t="shared" si="60"/>
        <v>79</v>
      </c>
      <c r="C127" s="159">
        <f t="shared" si="61"/>
        <v>48119</v>
      </c>
      <c r="E127" s="130">
        <f t="shared" si="56"/>
        <v>5130361.384115845</v>
      </c>
      <c r="F127" s="130">
        <f t="shared" si="57"/>
        <v>4857027.384115845</v>
      </c>
      <c r="G127" s="130">
        <f t="shared" si="58"/>
        <v>273334</v>
      </c>
      <c r="H127" s="130">
        <f t="shared" si="62"/>
        <v>11</v>
      </c>
      <c r="I127" s="130">
        <f t="shared" si="59"/>
        <v>24961200.654848635</v>
      </c>
    </row>
    <row r="128" spans="2:9" x14ac:dyDescent="0.25">
      <c r="B128" s="133">
        <f t="shared" si="60"/>
        <v>80</v>
      </c>
      <c r="C128" s="159">
        <f t="shared" si="61"/>
        <v>48149</v>
      </c>
      <c r="E128" s="130">
        <f t="shared" si="56"/>
        <v>5130361.384115845</v>
      </c>
      <c r="F128" s="130">
        <f t="shared" si="57"/>
        <v>4901550.384115845</v>
      </c>
      <c r="G128" s="130">
        <f t="shared" si="58"/>
        <v>228811</v>
      </c>
      <c r="H128" s="130">
        <f t="shared" si="62"/>
        <v>11</v>
      </c>
      <c r="I128" s="130">
        <f t="shared" si="59"/>
        <v>20059650.27073279</v>
      </c>
    </row>
    <row r="129" spans="2:12" x14ac:dyDescent="0.25">
      <c r="B129" s="133">
        <f t="shared" si="60"/>
        <v>81</v>
      </c>
      <c r="C129" s="159">
        <f t="shared" si="61"/>
        <v>48180</v>
      </c>
      <c r="E129" s="130">
        <f t="shared" si="56"/>
        <v>5130361.384115845</v>
      </c>
      <c r="F129" s="130">
        <f t="shared" si="57"/>
        <v>4946481.384115845</v>
      </c>
      <c r="G129" s="130">
        <f t="shared" ref="G129:G132" si="63">ROUND(+I128*H129/1200,0)</f>
        <v>183880</v>
      </c>
      <c r="H129" s="130">
        <f t="shared" si="62"/>
        <v>11</v>
      </c>
      <c r="I129" s="130">
        <f t="shared" ref="I129:I132" si="64">+I128-F129</f>
        <v>15113168.886616945</v>
      </c>
    </row>
    <row r="130" spans="2:12" x14ac:dyDescent="0.25">
      <c r="B130" s="133">
        <f t="shared" si="60"/>
        <v>82</v>
      </c>
      <c r="C130" s="159">
        <f t="shared" si="61"/>
        <v>48210</v>
      </c>
      <c r="E130" s="130">
        <f t="shared" si="56"/>
        <v>5130361.384115845</v>
      </c>
      <c r="F130" s="130">
        <f t="shared" si="57"/>
        <v>4991824.384115845</v>
      </c>
      <c r="G130" s="130">
        <f t="shared" si="63"/>
        <v>138537</v>
      </c>
      <c r="H130" s="130">
        <f t="shared" si="62"/>
        <v>11</v>
      </c>
      <c r="I130" s="130">
        <f t="shared" si="64"/>
        <v>10121344.5025011</v>
      </c>
    </row>
    <row r="131" spans="2:12" x14ac:dyDescent="0.25">
      <c r="B131" s="133">
        <f t="shared" si="60"/>
        <v>83</v>
      </c>
      <c r="C131" s="159">
        <f t="shared" si="61"/>
        <v>48241</v>
      </c>
      <c r="E131" s="130">
        <f t="shared" si="56"/>
        <v>5130361.384115845</v>
      </c>
      <c r="F131" s="130">
        <f t="shared" si="57"/>
        <v>5037582.384115845</v>
      </c>
      <c r="G131" s="130">
        <f t="shared" si="63"/>
        <v>92779</v>
      </c>
      <c r="H131" s="130">
        <f t="shared" si="62"/>
        <v>11</v>
      </c>
      <c r="I131" s="130">
        <f t="shared" si="64"/>
        <v>5083762.1183852553</v>
      </c>
    </row>
    <row r="132" spans="2:12" x14ac:dyDescent="0.25">
      <c r="B132" s="133">
        <f t="shared" si="60"/>
        <v>84</v>
      </c>
      <c r="C132" s="159">
        <f t="shared" si="61"/>
        <v>48272</v>
      </c>
      <c r="E132" s="130">
        <f>+F132+G132</f>
        <v>5130363.1183852553</v>
      </c>
      <c r="F132" s="130">
        <f>+I131</f>
        <v>5083762.1183852553</v>
      </c>
      <c r="G132" s="130">
        <f t="shared" si="63"/>
        <v>46601</v>
      </c>
      <c r="H132" s="130">
        <f t="shared" si="62"/>
        <v>11</v>
      </c>
      <c r="I132" s="130">
        <f t="shared" si="64"/>
        <v>0</v>
      </c>
    </row>
    <row r="133" spans="2:12" x14ac:dyDescent="0.25">
      <c r="E133" s="132">
        <f>+SUM(E122:E132)</f>
        <v>56433976.959543705</v>
      </c>
      <c r="F133" s="132">
        <f t="shared" ref="F133:G133" si="65">+SUM(F122:F132)</f>
        <v>53449551.959543705</v>
      </c>
      <c r="G133" s="132">
        <f t="shared" si="65"/>
        <v>2984425</v>
      </c>
      <c r="H133" s="130"/>
      <c r="I133" s="130"/>
    </row>
    <row r="134" spans="2:12" x14ac:dyDescent="0.25">
      <c r="E134" s="130"/>
      <c r="F134" s="130"/>
      <c r="G134" s="130"/>
      <c r="H134" s="130"/>
      <c r="I134" s="130"/>
    </row>
    <row r="135" spans="2:12" x14ac:dyDescent="0.25">
      <c r="E135" s="130"/>
      <c r="F135" s="130"/>
      <c r="G135" s="130"/>
      <c r="H135" s="130"/>
      <c r="I135" s="130"/>
    </row>
    <row r="136" spans="2:12" x14ac:dyDescent="0.25">
      <c r="B136" s="191" t="s">
        <v>377</v>
      </c>
      <c r="E136" s="130"/>
      <c r="F136" s="130"/>
      <c r="G136" s="130"/>
      <c r="H136" s="130"/>
      <c r="I136" s="130"/>
    </row>
    <row r="137" spans="2:12" x14ac:dyDescent="0.25">
      <c r="B137" s="192" t="s">
        <v>98</v>
      </c>
      <c r="C137" s="192" t="s">
        <v>120</v>
      </c>
      <c r="D137" s="126" t="s">
        <v>112</v>
      </c>
      <c r="E137" s="125" t="s">
        <v>113</v>
      </c>
      <c r="F137" s="125" t="s">
        <v>114</v>
      </c>
      <c r="G137" s="125" t="s">
        <v>100</v>
      </c>
      <c r="H137" s="125" t="s">
        <v>115</v>
      </c>
      <c r="I137" s="125" t="s">
        <v>116</v>
      </c>
    </row>
    <row r="138" spans="2:12" x14ac:dyDescent="0.25">
      <c r="B138" s="191" t="s">
        <v>117</v>
      </c>
      <c r="D138" s="127"/>
      <c r="E138" s="127"/>
      <c r="F138" s="127"/>
      <c r="G138" s="127"/>
      <c r="I138" s="128"/>
      <c r="K138" s="120" t="s">
        <v>364</v>
      </c>
      <c r="L138" s="156">
        <v>11</v>
      </c>
    </row>
    <row r="139" spans="2:12" x14ac:dyDescent="0.25">
      <c r="C139" s="159">
        <v>45626</v>
      </c>
      <c r="E139" s="130"/>
      <c r="F139" s="130"/>
      <c r="G139" s="130"/>
      <c r="H139" s="130"/>
      <c r="I139" s="130">
        <v>50272000</v>
      </c>
      <c r="K139" s="120" t="s">
        <v>339</v>
      </c>
      <c r="L139" s="160">
        <f>+PMT(H140/1200,84,I142,0)</f>
        <v>-667916.04956629896</v>
      </c>
    </row>
    <row r="140" spans="2:12" x14ac:dyDescent="0.25">
      <c r="C140" s="159">
        <f>EDATE(C139,0)</f>
        <v>45626</v>
      </c>
      <c r="E140" s="130"/>
      <c r="F140" s="130">
        <f>+L22</f>
        <v>11263763.52</v>
      </c>
      <c r="G140" s="130"/>
      <c r="H140" s="130">
        <f>+L138</f>
        <v>11</v>
      </c>
      <c r="I140" s="130">
        <f>+I139-F140</f>
        <v>39008236.480000004</v>
      </c>
      <c r="K140" s="120" t="s">
        <v>340</v>
      </c>
      <c r="L140" s="129">
        <v>45627</v>
      </c>
    </row>
    <row r="141" spans="2:12" x14ac:dyDescent="0.25">
      <c r="C141" s="159">
        <f t="shared" ref="C141:C144" si="66">EDATE(C140,1)</f>
        <v>45656</v>
      </c>
      <c r="E141" s="130">
        <f t="shared" ref="E141:E143" si="67">+G141</f>
        <v>357576</v>
      </c>
      <c r="F141" s="130"/>
      <c r="G141" s="130">
        <f>ROUND(+I140*H141/1200,0)</f>
        <v>357576</v>
      </c>
      <c r="H141" s="130">
        <f>+H140</f>
        <v>11</v>
      </c>
      <c r="I141" s="130">
        <f t="shared" ref="I141" si="68">+I140-F141</f>
        <v>39008236.480000004</v>
      </c>
      <c r="K141" s="120" t="s">
        <v>341</v>
      </c>
      <c r="L141" s="129">
        <v>45716</v>
      </c>
    </row>
    <row r="142" spans="2:12" x14ac:dyDescent="0.25">
      <c r="C142" s="159">
        <f t="shared" si="66"/>
        <v>45687</v>
      </c>
      <c r="E142" s="130">
        <f t="shared" si="67"/>
        <v>357576</v>
      </c>
      <c r="F142" s="130"/>
      <c r="G142" s="130">
        <f>ROUND(+I141*H142/1200,0)</f>
        <v>357576</v>
      </c>
      <c r="H142" s="130">
        <f t="shared" ref="H142:H144" si="69">+H141</f>
        <v>11</v>
      </c>
      <c r="I142" s="130">
        <f>+I141-F142</f>
        <v>39008236.480000004</v>
      </c>
      <c r="K142" s="120" t="s">
        <v>342</v>
      </c>
      <c r="L142" s="129">
        <v>45747</v>
      </c>
    </row>
    <row r="143" spans="2:12" x14ac:dyDescent="0.25">
      <c r="C143" s="159">
        <f t="shared" si="66"/>
        <v>45716</v>
      </c>
      <c r="E143" s="130">
        <f t="shared" si="67"/>
        <v>357576</v>
      </c>
      <c r="F143" s="130"/>
      <c r="G143" s="130">
        <f t="shared" ref="G141:G144" si="70">ROUND(+I142*H143/1200,0)</f>
        <v>357576</v>
      </c>
      <c r="H143" s="130">
        <f t="shared" si="69"/>
        <v>11</v>
      </c>
      <c r="I143" s="130">
        <f t="shared" ref="I143:I144" si="71">+I142-F143</f>
        <v>39008236.480000004</v>
      </c>
      <c r="K143" s="120" t="s">
        <v>343</v>
      </c>
      <c r="L143" s="133" t="s">
        <v>344</v>
      </c>
    </row>
    <row r="144" spans="2:12" x14ac:dyDescent="0.25">
      <c r="B144" s="133">
        <v>1</v>
      </c>
      <c r="C144" s="159">
        <f t="shared" si="66"/>
        <v>45744</v>
      </c>
      <c r="E144" s="130">
        <f>-$L$139</f>
        <v>667916.04956629896</v>
      </c>
      <c r="F144" s="130">
        <f>+E144-G144</f>
        <v>310340.04956629896</v>
      </c>
      <c r="G144" s="130">
        <f t="shared" si="70"/>
        <v>357576</v>
      </c>
      <c r="H144" s="130">
        <f t="shared" si="69"/>
        <v>11</v>
      </c>
      <c r="I144" s="130">
        <f t="shared" si="71"/>
        <v>38697896.430433705</v>
      </c>
    </row>
    <row r="145" spans="2:9" x14ac:dyDescent="0.25">
      <c r="B145" s="191" t="s">
        <v>118</v>
      </c>
      <c r="E145" s="131">
        <f>SUM(E139:E144)</f>
        <v>1740644.049566299</v>
      </c>
      <c r="F145" s="131">
        <f>SUM(F141:F144)</f>
        <v>310340.04956629896</v>
      </c>
      <c r="G145" s="131">
        <f>SUM(G139:G143)</f>
        <v>1072728</v>
      </c>
    </row>
    <row r="146" spans="2:9" x14ac:dyDescent="0.25">
      <c r="B146" s="133">
        <f>+B144+1</f>
        <v>2</v>
      </c>
      <c r="C146" s="159">
        <f>EDATE(C144,1)</f>
        <v>45775</v>
      </c>
      <c r="E146" s="130">
        <f t="shared" ref="E146:E157" si="72">-$L$139</f>
        <v>667916.04956629896</v>
      </c>
      <c r="F146" s="130">
        <f t="shared" ref="F146:F157" si="73">+E146-G146</f>
        <v>313185.04956629896</v>
      </c>
      <c r="G146" s="130">
        <f>ROUND(+I144*H146/1200,0)</f>
        <v>354731</v>
      </c>
      <c r="H146" s="130">
        <f>+H144</f>
        <v>11</v>
      </c>
      <c r="I146" s="130">
        <f>+I144-F146</f>
        <v>38384711.380867407</v>
      </c>
    </row>
    <row r="147" spans="2:9" x14ac:dyDescent="0.25">
      <c r="B147" s="133">
        <f>+B146+1</f>
        <v>3</v>
      </c>
      <c r="C147" s="159">
        <f>EDATE(C146,1)</f>
        <v>45805</v>
      </c>
      <c r="E147" s="130">
        <f t="shared" si="72"/>
        <v>667916.04956629896</v>
      </c>
      <c r="F147" s="130">
        <f t="shared" si="73"/>
        <v>316056.04956629896</v>
      </c>
      <c r="G147" s="130">
        <f>ROUND(+I146*H147/1200,0)</f>
        <v>351860</v>
      </c>
      <c r="H147" s="130">
        <f>+H146</f>
        <v>11</v>
      </c>
      <c r="I147" s="130">
        <f t="shared" ref="I147:I157" si="74">+I146-F147</f>
        <v>38068655.331301108</v>
      </c>
    </row>
    <row r="148" spans="2:9" x14ac:dyDescent="0.25">
      <c r="B148" s="133">
        <f t="shared" ref="B148:B157" si="75">+B147+1</f>
        <v>4</v>
      </c>
      <c r="C148" s="159">
        <f t="shared" ref="C148:C157" si="76">EDATE(C147,1)</f>
        <v>45836</v>
      </c>
      <c r="E148" s="130">
        <f t="shared" si="72"/>
        <v>667916.04956629896</v>
      </c>
      <c r="F148" s="130">
        <f t="shared" si="73"/>
        <v>318953.04956629896</v>
      </c>
      <c r="G148" s="130">
        <f t="shared" ref="G148:G157" si="77">ROUND(+I147*H148/1200,0)</f>
        <v>348963</v>
      </c>
      <c r="H148" s="130">
        <f t="shared" ref="H148:H157" si="78">+H147</f>
        <v>11</v>
      </c>
      <c r="I148" s="130">
        <f t="shared" si="74"/>
        <v>37749702.281734809</v>
      </c>
    </row>
    <row r="149" spans="2:9" x14ac:dyDescent="0.25">
      <c r="B149" s="133">
        <f t="shared" si="75"/>
        <v>5</v>
      </c>
      <c r="C149" s="159">
        <f t="shared" si="76"/>
        <v>45866</v>
      </c>
      <c r="E149" s="130">
        <f t="shared" si="72"/>
        <v>667916.04956629896</v>
      </c>
      <c r="F149" s="130">
        <f t="shared" si="73"/>
        <v>321877.04956629896</v>
      </c>
      <c r="G149" s="130">
        <f t="shared" si="77"/>
        <v>346039</v>
      </c>
      <c r="H149" s="130">
        <f t="shared" si="78"/>
        <v>11</v>
      </c>
      <c r="I149" s="130">
        <f t="shared" si="74"/>
        <v>37427825.232168511</v>
      </c>
    </row>
    <row r="150" spans="2:9" x14ac:dyDescent="0.25">
      <c r="B150" s="133">
        <f t="shared" si="75"/>
        <v>6</v>
      </c>
      <c r="C150" s="159">
        <f t="shared" si="76"/>
        <v>45897</v>
      </c>
      <c r="E150" s="130">
        <f t="shared" si="72"/>
        <v>667916.04956629896</v>
      </c>
      <c r="F150" s="130">
        <f t="shared" si="73"/>
        <v>324828.04956629896</v>
      </c>
      <c r="G150" s="130">
        <f t="shared" si="77"/>
        <v>343088</v>
      </c>
      <c r="H150" s="130">
        <f t="shared" si="78"/>
        <v>11</v>
      </c>
      <c r="I150" s="130">
        <f t="shared" si="74"/>
        <v>37102997.182602212</v>
      </c>
    </row>
    <row r="151" spans="2:9" x14ac:dyDescent="0.25">
      <c r="B151" s="133">
        <f t="shared" si="75"/>
        <v>7</v>
      </c>
      <c r="C151" s="159">
        <f t="shared" si="76"/>
        <v>45928</v>
      </c>
      <c r="E151" s="130">
        <f t="shared" si="72"/>
        <v>667916.04956629896</v>
      </c>
      <c r="F151" s="130">
        <f t="shared" si="73"/>
        <v>327805.04956629896</v>
      </c>
      <c r="G151" s="130">
        <f t="shared" si="77"/>
        <v>340111</v>
      </c>
      <c r="H151" s="130">
        <f t="shared" si="78"/>
        <v>11</v>
      </c>
      <c r="I151" s="130">
        <f t="shared" si="74"/>
        <v>36775192.133035913</v>
      </c>
    </row>
    <row r="152" spans="2:9" x14ac:dyDescent="0.25">
      <c r="B152" s="133">
        <f t="shared" si="75"/>
        <v>8</v>
      </c>
      <c r="C152" s="159">
        <f t="shared" si="76"/>
        <v>45958</v>
      </c>
      <c r="E152" s="130">
        <f t="shared" si="72"/>
        <v>667916.04956629896</v>
      </c>
      <c r="F152" s="130">
        <f t="shared" si="73"/>
        <v>330810.04956629896</v>
      </c>
      <c r="G152" s="130">
        <f t="shared" si="77"/>
        <v>337106</v>
      </c>
      <c r="H152" s="130">
        <f t="shared" si="78"/>
        <v>11</v>
      </c>
      <c r="I152" s="130">
        <f t="shared" si="74"/>
        <v>36444382.083469614</v>
      </c>
    </row>
    <row r="153" spans="2:9" x14ac:dyDescent="0.25">
      <c r="B153" s="133">
        <f t="shared" si="75"/>
        <v>9</v>
      </c>
      <c r="C153" s="159">
        <f t="shared" si="76"/>
        <v>45989</v>
      </c>
      <c r="E153" s="130">
        <f t="shared" si="72"/>
        <v>667916.04956629896</v>
      </c>
      <c r="F153" s="130">
        <f t="shared" si="73"/>
        <v>333842.04956629896</v>
      </c>
      <c r="G153" s="130">
        <f t="shared" si="77"/>
        <v>334074</v>
      </c>
      <c r="H153" s="130">
        <f t="shared" si="78"/>
        <v>11</v>
      </c>
      <c r="I153" s="130">
        <f t="shared" si="74"/>
        <v>36110540.033903316</v>
      </c>
    </row>
    <row r="154" spans="2:9" x14ac:dyDescent="0.25">
      <c r="B154" s="133">
        <f t="shared" si="75"/>
        <v>10</v>
      </c>
      <c r="C154" s="159">
        <f t="shared" si="76"/>
        <v>46019</v>
      </c>
      <c r="E154" s="130">
        <f t="shared" si="72"/>
        <v>667916.04956629896</v>
      </c>
      <c r="F154" s="130">
        <f t="shared" si="73"/>
        <v>336903.04956629896</v>
      </c>
      <c r="G154" s="130">
        <f t="shared" si="77"/>
        <v>331013</v>
      </c>
      <c r="H154" s="130">
        <f t="shared" si="78"/>
        <v>11</v>
      </c>
      <c r="I154" s="130">
        <f t="shared" si="74"/>
        <v>35773636.984337017</v>
      </c>
    </row>
    <row r="155" spans="2:9" x14ac:dyDescent="0.25">
      <c r="B155" s="133">
        <f t="shared" si="75"/>
        <v>11</v>
      </c>
      <c r="C155" s="159">
        <f t="shared" si="76"/>
        <v>46050</v>
      </c>
      <c r="E155" s="130">
        <f t="shared" si="72"/>
        <v>667916.04956629896</v>
      </c>
      <c r="F155" s="130">
        <f t="shared" si="73"/>
        <v>339991.04956629896</v>
      </c>
      <c r="G155" s="130">
        <f t="shared" si="77"/>
        <v>327925</v>
      </c>
      <c r="H155" s="130">
        <f t="shared" si="78"/>
        <v>11</v>
      </c>
      <c r="I155" s="130">
        <f t="shared" si="74"/>
        <v>35433645.934770718</v>
      </c>
    </row>
    <row r="156" spans="2:9" x14ac:dyDescent="0.25">
      <c r="B156" s="133">
        <f t="shared" si="75"/>
        <v>12</v>
      </c>
      <c r="C156" s="159">
        <f t="shared" si="76"/>
        <v>46081</v>
      </c>
      <c r="E156" s="130">
        <f t="shared" si="72"/>
        <v>667916.04956629896</v>
      </c>
      <c r="F156" s="130">
        <f t="shared" si="73"/>
        <v>343108.04956629896</v>
      </c>
      <c r="G156" s="130">
        <f t="shared" si="77"/>
        <v>324808</v>
      </c>
      <c r="H156" s="130">
        <f t="shared" si="78"/>
        <v>11</v>
      </c>
      <c r="I156" s="130">
        <f t="shared" si="74"/>
        <v>35090537.885204419</v>
      </c>
    </row>
    <row r="157" spans="2:9" x14ac:dyDescent="0.25">
      <c r="B157" s="133">
        <f t="shared" si="75"/>
        <v>13</v>
      </c>
      <c r="C157" s="159">
        <f t="shared" si="76"/>
        <v>46109</v>
      </c>
      <c r="E157" s="130">
        <f t="shared" si="72"/>
        <v>667916.04956629896</v>
      </c>
      <c r="F157" s="130">
        <f t="shared" si="73"/>
        <v>346253.04956629896</v>
      </c>
      <c r="G157" s="130">
        <f t="shared" si="77"/>
        <v>321663</v>
      </c>
      <c r="H157" s="130">
        <f t="shared" si="78"/>
        <v>11</v>
      </c>
      <c r="I157" s="130">
        <f t="shared" si="74"/>
        <v>34744284.835638121</v>
      </c>
    </row>
    <row r="158" spans="2:9" x14ac:dyDescent="0.25">
      <c r="B158" s="191" t="s">
        <v>119</v>
      </c>
      <c r="C158" s="159"/>
      <c r="E158" s="131">
        <f>SUM(E146:E157)</f>
        <v>8014992.5947955856</v>
      </c>
      <c r="F158" s="131">
        <f>SUM(F146:F157)</f>
        <v>3953611.5947955865</v>
      </c>
      <c r="G158" s="131">
        <f>SUM(G146:G157)</f>
        <v>4061381</v>
      </c>
    </row>
    <row r="159" spans="2:9" x14ac:dyDescent="0.25">
      <c r="B159" s="133">
        <f>+B157+1</f>
        <v>14</v>
      </c>
      <c r="C159" s="159">
        <f>EDATE(C157,1)</f>
        <v>46140</v>
      </c>
      <c r="E159" s="130">
        <f t="shared" ref="E159:E170" si="79">-$L$139</f>
        <v>667916.04956629896</v>
      </c>
      <c r="F159" s="130">
        <f t="shared" ref="F159:F170" si="80">+E159-G159</f>
        <v>349427.04956629896</v>
      </c>
      <c r="G159" s="130">
        <f>ROUND(+I157*H159/1200,0)</f>
        <v>318489</v>
      </c>
      <c r="H159" s="130">
        <f>+H157</f>
        <v>11</v>
      </c>
      <c r="I159" s="130">
        <f>+I157+G159-E159</f>
        <v>34394857.786071822</v>
      </c>
    </row>
    <row r="160" spans="2:9" x14ac:dyDescent="0.25">
      <c r="B160" s="133">
        <f>+B159+1</f>
        <v>15</v>
      </c>
      <c r="C160" s="159">
        <f>EDATE(C159,1)</f>
        <v>46170</v>
      </c>
      <c r="E160" s="130">
        <f t="shared" si="79"/>
        <v>667916.04956629896</v>
      </c>
      <c r="F160" s="130">
        <f t="shared" si="80"/>
        <v>352630.04956629896</v>
      </c>
      <c r="G160" s="130">
        <f>ROUND(+I159*H160/1200,0)</f>
        <v>315286</v>
      </c>
      <c r="H160" s="130">
        <f>+H159</f>
        <v>11</v>
      </c>
      <c r="I160" s="130">
        <f t="shared" ref="I160:I170" si="81">+I159-F160</f>
        <v>34042227.736505523</v>
      </c>
    </row>
    <row r="161" spans="2:9" x14ac:dyDescent="0.25">
      <c r="B161" s="133">
        <f t="shared" ref="B161:B170" si="82">+B160+1</f>
        <v>16</v>
      </c>
      <c r="C161" s="159">
        <f t="shared" ref="C161:C170" si="83">EDATE(C160,1)</f>
        <v>46201</v>
      </c>
      <c r="E161" s="130">
        <f t="shared" si="79"/>
        <v>667916.04956629896</v>
      </c>
      <c r="F161" s="130">
        <f t="shared" si="80"/>
        <v>355862.04956629896</v>
      </c>
      <c r="G161" s="130">
        <f t="shared" ref="G161:G170" si="84">ROUND(+I160*H161/1200,0)</f>
        <v>312054</v>
      </c>
      <c r="H161" s="130">
        <f t="shared" ref="H161:H170" si="85">+H160</f>
        <v>11</v>
      </c>
      <c r="I161" s="130">
        <f t="shared" si="81"/>
        <v>33686365.686939225</v>
      </c>
    </row>
    <row r="162" spans="2:9" x14ac:dyDescent="0.25">
      <c r="B162" s="133">
        <f t="shared" si="82"/>
        <v>17</v>
      </c>
      <c r="C162" s="159">
        <f t="shared" si="83"/>
        <v>46231</v>
      </c>
      <c r="E162" s="130">
        <f t="shared" si="79"/>
        <v>667916.04956629896</v>
      </c>
      <c r="F162" s="130">
        <f t="shared" si="80"/>
        <v>359124.04956629896</v>
      </c>
      <c r="G162" s="130">
        <f t="shared" si="84"/>
        <v>308792</v>
      </c>
      <c r="H162" s="130">
        <f t="shared" si="85"/>
        <v>11</v>
      </c>
      <c r="I162" s="130">
        <f t="shared" si="81"/>
        <v>33327241.637372926</v>
      </c>
    </row>
    <row r="163" spans="2:9" x14ac:dyDescent="0.25">
      <c r="B163" s="133">
        <f t="shared" si="82"/>
        <v>18</v>
      </c>
      <c r="C163" s="159">
        <f t="shared" si="83"/>
        <v>46262</v>
      </c>
      <c r="E163" s="130">
        <f t="shared" si="79"/>
        <v>667916.04956629896</v>
      </c>
      <c r="F163" s="130">
        <f t="shared" si="80"/>
        <v>362416.04956629896</v>
      </c>
      <c r="G163" s="130">
        <f t="shared" si="84"/>
        <v>305500</v>
      </c>
      <c r="H163" s="130">
        <f t="shared" si="85"/>
        <v>11</v>
      </c>
      <c r="I163" s="130">
        <f t="shared" si="81"/>
        <v>32964825.587806627</v>
      </c>
    </row>
    <row r="164" spans="2:9" x14ac:dyDescent="0.25">
      <c r="B164" s="133">
        <f t="shared" si="82"/>
        <v>19</v>
      </c>
      <c r="C164" s="159">
        <f t="shared" si="83"/>
        <v>46293</v>
      </c>
      <c r="E164" s="130">
        <f t="shared" si="79"/>
        <v>667916.04956629896</v>
      </c>
      <c r="F164" s="130">
        <f t="shared" si="80"/>
        <v>365738.04956629896</v>
      </c>
      <c r="G164" s="130">
        <f t="shared" si="84"/>
        <v>302178</v>
      </c>
      <c r="H164" s="130">
        <f t="shared" si="85"/>
        <v>11</v>
      </c>
      <c r="I164" s="130">
        <f t="shared" si="81"/>
        <v>32599087.538240328</v>
      </c>
    </row>
    <row r="165" spans="2:9" x14ac:dyDescent="0.25">
      <c r="B165" s="133">
        <f t="shared" si="82"/>
        <v>20</v>
      </c>
      <c r="C165" s="159">
        <f t="shared" si="83"/>
        <v>46323</v>
      </c>
      <c r="E165" s="130">
        <f t="shared" si="79"/>
        <v>667916.04956629896</v>
      </c>
      <c r="F165" s="130">
        <f t="shared" si="80"/>
        <v>369091.04956629896</v>
      </c>
      <c r="G165" s="130">
        <f t="shared" si="84"/>
        <v>298825</v>
      </c>
      <c r="H165" s="130">
        <f t="shared" si="85"/>
        <v>11</v>
      </c>
      <c r="I165" s="130">
        <f t="shared" si="81"/>
        <v>32229996.48867403</v>
      </c>
    </row>
    <row r="166" spans="2:9" x14ac:dyDescent="0.25">
      <c r="B166" s="133">
        <f t="shared" si="82"/>
        <v>21</v>
      </c>
      <c r="C166" s="159">
        <f t="shared" si="83"/>
        <v>46354</v>
      </c>
      <c r="E166" s="130">
        <f t="shared" si="79"/>
        <v>667916.04956629896</v>
      </c>
      <c r="F166" s="130">
        <f t="shared" si="80"/>
        <v>372474.04956629896</v>
      </c>
      <c r="G166" s="130">
        <f t="shared" si="84"/>
        <v>295442</v>
      </c>
      <c r="H166" s="130">
        <f t="shared" si="85"/>
        <v>11</v>
      </c>
      <c r="I166" s="130">
        <f t="shared" si="81"/>
        <v>31857522.439107731</v>
      </c>
    </row>
    <row r="167" spans="2:9" x14ac:dyDescent="0.25">
      <c r="B167" s="133">
        <f t="shared" si="82"/>
        <v>22</v>
      </c>
      <c r="C167" s="159">
        <f t="shared" si="83"/>
        <v>46384</v>
      </c>
      <c r="E167" s="130">
        <f t="shared" si="79"/>
        <v>667916.04956629896</v>
      </c>
      <c r="F167" s="130">
        <f t="shared" si="80"/>
        <v>375889.04956629896</v>
      </c>
      <c r="G167" s="130">
        <f t="shared" si="84"/>
        <v>292027</v>
      </c>
      <c r="H167" s="130">
        <f t="shared" si="85"/>
        <v>11</v>
      </c>
      <c r="I167" s="130">
        <f t="shared" si="81"/>
        <v>31481633.389541432</v>
      </c>
    </row>
    <row r="168" spans="2:9" x14ac:dyDescent="0.25">
      <c r="B168" s="133">
        <f t="shared" si="82"/>
        <v>23</v>
      </c>
      <c r="C168" s="159">
        <f t="shared" si="83"/>
        <v>46415</v>
      </c>
      <c r="E168" s="130">
        <f t="shared" si="79"/>
        <v>667916.04956629896</v>
      </c>
      <c r="F168" s="130">
        <f t="shared" si="80"/>
        <v>379334.04956629896</v>
      </c>
      <c r="G168" s="130">
        <f t="shared" si="84"/>
        <v>288582</v>
      </c>
      <c r="H168" s="130">
        <f t="shared" si="85"/>
        <v>11</v>
      </c>
      <c r="I168" s="130">
        <f t="shared" si="81"/>
        <v>31102299.339975134</v>
      </c>
    </row>
    <row r="169" spans="2:9" x14ac:dyDescent="0.25">
      <c r="B169" s="133">
        <f t="shared" si="82"/>
        <v>24</v>
      </c>
      <c r="C169" s="159">
        <f t="shared" si="83"/>
        <v>46446</v>
      </c>
      <c r="E169" s="130">
        <f t="shared" si="79"/>
        <v>667916.04956629896</v>
      </c>
      <c r="F169" s="130">
        <f t="shared" si="80"/>
        <v>382812.04956629896</v>
      </c>
      <c r="G169" s="130">
        <f t="shared" si="84"/>
        <v>285104</v>
      </c>
      <c r="H169" s="130">
        <f t="shared" si="85"/>
        <v>11</v>
      </c>
      <c r="I169" s="130">
        <f t="shared" si="81"/>
        <v>30719487.290408835</v>
      </c>
    </row>
    <row r="170" spans="2:9" x14ac:dyDescent="0.25">
      <c r="B170" s="133">
        <f t="shared" si="82"/>
        <v>25</v>
      </c>
      <c r="C170" s="159">
        <f t="shared" si="83"/>
        <v>46474</v>
      </c>
      <c r="E170" s="130">
        <f t="shared" si="79"/>
        <v>667916.04956629896</v>
      </c>
      <c r="F170" s="130">
        <f t="shared" si="80"/>
        <v>386321.04956629896</v>
      </c>
      <c r="G170" s="130">
        <f t="shared" si="84"/>
        <v>281595</v>
      </c>
      <c r="H170" s="130">
        <f t="shared" si="85"/>
        <v>11</v>
      </c>
      <c r="I170" s="130">
        <f t="shared" si="81"/>
        <v>30333166.240842536</v>
      </c>
    </row>
    <row r="171" spans="2:9" x14ac:dyDescent="0.25">
      <c r="B171" s="191" t="s">
        <v>121</v>
      </c>
      <c r="C171" s="159"/>
      <c r="E171" s="131">
        <f>SUM(E159:E170)</f>
        <v>8014992.5947955856</v>
      </c>
      <c r="F171" s="131">
        <f>SUM(F159:F170)</f>
        <v>4411118.5947955865</v>
      </c>
      <c r="G171" s="131">
        <f>SUM(G159:G170)</f>
        <v>3603874</v>
      </c>
      <c r="H171" s="130"/>
      <c r="I171" s="130"/>
    </row>
    <row r="172" spans="2:9" x14ac:dyDescent="0.25">
      <c r="B172" s="133">
        <f>+B170+1</f>
        <v>26</v>
      </c>
      <c r="C172" s="159">
        <f>EDATE(C170,1)</f>
        <v>46505</v>
      </c>
      <c r="E172" s="130">
        <f t="shared" ref="E172:E183" si="86">-$L$139</f>
        <v>667916.04956629896</v>
      </c>
      <c r="F172" s="130">
        <f t="shared" ref="F172:F183" si="87">+E172-G172</f>
        <v>389862.04956629896</v>
      </c>
      <c r="G172" s="130">
        <f>ROUND(+I170*H172/1200,0)</f>
        <v>278054</v>
      </c>
      <c r="H172" s="130">
        <f>+H170</f>
        <v>11</v>
      </c>
      <c r="I172" s="130">
        <f>+I170+G172-E172</f>
        <v>29943304.191276237</v>
      </c>
    </row>
    <row r="173" spans="2:9" x14ac:dyDescent="0.25">
      <c r="B173" s="133">
        <f>+B172+1</f>
        <v>27</v>
      </c>
      <c r="C173" s="159">
        <f>EDATE(C172,1)</f>
        <v>46535</v>
      </c>
      <c r="E173" s="130">
        <f t="shared" si="86"/>
        <v>667916.04956629896</v>
      </c>
      <c r="F173" s="130">
        <f t="shared" si="87"/>
        <v>393436.04956629896</v>
      </c>
      <c r="G173" s="130">
        <f>ROUND(+I172*H173/1200,0)</f>
        <v>274480</v>
      </c>
      <c r="H173" s="130">
        <f>+H172</f>
        <v>11</v>
      </c>
      <c r="I173" s="130">
        <f t="shared" ref="I173:I183" si="88">+I172-F173</f>
        <v>29549868.141709939</v>
      </c>
    </row>
    <row r="174" spans="2:9" x14ac:dyDescent="0.25">
      <c r="B174" s="133">
        <f t="shared" ref="B174:B183" si="89">+B173+1</f>
        <v>28</v>
      </c>
      <c r="C174" s="159">
        <f t="shared" ref="C174:C183" si="90">EDATE(C173,1)</f>
        <v>46566</v>
      </c>
      <c r="E174" s="130">
        <f t="shared" si="86"/>
        <v>667916.04956629896</v>
      </c>
      <c r="F174" s="130">
        <f t="shared" si="87"/>
        <v>397042.04956629896</v>
      </c>
      <c r="G174" s="130">
        <f t="shared" ref="G174:G183" si="91">ROUND(+I173*H174/1200,0)</f>
        <v>270874</v>
      </c>
      <c r="H174" s="130">
        <f t="shared" ref="H174:H183" si="92">+H173</f>
        <v>11</v>
      </c>
      <c r="I174" s="130">
        <f t="shared" si="88"/>
        <v>29152826.09214364</v>
      </c>
    </row>
    <row r="175" spans="2:9" x14ac:dyDescent="0.25">
      <c r="B175" s="133">
        <f t="shared" si="89"/>
        <v>29</v>
      </c>
      <c r="C175" s="159">
        <f t="shared" si="90"/>
        <v>46596</v>
      </c>
      <c r="E175" s="130">
        <f t="shared" si="86"/>
        <v>667916.04956629896</v>
      </c>
      <c r="F175" s="130">
        <f t="shared" si="87"/>
        <v>400682.04956629896</v>
      </c>
      <c r="G175" s="130">
        <f t="shared" si="91"/>
        <v>267234</v>
      </c>
      <c r="H175" s="130">
        <f t="shared" si="92"/>
        <v>11</v>
      </c>
      <c r="I175" s="130">
        <f t="shared" si="88"/>
        <v>28752144.042577341</v>
      </c>
    </row>
    <row r="176" spans="2:9" x14ac:dyDescent="0.25">
      <c r="B176" s="133">
        <f t="shared" si="89"/>
        <v>30</v>
      </c>
      <c r="C176" s="159">
        <f t="shared" si="90"/>
        <v>46627</v>
      </c>
      <c r="E176" s="130">
        <f t="shared" si="86"/>
        <v>667916.04956629896</v>
      </c>
      <c r="F176" s="130">
        <f t="shared" si="87"/>
        <v>404355.04956629896</v>
      </c>
      <c r="G176" s="130">
        <f t="shared" si="91"/>
        <v>263561</v>
      </c>
      <c r="H176" s="130">
        <f t="shared" si="92"/>
        <v>11</v>
      </c>
      <c r="I176" s="130">
        <f t="shared" si="88"/>
        <v>28347788.993011042</v>
      </c>
    </row>
    <row r="177" spans="2:9" x14ac:dyDescent="0.25">
      <c r="B177" s="133">
        <f t="shared" si="89"/>
        <v>31</v>
      </c>
      <c r="C177" s="159">
        <f t="shared" si="90"/>
        <v>46658</v>
      </c>
      <c r="E177" s="130">
        <f t="shared" si="86"/>
        <v>667916.04956629896</v>
      </c>
      <c r="F177" s="130">
        <f t="shared" si="87"/>
        <v>408061.04956629896</v>
      </c>
      <c r="G177" s="130">
        <f t="shared" si="91"/>
        <v>259855</v>
      </c>
      <c r="H177" s="130">
        <f t="shared" si="92"/>
        <v>11</v>
      </c>
      <c r="I177" s="130">
        <f t="shared" si="88"/>
        <v>27939727.943444744</v>
      </c>
    </row>
    <row r="178" spans="2:9" x14ac:dyDescent="0.25">
      <c r="B178" s="133">
        <f t="shared" si="89"/>
        <v>32</v>
      </c>
      <c r="C178" s="159">
        <f t="shared" si="90"/>
        <v>46688</v>
      </c>
      <c r="E178" s="130">
        <f t="shared" si="86"/>
        <v>667916.04956629896</v>
      </c>
      <c r="F178" s="130">
        <f t="shared" si="87"/>
        <v>411802.04956629896</v>
      </c>
      <c r="G178" s="130">
        <f t="shared" si="91"/>
        <v>256114</v>
      </c>
      <c r="H178" s="130">
        <f t="shared" si="92"/>
        <v>11</v>
      </c>
      <c r="I178" s="130">
        <f t="shared" si="88"/>
        <v>27527925.893878445</v>
      </c>
    </row>
    <row r="179" spans="2:9" x14ac:dyDescent="0.25">
      <c r="B179" s="133">
        <f t="shared" si="89"/>
        <v>33</v>
      </c>
      <c r="C179" s="159">
        <f t="shared" si="90"/>
        <v>46719</v>
      </c>
      <c r="E179" s="130">
        <f t="shared" si="86"/>
        <v>667916.04956629896</v>
      </c>
      <c r="F179" s="130">
        <f t="shared" si="87"/>
        <v>415577.04956629896</v>
      </c>
      <c r="G179" s="130">
        <f t="shared" si="91"/>
        <v>252339</v>
      </c>
      <c r="H179" s="130">
        <f t="shared" si="92"/>
        <v>11</v>
      </c>
      <c r="I179" s="130">
        <f t="shared" si="88"/>
        <v>27112348.844312146</v>
      </c>
    </row>
    <row r="180" spans="2:9" x14ac:dyDescent="0.25">
      <c r="B180" s="133">
        <f t="shared" si="89"/>
        <v>34</v>
      </c>
      <c r="C180" s="159">
        <f t="shared" si="90"/>
        <v>46749</v>
      </c>
      <c r="E180" s="130">
        <f t="shared" si="86"/>
        <v>667916.04956629896</v>
      </c>
      <c r="F180" s="130">
        <f t="shared" si="87"/>
        <v>419386.04956629896</v>
      </c>
      <c r="G180" s="130">
        <f t="shared" si="91"/>
        <v>248530</v>
      </c>
      <c r="H180" s="130">
        <f t="shared" si="92"/>
        <v>11</v>
      </c>
      <c r="I180" s="130">
        <f t="shared" si="88"/>
        <v>26692962.794745848</v>
      </c>
    </row>
    <row r="181" spans="2:9" x14ac:dyDescent="0.25">
      <c r="B181" s="133">
        <f t="shared" si="89"/>
        <v>35</v>
      </c>
      <c r="C181" s="159">
        <f t="shared" si="90"/>
        <v>46780</v>
      </c>
      <c r="E181" s="130">
        <f t="shared" si="86"/>
        <v>667916.04956629896</v>
      </c>
      <c r="F181" s="130">
        <f t="shared" si="87"/>
        <v>423231.04956629896</v>
      </c>
      <c r="G181" s="130">
        <f t="shared" si="91"/>
        <v>244685</v>
      </c>
      <c r="H181" s="130">
        <f t="shared" si="92"/>
        <v>11</v>
      </c>
      <c r="I181" s="130">
        <f t="shared" si="88"/>
        <v>26269731.745179549</v>
      </c>
    </row>
    <row r="182" spans="2:9" x14ac:dyDescent="0.25">
      <c r="B182" s="133">
        <f t="shared" si="89"/>
        <v>36</v>
      </c>
      <c r="C182" s="159">
        <f t="shared" si="90"/>
        <v>46811</v>
      </c>
      <c r="E182" s="130">
        <f t="shared" si="86"/>
        <v>667916.04956629896</v>
      </c>
      <c r="F182" s="130">
        <f t="shared" si="87"/>
        <v>427110.04956629896</v>
      </c>
      <c r="G182" s="130">
        <f t="shared" si="91"/>
        <v>240806</v>
      </c>
      <c r="H182" s="130">
        <f t="shared" si="92"/>
        <v>11</v>
      </c>
      <c r="I182" s="130">
        <f t="shared" si="88"/>
        <v>25842621.69561325</v>
      </c>
    </row>
    <row r="183" spans="2:9" x14ac:dyDescent="0.25">
      <c r="B183" s="133">
        <f t="shared" si="89"/>
        <v>37</v>
      </c>
      <c r="C183" s="159">
        <f t="shared" si="90"/>
        <v>46840</v>
      </c>
      <c r="E183" s="130">
        <f t="shared" si="86"/>
        <v>667916.04956629896</v>
      </c>
      <c r="F183" s="130">
        <f t="shared" si="87"/>
        <v>431025.04956629896</v>
      </c>
      <c r="G183" s="130">
        <f t="shared" si="91"/>
        <v>236891</v>
      </c>
      <c r="H183" s="130">
        <f t="shared" si="92"/>
        <v>11</v>
      </c>
      <c r="I183" s="130">
        <f t="shared" si="88"/>
        <v>25411596.646046951</v>
      </c>
    </row>
    <row r="184" spans="2:9" x14ac:dyDescent="0.25">
      <c r="B184" s="191" t="s">
        <v>122</v>
      </c>
      <c r="C184" s="159"/>
      <c r="E184" s="131">
        <f>SUM(E172:E183)</f>
        <v>8014992.5947955856</v>
      </c>
      <c r="F184" s="131">
        <f>SUM(F172:F183)</f>
        <v>4921569.5947955865</v>
      </c>
      <c r="G184" s="131">
        <f>SUM(G172:G183)</f>
        <v>3093423</v>
      </c>
    </row>
    <row r="185" spans="2:9" x14ac:dyDescent="0.25">
      <c r="B185" s="133">
        <f>+B183+1</f>
        <v>38</v>
      </c>
      <c r="C185" s="159">
        <f>EDATE(C183,1)</f>
        <v>46871</v>
      </c>
      <c r="D185" s="128"/>
      <c r="E185" s="130">
        <f t="shared" ref="E185:E196" si="93">-$L$139</f>
        <v>667916.04956629896</v>
      </c>
      <c r="F185" s="130">
        <f t="shared" ref="F185:F196" si="94">+E185-G185</f>
        <v>434976.04956629896</v>
      </c>
      <c r="G185" s="128">
        <f>ROUND(I183*H185/1200,0)</f>
        <v>232940</v>
      </c>
      <c r="H185" s="130">
        <f>+H183</f>
        <v>11</v>
      </c>
      <c r="I185" s="130">
        <f>+I183-E185+G185</f>
        <v>24976620.596480653</v>
      </c>
    </row>
    <row r="186" spans="2:9" x14ac:dyDescent="0.25">
      <c r="B186" s="133">
        <f>+B185+1</f>
        <v>39</v>
      </c>
      <c r="C186" s="159">
        <f>EDATE(C185,1)</f>
        <v>46901</v>
      </c>
      <c r="D186" s="128"/>
      <c r="E186" s="130">
        <f t="shared" si="93"/>
        <v>667916.04956629896</v>
      </c>
      <c r="F186" s="130">
        <f t="shared" si="94"/>
        <v>438964.04956629896</v>
      </c>
      <c r="G186" s="130">
        <f>ROUND(+I185*H186/1200,0)</f>
        <v>228952</v>
      </c>
      <c r="H186" s="130">
        <f>+H185</f>
        <v>11</v>
      </c>
      <c r="I186" s="130">
        <f t="shared" ref="I186:I196" si="95">+I185-F186</f>
        <v>24537656.546914354</v>
      </c>
    </row>
    <row r="187" spans="2:9" x14ac:dyDescent="0.25">
      <c r="B187" s="133">
        <f t="shared" ref="B187:B196" si="96">+B186+1</f>
        <v>40</v>
      </c>
      <c r="C187" s="159">
        <f t="shared" ref="C187:C196" si="97">EDATE(C186,1)</f>
        <v>46932</v>
      </c>
      <c r="D187" s="128"/>
      <c r="E187" s="130">
        <f t="shared" si="93"/>
        <v>667916.04956629896</v>
      </c>
      <c r="F187" s="130">
        <f t="shared" si="94"/>
        <v>442987.04956629896</v>
      </c>
      <c r="G187" s="130">
        <f t="shared" ref="G187:G196" si="98">ROUND(+I186*H187/1200,0)</f>
        <v>224929</v>
      </c>
      <c r="H187" s="130">
        <f t="shared" ref="H187:H196" si="99">+H186</f>
        <v>11</v>
      </c>
      <c r="I187" s="130">
        <f t="shared" si="95"/>
        <v>24094669.497348055</v>
      </c>
    </row>
    <row r="188" spans="2:9" x14ac:dyDescent="0.25">
      <c r="B188" s="133">
        <f t="shared" si="96"/>
        <v>41</v>
      </c>
      <c r="C188" s="159">
        <f t="shared" si="97"/>
        <v>46962</v>
      </c>
      <c r="D188" s="128"/>
      <c r="E188" s="130">
        <f t="shared" si="93"/>
        <v>667916.04956629896</v>
      </c>
      <c r="F188" s="130">
        <f t="shared" si="94"/>
        <v>447048.04956629896</v>
      </c>
      <c r="G188" s="130">
        <f t="shared" si="98"/>
        <v>220868</v>
      </c>
      <c r="H188" s="130">
        <f t="shared" si="99"/>
        <v>11</v>
      </c>
      <c r="I188" s="130">
        <f t="shared" si="95"/>
        <v>23647621.447781757</v>
      </c>
    </row>
    <row r="189" spans="2:9" x14ac:dyDescent="0.25">
      <c r="B189" s="133">
        <f t="shared" si="96"/>
        <v>42</v>
      </c>
      <c r="C189" s="159">
        <f t="shared" si="97"/>
        <v>46993</v>
      </c>
      <c r="D189" s="128"/>
      <c r="E189" s="130">
        <f t="shared" si="93"/>
        <v>667916.04956629896</v>
      </c>
      <c r="F189" s="130">
        <f t="shared" si="94"/>
        <v>451146.04956629896</v>
      </c>
      <c r="G189" s="130">
        <f t="shared" si="98"/>
        <v>216770</v>
      </c>
      <c r="H189" s="130">
        <f t="shared" si="99"/>
        <v>11</v>
      </c>
      <c r="I189" s="130">
        <f t="shared" si="95"/>
        <v>23196475.398215458</v>
      </c>
    </row>
    <row r="190" spans="2:9" x14ac:dyDescent="0.25">
      <c r="B190" s="133">
        <f t="shared" si="96"/>
        <v>43</v>
      </c>
      <c r="C190" s="159">
        <f t="shared" si="97"/>
        <v>47024</v>
      </c>
      <c r="D190" s="128"/>
      <c r="E190" s="130">
        <f t="shared" si="93"/>
        <v>667916.04956629896</v>
      </c>
      <c r="F190" s="130">
        <f t="shared" si="94"/>
        <v>455282.04956629896</v>
      </c>
      <c r="G190" s="130">
        <f t="shared" si="98"/>
        <v>212634</v>
      </c>
      <c r="H190" s="130">
        <f t="shared" si="99"/>
        <v>11</v>
      </c>
      <c r="I190" s="130">
        <f t="shared" si="95"/>
        <v>22741193.348649159</v>
      </c>
    </row>
    <row r="191" spans="2:9" x14ac:dyDescent="0.25">
      <c r="B191" s="133">
        <f t="shared" si="96"/>
        <v>44</v>
      </c>
      <c r="C191" s="159">
        <f t="shared" si="97"/>
        <v>47054</v>
      </c>
      <c r="D191" s="128"/>
      <c r="E191" s="130">
        <f t="shared" si="93"/>
        <v>667916.04956629896</v>
      </c>
      <c r="F191" s="130">
        <f t="shared" si="94"/>
        <v>459455.04956629896</v>
      </c>
      <c r="G191" s="130">
        <f t="shared" si="98"/>
        <v>208461</v>
      </c>
      <c r="H191" s="130">
        <f t="shared" si="99"/>
        <v>11</v>
      </c>
      <c r="I191" s="130">
        <f t="shared" si="95"/>
        <v>22281738.29908286</v>
      </c>
    </row>
    <row r="192" spans="2:9" x14ac:dyDescent="0.25">
      <c r="B192" s="133">
        <f t="shared" si="96"/>
        <v>45</v>
      </c>
      <c r="C192" s="159">
        <f t="shared" si="97"/>
        <v>47085</v>
      </c>
      <c r="D192" s="128"/>
      <c r="E192" s="130">
        <f t="shared" si="93"/>
        <v>667916.04956629896</v>
      </c>
      <c r="F192" s="130">
        <f t="shared" si="94"/>
        <v>463667.04956629896</v>
      </c>
      <c r="G192" s="130">
        <f t="shared" si="98"/>
        <v>204249</v>
      </c>
      <c r="H192" s="130">
        <f t="shared" si="99"/>
        <v>11</v>
      </c>
      <c r="I192" s="130">
        <f t="shared" si="95"/>
        <v>21818071.249516562</v>
      </c>
    </row>
    <row r="193" spans="2:9" x14ac:dyDescent="0.25">
      <c r="B193" s="133">
        <f t="shared" si="96"/>
        <v>46</v>
      </c>
      <c r="C193" s="159">
        <f t="shared" si="97"/>
        <v>47115</v>
      </c>
      <c r="D193" s="128"/>
      <c r="E193" s="130">
        <f t="shared" si="93"/>
        <v>667916.04956629896</v>
      </c>
      <c r="F193" s="130">
        <f t="shared" si="94"/>
        <v>467917.04956629896</v>
      </c>
      <c r="G193" s="130">
        <f t="shared" si="98"/>
        <v>199999</v>
      </c>
      <c r="H193" s="130">
        <f t="shared" si="99"/>
        <v>11</v>
      </c>
      <c r="I193" s="130">
        <f t="shared" si="95"/>
        <v>21350154.199950263</v>
      </c>
    </row>
    <row r="194" spans="2:9" x14ac:dyDescent="0.25">
      <c r="B194" s="133">
        <f t="shared" si="96"/>
        <v>47</v>
      </c>
      <c r="C194" s="159">
        <f t="shared" si="97"/>
        <v>47146</v>
      </c>
      <c r="D194" s="128"/>
      <c r="E194" s="130">
        <f t="shared" si="93"/>
        <v>667916.04956629896</v>
      </c>
      <c r="F194" s="130">
        <f t="shared" si="94"/>
        <v>472206.04956629896</v>
      </c>
      <c r="G194" s="130">
        <f t="shared" si="98"/>
        <v>195710</v>
      </c>
      <c r="H194" s="130">
        <f t="shared" si="99"/>
        <v>11</v>
      </c>
      <c r="I194" s="130">
        <f t="shared" si="95"/>
        <v>20877948.150383964</v>
      </c>
    </row>
    <row r="195" spans="2:9" x14ac:dyDescent="0.25">
      <c r="B195" s="133">
        <f t="shared" si="96"/>
        <v>48</v>
      </c>
      <c r="C195" s="159">
        <f t="shared" si="97"/>
        <v>47177</v>
      </c>
      <c r="D195" s="128"/>
      <c r="E195" s="130">
        <f t="shared" si="93"/>
        <v>667916.04956629896</v>
      </c>
      <c r="F195" s="130">
        <f t="shared" si="94"/>
        <v>476535.04956629896</v>
      </c>
      <c r="G195" s="130">
        <f t="shared" si="98"/>
        <v>191381</v>
      </c>
      <c r="H195" s="130">
        <f t="shared" si="99"/>
        <v>11</v>
      </c>
      <c r="I195" s="130">
        <f t="shared" si="95"/>
        <v>20401413.100817665</v>
      </c>
    </row>
    <row r="196" spans="2:9" x14ac:dyDescent="0.25">
      <c r="B196" s="133">
        <f t="shared" si="96"/>
        <v>49</v>
      </c>
      <c r="C196" s="159">
        <f t="shared" si="97"/>
        <v>47205</v>
      </c>
      <c r="D196" s="128"/>
      <c r="E196" s="130">
        <f t="shared" si="93"/>
        <v>667916.04956629896</v>
      </c>
      <c r="F196" s="130">
        <f t="shared" si="94"/>
        <v>480903.04956629896</v>
      </c>
      <c r="G196" s="130">
        <f t="shared" si="98"/>
        <v>187013</v>
      </c>
      <c r="H196" s="130">
        <f t="shared" si="99"/>
        <v>11</v>
      </c>
      <c r="I196" s="130">
        <f t="shared" si="95"/>
        <v>19920510.051251367</v>
      </c>
    </row>
    <row r="197" spans="2:9" x14ac:dyDescent="0.25">
      <c r="B197" s="191" t="s">
        <v>123</v>
      </c>
      <c r="C197" s="159"/>
      <c r="D197" s="128"/>
      <c r="E197" s="132">
        <f>SUM(E185:E196)</f>
        <v>8014992.5947955856</v>
      </c>
      <c r="F197" s="132">
        <f>SUM(F185:F196)</f>
        <v>5491086.5947955856</v>
      </c>
      <c r="G197" s="132">
        <f>SUM(G185:G196)</f>
        <v>2523906</v>
      </c>
      <c r="H197" s="128"/>
      <c r="I197" s="128"/>
    </row>
    <row r="198" spans="2:9" x14ac:dyDescent="0.25">
      <c r="B198" s="133">
        <f>+B196+1</f>
        <v>50</v>
      </c>
      <c r="C198" s="159">
        <f>EDATE(C196,1)</f>
        <v>47236</v>
      </c>
      <c r="D198" s="128"/>
      <c r="E198" s="130">
        <f t="shared" ref="E198:E209" si="100">-$L$139</f>
        <v>667916.04956629896</v>
      </c>
      <c r="F198" s="130">
        <f t="shared" ref="F198:F209" si="101">+E198-G198</f>
        <v>485311.04956629896</v>
      </c>
      <c r="G198" s="128">
        <f>ROUND(+I196*H198/1200,0)</f>
        <v>182605</v>
      </c>
      <c r="H198" s="130">
        <f>+H196</f>
        <v>11</v>
      </c>
      <c r="I198" s="130">
        <f>+I196+D198-F198</f>
        <v>19435199.001685068</v>
      </c>
    </row>
    <row r="199" spans="2:9" x14ac:dyDescent="0.25">
      <c r="B199" s="133">
        <f>+B198+1</f>
        <v>51</v>
      </c>
      <c r="C199" s="159">
        <f>EDATE(C198,1)</f>
        <v>47266</v>
      </c>
      <c r="D199" s="128"/>
      <c r="E199" s="130">
        <f t="shared" si="100"/>
        <v>667916.04956629896</v>
      </c>
      <c r="F199" s="130">
        <f t="shared" si="101"/>
        <v>489760.04956629896</v>
      </c>
      <c r="G199" s="130">
        <f>ROUND(+I198*H199/1200,0)</f>
        <v>178156</v>
      </c>
      <c r="H199" s="130">
        <f>+H198</f>
        <v>11</v>
      </c>
      <c r="I199" s="130">
        <f t="shared" ref="I199:I209" si="102">+I198-F199</f>
        <v>18945438.952118769</v>
      </c>
    </row>
    <row r="200" spans="2:9" x14ac:dyDescent="0.25">
      <c r="B200" s="133">
        <f t="shared" ref="B200:B209" si="103">+B199+1</f>
        <v>52</v>
      </c>
      <c r="C200" s="159">
        <f t="shared" ref="C200:C209" si="104">EDATE(C199,1)</f>
        <v>47297</v>
      </c>
      <c r="D200" s="128"/>
      <c r="E200" s="130">
        <f t="shared" si="100"/>
        <v>667916.04956629896</v>
      </c>
      <c r="F200" s="130">
        <f t="shared" si="101"/>
        <v>494249.04956629896</v>
      </c>
      <c r="G200" s="130">
        <f t="shared" ref="G200:G209" si="105">ROUND(+I199*H200/1200,0)</f>
        <v>173667</v>
      </c>
      <c r="H200" s="130">
        <f t="shared" ref="H200:H209" si="106">+H199</f>
        <v>11</v>
      </c>
      <c r="I200" s="130">
        <f t="shared" si="102"/>
        <v>18451189.902552471</v>
      </c>
    </row>
    <row r="201" spans="2:9" x14ac:dyDescent="0.25">
      <c r="B201" s="133">
        <f t="shared" si="103"/>
        <v>53</v>
      </c>
      <c r="C201" s="159">
        <f t="shared" si="104"/>
        <v>47327</v>
      </c>
      <c r="D201" s="128"/>
      <c r="E201" s="130">
        <f t="shared" si="100"/>
        <v>667916.04956629896</v>
      </c>
      <c r="F201" s="130">
        <f t="shared" si="101"/>
        <v>498780.04956629896</v>
      </c>
      <c r="G201" s="130">
        <f t="shared" si="105"/>
        <v>169136</v>
      </c>
      <c r="H201" s="130">
        <f t="shared" si="106"/>
        <v>11</v>
      </c>
      <c r="I201" s="130">
        <f t="shared" si="102"/>
        <v>17952409.852986172</v>
      </c>
    </row>
    <row r="202" spans="2:9" x14ac:dyDescent="0.25">
      <c r="B202" s="133">
        <f t="shared" si="103"/>
        <v>54</v>
      </c>
      <c r="C202" s="159">
        <f t="shared" si="104"/>
        <v>47358</v>
      </c>
      <c r="D202" s="128"/>
      <c r="E202" s="130">
        <f t="shared" si="100"/>
        <v>667916.04956629896</v>
      </c>
      <c r="F202" s="130">
        <f t="shared" si="101"/>
        <v>503352.04956629896</v>
      </c>
      <c r="G202" s="130">
        <f t="shared" si="105"/>
        <v>164564</v>
      </c>
      <c r="H202" s="130">
        <f t="shared" si="106"/>
        <v>11</v>
      </c>
      <c r="I202" s="130">
        <f t="shared" si="102"/>
        <v>17449057.803419873</v>
      </c>
    </row>
    <row r="203" spans="2:9" x14ac:dyDescent="0.25">
      <c r="B203" s="133">
        <f t="shared" si="103"/>
        <v>55</v>
      </c>
      <c r="C203" s="159">
        <f t="shared" si="104"/>
        <v>47389</v>
      </c>
      <c r="D203" s="128"/>
      <c r="E203" s="130">
        <f t="shared" si="100"/>
        <v>667916.04956629896</v>
      </c>
      <c r="F203" s="130">
        <f t="shared" si="101"/>
        <v>507966.04956629896</v>
      </c>
      <c r="G203" s="130">
        <f t="shared" si="105"/>
        <v>159950</v>
      </c>
      <c r="H203" s="130">
        <f t="shared" si="106"/>
        <v>11</v>
      </c>
      <c r="I203" s="130">
        <f t="shared" si="102"/>
        <v>16941091.753853574</v>
      </c>
    </row>
    <row r="204" spans="2:9" x14ac:dyDescent="0.25">
      <c r="B204" s="133">
        <f t="shared" si="103"/>
        <v>56</v>
      </c>
      <c r="C204" s="159">
        <f t="shared" si="104"/>
        <v>47419</v>
      </c>
      <c r="D204" s="128"/>
      <c r="E204" s="130">
        <f t="shared" si="100"/>
        <v>667916.04956629896</v>
      </c>
      <c r="F204" s="130">
        <f t="shared" si="101"/>
        <v>512623.04956629896</v>
      </c>
      <c r="G204" s="130">
        <f t="shared" si="105"/>
        <v>155293</v>
      </c>
      <c r="H204" s="130">
        <f t="shared" si="106"/>
        <v>11</v>
      </c>
      <c r="I204" s="130">
        <f t="shared" si="102"/>
        <v>16428468.704287276</v>
      </c>
    </row>
    <row r="205" spans="2:9" x14ac:dyDescent="0.25">
      <c r="B205" s="133">
        <f t="shared" si="103"/>
        <v>57</v>
      </c>
      <c r="C205" s="159">
        <f t="shared" si="104"/>
        <v>47450</v>
      </c>
      <c r="D205" s="128"/>
      <c r="E205" s="130">
        <f t="shared" si="100"/>
        <v>667916.04956629896</v>
      </c>
      <c r="F205" s="130">
        <f t="shared" si="101"/>
        <v>517322.04956629896</v>
      </c>
      <c r="G205" s="130">
        <f t="shared" si="105"/>
        <v>150594</v>
      </c>
      <c r="H205" s="130">
        <f t="shared" si="106"/>
        <v>11</v>
      </c>
      <c r="I205" s="130">
        <f t="shared" si="102"/>
        <v>15911146.654720977</v>
      </c>
    </row>
    <row r="206" spans="2:9" x14ac:dyDescent="0.25">
      <c r="B206" s="133">
        <f t="shared" si="103"/>
        <v>58</v>
      </c>
      <c r="C206" s="159">
        <f t="shared" si="104"/>
        <v>47480</v>
      </c>
      <c r="D206" s="128"/>
      <c r="E206" s="130">
        <f t="shared" si="100"/>
        <v>667916.04956629896</v>
      </c>
      <c r="F206" s="130">
        <f t="shared" si="101"/>
        <v>522064.04956629896</v>
      </c>
      <c r="G206" s="130">
        <f t="shared" si="105"/>
        <v>145852</v>
      </c>
      <c r="H206" s="130">
        <f t="shared" si="106"/>
        <v>11</v>
      </c>
      <c r="I206" s="130">
        <f t="shared" si="102"/>
        <v>15389082.605154678</v>
      </c>
    </row>
    <row r="207" spans="2:9" x14ac:dyDescent="0.25">
      <c r="B207" s="133">
        <f t="shared" si="103"/>
        <v>59</v>
      </c>
      <c r="C207" s="159">
        <f t="shared" si="104"/>
        <v>47511</v>
      </c>
      <c r="D207" s="128"/>
      <c r="E207" s="130">
        <f t="shared" si="100"/>
        <v>667916.04956629896</v>
      </c>
      <c r="F207" s="130">
        <f t="shared" si="101"/>
        <v>526849.04956629896</v>
      </c>
      <c r="G207" s="130">
        <f t="shared" si="105"/>
        <v>141067</v>
      </c>
      <c r="H207" s="130">
        <f t="shared" si="106"/>
        <v>11</v>
      </c>
      <c r="I207" s="130">
        <f t="shared" si="102"/>
        <v>14862233.55558838</v>
      </c>
    </row>
    <row r="208" spans="2:9" x14ac:dyDescent="0.25">
      <c r="B208" s="133">
        <f t="shared" si="103"/>
        <v>60</v>
      </c>
      <c r="C208" s="159">
        <f t="shared" si="104"/>
        <v>47542</v>
      </c>
      <c r="D208" s="128"/>
      <c r="E208" s="130">
        <f t="shared" si="100"/>
        <v>667916.04956629896</v>
      </c>
      <c r="F208" s="130">
        <f t="shared" si="101"/>
        <v>531679.04956629896</v>
      </c>
      <c r="G208" s="130">
        <f t="shared" si="105"/>
        <v>136237</v>
      </c>
      <c r="H208" s="130">
        <f t="shared" si="106"/>
        <v>11</v>
      </c>
      <c r="I208" s="130">
        <f t="shared" si="102"/>
        <v>14330554.506022081</v>
      </c>
    </row>
    <row r="209" spans="2:9" x14ac:dyDescent="0.25">
      <c r="B209" s="133">
        <f t="shared" si="103"/>
        <v>61</v>
      </c>
      <c r="C209" s="159">
        <f t="shared" si="104"/>
        <v>47570</v>
      </c>
      <c r="D209" s="128"/>
      <c r="E209" s="130">
        <f t="shared" si="100"/>
        <v>667916.04956629896</v>
      </c>
      <c r="F209" s="130">
        <f t="shared" si="101"/>
        <v>536553.04956629896</v>
      </c>
      <c r="G209" s="130">
        <f t="shared" si="105"/>
        <v>131363</v>
      </c>
      <c r="H209" s="130">
        <f t="shared" si="106"/>
        <v>11</v>
      </c>
      <c r="I209" s="130">
        <f t="shared" si="102"/>
        <v>13794001.456455782</v>
      </c>
    </row>
    <row r="210" spans="2:9" x14ac:dyDescent="0.25">
      <c r="B210" s="191" t="s">
        <v>124</v>
      </c>
      <c r="C210" s="159"/>
      <c r="D210" s="128"/>
      <c r="E210" s="132">
        <f>SUM(E198:E209)</f>
        <v>8014992.5947955856</v>
      </c>
      <c r="F210" s="132">
        <f>SUM(F198:F209)</f>
        <v>6126508.5947955856</v>
      </c>
      <c r="G210" s="132">
        <f>SUM(G198:G209)</f>
        <v>1888484</v>
      </c>
      <c r="H210" s="128"/>
      <c r="I210" s="128"/>
    </row>
    <row r="211" spans="2:9" x14ac:dyDescent="0.25">
      <c r="B211" s="133">
        <f>+B209+1</f>
        <v>62</v>
      </c>
      <c r="C211" s="159">
        <f>EDATE(C209,1)</f>
        <v>47601</v>
      </c>
      <c r="D211" s="128"/>
      <c r="E211" s="130">
        <f t="shared" ref="E211:E222" si="107">-$L$139</f>
        <v>667916.04956629896</v>
      </c>
      <c r="F211" s="130">
        <f t="shared" ref="F211:F222" si="108">+E211-G211</f>
        <v>541471.04956629896</v>
      </c>
      <c r="G211" s="128">
        <f>ROUND(+I209*H211/1200,0)</f>
        <v>126445</v>
      </c>
      <c r="H211" s="130">
        <f>+H209</f>
        <v>11</v>
      </c>
      <c r="I211" s="130">
        <f>+I209-F211</f>
        <v>13252530.406889483</v>
      </c>
    </row>
    <row r="212" spans="2:9" x14ac:dyDescent="0.25">
      <c r="B212" s="133">
        <f>+B211+1</f>
        <v>63</v>
      </c>
      <c r="C212" s="159">
        <f>EDATE(C211,1)</f>
        <v>47631</v>
      </c>
      <c r="D212" s="128"/>
      <c r="E212" s="130">
        <f t="shared" si="107"/>
        <v>667916.04956629896</v>
      </c>
      <c r="F212" s="130">
        <f t="shared" si="108"/>
        <v>546434.04956629896</v>
      </c>
      <c r="G212" s="130">
        <f>ROUND(+I211*H212/1200,0)</f>
        <v>121482</v>
      </c>
      <c r="H212" s="130">
        <f>+H211</f>
        <v>11</v>
      </c>
      <c r="I212" s="130">
        <f t="shared" ref="I212:I222" si="109">+I211-F212</f>
        <v>12706096.357323185</v>
      </c>
    </row>
    <row r="213" spans="2:9" x14ac:dyDescent="0.25">
      <c r="B213" s="133">
        <f t="shared" ref="B213:B222" si="110">+B212+1</f>
        <v>64</v>
      </c>
      <c r="C213" s="159">
        <f t="shared" ref="C213:C222" si="111">EDATE(C212,1)</f>
        <v>47662</v>
      </c>
      <c r="D213" s="128"/>
      <c r="E213" s="130">
        <f t="shared" si="107"/>
        <v>667916.04956629896</v>
      </c>
      <c r="F213" s="130">
        <f t="shared" si="108"/>
        <v>551443.04956629896</v>
      </c>
      <c r="G213" s="130">
        <f t="shared" ref="G213:G222" si="112">ROUND(+I212*H213/1200,0)</f>
        <v>116473</v>
      </c>
      <c r="H213" s="130">
        <f t="shared" ref="H213:H222" si="113">+H212</f>
        <v>11</v>
      </c>
      <c r="I213" s="130">
        <f t="shared" si="109"/>
        <v>12154653.307756886</v>
      </c>
    </row>
    <row r="214" spans="2:9" x14ac:dyDescent="0.25">
      <c r="B214" s="133">
        <f t="shared" si="110"/>
        <v>65</v>
      </c>
      <c r="C214" s="159">
        <f t="shared" si="111"/>
        <v>47692</v>
      </c>
      <c r="D214" s="128"/>
      <c r="E214" s="130">
        <f t="shared" si="107"/>
        <v>667916.04956629896</v>
      </c>
      <c r="F214" s="130">
        <f t="shared" si="108"/>
        <v>556498.04956629896</v>
      </c>
      <c r="G214" s="130">
        <f t="shared" si="112"/>
        <v>111418</v>
      </c>
      <c r="H214" s="130">
        <f t="shared" si="113"/>
        <v>11</v>
      </c>
      <c r="I214" s="130">
        <f t="shared" si="109"/>
        <v>11598155.258190587</v>
      </c>
    </row>
    <row r="215" spans="2:9" x14ac:dyDescent="0.25">
      <c r="B215" s="133">
        <f t="shared" si="110"/>
        <v>66</v>
      </c>
      <c r="C215" s="159">
        <f t="shared" si="111"/>
        <v>47723</v>
      </c>
      <c r="D215" s="128"/>
      <c r="E215" s="130">
        <f t="shared" si="107"/>
        <v>667916.04956629896</v>
      </c>
      <c r="F215" s="130">
        <f t="shared" si="108"/>
        <v>561600.04956629896</v>
      </c>
      <c r="G215" s="130">
        <f t="shared" si="112"/>
        <v>106316</v>
      </c>
      <c r="H215" s="130">
        <f t="shared" si="113"/>
        <v>11</v>
      </c>
      <c r="I215" s="130">
        <f t="shared" si="109"/>
        <v>11036555.208624288</v>
      </c>
    </row>
    <row r="216" spans="2:9" x14ac:dyDescent="0.25">
      <c r="B216" s="133">
        <f t="shared" si="110"/>
        <v>67</v>
      </c>
      <c r="C216" s="159">
        <f t="shared" si="111"/>
        <v>47754</v>
      </c>
      <c r="D216" s="128"/>
      <c r="E216" s="130">
        <f t="shared" si="107"/>
        <v>667916.04956629896</v>
      </c>
      <c r="F216" s="130">
        <f t="shared" si="108"/>
        <v>566748.04956629896</v>
      </c>
      <c r="G216" s="130">
        <f t="shared" si="112"/>
        <v>101168</v>
      </c>
      <c r="H216" s="130">
        <f t="shared" si="113"/>
        <v>11</v>
      </c>
      <c r="I216" s="130">
        <f t="shared" si="109"/>
        <v>10469807.15905799</v>
      </c>
    </row>
    <row r="217" spans="2:9" x14ac:dyDescent="0.25">
      <c r="B217" s="133">
        <f t="shared" si="110"/>
        <v>68</v>
      </c>
      <c r="C217" s="159">
        <f t="shared" si="111"/>
        <v>47784</v>
      </c>
      <c r="D217" s="128"/>
      <c r="E217" s="130">
        <f t="shared" si="107"/>
        <v>667916.04956629896</v>
      </c>
      <c r="F217" s="130">
        <f t="shared" si="108"/>
        <v>571943.04956629896</v>
      </c>
      <c r="G217" s="130">
        <f t="shared" si="112"/>
        <v>95973</v>
      </c>
      <c r="H217" s="130">
        <f t="shared" si="113"/>
        <v>11</v>
      </c>
      <c r="I217" s="130">
        <f t="shared" si="109"/>
        <v>9897864.109491691</v>
      </c>
    </row>
    <row r="218" spans="2:9" x14ac:dyDescent="0.25">
      <c r="B218" s="133">
        <f t="shared" si="110"/>
        <v>69</v>
      </c>
      <c r="C218" s="159">
        <f t="shared" si="111"/>
        <v>47815</v>
      </c>
      <c r="D218" s="128"/>
      <c r="E218" s="130">
        <f t="shared" si="107"/>
        <v>667916.04956629896</v>
      </c>
      <c r="F218" s="130">
        <f t="shared" si="108"/>
        <v>577186.04956629896</v>
      </c>
      <c r="G218" s="130">
        <f t="shared" si="112"/>
        <v>90730</v>
      </c>
      <c r="H218" s="130">
        <f t="shared" si="113"/>
        <v>11</v>
      </c>
      <c r="I218" s="130">
        <f t="shared" si="109"/>
        <v>9320678.0599253923</v>
      </c>
    </row>
    <row r="219" spans="2:9" x14ac:dyDescent="0.25">
      <c r="B219" s="133">
        <f t="shared" si="110"/>
        <v>70</v>
      </c>
      <c r="C219" s="159">
        <f t="shared" si="111"/>
        <v>47845</v>
      </c>
      <c r="D219" s="128"/>
      <c r="E219" s="130">
        <f t="shared" si="107"/>
        <v>667916.04956629896</v>
      </c>
      <c r="F219" s="130">
        <f t="shared" si="108"/>
        <v>582476.04956629896</v>
      </c>
      <c r="G219" s="130">
        <f t="shared" si="112"/>
        <v>85440</v>
      </c>
      <c r="H219" s="130">
        <f t="shared" si="113"/>
        <v>11</v>
      </c>
      <c r="I219" s="130">
        <f t="shared" si="109"/>
        <v>8738202.0103590935</v>
      </c>
    </row>
    <row r="220" spans="2:9" x14ac:dyDescent="0.25">
      <c r="B220" s="133">
        <f t="shared" si="110"/>
        <v>71</v>
      </c>
      <c r="C220" s="159">
        <f t="shared" si="111"/>
        <v>47876</v>
      </c>
      <c r="D220" s="128"/>
      <c r="E220" s="130">
        <f t="shared" si="107"/>
        <v>667916.04956629896</v>
      </c>
      <c r="F220" s="130">
        <f t="shared" si="108"/>
        <v>587816.04956629896</v>
      </c>
      <c r="G220" s="130">
        <f t="shared" si="112"/>
        <v>80100</v>
      </c>
      <c r="H220" s="130">
        <f t="shared" si="113"/>
        <v>11</v>
      </c>
      <c r="I220" s="130">
        <f t="shared" si="109"/>
        <v>8150385.9607927948</v>
      </c>
    </row>
    <row r="221" spans="2:9" x14ac:dyDescent="0.25">
      <c r="B221" s="133">
        <f t="shared" si="110"/>
        <v>72</v>
      </c>
      <c r="C221" s="159">
        <f t="shared" si="111"/>
        <v>47907</v>
      </c>
      <c r="D221" s="128"/>
      <c r="E221" s="130">
        <f t="shared" si="107"/>
        <v>667916.04956629896</v>
      </c>
      <c r="F221" s="130">
        <f t="shared" si="108"/>
        <v>593204.04956629896</v>
      </c>
      <c r="G221" s="130">
        <f t="shared" si="112"/>
        <v>74712</v>
      </c>
      <c r="H221" s="130">
        <f t="shared" si="113"/>
        <v>11</v>
      </c>
      <c r="I221" s="130">
        <f t="shared" si="109"/>
        <v>7557181.9112264961</v>
      </c>
    </row>
    <row r="222" spans="2:9" x14ac:dyDescent="0.25">
      <c r="B222" s="133">
        <f t="shared" si="110"/>
        <v>73</v>
      </c>
      <c r="C222" s="159">
        <f t="shared" si="111"/>
        <v>47935</v>
      </c>
      <c r="D222" s="128"/>
      <c r="E222" s="130">
        <f t="shared" si="107"/>
        <v>667916.04956629896</v>
      </c>
      <c r="F222" s="130">
        <f t="shared" si="108"/>
        <v>598642.04956629896</v>
      </c>
      <c r="G222" s="130">
        <f t="shared" si="112"/>
        <v>69274</v>
      </c>
      <c r="H222" s="130">
        <f t="shared" si="113"/>
        <v>11</v>
      </c>
      <c r="I222" s="130">
        <f t="shared" si="109"/>
        <v>6958539.8616601974</v>
      </c>
    </row>
    <row r="223" spans="2:9" x14ac:dyDescent="0.25">
      <c r="B223" s="191" t="s">
        <v>338</v>
      </c>
      <c r="C223" s="159"/>
      <c r="D223" s="128"/>
      <c r="E223" s="132">
        <f>SUM(E211:E222)</f>
        <v>8014992.5947955856</v>
      </c>
      <c r="F223" s="132">
        <f>SUM(F211:F222)</f>
        <v>6835461.5947955856</v>
      </c>
      <c r="G223" s="132">
        <f>SUM(G211:G222)</f>
        <v>1179531</v>
      </c>
      <c r="H223" s="128"/>
      <c r="I223" s="128"/>
    </row>
    <row r="224" spans="2:9" x14ac:dyDescent="0.25">
      <c r="B224" s="133">
        <f>+B222+1</f>
        <v>74</v>
      </c>
      <c r="C224" s="159">
        <f>EDATE(C222,1)</f>
        <v>47966</v>
      </c>
      <c r="E224" s="130">
        <f t="shared" ref="E224:E233" si="114">-$L$139</f>
        <v>667916.04956629896</v>
      </c>
      <c r="F224" s="130">
        <f t="shared" ref="F224:F233" si="115">+E224-G224</f>
        <v>604129.04956629896</v>
      </c>
      <c r="G224" s="128">
        <f>ROUND(+I222*H224/1200,0)</f>
        <v>63787</v>
      </c>
      <c r="H224" s="130">
        <f>+H222</f>
        <v>11</v>
      </c>
      <c r="I224" s="130">
        <f>+I222-F224</f>
        <v>6354410.8120938987</v>
      </c>
    </row>
    <row r="225" spans="2:9" x14ac:dyDescent="0.25">
      <c r="B225" s="133">
        <f>+B224+1</f>
        <v>75</v>
      </c>
      <c r="C225" s="159">
        <f>EDATE(C224,1)</f>
        <v>47996</v>
      </c>
      <c r="E225" s="130">
        <f t="shared" si="114"/>
        <v>667916.04956629896</v>
      </c>
      <c r="F225" s="130">
        <f t="shared" si="115"/>
        <v>609667.04956629896</v>
      </c>
      <c r="G225" s="130">
        <f t="shared" ref="G225:G234" si="116">ROUND(+I224*H225/1200,0)</f>
        <v>58249</v>
      </c>
      <c r="H225" s="130">
        <f>+H224</f>
        <v>11</v>
      </c>
      <c r="I225" s="130">
        <f t="shared" ref="I225:I234" si="117">+I224-F225</f>
        <v>5744743.7625275999</v>
      </c>
    </row>
    <row r="226" spans="2:9" x14ac:dyDescent="0.25">
      <c r="B226" s="133">
        <f t="shared" ref="B226:B234" si="118">+B225+1</f>
        <v>76</v>
      </c>
      <c r="C226" s="159">
        <f t="shared" ref="C226:C234" si="119">EDATE(C225,1)</f>
        <v>48027</v>
      </c>
      <c r="E226" s="130">
        <f t="shared" si="114"/>
        <v>667916.04956629896</v>
      </c>
      <c r="F226" s="130">
        <f t="shared" si="115"/>
        <v>615256.04956629896</v>
      </c>
      <c r="G226" s="130">
        <f t="shared" si="116"/>
        <v>52660</v>
      </c>
      <c r="H226" s="130">
        <f t="shared" ref="H226:H234" si="120">+H225</f>
        <v>11</v>
      </c>
      <c r="I226" s="130">
        <f t="shared" si="117"/>
        <v>5129487.7129613012</v>
      </c>
    </row>
    <row r="227" spans="2:9" x14ac:dyDescent="0.25">
      <c r="B227" s="133">
        <f t="shared" si="118"/>
        <v>77</v>
      </c>
      <c r="C227" s="159">
        <f t="shared" si="119"/>
        <v>48057</v>
      </c>
      <c r="E227" s="130">
        <f t="shared" si="114"/>
        <v>667916.04956629896</v>
      </c>
      <c r="F227" s="130">
        <f t="shared" si="115"/>
        <v>620896.04956629896</v>
      </c>
      <c r="G227" s="130">
        <f t="shared" si="116"/>
        <v>47020</v>
      </c>
      <c r="H227" s="130">
        <f t="shared" si="120"/>
        <v>11</v>
      </c>
      <c r="I227" s="130">
        <f t="shared" si="117"/>
        <v>4508591.6633950025</v>
      </c>
    </row>
    <row r="228" spans="2:9" x14ac:dyDescent="0.25">
      <c r="B228" s="133">
        <f t="shared" si="118"/>
        <v>78</v>
      </c>
      <c r="C228" s="159">
        <f t="shared" si="119"/>
        <v>48088</v>
      </c>
      <c r="E228" s="130">
        <f t="shared" si="114"/>
        <v>667916.04956629896</v>
      </c>
      <c r="F228" s="130">
        <f t="shared" si="115"/>
        <v>626587.04956629896</v>
      </c>
      <c r="G228" s="130">
        <f t="shared" si="116"/>
        <v>41329</v>
      </c>
      <c r="H228" s="130">
        <f t="shared" si="120"/>
        <v>11</v>
      </c>
      <c r="I228" s="130">
        <f t="shared" si="117"/>
        <v>3882004.6138287038</v>
      </c>
    </row>
    <row r="229" spans="2:9" x14ac:dyDescent="0.25">
      <c r="B229" s="133">
        <f t="shared" si="118"/>
        <v>79</v>
      </c>
      <c r="C229" s="159">
        <f t="shared" si="119"/>
        <v>48119</v>
      </c>
      <c r="E229" s="130">
        <f t="shared" si="114"/>
        <v>667916.04956629896</v>
      </c>
      <c r="F229" s="130">
        <f t="shared" si="115"/>
        <v>632331.04956629896</v>
      </c>
      <c r="G229" s="130">
        <f t="shared" si="116"/>
        <v>35585</v>
      </c>
      <c r="H229" s="130">
        <f t="shared" si="120"/>
        <v>11</v>
      </c>
      <c r="I229" s="130">
        <f t="shared" si="117"/>
        <v>3249673.564262405</v>
      </c>
    </row>
    <row r="230" spans="2:9" x14ac:dyDescent="0.25">
      <c r="B230" s="133">
        <f t="shared" si="118"/>
        <v>80</v>
      </c>
      <c r="C230" s="159">
        <f t="shared" si="119"/>
        <v>48149</v>
      </c>
      <c r="E230" s="130">
        <f t="shared" si="114"/>
        <v>667916.04956629896</v>
      </c>
      <c r="F230" s="130">
        <f t="shared" si="115"/>
        <v>638127.04956629896</v>
      </c>
      <c r="G230" s="130">
        <f t="shared" si="116"/>
        <v>29789</v>
      </c>
      <c r="H230" s="130">
        <f t="shared" si="120"/>
        <v>11</v>
      </c>
      <c r="I230" s="130">
        <f t="shared" si="117"/>
        <v>2611546.5146961063</v>
      </c>
    </row>
    <row r="231" spans="2:9" x14ac:dyDescent="0.25">
      <c r="B231" s="133">
        <f t="shared" si="118"/>
        <v>81</v>
      </c>
      <c r="C231" s="159">
        <f t="shared" si="119"/>
        <v>48180</v>
      </c>
      <c r="E231" s="130">
        <f t="shared" si="114"/>
        <v>667916.04956629896</v>
      </c>
      <c r="F231" s="130">
        <f t="shared" si="115"/>
        <v>643977.04956629896</v>
      </c>
      <c r="G231" s="130">
        <f t="shared" si="116"/>
        <v>23939</v>
      </c>
      <c r="H231" s="130">
        <f t="shared" si="120"/>
        <v>11</v>
      </c>
      <c r="I231" s="130">
        <f t="shared" si="117"/>
        <v>1967569.4651298074</v>
      </c>
    </row>
    <row r="232" spans="2:9" x14ac:dyDescent="0.25">
      <c r="B232" s="133">
        <f t="shared" si="118"/>
        <v>82</v>
      </c>
      <c r="C232" s="159">
        <f t="shared" si="119"/>
        <v>48210</v>
      </c>
      <c r="E232" s="130">
        <f t="shared" si="114"/>
        <v>667916.04956629896</v>
      </c>
      <c r="F232" s="130">
        <f t="shared" si="115"/>
        <v>649880.04956629896</v>
      </c>
      <c r="G232" s="130">
        <f t="shared" si="116"/>
        <v>18036</v>
      </c>
      <c r="H232" s="130">
        <f t="shared" si="120"/>
        <v>11</v>
      </c>
      <c r="I232" s="130">
        <f t="shared" si="117"/>
        <v>1317689.4155635084</v>
      </c>
    </row>
    <row r="233" spans="2:9" x14ac:dyDescent="0.25">
      <c r="B233" s="133">
        <f t="shared" si="118"/>
        <v>83</v>
      </c>
      <c r="C233" s="159">
        <f t="shared" si="119"/>
        <v>48241</v>
      </c>
      <c r="E233" s="130">
        <f t="shared" si="114"/>
        <v>667916.04956629896</v>
      </c>
      <c r="F233" s="130">
        <f t="shared" si="115"/>
        <v>655837.04956629896</v>
      </c>
      <c r="G233" s="130">
        <f t="shared" si="116"/>
        <v>12079</v>
      </c>
      <c r="H233" s="130">
        <f t="shared" si="120"/>
        <v>11</v>
      </c>
      <c r="I233" s="130">
        <f t="shared" si="117"/>
        <v>661852.36599720945</v>
      </c>
    </row>
    <row r="234" spans="2:9" x14ac:dyDescent="0.25">
      <c r="B234" s="133">
        <f t="shared" si="118"/>
        <v>84</v>
      </c>
      <c r="C234" s="159">
        <f t="shared" si="119"/>
        <v>48272</v>
      </c>
      <c r="E234" s="130">
        <f>+F234+G234</f>
        <v>667919.36599720945</v>
      </c>
      <c r="F234" s="130">
        <f>+I233</f>
        <v>661852.36599720945</v>
      </c>
      <c r="G234" s="130">
        <f t="shared" si="116"/>
        <v>6067</v>
      </c>
      <c r="H234" s="130">
        <f t="shared" si="120"/>
        <v>11</v>
      </c>
      <c r="I234" s="130">
        <f t="shared" si="117"/>
        <v>0</v>
      </c>
    </row>
    <row r="235" spans="2:9" x14ac:dyDescent="0.25">
      <c r="E235" s="132">
        <f>+SUM(E224:E234)</f>
        <v>7347079.8616601974</v>
      </c>
      <c r="F235" s="132">
        <f t="shared" ref="F235:G235" si="121">+SUM(F224:F234)</f>
        <v>6958539.8616601974</v>
      </c>
      <c r="G235" s="132">
        <f t="shared" si="121"/>
        <v>388540</v>
      </c>
      <c r="H235" s="130"/>
      <c r="I235" s="130"/>
    </row>
  </sheetData>
  <mergeCells count="2">
    <mergeCell ref="B4:F4"/>
    <mergeCell ref="I4:M4"/>
  </mergeCells>
  <printOptions gridLines="1"/>
  <pageMargins left="0.19685039370078741" right="0" top="0" bottom="0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2:P27"/>
  <sheetViews>
    <sheetView workbookViewId="0">
      <selection activeCell="K11" sqref="K11"/>
    </sheetView>
  </sheetViews>
  <sheetFormatPr defaultRowHeight="12" x14ac:dyDescent="0.15"/>
  <cols>
    <col min="1" max="1" width="9.140625" style="11"/>
    <col min="2" max="2" width="39.140625" style="11" customWidth="1"/>
    <col min="3" max="3" width="10.5703125" style="11" bestFit="1" customWidth="1"/>
    <col min="4" max="9" width="9.140625" style="11"/>
    <col min="10" max="10" width="10.140625" style="11" bestFit="1" customWidth="1"/>
    <col min="11" max="11" width="8" style="11" bestFit="1" customWidth="1"/>
    <col min="12" max="16384" width="9.140625" style="11"/>
  </cols>
  <sheetData>
    <row r="2" spans="2:11" ht="15.75" x14ac:dyDescent="0.15">
      <c r="B2" s="72" t="str">
        <f>Historicals!B2</f>
        <v>Al-Saqib Exports Private Limited</v>
      </c>
      <c r="C2" s="72"/>
      <c r="D2" s="72"/>
      <c r="E2" s="72"/>
      <c r="F2" s="72"/>
      <c r="G2" s="72"/>
      <c r="H2" s="72"/>
      <c r="I2" s="72"/>
      <c r="J2" s="72"/>
    </row>
    <row r="4" spans="2:11" ht="12.75" x14ac:dyDescent="0.2">
      <c r="B4" s="71" t="s">
        <v>127</v>
      </c>
      <c r="C4" s="63" t="s">
        <v>104</v>
      </c>
      <c r="D4" s="63" t="s">
        <v>105</v>
      </c>
      <c r="E4" s="63" t="s">
        <v>106</v>
      </c>
      <c r="F4" s="63" t="s">
        <v>107</v>
      </c>
      <c r="G4" s="63" t="s">
        <v>108</v>
      </c>
      <c r="H4" s="63" t="s">
        <v>109</v>
      </c>
      <c r="I4" s="63" t="s">
        <v>110</v>
      </c>
      <c r="J4" s="63" t="s">
        <v>354</v>
      </c>
    </row>
    <row r="5" spans="2:11" ht="12.75" x14ac:dyDescent="0.2">
      <c r="B5" s="64" t="s">
        <v>149</v>
      </c>
      <c r="C5" s="206">
        <f>'Projected P&amp;L'!F31</f>
        <v>210.46249818958401</v>
      </c>
      <c r="D5" s="206">
        <f>'Projected P&amp;L'!H31</f>
        <v>640.54786266892052</v>
      </c>
      <c r="E5" s="206">
        <f>'Projected P&amp;L'!I31</f>
        <v>672.50095366105108</v>
      </c>
      <c r="F5" s="206">
        <f>'Projected P&amp;L'!J31</f>
        <v>708.4832599920752</v>
      </c>
      <c r="G5" s="206">
        <f>'Projected P&amp;L'!K31</f>
        <v>748.83811263174869</v>
      </c>
      <c r="H5" s="206">
        <f>'Projected P&amp;L'!L31</f>
        <v>793.96341433270038</v>
      </c>
      <c r="I5" s="206">
        <f>'Projected P&amp;L'!M31</f>
        <v>844.31478425337139</v>
      </c>
      <c r="J5" s="206">
        <f>'Projected P&amp;L'!N31</f>
        <v>900.41031515477118</v>
      </c>
      <c r="K5" s="207"/>
    </row>
    <row r="6" spans="2:11" ht="12.75" x14ac:dyDescent="0.2">
      <c r="B6" s="64" t="s">
        <v>180</v>
      </c>
      <c r="C6" s="206">
        <f>'Projected P&amp;L'!F24</f>
        <v>120.59088</v>
      </c>
      <c r="D6" s="206">
        <f>'Projected P&amp;L'!H24</f>
        <v>352.57443999999998</v>
      </c>
      <c r="E6" s="206">
        <f>'Projected P&amp;L'!I24</f>
        <v>312.85755</v>
      </c>
      <c r="F6" s="206">
        <f>'Projected P&amp;L'!J24</f>
        <v>268.54462999999998</v>
      </c>
      <c r="G6" s="206">
        <f>'Projected P&amp;L'!K24</f>
        <v>219.10397</v>
      </c>
      <c r="H6" s="206">
        <f>'Projected P&amp;L'!L24</f>
        <v>163.94202000000001</v>
      </c>
      <c r="I6" s="206">
        <f>'Projected P&amp;L'!M24</f>
        <v>102.39681</v>
      </c>
      <c r="J6" s="206">
        <f>'Projected P&amp;L'!N24</f>
        <v>33.729649999999999</v>
      </c>
      <c r="K6" s="207"/>
    </row>
    <row r="7" spans="2:11" ht="12.75" x14ac:dyDescent="0.2">
      <c r="B7" s="66" t="s">
        <v>181</v>
      </c>
      <c r="C7" s="208">
        <f t="shared" ref="C7:I7" si="0">SUM(C5:C6)</f>
        <v>331.05337818958401</v>
      </c>
      <c r="D7" s="208">
        <f t="shared" si="0"/>
        <v>993.1223026689205</v>
      </c>
      <c r="E7" s="208">
        <f t="shared" si="0"/>
        <v>985.35850366105115</v>
      </c>
      <c r="F7" s="208">
        <f t="shared" si="0"/>
        <v>977.02788999207519</v>
      </c>
      <c r="G7" s="208">
        <f t="shared" si="0"/>
        <v>967.94208263174869</v>
      </c>
      <c r="H7" s="208">
        <f t="shared" si="0"/>
        <v>957.90543433270045</v>
      </c>
      <c r="I7" s="208">
        <f t="shared" si="0"/>
        <v>946.71159425337135</v>
      </c>
      <c r="J7" s="208">
        <f t="shared" ref="J7" si="1">SUM(J5:J6)</f>
        <v>934.13996515477118</v>
      </c>
      <c r="K7" s="208">
        <f>SUM(C7:J7)</f>
        <v>7093.2611508842219</v>
      </c>
    </row>
    <row r="8" spans="2:11" ht="12.75" x14ac:dyDescent="0.2">
      <c r="B8" s="64" t="s">
        <v>182</v>
      </c>
      <c r="C8" s="206">
        <f>+'Debt Schedule'!E9/10^5</f>
        <v>26.941114336821435</v>
      </c>
      <c r="D8" s="206">
        <f>'Projected CFS'!D17</f>
        <v>343.21885204185725</v>
      </c>
      <c r="E8" s="206">
        <f>'Projected CFS'!E17</f>
        <v>382.93574204185722</v>
      </c>
      <c r="F8" s="206">
        <f>'Projected CFS'!F17</f>
        <v>427.24866204185724</v>
      </c>
      <c r="G8" s="206">
        <f>'Projected CFS'!G17</f>
        <v>476.68932204185722</v>
      </c>
      <c r="H8" s="206">
        <f>'Projected CFS'!H17</f>
        <v>531.85127204185721</v>
      </c>
      <c r="I8" s="206">
        <f>'Projected CFS'!I17</f>
        <v>593.39648204185721</v>
      </c>
      <c r="J8" s="206">
        <f>'Projected CFS'!J17</f>
        <v>604.08091821203902</v>
      </c>
      <c r="K8" s="208"/>
    </row>
    <row r="9" spans="2:11" ht="12.75" x14ac:dyDescent="0.2">
      <c r="B9" s="64" t="s">
        <v>180</v>
      </c>
      <c r="C9" s="206">
        <f>'Projected P&amp;L'!F24</f>
        <v>120.59088</v>
      </c>
      <c r="D9" s="206">
        <f>'Projected P&amp;L'!H24</f>
        <v>352.57443999999998</v>
      </c>
      <c r="E9" s="206">
        <f>'Projected P&amp;L'!I24</f>
        <v>312.85755</v>
      </c>
      <c r="F9" s="206">
        <f>'Projected P&amp;L'!J24</f>
        <v>268.54462999999998</v>
      </c>
      <c r="G9" s="206">
        <f>'Projected P&amp;L'!K24</f>
        <v>219.10397</v>
      </c>
      <c r="H9" s="206">
        <f>'Projected P&amp;L'!L24</f>
        <v>163.94202000000001</v>
      </c>
      <c r="I9" s="206">
        <f>'Projected P&amp;L'!M24</f>
        <v>102.39681</v>
      </c>
      <c r="J9" s="206">
        <f>'Projected P&amp;L'!N24</f>
        <v>33.729649999999999</v>
      </c>
      <c r="K9" s="208"/>
    </row>
    <row r="10" spans="2:11" ht="12.75" x14ac:dyDescent="0.2">
      <c r="B10" s="66" t="s">
        <v>183</v>
      </c>
      <c r="C10" s="208">
        <f t="shared" ref="C10:I10" si="2">SUM(C8:C9)</f>
        <v>147.53199433682144</v>
      </c>
      <c r="D10" s="208">
        <f t="shared" si="2"/>
        <v>695.79329204185728</v>
      </c>
      <c r="E10" s="208">
        <f t="shared" si="2"/>
        <v>695.79329204185728</v>
      </c>
      <c r="F10" s="208">
        <f t="shared" si="2"/>
        <v>695.79329204185728</v>
      </c>
      <c r="G10" s="208">
        <f t="shared" si="2"/>
        <v>695.79329204185728</v>
      </c>
      <c r="H10" s="208">
        <f t="shared" si="2"/>
        <v>695.79329204185728</v>
      </c>
      <c r="I10" s="208">
        <f t="shared" si="2"/>
        <v>695.79329204185717</v>
      </c>
      <c r="J10" s="208">
        <f t="shared" ref="J10" si="3">SUM(J8:J9)</f>
        <v>637.81056821203902</v>
      </c>
      <c r="K10" s="208">
        <f>SUM(C10:J10)</f>
        <v>4960.102314800004</v>
      </c>
    </row>
    <row r="11" spans="2:11" ht="12.75" customHeight="1" x14ac:dyDescent="0.15">
      <c r="B11" s="73" t="s">
        <v>184</v>
      </c>
      <c r="C11" s="206">
        <f t="shared" ref="C11:I11" si="4">C7/C10</f>
        <v>2.2439429472753951</v>
      </c>
      <c r="D11" s="206">
        <f t="shared" si="4"/>
        <v>1.4273237670264527</v>
      </c>
      <c r="E11" s="206">
        <f t="shared" si="4"/>
        <v>1.4161655694745823</v>
      </c>
      <c r="F11" s="206">
        <f t="shared" si="4"/>
        <v>1.4041927411011883</v>
      </c>
      <c r="G11" s="206">
        <f t="shared" si="4"/>
        <v>1.3911345419718699</v>
      </c>
      <c r="H11" s="206">
        <f t="shared" si="4"/>
        <v>1.376709786209142</v>
      </c>
      <c r="I11" s="206">
        <f t="shared" si="4"/>
        <v>1.3606219046394883</v>
      </c>
      <c r="J11" s="206">
        <f t="shared" ref="J11" si="5">J7/J10</f>
        <v>1.4646040873443444</v>
      </c>
      <c r="K11" s="209">
        <f>K7/K10</f>
        <v>1.4300634746423027</v>
      </c>
    </row>
    <row r="12" spans="2:11" ht="12.75" x14ac:dyDescent="0.2">
      <c r="B12" s="64"/>
      <c r="C12" s="206"/>
      <c r="D12" s="206"/>
      <c r="E12" s="206"/>
      <c r="F12" s="206"/>
      <c r="G12" s="206"/>
      <c r="H12" s="206"/>
      <c r="I12" s="206"/>
      <c r="J12" s="207"/>
      <c r="K12" s="207"/>
    </row>
    <row r="13" spans="2:11" ht="12.75" x14ac:dyDescent="0.2">
      <c r="B13" s="66" t="s">
        <v>185</v>
      </c>
      <c r="C13" s="207"/>
      <c r="D13" s="206">
        <f>AVERAGE(D11:J11)</f>
        <v>1.4058217711095813</v>
      </c>
      <c r="E13" s="206"/>
      <c r="F13" s="206"/>
      <c r="G13" s="206"/>
      <c r="H13" s="206"/>
      <c r="I13" s="206"/>
      <c r="J13" s="207"/>
      <c r="K13" s="207"/>
    </row>
    <row r="14" spans="2:11" x14ac:dyDescent="0.15">
      <c r="C14" s="207"/>
      <c r="D14" s="207"/>
      <c r="E14" s="207"/>
      <c r="F14" s="207"/>
      <c r="G14" s="207"/>
      <c r="H14" s="207"/>
      <c r="I14" s="207"/>
      <c r="J14" s="207"/>
      <c r="K14" s="207"/>
    </row>
    <row r="15" spans="2:11" ht="12.75" x14ac:dyDescent="0.15">
      <c r="B15" s="73" t="s">
        <v>186</v>
      </c>
      <c r="C15" s="208">
        <f>C7/C9</f>
        <v>2.745260488932364</v>
      </c>
      <c r="D15" s="208">
        <f t="shared" ref="D15:J15" si="6">D7/D9</f>
        <v>2.8167733959073171</v>
      </c>
      <c r="E15" s="208">
        <f t="shared" si="6"/>
        <v>3.1495436298758048</v>
      </c>
      <c r="F15" s="208">
        <f t="shared" si="6"/>
        <v>3.6382328330008882</v>
      </c>
      <c r="G15" s="208">
        <f t="shared" si="6"/>
        <v>4.4177295492717397</v>
      </c>
      <c r="H15" s="208">
        <f t="shared" si="6"/>
        <v>5.8429524921841294</v>
      </c>
      <c r="I15" s="208">
        <f t="shared" si="6"/>
        <v>9.2455184321989261</v>
      </c>
      <c r="J15" s="208">
        <f t="shared" si="6"/>
        <v>27.694920200914364</v>
      </c>
      <c r="K15" s="207"/>
    </row>
    <row r="16" spans="2:11" x14ac:dyDescent="0.15">
      <c r="C16" s="207"/>
      <c r="D16" s="207"/>
      <c r="E16" s="207"/>
      <c r="F16" s="207"/>
      <c r="G16" s="207"/>
      <c r="H16" s="207"/>
      <c r="I16" s="207"/>
      <c r="J16" s="207"/>
      <c r="K16" s="207"/>
    </row>
    <row r="17" spans="2:16" ht="15" x14ac:dyDescent="0.25">
      <c r="B17" s="177" t="s">
        <v>360</v>
      </c>
      <c r="C17" s="207"/>
      <c r="D17" s="207"/>
      <c r="E17" s="207"/>
      <c r="F17" s="207"/>
      <c r="G17" s="207"/>
      <c r="H17" s="207"/>
      <c r="I17" s="207"/>
      <c r="J17" s="207"/>
      <c r="K17" s="207"/>
    </row>
    <row r="18" spans="2:16" ht="15" x14ac:dyDescent="0.25">
      <c r="B18" s="78" t="s">
        <v>214</v>
      </c>
      <c r="C18" s="216">
        <f>+'Debt Schedule'!L37%</f>
        <v>0.11</v>
      </c>
      <c r="D18" s="210"/>
      <c r="E18" s="211"/>
      <c r="F18" s="211"/>
      <c r="G18" s="212"/>
      <c r="H18" s="212"/>
      <c r="I18" s="212"/>
      <c r="J18" s="211"/>
      <c r="K18" s="207"/>
    </row>
    <row r="19" spans="2:16" ht="15" x14ac:dyDescent="0.25">
      <c r="B19" s="78" t="s">
        <v>355</v>
      </c>
      <c r="C19" s="213">
        <f>4/12</f>
        <v>0.33333333333333331</v>
      </c>
      <c r="D19" s="214">
        <f>+C19+1</f>
        <v>1.3333333333333333</v>
      </c>
      <c r="E19" s="214">
        <f t="shared" ref="E19:J19" si="7">+D19+1</f>
        <v>2.333333333333333</v>
      </c>
      <c r="F19" s="214">
        <f t="shared" si="7"/>
        <v>3.333333333333333</v>
      </c>
      <c r="G19" s="214">
        <f t="shared" si="7"/>
        <v>4.333333333333333</v>
      </c>
      <c r="H19" s="214">
        <f t="shared" si="7"/>
        <v>5.333333333333333</v>
      </c>
      <c r="I19" s="214">
        <f t="shared" si="7"/>
        <v>6.333333333333333</v>
      </c>
      <c r="J19" s="214">
        <f t="shared" si="7"/>
        <v>7.333333333333333</v>
      </c>
      <c r="K19" s="207"/>
    </row>
    <row r="20" spans="2:16" ht="15" x14ac:dyDescent="0.25">
      <c r="B20" s="78" t="s">
        <v>217</v>
      </c>
      <c r="C20" s="213">
        <f>+(1+$C$18)^-C19</f>
        <v>0.96581142912070883</v>
      </c>
      <c r="D20" s="213">
        <f t="shared" ref="D20:I20" si="8">+(1+$C$18)^-D19</f>
        <v>0.87010038659523303</v>
      </c>
      <c r="E20" s="213">
        <f t="shared" si="8"/>
        <v>0.78387422215786751</v>
      </c>
      <c r="F20" s="213">
        <f t="shared" si="8"/>
        <v>0.70619299293501581</v>
      </c>
      <c r="G20" s="213">
        <f t="shared" si="8"/>
        <v>0.63620990354505924</v>
      </c>
      <c r="H20" s="213">
        <f t="shared" si="8"/>
        <v>0.57316207526581897</v>
      </c>
      <c r="I20" s="213">
        <f t="shared" si="8"/>
        <v>0.51636222996920633</v>
      </c>
      <c r="J20" s="213">
        <f t="shared" ref="J20" si="9">+(1+$C$18)^-J19</f>
        <v>0.46519119817045607</v>
      </c>
      <c r="K20" s="207"/>
    </row>
    <row r="21" spans="2:16" ht="15" x14ac:dyDescent="0.25">
      <c r="B21" s="78" t="s">
        <v>356</v>
      </c>
      <c r="C21" s="212">
        <f>+C7*C20</f>
        <v>319.73513630452061</v>
      </c>
      <c r="D21" s="212">
        <f t="shared" ref="D21:J21" si="10">+D7*D20</f>
        <v>864.11609948857574</v>
      </c>
      <c r="E21" s="212">
        <f t="shared" si="10"/>
        <v>772.39713060394672</v>
      </c>
      <c r="F21" s="212">
        <f t="shared" si="10"/>
        <v>689.97024981448692</v>
      </c>
      <c r="G21" s="212">
        <f t="shared" si="10"/>
        <v>615.81433902834863</v>
      </c>
      <c r="H21" s="212">
        <f t="shared" si="10"/>
        <v>549.03506665053624</v>
      </c>
      <c r="I21" s="212">
        <f t="shared" si="10"/>
        <v>488.8461099463733</v>
      </c>
      <c r="J21" s="212">
        <f t="shared" si="10"/>
        <v>434.55368964925606</v>
      </c>
      <c r="K21" s="207"/>
    </row>
    <row r="22" spans="2:16" ht="15" x14ac:dyDescent="0.25">
      <c r="B22" s="79" t="s">
        <v>353</v>
      </c>
      <c r="C22" s="209">
        <f>+SUM(C21:J21)</f>
        <v>4734.4678214860432</v>
      </c>
      <c r="D22" s="209" t="s">
        <v>361</v>
      </c>
      <c r="E22" s="212"/>
      <c r="F22" s="212"/>
      <c r="G22" s="212"/>
      <c r="H22" s="212"/>
      <c r="I22" s="212"/>
      <c r="J22" s="211"/>
      <c r="K22" s="207"/>
    </row>
    <row r="23" spans="2:16" ht="15" x14ac:dyDescent="0.25">
      <c r="B23" s="78" t="s">
        <v>351</v>
      </c>
      <c r="C23" s="212">
        <f>+'Debt Schedule'!F8/10^5</f>
        <v>3386.3623648000003</v>
      </c>
      <c r="D23" s="212" t="s">
        <v>361</v>
      </c>
      <c r="E23" s="212"/>
      <c r="F23" s="212"/>
      <c r="G23" s="212"/>
      <c r="H23" s="212"/>
      <c r="I23" s="212"/>
      <c r="J23" s="211"/>
      <c r="K23" s="207"/>
    </row>
    <row r="24" spans="2:16" ht="15" x14ac:dyDescent="0.25">
      <c r="B24" s="79" t="s">
        <v>352</v>
      </c>
      <c r="C24" s="215">
        <f>+C22/C23</f>
        <v>1.398098405149758</v>
      </c>
      <c r="D24" s="212"/>
      <c r="E24" s="212"/>
      <c r="F24" s="212"/>
      <c r="G24" s="212"/>
      <c r="H24" s="212"/>
      <c r="I24" s="212"/>
      <c r="J24" s="211"/>
      <c r="K24" s="207"/>
    </row>
    <row r="25" spans="2:16" ht="15" x14ac:dyDescent="0.25">
      <c r="C25" s="211"/>
      <c r="D25" s="211"/>
      <c r="E25" s="211"/>
      <c r="F25" s="211"/>
      <c r="G25" s="211"/>
      <c r="H25" s="211"/>
      <c r="I25" s="211"/>
      <c r="J25" s="211"/>
      <c r="K25" s="207"/>
    </row>
    <row r="27" spans="2:16" ht="15" x14ac:dyDescent="0.25">
      <c r="B27" s="139" t="s">
        <v>347</v>
      </c>
      <c r="C27" s="78" t="s">
        <v>348</v>
      </c>
      <c r="D27" s="77"/>
      <c r="E27" s="77"/>
      <c r="F27" s="77"/>
      <c r="G27" s="77"/>
      <c r="H27" s="77"/>
      <c r="I27" s="77"/>
      <c r="J27" s="77"/>
      <c r="K27" s="78"/>
      <c r="L27" s="78"/>
      <c r="M27" s="78"/>
      <c r="N27" s="78"/>
      <c r="O27" s="78"/>
      <c r="P27" s="7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2:P18"/>
  <sheetViews>
    <sheetView showGridLines="0" workbookViewId="0">
      <selection activeCell="D18" sqref="D18"/>
    </sheetView>
  </sheetViews>
  <sheetFormatPr defaultRowHeight="15" x14ac:dyDescent="0.25"/>
  <cols>
    <col min="1" max="1" width="5.5703125" style="78" customWidth="1"/>
    <col min="2" max="2" width="37" style="139" bestFit="1" customWidth="1"/>
    <col min="3" max="3" width="8.28515625" style="78" bestFit="1" customWidth="1"/>
    <col min="4" max="8" width="8.28515625" style="77" bestFit="1" customWidth="1"/>
    <col min="9" max="10" width="9.28515625" style="77" bestFit="1" customWidth="1"/>
    <col min="11" max="16384" width="9.140625" style="78"/>
  </cols>
  <sheetData>
    <row r="2" spans="2:16" ht="15.75" x14ac:dyDescent="0.25">
      <c r="B2" s="145" t="str">
        <f>Historicals!B2</f>
        <v>Al-Saqib Exports Private Limited</v>
      </c>
      <c r="C2" s="72"/>
      <c r="D2" s="72"/>
      <c r="E2" s="72"/>
      <c r="F2" s="72"/>
      <c r="G2" s="72"/>
      <c r="H2" s="72"/>
      <c r="I2" s="72"/>
      <c r="J2" s="72"/>
    </row>
    <row r="3" spans="2:16" x14ac:dyDescent="0.25">
      <c r="D3" s="78"/>
      <c r="E3" s="78"/>
      <c r="F3" s="78"/>
      <c r="G3" s="78"/>
      <c r="H3" s="78"/>
      <c r="I3" s="78"/>
    </row>
    <row r="4" spans="2:16" x14ac:dyDescent="0.25">
      <c r="B4" s="144" t="s">
        <v>127</v>
      </c>
      <c r="C4" s="82" t="s">
        <v>104</v>
      </c>
      <c r="D4" s="82" t="s">
        <v>105</v>
      </c>
      <c r="E4" s="82" t="s">
        <v>106</v>
      </c>
      <c r="F4" s="82" t="s">
        <v>107</v>
      </c>
      <c r="G4" s="82" t="s">
        <v>108</v>
      </c>
      <c r="H4" s="82" t="s">
        <v>109</v>
      </c>
      <c r="I4" s="82" t="s">
        <v>110</v>
      </c>
      <c r="J4" s="82" t="s">
        <v>354</v>
      </c>
    </row>
    <row r="5" spans="2:16" x14ac:dyDescent="0.25">
      <c r="B5" s="139" t="s">
        <v>205</v>
      </c>
      <c r="C5" s="77">
        <f>SUM('Projected BS'!E30:E34)/SUM('Projected BS'!E16:E18)</f>
        <v>6.1260407175594667</v>
      </c>
      <c r="D5" s="77">
        <f>SUM('Projected BS'!F30:F34)/SUM('Projected BS'!F16:F18)</f>
        <v>6.4100462130534899</v>
      </c>
      <c r="E5" s="77">
        <f>SUM('Projected BS'!G30:G34)/SUM('Projected BS'!G16:G18)</f>
        <v>6.6866358106521284</v>
      </c>
      <c r="F5" s="77">
        <f>SUM('Projected BS'!H30:H34)/SUM('Projected BS'!H16:H18)</f>
        <v>6.9552680950446426</v>
      </c>
      <c r="G5" s="77">
        <f>SUM('Projected BS'!I30:I34)/SUM('Projected BS'!I16:I18)</f>
        <v>7.215221713282479</v>
      </c>
      <c r="H5" s="77">
        <f>SUM('Projected BS'!J30:J34)/SUM('Projected BS'!J16:J18)</f>
        <v>7.465588432255899</v>
      </c>
      <c r="I5" s="77">
        <f>SUM('Projected BS'!K30:K34)/SUM('Projected BS'!K16:K18)</f>
        <v>7.705262914735119</v>
      </c>
      <c r="J5" s="77">
        <f>SUM('Projected BS'!L30:L34)/SUM('Projected BS'!L16:L18)</f>
        <v>7.9883135899136875</v>
      </c>
    </row>
    <row r="6" spans="2:16" x14ac:dyDescent="0.25">
      <c r="B6" s="139" t="s">
        <v>206</v>
      </c>
      <c r="C6" s="77">
        <f>('Projected BS'!E14+'Projected BS'!E16)/'Projected BS'!E9</f>
        <v>1.2773892258922435</v>
      </c>
      <c r="D6" s="77">
        <f>('Projected BS'!F14+'Projected BS'!F16)/'Projected BS'!F9</f>
        <v>1.0069884078119762</v>
      </c>
      <c r="E6" s="77">
        <f>('Projected BS'!G14+'Projected BS'!G16)/'Projected BS'!G9</f>
        <v>0.78852297074341127</v>
      </c>
      <c r="F6" s="77">
        <f>('Projected BS'!H14+'Projected BS'!H16)/'Projected BS'!H9</f>
        <v>0.60781918228709231</v>
      </c>
      <c r="G6" s="77">
        <f>('Projected BS'!I14+'Projected BS'!I16)/'Projected BS'!I9</f>
        <v>0.45529837275550944</v>
      </c>
      <c r="H6" s="77">
        <f>('Projected BS'!J14+'Projected BS'!J16)/'Projected BS'!J9</f>
        <v>0.3242825421108767</v>
      </c>
      <c r="I6" s="77">
        <f>('Projected BS'!K14+'Projected BS'!K16)/'Projected BS'!K9</f>
        <v>0.20999326601140267</v>
      </c>
      <c r="J6" s="77">
        <f>('Projected BS'!L14+'Projected BS'!L16)/'Projected BS'!L9</f>
        <v>0.11587106294585026</v>
      </c>
    </row>
    <row r="7" spans="2:16" x14ac:dyDescent="0.25">
      <c r="B7" s="139" t="s">
        <v>207</v>
      </c>
      <c r="C7" s="77">
        <f>('Projected BS'!E14+'Projected BS'!E19)/'Projected BS'!E9</f>
        <v>1.5863724293922743</v>
      </c>
      <c r="D7" s="77">
        <f>('Projected BS'!F14+'Projected BS'!F19)/'Projected BS'!F9</f>
        <v>1.2715445609757552</v>
      </c>
      <c r="E7" s="77">
        <f>('Projected BS'!G14+'Projected BS'!G19)/'Projected BS'!G9</f>
        <v>1.0177077668436934</v>
      </c>
      <c r="F7" s="77">
        <f>('Projected BS'!H14+'Projected BS'!H19)/'Projected BS'!H9</f>
        <v>0.80825737191140234</v>
      </c>
      <c r="G7" s="77">
        <f>('Projected BS'!I14+'Projected BS'!I19)/'Projected BS'!I9</f>
        <v>0.63196758841476852</v>
      </c>
      <c r="H7" s="77">
        <f>('Projected BS'!J14+'Projected BS'!J19)/'Projected BS'!J9</f>
        <v>0.48100855620051608</v>
      </c>
      <c r="I7" s="77">
        <f>('Projected BS'!K14+'Projected BS'!K19)/'Projected BS'!K9</f>
        <v>0.34977455906053245</v>
      </c>
      <c r="J7" s="77">
        <f>('Projected BS'!L14+'Projected BS'!L19)/'Projected BS'!L9</f>
        <v>0.24109820393883793</v>
      </c>
    </row>
    <row r="8" spans="2:16" x14ac:dyDescent="0.25">
      <c r="B8" s="139" t="s">
        <v>334</v>
      </c>
      <c r="C8" s="87">
        <f>'Projected P&amp;L'!F29/'Projected BS'!E9</f>
        <v>5.3950692250861999E-2</v>
      </c>
      <c r="D8" s="87">
        <f>'Projected P&amp;L'!H29/'Projected BS'!F9</f>
        <v>0.14378467772034539</v>
      </c>
      <c r="E8" s="87">
        <f>'Projected P&amp;L'!I29/'Projected BS'!G9</f>
        <v>0.13370075366041329</v>
      </c>
      <c r="F8" s="87">
        <f>'Projected P&amp;L'!J29/'Projected BS'!H9</f>
        <v>0.12542981456498345</v>
      </c>
      <c r="G8" s="87">
        <f>'Projected P&amp;L'!K29/'Projected BS'!I9</f>
        <v>0.11858505611930663</v>
      </c>
      <c r="H8" s="87">
        <f>'Projected P&amp;L'!L29/'Projected BS'!J9</f>
        <v>0.11288441789476213</v>
      </c>
      <c r="I8" s="87">
        <f>'Projected P&amp;L'!M29/'Projected BS'!K9</f>
        <v>0.10811683777536824</v>
      </c>
      <c r="J8" s="87">
        <f>'Projected P&amp;L'!N29/'Projected BS'!L9</f>
        <v>0.10412088584004345</v>
      </c>
    </row>
    <row r="9" spans="2:16" ht="18" customHeight="1" x14ac:dyDescent="0.25">
      <c r="B9" s="139" t="s">
        <v>346</v>
      </c>
      <c r="C9" s="157">
        <f>+C18/C17</f>
        <v>0.14154333046255385</v>
      </c>
      <c r="D9" s="157">
        <f t="shared" ref="D9:I9" si="0">+D18/D17</f>
        <v>0.14364752738464734</v>
      </c>
      <c r="E9" s="157">
        <f t="shared" si="0"/>
        <v>0.14186095681594027</v>
      </c>
      <c r="F9" s="157">
        <f t="shared" si="0"/>
        <v>0.14005818384962729</v>
      </c>
      <c r="G9" s="157">
        <f t="shared" si="0"/>
        <v>0.13829816411563972</v>
      </c>
      <c r="H9" s="157">
        <f t="shared" si="0"/>
        <v>0.13662911071656614</v>
      </c>
      <c r="I9" s="157">
        <f t="shared" si="0"/>
        <v>0.13509131489220608</v>
      </c>
      <c r="J9" s="157">
        <f t="shared" ref="J9" si="1">+J18/J17</f>
        <v>0.13288838678910758</v>
      </c>
      <c r="L9" s="78" t="s">
        <v>367</v>
      </c>
      <c r="N9" s="202">
        <v>6.8360000000000004E-2</v>
      </c>
      <c r="O9" s="78" t="s">
        <v>368</v>
      </c>
    </row>
    <row r="13" spans="2:16" x14ac:dyDescent="0.25"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</row>
    <row r="14" spans="2:16" x14ac:dyDescent="0.25"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</row>
    <row r="15" spans="2:16" x14ac:dyDescent="0.25">
      <c r="B15" s="139" t="s">
        <v>1</v>
      </c>
      <c r="C15" s="78">
        <f>+'Projected BS'!E36</f>
        <v>8763.2808926327634</v>
      </c>
      <c r="D15" s="78">
        <f>+'Projected BS'!F36</f>
        <v>8989.0528916823259</v>
      </c>
      <c r="E15" s="78">
        <f>+'Projected BS'!G36</f>
        <v>9216.8602843236949</v>
      </c>
      <c r="F15" s="78">
        <f>+'Projected BS'!H36</f>
        <v>9444.7466960261063</v>
      </c>
      <c r="G15" s="78">
        <f>+'Projected BS'!I36</f>
        <v>9670.7730220643334</v>
      </c>
      <c r="H15" s="78">
        <f>+'Projected BS'!J36</f>
        <v>9892.9774917877112</v>
      </c>
      <c r="I15" s="78">
        <f>+'Projected BS'!K36</f>
        <v>10109.338219139208</v>
      </c>
      <c r="J15" s="78">
        <f>+'Projected BS'!L36</f>
        <v>10375.719529641641</v>
      </c>
    </row>
    <row r="16" spans="2:16" x14ac:dyDescent="0.25">
      <c r="B16" s="139" t="s">
        <v>23</v>
      </c>
      <c r="C16" s="78">
        <f>+'Projected BS'!E19</f>
        <v>1046.9128779</v>
      </c>
      <c r="D16" s="78">
        <f>+'Projected BS'!F19</f>
        <v>1046.9128779</v>
      </c>
      <c r="E16" s="78">
        <f>+'Projected BS'!G19</f>
        <v>1046.9128779</v>
      </c>
      <c r="F16" s="78">
        <f>+'Projected BS'!H19</f>
        <v>1046.9128779</v>
      </c>
      <c r="G16" s="78">
        <f>+'Projected BS'!I19</f>
        <v>1046.9128779</v>
      </c>
      <c r="H16" s="78">
        <f>+'Projected BS'!J19</f>
        <v>1046.9128779</v>
      </c>
      <c r="I16" s="78">
        <f>+'Projected BS'!K19</f>
        <v>1046.9128779</v>
      </c>
      <c r="J16" s="78">
        <f>+'Projected BS'!L19</f>
        <v>1046.9128779</v>
      </c>
    </row>
    <row r="17" spans="2:10" x14ac:dyDescent="0.25">
      <c r="B17" s="139" t="s">
        <v>350</v>
      </c>
      <c r="C17" s="78">
        <f>+C15-C16</f>
        <v>7716.3680147327632</v>
      </c>
      <c r="D17" s="78">
        <f t="shared" ref="D17:I17" si="2">+D15-D16</f>
        <v>7942.1400137823257</v>
      </c>
      <c r="E17" s="78">
        <f t="shared" si="2"/>
        <v>8169.9474064236947</v>
      </c>
      <c r="F17" s="78">
        <f t="shared" si="2"/>
        <v>8397.8338181261061</v>
      </c>
      <c r="G17" s="78">
        <f t="shared" si="2"/>
        <v>8623.8601441643332</v>
      </c>
      <c r="H17" s="78">
        <f t="shared" si="2"/>
        <v>8846.0646138877109</v>
      </c>
      <c r="I17" s="78">
        <f t="shared" si="2"/>
        <v>9062.4253412392081</v>
      </c>
      <c r="J17" s="78">
        <f t="shared" ref="J17" si="3">+J15-J16</f>
        <v>9328.806651741641</v>
      </c>
    </row>
    <row r="18" spans="2:10" x14ac:dyDescent="0.25">
      <c r="B18" s="139" t="s">
        <v>22</v>
      </c>
      <c r="C18" s="78">
        <f>+'Projected P&amp;L'!G23</f>
        <v>1092.20042788</v>
      </c>
      <c r="D18" s="78">
        <f>+'Projected P&amp;L'!H23</f>
        <v>1140.8687751225</v>
      </c>
      <c r="E18" s="78">
        <f>+'Projected P&amp;L'!I23</f>
        <v>1158.9965562111749</v>
      </c>
      <c r="F18" s="78">
        <f>+'Projected P&amp;L'!J23</f>
        <v>1176.1853528377237</v>
      </c>
      <c r="G18" s="78">
        <f>+'Projected P&amp;L'!K23</f>
        <v>1192.6640255279633</v>
      </c>
      <c r="H18" s="78">
        <f>+'Projected P&amp;L'!L23</f>
        <v>1208.6299415367619</v>
      </c>
      <c r="I18" s="78">
        <f>+'Projected P&amp;L'!M23</f>
        <v>1224.2549554604539</v>
      </c>
      <c r="J18" s="78">
        <f>+'Projected P&amp;L'!N23</f>
        <v>1239.6900666174429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Sheet11</vt:lpstr>
      <vt:lpstr>Historicals</vt:lpstr>
      <vt:lpstr>Projected P&amp;L</vt:lpstr>
      <vt:lpstr>Projected BS</vt:lpstr>
      <vt:lpstr>Projected CFS</vt:lpstr>
      <vt:lpstr>Dep-WDV</vt:lpstr>
      <vt:lpstr>Debt Schedule</vt:lpstr>
      <vt:lpstr>DSCR</vt:lpstr>
      <vt:lpstr>Ratio Analysis</vt:lpstr>
      <vt:lpstr>NPV</vt:lpstr>
      <vt:lpstr>Breakeven</vt:lpstr>
      <vt:lpstr>Sensitivity</vt:lpstr>
      <vt:lpstr>Other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Rachit</dc:creator>
  <cp:lastModifiedBy>Rachit</cp:lastModifiedBy>
  <dcterms:created xsi:type="dcterms:W3CDTF">2015-06-05T18:17:20Z</dcterms:created>
  <dcterms:modified xsi:type="dcterms:W3CDTF">2025-01-06T13:17:45Z</dcterms:modified>
</cp:coreProperties>
</file>