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CCPL DOCS\1. Carbon Circle Docs\Communications with OMCs\1a. TPA Signed_22052024\Invoice_Payments_GAIL_CCPL\"/>
    </mc:Choice>
  </mc:AlternateContent>
  <xr:revisionPtr revIDLastSave="0" documentId="13_ncr:1_{510690D1-8329-42B0-B53D-491B132D82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L9" i="1"/>
  <c r="G27" i="1"/>
  <c r="S9" i="1" l="1"/>
  <c r="P23" i="1" l="1"/>
  <c r="J26" i="1"/>
  <c r="Q9" i="1"/>
  <c r="L8" i="1"/>
  <c r="G26" i="1"/>
  <c r="I26" i="1" s="1"/>
  <c r="H17" i="1"/>
  <c r="H16" i="1"/>
  <c r="H15" i="1"/>
  <c r="H14" i="1"/>
  <c r="J35" i="1" s="1"/>
  <c r="H13" i="1"/>
  <c r="J34" i="1" s="1"/>
  <c r="H12" i="1"/>
  <c r="H11" i="1"/>
  <c r="J32" i="1" s="1"/>
  <c r="H10" i="1"/>
  <c r="H9" i="1"/>
  <c r="J30" i="1" s="1"/>
  <c r="H8" i="1"/>
  <c r="Q8" i="1"/>
  <c r="L7" i="1"/>
  <c r="G25" i="1"/>
  <c r="I25" i="1" s="1"/>
  <c r="I31" i="1" s="1"/>
  <c r="Q7" i="1"/>
  <c r="L6" i="1"/>
  <c r="J36" i="1" l="1"/>
  <c r="J31" i="1"/>
  <c r="J37" i="1"/>
  <c r="J33" i="1"/>
  <c r="K8" i="1"/>
  <c r="M8" i="1" s="1"/>
  <c r="J29" i="1"/>
  <c r="H25" i="1"/>
  <c r="G31" i="1"/>
  <c r="H31" i="1" s="1"/>
  <c r="H36" i="1"/>
  <c r="H35" i="1"/>
  <c r="H34" i="1"/>
  <c r="H33" i="1"/>
  <c r="H32" i="1"/>
  <c r="H30" i="1"/>
  <c r="H29" i="1"/>
  <c r="I36" i="1"/>
  <c r="I35" i="1"/>
  <c r="I34" i="1"/>
  <c r="I33" i="1"/>
  <c r="I32" i="1"/>
  <c r="H37" i="1" l="1"/>
  <c r="G24" i="1" l="1"/>
  <c r="G23" i="1"/>
  <c r="I23" i="1" l="1"/>
  <c r="I29" i="1" s="1"/>
  <c r="H23" i="1"/>
  <c r="I24" i="1"/>
  <c r="I30" i="1" s="1"/>
  <c r="H24" i="1"/>
  <c r="Q6" i="1"/>
  <c r="Q5" i="1"/>
  <c r="Q4" i="1"/>
  <c r="Q3" i="1"/>
  <c r="Q2" i="1"/>
  <c r="H6" i="1"/>
  <c r="L5" i="1"/>
  <c r="O3" i="1"/>
  <c r="O4" i="1"/>
  <c r="O5" i="1"/>
  <c r="O6" i="1"/>
  <c r="O7" i="1"/>
  <c r="O8" i="1"/>
  <c r="P9" i="1" s="1"/>
  <c r="O9" i="1"/>
  <c r="O10" i="1"/>
  <c r="O11" i="1"/>
  <c r="O2" i="1"/>
  <c r="P3" i="1" s="1"/>
  <c r="I18" i="1"/>
  <c r="H4" i="1"/>
  <c r="L2" i="1"/>
  <c r="L3" i="1"/>
  <c r="L4" i="1"/>
  <c r="H7" i="1"/>
  <c r="G18" i="1"/>
  <c r="F18" i="1"/>
  <c r="H2" i="1"/>
  <c r="H3" i="1"/>
  <c r="K3" i="1" s="1"/>
  <c r="M3" i="1" s="1"/>
  <c r="H5" i="1"/>
  <c r="K5" i="1" s="1"/>
  <c r="M5" i="1" s="1"/>
  <c r="P5" i="1" l="1"/>
  <c r="P7" i="1"/>
  <c r="K2" i="1"/>
  <c r="M2" i="1" s="1"/>
  <c r="J23" i="1"/>
  <c r="K4" i="1"/>
  <c r="M4" i="1" s="1"/>
  <c r="J24" i="1"/>
  <c r="K7" i="1"/>
  <c r="M7" i="1" s="1"/>
  <c r="J28" i="1"/>
  <c r="K6" i="1"/>
  <c r="M6" i="1" s="1"/>
  <c r="J25" i="1"/>
  <c r="H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Rahul Madaan</author>
  </authors>
  <commentList>
    <comment ref="H8" authorId="0" shapeId="0" xr:uid="{F135384E-7080-4FFE-8C4D-275A935AC5C4}">
      <text>
        <r>
          <rPr>
            <b/>
            <sz val="9"/>
            <color indexed="81"/>
            <rFont val="Tahoma"/>
            <family val="2"/>
          </rPr>
          <t>Rahul Madaan:</t>
        </r>
        <r>
          <rPr>
            <sz val="9"/>
            <color indexed="81"/>
            <rFont val="Tahoma"/>
            <family val="2"/>
          </rPr>
          <t xml:space="preserve">
CBG price increased from 1290/MMBTU to 1380/MMBTU.</t>
        </r>
      </text>
    </comment>
  </commentList>
</comments>
</file>

<file path=xl/sharedStrings.xml><?xml version="1.0" encoding="utf-8"?>
<sst xmlns="http://schemas.openxmlformats.org/spreadsheetml/2006/main" count="79" uniqueCount="55">
  <si>
    <t>Invoice No.</t>
  </si>
  <si>
    <t>Period</t>
  </si>
  <si>
    <t>Month</t>
  </si>
  <si>
    <t>Year</t>
  </si>
  <si>
    <t>CBG Sold (Tons)</t>
  </si>
  <si>
    <t>Total Invoice Value</t>
  </si>
  <si>
    <t>Date of Payment receipt</t>
  </si>
  <si>
    <t>HPCL-4/24-25</t>
  </si>
  <si>
    <t>2nd Fortnight</t>
  </si>
  <si>
    <t>September</t>
  </si>
  <si>
    <t>CBG Sold (MBG)</t>
  </si>
  <si>
    <t>1st Fortnight</t>
  </si>
  <si>
    <t>August</t>
  </si>
  <si>
    <t>HPCL-1/24-25</t>
  </si>
  <si>
    <t>HPCL-2/24-25</t>
  </si>
  <si>
    <t>HPCL-3/24-25</t>
  </si>
  <si>
    <t>October</t>
  </si>
  <si>
    <t>November</t>
  </si>
  <si>
    <t>December</t>
  </si>
  <si>
    <t>January</t>
  </si>
  <si>
    <t>February</t>
  </si>
  <si>
    <t>March</t>
  </si>
  <si>
    <t>FY 2024-25</t>
  </si>
  <si>
    <t>Total</t>
  </si>
  <si>
    <t>Amout Diff.</t>
  </si>
  <si>
    <t>Avg. Sale/Day (TPD)</t>
  </si>
  <si>
    <t>Receivable T/a time</t>
  </si>
  <si>
    <t>kg/ MMBTU</t>
  </si>
  <si>
    <t>August'24</t>
  </si>
  <si>
    <t>September'24</t>
  </si>
  <si>
    <t>Aug'24</t>
  </si>
  <si>
    <t>Sept'24</t>
  </si>
  <si>
    <t>Oct'24</t>
  </si>
  <si>
    <t>CBG Sold in Tons</t>
  </si>
  <si>
    <t>Revenue from sale of CBG (in Rs. Crs.)</t>
  </si>
  <si>
    <t>% utilization of proj. capacity</t>
  </si>
  <si>
    <t>Nov'24</t>
  </si>
  <si>
    <t>Dec'24</t>
  </si>
  <si>
    <t>Jan'25</t>
  </si>
  <si>
    <t>Feb'25</t>
  </si>
  <si>
    <t>Mar'25</t>
  </si>
  <si>
    <t>CBG Production (Tons)</t>
  </si>
  <si>
    <t>HPCL-5/24-25</t>
  </si>
  <si>
    <r>
      <t xml:space="preserve">Payment received 
</t>
    </r>
    <r>
      <rPr>
        <b/>
        <sz val="8"/>
        <color theme="1"/>
        <rFont val="Calibri"/>
        <family val="2"/>
        <scheme val="minor"/>
      </rPr>
      <t>(post compulsary deductions)</t>
    </r>
  </si>
  <si>
    <t>HPCL-6/24-25</t>
  </si>
  <si>
    <t>October'24</t>
  </si>
  <si>
    <t>avg. Sales in TPD</t>
  </si>
  <si>
    <t>HPCL-7/24-25</t>
  </si>
  <si>
    <t>Avg. Sale (Monthly)/Day (TPD)</t>
  </si>
  <si>
    <t>in Tons</t>
  </si>
  <si>
    <t>CBG Sold by CCPL post COD</t>
  </si>
  <si>
    <t>HPCL-8/24-25</t>
  </si>
  <si>
    <t>Actual Invoice submission Date</t>
  </si>
  <si>
    <t>November'24</t>
  </si>
  <si>
    <t>Invoice raised to GAIL (in Rs. Lacs)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</si>
</sst>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4" tint="-0.249977111117893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/>
    <xf numFmtId="10" fontId="0" fillId="0" borderId="0" xfId="2" applyNumberFormat="1" applyFont="1"/>
    <xf numFmtId="43" fontId="0" fillId="0" borderId="1" xfId="1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0" applyNumberFormat="1" applyAlignment="1">
      <alignment horizontal="center" wrapText="1"/>
    </xf>
    <xf numFmtId="9" fontId="0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43" fontId="0" fillId="3" borderId="1" xfId="1" applyFont="1" applyFill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43" fontId="8" fillId="0" borderId="0" xfId="1" applyFont="1"/>
    <xf numFmtId="1" fontId="0" fillId="0" borderId="0" xfId="0" applyNumberFormat="1" applyAlignment="1">
      <alignment horizontal="center" wrapText="1"/>
    </xf>
    <xf numFmtId="0" fontId="9" fillId="0" borderId="0" xfId="0" applyFont="1" applyAlignment="1">
      <alignment horizontal="center" wrapText="1"/>
    </xf>
    <xf numFmtId="43" fontId="9" fillId="0" borderId="0" xfId="0" applyNumberFormat="1" applyFont="1" applyAlignment="1">
      <alignment horizontal="center" wrapText="1"/>
    </xf>
    <xf numFmtId="9" fontId="9" fillId="0" borderId="0" xfId="2" applyFont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43" fontId="9" fillId="0" borderId="2" xfId="0" applyNumberFormat="1" applyFont="1" applyBorder="1" applyAlignment="1">
      <alignment horizontal="center" wrapText="1"/>
    </xf>
    <xf numFmtId="9" fontId="9" fillId="0" borderId="2" xfId="2" applyFont="1" applyBorder="1" applyAlignment="1">
      <alignment horizontal="center" wrapText="1"/>
    </xf>
    <xf numFmtId="43" fontId="12" fillId="0" borderId="0" xfId="0" applyNumberFormat="1" applyFont="1"/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43" fontId="14" fillId="0" borderId="0" xfId="1" applyFont="1"/>
    <xf numFmtId="0" fontId="14" fillId="0" borderId="0" xfId="0" applyFont="1"/>
    <xf numFmtId="0" fontId="13" fillId="0" borderId="0" xfId="0" applyFont="1"/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2" fillId="0" borderId="1" xfId="0" applyNumberFormat="1" applyFont="1" applyBorder="1" applyAlignment="1">
      <alignment horizontal="center"/>
    </xf>
    <xf numFmtId="43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2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9"/>
  <sheetViews>
    <sheetView tabSelected="1" zoomScale="110" zoomScaleNormal="110" workbookViewId="0">
      <selection activeCell="H14" sqref="H14"/>
    </sheetView>
  </sheetViews>
  <sheetFormatPr defaultRowHeight="15" x14ac:dyDescent="0.25"/>
  <cols>
    <col min="1" max="1" width="14.140625" customWidth="1"/>
    <col min="2" max="3" width="14.140625" style="2" customWidth="1"/>
    <col min="4" max="4" width="13" style="2" customWidth="1"/>
    <col min="5" max="5" width="7.85546875" style="2" customWidth="1"/>
    <col min="6" max="6" width="17.42578125" style="2" customWidth="1"/>
    <col min="7" max="10" width="14.140625" style="2" customWidth="1"/>
    <col min="11" max="11" width="14.140625" hidden="1" customWidth="1"/>
    <col min="12" max="12" width="9.140625" style="30" hidden="1" customWidth="1"/>
    <col min="13" max="13" width="9.140625" hidden="1" customWidth="1"/>
    <col min="14" max="14" width="0" hidden="1" customWidth="1"/>
    <col min="15" max="15" width="0" style="44" hidden="1" customWidth="1"/>
    <col min="16" max="16" width="9.85546875" hidden="1" customWidth="1"/>
    <col min="17" max="17" width="0" style="30" hidden="1" customWidth="1"/>
    <col min="18" max="19" width="0" hidden="1" customWidth="1"/>
    <col min="23" max="23" width="26.140625" bestFit="1" customWidth="1"/>
    <col min="24" max="24" width="7.28515625" bestFit="1" customWidth="1"/>
    <col min="25" max="25" width="9.85546875" bestFit="1" customWidth="1"/>
  </cols>
  <sheetData>
    <row r="1" spans="1:25" s="1" customFormat="1" ht="60" x14ac:dyDescent="0.25">
      <c r="A1" s="3" t="s">
        <v>0</v>
      </c>
      <c r="B1" s="3" t="s">
        <v>52</v>
      </c>
      <c r="C1" s="3" t="s">
        <v>1</v>
      </c>
      <c r="D1" s="3" t="s">
        <v>2</v>
      </c>
      <c r="E1" s="3" t="s">
        <v>3</v>
      </c>
      <c r="F1" s="28" t="s">
        <v>10</v>
      </c>
      <c r="G1" s="28" t="s">
        <v>4</v>
      </c>
      <c r="H1" s="28" t="s">
        <v>5</v>
      </c>
      <c r="I1" s="28" t="s">
        <v>43</v>
      </c>
      <c r="J1" s="3" t="s">
        <v>6</v>
      </c>
      <c r="K1" s="11" t="s">
        <v>24</v>
      </c>
      <c r="L1" s="29" t="s">
        <v>26</v>
      </c>
      <c r="M1" s="11"/>
      <c r="N1" s="11"/>
      <c r="O1" s="42" t="s">
        <v>25</v>
      </c>
      <c r="P1" s="15" t="s">
        <v>48</v>
      </c>
      <c r="Q1" s="29" t="s">
        <v>27</v>
      </c>
      <c r="R1" s="11"/>
    </row>
    <row r="2" spans="1:25" x14ac:dyDescent="0.25">
      <c r="A2" s="4" t="s">
        <v>13</v>
      </c>
      <c r="B2" s="5">
        <v>45520</v>
      </c>
      <c r="C2" s="10" t="s">
        <v>11</v>
      </c>
      <c r="D2" s="6" t="s">
        <v>12</v>
      </c>
      <c r="E2" s="6">
        <v>2024</v>
      </c>
      <c r="F2" s="26">
        <v>615.44000000000005</v>
      </c>
      <c r="G2" s="26">
        <v>15.542160000000001</v>
      </c>
      <c r="H2" s="8">
        <f t="shared" ref="H2:H3" si="0">(F2*1290+G2*2000)*1.05</f>
        <v>866252.01600000006</v>
      </c>
      <c r="I2" s="9">
        <v>848331.99</v>
      </c>
      <c r="J2" s="5">
        <v>45532</v>
      </c>
      <c r="K2" s="12">
        <f t="shared" ref="K2:K4" si="1">I2-H2</f>
        <v>-17920.026000000071</v>
      </c>
      <c r="L2" s="30">
        <f t="shared" ref="L2:L3" si="2">J2-B2</f>
        <v>12</v>
      </c>
      <c r="M2" s="13">
        <f t="shared" ref="M2:M8" si="3">K2/H2</f>
        <v>-2.0686850557355665E-2</v>
      </c>
      <c r="O2" s="43">
        <f>G2/15</f>
        <v>1.036144</v>
      </c>
      <c r="Q2" s="32">
        <f>G2*1000/F2</f>
        <v>25.25373716365527</v>
      </c>
    </row>
    <row r="3" spans="1:25" x14ac:dyDescent="0.25">
      <c r="A3" s="4" t="s">
        <v>14</v>
      </c>
      <c r="B3" s="5">
        <v>45536</v>
      </c>
      <c r="C3" s="10" t="s">
        <v>8</v>
      </c>
      <c r="D3" s="6" t="s">
        <v>12</v>
      </c>
      <c r="E3" s="6">
        <v>2024</v>
      </c>
      <c r="F3" s="26">
        <v>468.77</v>
      </c>
      <c r="G3" s="26">
        <v>6.7618400000000003</v>
      </c>
      <c r="H3" s="8">
        <f t="shared" si="0"/>
        <v>649148.82900000003</v>
      </c>
      <c r="I3" s="9">
        <v>635910.42000000004</v>
      </c>
      <c r="J3" s="5">
        <v>45544</v>
      </c>
      <c r="K3" s="12">
        <f t="shared" si="1"/>
        <v>-13238.408999999985</v>
      </c>
      <c r="L3" s="30">
        <f t="shared" si="2"/>
        <v>8</v>
      </c>
      <c r="M3" s="13">
        <f t="shared" si="3"/>
        <v>-2.0393488224254325E-2</v>
      </c>
      <c r="O3" s="43">
        <f t="shared" ref="O3:O11" si="4">G3/15</f>
        <v>0.45078933333333338</v>
      </c>
      <c r="P3" s="40">
        <f>AVERAGE(O2,O3)</f>
        <v>0.74346666666666672</v>
      </c>
      <c r="Q3" s="32">
        <f t="shared" ref="Q3:Q9" si="5">G3*1000/F3</f>
        <v>14.424643215222819</v>
      </c>
    </row>
    <row r="4" spans="1:25" x14ac:dyDescent="0.25">
      <c r="A4" s="4" t="s">
        <v>15</v>
      </c>
      <c r="B4" s="5">
        <v>45551</v>
      </c>
      <c r="C4" s="10" t="s">
        <v>11</v>
      </c>
      <c r="D4" s="6" t="s">
        <v>9</v>
      </c>
      <c r="E4" s="6">
        <v>2024</v>
      </c>
      <c r="F4" s="26">
        <v>571.47</v>
      </c>
      <c r="G4" s="26">
        <v>11.601000000000001</v>
      </c>
      <c r="H4" s="8">
        <f>(F4*1290+G4*2000)*1.05</f>
        <v>798418.21500000008</v>
      </c>
      <c r="I4" s="9">
        <v>782009.26</v>
      </c>
      <c r="J4" s="5">
        <v>45559</v>
      </c>
      <c r="K4" s="12">
        <f t="shared" si="1"/>
        <v>-16408.955000000075</v>
      </c>
      <c r="L4" s="30">
        <f>J4-B4</f>
        <v>8</v>
      </c>
      <c r="M4" s="13">
        <f t="shared" si="3"/>
        <v>-2.0551829469471802E-2</v>
      </c>
      <c r="O4" s="43">
        <f t="shared" si="4"/>
        <v>0.77340000000000009</v>
      </c>
      <c r="P4" s="41"/>
      <c r="Q4" s="32">
        <f t="shared" si="5"/>
        <v>20.300278229828336</v>
      </c>
    </row>
    <row r="5" spans="1:25" x14ac:dyDescent="0.25">
      <c r="A5" s="4" t="s">
        <v>7</v>
      </c>
      <c r="B5" s="5">
        <v>45566</v>
      </c>
      <c r="C5" s="10" t="s">
        <v>8</v>
      </c>
      <c r="D5" s="6" t="s">
        <v>9</v>
      </c>
      <c r="E5" s="6">
        <v>2024</v>
      </c>
      <c r="F5" s="26">
        <v>1054.1199999999999</v>
      </c>
      <c r="G5" s="26">
        <v>21.178000000000001</v>
      </c>
      <c r="H5" s="8">
        <f>(F5*1290+G5*2000)*1.05</f>
        <v>1472279.3399999999</v>
      </c>
      <c r="I5" s="9">
        <v>1442026.27</v>
      </c>
      <c r="J5" s="5">
        <v>45574</v>
      </c>
      <c r="K5" s="12">
        <f t="shared" ref="K5:K8" si="6">I5-H5</f>
        <v>-30253.069999999832</v>
      </c>
      <c r="L5" s="30">
        <f>J5-B5</f>
        <v>8</v>
      </c>
      <c r="M5" s="13">
        <f t="shared" si="3"/>
        <v>-2.0548457876206995E-2</v>
      </c>
      <c r="O5" s="43">
        <f t="shared" si="4"/>
        <v>1.4118666666666668</v>
      </c>
      <c r="P5" s="40">
        <f>AVERAGE(O4,O5)</f>
        <v>1.0926333333333336</v>
      </c>
      <c r="Q5" s="32">
        <f t="shared" si="5"/>
        <v>20.090691761848749</v>
      </c>
    </row>
    <row r="6" spans="1:25" x14ac:dyDescent="0.25">
      <c r="A6" s="4" t="s">
        <v>42</v>
      </c>
      <c r="B6" s="5">
        <v>45580</v>
      </c>
      <c r="C6" s="10" t="s">
        <v>11</v>
      </c>
      <c r="D6" s="6" t="s">
        <v>16</v>
      </c>
      <c r="E6" s="6">
        <v>2024</v>
      </c>
      <c r="F6" s="26">
        <v>1824.2190000000001</v>
      </c>
      <c r="G6" s="26">
        <v>36.89</v>
      </c>
      <c r="H6" s="8">
        <f t="shared" ref="H6:H7" si="7">(F6*1290+G6*2000)*1.05</f>
        <v>2548373.6355000003</v>
      </c>
      <c r="I6" s="9">
        <v>2496004</v>
      </c>
      <c r="J6" s="5">
        <v>45588</v>
      </c>
      <c r="K6" s="12">
        <f t="shared" si="6"/>
        <v>-52369.635500000324</v>
      </c>
      <c r="L6" s="30">
        <f>J6-B6</f>
        <v>8</v>
      </c>
      <c r="M6" s="13">
        <f t="shared" si="3"/>
        <v>-2.055021868475939E-2</v>
      </c>
      <c r="O6" s="43">
        <f t="shared" si="4"/>
        <v>2.4593333333333334</v>
      </c>
      <c r="P6" s="41"/>
      <c r="Q6" s="32">
        <f t="shared" si="5"/>
        <v>20.222352689013764</v>
      </c>
    </row>
    <row r="7" spans="1:25" x14ac:dyDescent="0.25">
      <c r="A7" s="4" t="s">
        <v>44</v>
      </c>
      <c r="B7" s="5">
        <v>45596</v>
      </c>
      <c r="C7" s="10" t="s">
        <v>8</v>
      </c>
      <c r="D7" s="6" t="s">
        <v>16</v>
      </c>
      <c r="E7" s="6">
        <v>2024</v>
      </c>
      <c r="F7" s="26">
        <v>2181.98</v>
      </c>
      <c r="G7" s="26">
        <v>44.055</v>
      </c>
      <c r="H7" s="8">
        <f t="shared" si="7"/>
        <v>3048007.41</v>
      </c>
      <c r="I7" s="9">
        <v>2985366.48</v>
      </c>
      <c r="J7" s="5">
        <v>45608</v>
      </c>
      <c r="K7" s="12">
        <f t="shared" si="6"/>
        <v>-62640.930000000168</v>
      </c>
      <c r="L7" s="30">
        <f>J7-B7-2</f>
        <v>10</v>
      </c>
      <c r="M7" s="13">
        <f t="shared" si="3"/>
        <v>-2.0551436257827262E-2</v>
      </c>
      <c r="O7" s="43">
        <f t="shared" si="4"/>
        <v>2.9369999999999998</v>
      </c>
      <c r="P7" s="40">
        <f>AVERAGE(O6,O7)</f>
        <v>2.6981666666666664</v>
      </c>
      <c r="Q7" s="32">
        <f t="shared" si="5"/>
        <v>20.190377546998597</v>
      </c>
    </row>
    <row r="8" spans="1:25" x14ac:dyDescent="0.25">
      <c r="A8" s="4" t="s">
        <v>47</v>
      </c>
      <c r="B8" s="5">
        <v>45611</v>
      </c>
      <c r="C8" s="10" t="s">
        <v>11</v>
      </c>
      <c r="D8" s="6" t="s">
        <v>17</v>
      </c>
      <c r="E8" s="6">
        <v>2024</v>
      </c>
      <c r="F8" s="26">
        <v>2082.67</v>
      </c>
      <c r="G8" s="26">
        <v>41.914999999999999</v>
      </c>
      <c r="H8" s="8">
        <f>(F8*1380+G8*2000)*1.05</f>
        <v>3105810.33</v>
      </c>
      <c r="I8" s="9">
        <v>3042102.46</v>
      </c>
      <c r="J8" s="5">
        <v>45622</v>
      </c>
      <c r="K8" s="12">
        <f t="shared" si="6"/>
        <v>-63707.870000000112</v>
      </c>
      <c r="L8" s="30">
        <f>J8-B8-2</f>
        <v>9</v>
      </c>
      <c r="M8" s="13">
        <f t="shared" si="3"/>
        <v>-2.0512479266562331E-2</v>
      </c>
      <c r="O8" s="43">
        <f t="shared" si="4"/>
        <v>2.7943333333333333</v>
      </c>
      <c r="P8" s="41"/>
      <c r="Q8" s="32">
        <f t="shared" si="5"/>
        <v>20.125607993585156</v>
      </c>
    </row>
    <row r="9" spans="1:25" x14ac:dyDescent="0.25">
      <c r="A9" s="4" t="s">
        <v>51</v>
      </c>
      <c r="B9" s="5">
        <v>45627</v>
      </c>
      <c r="C9" s="10" t="s">
        <v>8</v>
      </c>
      <c r="D9" s="6" t="s">
        <v>17</v>
      </c>
      <c r="E9" s="6">
        <v>2024</v>
      </c>
      <c r="F9" s="26">
        <v>2176.64</v>
      </c>
      <c r="G9" s="26">
        <v>43.99</v>
      </c>
      <c r="H9" s="8">
        <f t="shared" ref="H9:H17" si="8">(F9*1380+G9*2000)*1.05</f>
        <v>3246330.36</v>
      </c>
      <c r="I9" s="9">
        <v>3179732.91</v>
      </c>
      <c r="J9" s="5">
        <v>45636</v>
      </c>
      <c r="L9" s="30">
        <f>J9-B9-2</f>
        <v>7</v>
      </c>
      <c r="O9" s="43">
        <f t="shared" si="4"/>
        <v>2.932666666666667</v>
      </c>
      <c r="P9" s="40">
        <f>AVERAGE(O8,O9)</f>
        <v>2.8635000000000002</v>
      </c>
      <c r="Q9" s="32">
        <f t="shared" si="5"/>
        <v>20.210048515142606</v>
      </c>
      <c r="S9" s="49">
        <f>O9/5</f>
        <v>0.58653333333333335</v>
      </c>
    </row>
    <row r="10" spans="1:25" x14ac:dyDescent="0.25">
      <c r="A10" s="4"/>
      <c r="B10" s="5"/>
      <c r="C10" s="10" t="s">
        <v>11</v>
      </c>
      <c r="D10" s="6" t="s">
        <v>18</v>
      </c>
      <c r="E10" s="6">
        <v>2024</v>
      </c>
      <c r="F10" s="26"/>
      <c r="G10" s="26"/>
      <c r="H10" s="8">
        <f t="shared" si="8"/>
        <v>0</v>
      </c>
      <c r="I10" s="9"/>
      <c r="J10" s="6"/>
      <c r="O10" s="43">
        <f t="shared" si="4"/>
        <v>0</v>
      </c>
      <c r="Q10" s="32"/>
    </row>
    <row r="11" spans="1:25" x14ac:dyDescent="0.25">
      <c r="A11" s="4"/>
      <c r="B11" s="5"/>
      <c r="C11" s="10" t="s">
        <v>8</v>
      </c>
      <c r="D11" s="6" t="s">
        <v>18</v>
      </c>
      <c r="E11" s="6">
        <v>2024</v>
      </c>
      <c r="F11" s="26"/>
      <c r="G11" s="26"/>
      <c r="H11" s="8">
        <f t="shared" si="8"/>
        <v>0</v>
      </c>
      <c r="I11" s="9"/>
      <c r="J11" s="6"/>
      <c r="O11" s="43">
        <f t="shared" si="4"/>
        <v>0</v>
      </c>
      <c r="Q11" s="32"/>
    </row>
    <row r="12" spans="1:25" x14ac:dyDescent="0.25">
      <c r="A12" s="4"/>
      <c r="B12" s="5"/>
      <c r="C12" s="10" t="s">
        <v>11</v>
      </c>
      <c r="D12" s="6" t="s">
        <v>19</v>
      </c>
      <c r="E12" s="6">
        <v>2025</v>
      </c>
      <c r="F12" s="26"/>
      <c r="G12" s="26"/>
      <c r="H12" s="8">
        <f t="shared" si="8"/>
        <v>0</v>
      </c>
      <c r="I12" s="9"/>
      <c r="J12" s="6"/>
      <c r="O12" s="43"/>
      <c r="X12" s="51"/>
      <c r="Y12" s="51"/>
    </row>
    <row r="13" spans="1:25" x14ac:dyDescent="0.25">
      <c r="A13" s="4"/>
      <c r="B13" s="5"/>
      <c r="C13" s="10" t="s">
        <v>8</v>
      </c>
      <c r="D13" s="6" t="s">
        <v>19</v>
      </c>
      <c r="E13" s="6">
        <v>2025</v>
      </c>
      <c r="F13" s="26"/>
      <c r="G13" s="26"/>
      <c r="H13" s="8">
        <f t="shared" si="8"/>
        <v>0</v>
      </c>
      <c r="I13" s="9"/>
      <c r="J13" s="6"/>
      <c r="O13" s="43"/>
    </row>
    <row r="14" spans="1:25" x14ac:dyDescent="0.25">
      <c r="A14" s="4"/>
      <c r="B14" s="5"/>
      <c r="C14" s="10" t="s">
        <v>11</v>
      </c>
      <c r="D14" s="6" t="s">
        <v>20</v>
      </c>
      <c r="E14" s="6">
        <v>2025</v>
      </c>
      <c r="F14" s="26"/>
      <c r="G14" s="26"/>
      <c r="H14" s="8">
        <f t="shared" si="8"/>
        <v>0</v>
      </c>
      <c r="I14" s="14"/>
      <c r="J14" s="6"/>
      <c r="O14" s="43"/>
      <c r="X14" s="47"/>
      <c r="Y14" s="47"/>
    </row>
    <row r="15" spans="1:25" x14ac:dyDescent="0.25">
      <c r="A15" s="4"/>
      <c r="B15" s="5"/>
      <c r="C15" s="10" t="s">
        <v>8</v>
      </c>
      <c r="D15" s="6" t="s">
        <v>20</v>
      </c>
      <c r="E15" s="6">
        <v>2025</v>
      </c>
      <c r="F15" s="26"/>
      <c r="G15" s="26"/>
      <c r="H15" s="8">
        <f t="shared" si="8"/>
        <v>0</v>
      </c>
      <c r="I15" s="14"/>
      <c r="J15" s="6"/>
      <c r="T15" s="49"/>
      <c r="X15" s="47"/>
      <c r="Y15" s="47"/>
    </row>
    <row r="16" spans="1:25" x14ac:dyDescent="0.25">
      <c r="A16" s="4"/>
      <c r="B16" s="5"/>
      <c r="C16" s="10" t="s">
        <v>11</v>
      </c>
      <c r="D16" s="6" t="s">
        <v>21</v>
      </c>
      <c r="E16" s="6">
        <v>2025</v>
      </c>
      <c r="F16" s="26"/>
      <c r="G16" s="7"/>
      <c r="H16" s="8">
        <f t="shared" si="8"/>
        <v>0</v>
      </c>
      <c r="I16" s="14"/>
      <c r="J16" s="6"/>
      <c r="X16" s="47"/>
      <c r="Y16" s="47"/>
    </row>
    <row r="17" spans="1:25" x14ac:dyDescent="0.25">
      <c r="A17" s="4"/>
      <c r="B17" s="5"/>
      <c r="C17" s="10" t="s">
        <v>8</v>
      </c>
      <c r="D17" s="6" t="s">
        <v>21</v>
      </c>
      <c r="E17" s="6">
        <v>2025</v>
      </c>
      <c r="F17" s="26"/>
      <c r="G17" s="7"/>
      <c r="H17" s="8">
        <f t="shared" si="8"/>
        <v>0</v>
      </c>
      <c r="I17" s="14"/>
      <c r="J17" s="6"/>
      <c r="X17" s="47"/>
      <c r="Y17" s="47"/>
    </row>
    <row r="18" spans="1:25" s="1" customFormat="1" x14ac:dyDescent="0.25">
      <c r="A18" s="16" t="s">
        <v>22</v>
      </c>
      <c r="B18" s="17" t="s">
        <v>23</v>
      </c>
      <c r="C18" s="17"/>
      <c r="D18" s="17"/>
      <c r="E18" s="17"/>
      <c r="F18" s="27">
        <f>SUM(F2:F17)</f>
        <v>10975.308999999999</v>
      </c>
      <c r="G18" s="17">
        <f t="shared" ref="G18:I18" si="9">SUM(G2:G17)</f>
        <v>221.93299999999999</v>
      </c>
      <c r="H18" s="18">
        <f t="shared" si="9"/>
        <v>15734620.135500001</v>
      </c>
      <c r="I18" s="18">
        <f t="shared" si="9"/>
        <v>15411483.789999999</v>
      </c>
      <c r="J18" s="19"/>
      <c r="L18" s="31"/>
      <c r="O18" s="45"/>
      <c r="Q18" s="31"/>
    </row>
    <row r="20" spans="1:25" x14ac:dyDescent="0.25">
      <c r="H20" s="11"/>
      <c r="I20" s="11"/>
    </row>
    <row r="21" spans="1:25" ht="30" customHeight="1" x14ac:dyDescent="0.25">
      <c r="G21" s="50" t="s">
        <v>50</v>
      </c>
      <c r="H21" s="50"/>
      <c r="I21" s="50"/>
      <c r="J21" s="50"/>
    </row>
    <row r="22" spans="1:25" ht="45" x14ac:dyDescent="0.25">
      <c r="F22" s="6"/>
      <c r="G22" s="3" t="s">
        <v>49</v>
      </c>
      <c r="H22" s="3" t="s">
        <v>41</v>
      </c>
      <c r="I22" s="3" t="s">
        <v>46</v>
      </c>
      <c r="J22" s="3" t="s">
        <v>54</v>
      </c>
    </row>
    <row r="23" spans="1:25" x14ac:dyDescent="0.25">
      <c r="F23" s="17" t="s">
        <v>28</v>
      </c>
      <c r="G23" s="46">
        <f>G2+G3</f>
        <v>22.304000000000002</v>
      </c>
      <c r="H23" s="46">
        <f>G23/0.87</f>
        <v>25.636781609195406</v>
      </c>
      <c r="I23" s="46">
        <f>G23/31</f>
        <v>0.71948387096774202</v>
      </c>
      <c r="J23" s="48">
        <f>(H2+H3)/10^5</f>
        <v>15.154008450000003</v>
      </c>
      <c r="P23">
        <f>24*1.4*1.18</f>
        <v>39.647999999999989</v>
      </c>
    </row>
    <row r="24" spans="1:25" x14ac:dyDescent="0.25">
      <c r="F24" s="17" t="s">
        <v>29</v>
      </c>
      <c r="G24" s="46">
        <f>G4+G5</f>
        <v>32.779000000000003</v>
      </c>
      <c r="H24" s="46">
        <f t="shared" ref="H24:H25" si="10">G24/0.87</f>
        <v>37.677011494252881</v>
      </c>
      <c r="I24" s="46">
        <f>G24/30</f>
        <v>1.0926333333333333</v>
      </c>
      <c r="J24" s="48">
        <f>(H4+H5)/10^5</f>
        <v>22.706975549999996</v>
      </c>
    </row>
    <row r="25" spans="1:25" x14ac:dyDescent="0.25">
      <c r="F25" s="17" t="s">
        <v>45</v>
      </c>
      <c r="G25" s="46">
        <f>G6+G7</f>
        <v>80.944999999999993</v>
      </c>
      <c r="H25" s="46">
        <f t="shared" si="10"/>
        <v>93.040229885057471</v>
      </c>
      <c r="I25" s="46">
        <f>G25/31</f>
        <v>2.6111290322580643</v>
      </c>
      <c r="J25" s="48">
        <f>(H6+H7)/10^5</f>
        <v>55.963810455000008</v>
      </c>
    </row>
    <row r="26" spans="1:25" x14ac:dyDescent="0.25">
      <c r="F26" s="17" t="s">
        <v>53</v>
      </c>
      <c r="G26" s="46">
        <f>G8+G9</f>
        <v>85.905000000000001</v>
      </c>
      <c r="H26" s="46"/>
      <c r="I26" s="46">
        <f>G26/15</f>
        <v>5.7270000000000003</v>
      </c>
      <c r="J26" s="48">
        <f>(H9+H8)/10^5</f>
        <v>63.521406899999995</v>
      </c>
    </row>
    <row r="27" spans="1:25" ht="15.75" thickBot="1" x14ac:dyDescent="0.3">
      <c r="F27" s="53" t="s">
        <v>23</v>
      </c>
      <c r="G27" s="54">
        <f>SUM(G23:G26)</f>
        <v>221.93299999999999</v>
      </c>
      <c r="H27" s="53"/>
      <c r="I27" s="53"/>
      <c r="J27" s="54">
        <f>SUM(J23:J26)</f>
        <v>157.34620135500001</v>
      </c>
    </row>
    <row r="28" spans="1:25" ht="45" hidden="1" x14ac:dyDescent="0.25">
      <c r="F28" s="25"/>
      <c r="G28" s="25" t="s">
        <v>33</v>
      </c>
      <c r="H28" s="25" t="s">
        <v>34</v>
      </c>
      <c r="I28" s="25" t="s">
        <v>35</v>
      </c>
      <c r="J28" s="52">
        <f t="shared" ref="J28:J37" si="11">(H7+H8)/10^5</f>
        <v>61.538177400000002</v>
      </c>
    </row>
    <row r="29" spans="1:25" hidden="1" x14ac:dyDescent="0.25">
      <c r="F29" s="20" t="s">
        <v>30</v>
      </c>
      <c r="G29" s="20">
        <v>22</v>
      </c>
      <c r="H29" s="21">
        <f>(G29*1000/20*1290+G29*1000*2)/10^7</f>
        <v>0.14630000000000001</v>
      </c>
      <c r="I29" s="22">
        <f>I23/5</f>
        <v>0.1438967741935484</v>
      </c>
      <c r="J29" s="46">
        <f t="shared" si="11"/>
        <v>63.521406899999995</v>
      </c>
    </row>
    <row r="30" spans="1:25" hidden="1" x14ac:dyDescent="0.25">
      <c r="F30" s="20" t="s">
        <v>31</v>
      </c>
      <c r="G30" s="20">
        <v>32</v>
      </c>
      <c r="H30" s="21">
        <f t="shared" ref="H30:H36" si="12">(G30*1000/20*1290+G30*1000*2)/10^7</f>
        <v>0.21279999999999999</v>
      </c>
      <c r="I30" s="22">
        <f>I24/5</f>
        <v>0.21852666666666667</v>
      </c>
      <c r="J30" s="46">
        <f t="shared" si="11"/>
        <v>32.463303599999996</v>
      </c>
    </row>
    <row r="31" spans="1:25" hidden="1" x14ac:dyDescent="0.25">
      <c r="F31" s="20" t="s">
        <v>32</v>
      </c>
      <c r="G31" s="33">
        <f>G25</f>
        <v>80.944999999999993</v>
      </c>
      <c r="H31" s="21">
        <f t="shared" si="12"/>
        <v>0.53828425000000002</v>
      </c>
      <c r="I31" s="22">
        <f>I25/5</f>
        <v>0.52222580645161287</v>
      </c>
      <c r="J31" s="46">
        <f t="shared" si="11"/>
        <v>0</v>
      </c>
    </row>
    <row r="32" spans="1:25" hidden="1" x14ac:dyDescent="0.25">
      <c r="F32" s="34" t="s">
        <v>36</v>
      </c>
      <c r="G32" s="34">
        <v>110</v>
      </c>
      <c r="H32" s="35">
        <f t="shared" si="12"/>
        <v>0.73150000000000004</v>
      </c>
      <c r="I32" s="36">
        <f t="shared" ref="I32:I36" si="13">G32/5/30</f>
        <v>0.73333333333333328</v>
      </c>
      <c r="J32" s="46">
        <f t="shared" si="11"/>
        <v>0</v>
      </c>
    </row>
    <row r="33" spans="6:10" hidden="1" x14ac:dyDescent="0.25">
      <c r="F33" s="34" t="s">
        <v>37</v>
      </c>
      <c r="G33" s="34">
        <v>125</v>
      </c>
      <c r="H33" s="35">
        <f t="shared" si="12"/>
        <v>0.83125000000000004</v>
      </c>
      <c r="I33" s="36">
        <f t="shared" si="13"/>
        <v>0.83333333333333337</v>
      </c>
      <c r="J33" s="46">
        <f t="shared" si="11"/>
        <v>0</v>
      </c>
    </row>
    <row r="34" spans="6:10" hidden="1" x14ac:dyDescent="0.25">
      <c r="F34" s="34" t="s">
        <v>38</v>
      </c>
      <c r="G34" s="34">
        <v>140</v>
      </c>
      <c r="H34" s="35">
        <f t="shared" si="12"/>
        <v>0.93100000000000005</v>
      </c>
      <c r="I34" s="36">
        <f t="shared" si="13"/>
        <v>0.93333333333333335</v>
      </c>
      <c r="J34" s="46">
        <f t="shared" si="11"/>
        <v>0</v>
      </c>
    </row>
    <row r="35" spans="6:10" hidden="1" x14ac:dyDescent="0.25">
      <c r="F35" s="34" t="s">
        <v>39</v>
      </c>
      <c r="G35" s="34">
        <v>150</v>
      </c>
      <c r="H35" s="35">
        <f t="shared" si="12"/>
        <v>0.99750000000000005</v>
      </c>
      <c r="I35" s="36">
        <f t="shared" si="13"/>
        <v>1</v>
      </c>
      <c r="J35" s="46">
        <f t="shared" si="11"/>
        <v>0</v>
      </c>
    </row>
    <row r="36" spans="6:10" hidden="1" x14ac:dyDescent="0.25">
      <c r="F36" s="37" t="s">
        <v>40</v>
      </c>
      <c r="G36" s="37">
        <v>150</v>
      </c>
      <c r="H36" s="38">
        <f t="shared" si="12"/>
        <v>0.99750000000000005</v>
      </c>
      <c r="I36" s="39">
        <f t="shared" si="13"/>
        <v>1</v>
      </c>
      <c r="J36" s="46">
        <f t="shared" si="11"/>
        <v>0</v>
      </c>
    </row>
    <row r="37" spans="6:10" hidden="1" x14ac:dyDescent="0.25">
      <c r="G37" s="23" t="s">
        <v>23</v>
      </c>
      <c r="H37" s="24">
        <f>SUM(H29:H36)</f>
        <v>5.3861342500000013</v>
      </c>
      <c r="J37" s="46">
        <f t="shared" si="11"/>
        <v>0</v>
      </c>
    </row>
    <row r="38" spans="6:10" ht="15.75" thickTop="1" x14ac:dyDescent="0.25">
      <c r="J38" s="46"/>
    </row>
    <row r="39" spans="6:10" x14ac:dyDescent="0.25">
      <c r="J39" s="46"/>
    </row>
  </sheetData>
  <mergeCells count="2">
    <mergeCell ref="G21:J21"/>
    <mergeCell ref="X12:Y12"/>
  </mergeCells>
  <phoneticPr fontId="3" type="noConversion"/>
  <conditionalFormatting sqref="I2:I17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Madaan</dc:creator>
  <cp:lastModifiedBy>Rahul Madaan</cp:lastModifiedBy>
  <dcterms:created xsi:type="dcterms:W3CDTF">2015-06-05T18:17:20Z</dcterms:created>
  <dcterms:modified xsi:type="dcterms:W3CDTF">2024-12-10T09:44:31Z</dcterms:modified>
</cp:coreProperties>
</file>