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Yash Bhatnagar\Birla Cable Rewa MP\"/>
    </mc:Choice>
  </mc:AlternateContent>
  <bookViews>
    <workbookView xWindow="0" yWindow="0" windowWidth="21600" windowHeight="9735" activeTab="1"/>
  </bookViews>
  <sheets>
    <sheet name="final valuation" sheetId="5" r:id="rId1"/>
    <sheet name=" Value" sheetId="4" r:id="rId2"/>
    <sheet name="Sheet1" sheetId="6" r:id="rId3"/>
  </sheets>
  <definedNames>
    <definedName name="_xlnm._FilterDatabase" localSheetId="0" hidden="1">'final valuation'!$B$3:$T$33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J10" i="4"/>
  <c r="F32" i="6" l="1"/>
  <c r="F29" i="6"/>
  <c r="F13" i="6"/>
  <c r="F11" i="6"/>
  <c r="F10" i="6"/>
  <c r="F8" i="6"/>
  <c r="F4" i="6"/>
  <c r="N12" i="4"/>
  <c r="J9" i="4"/>
  <c r="J6" i="4"/>
  <c r="J7" i="4"/>
  <c r="J5" i="4"/>
  <c r="K39" i="5"/>
  <c r="K27" i="5"/>
  <c r="N27" i="5"/>
  <c r="K28" i="5"/>
  <c r="N28" i="5"/>
  <c r="P28" i="5"/>
  <c r="G28" i="5"/>
  <c r="F27" i="5"/>
  <c r="G27" i="5" s="1"/>
  <c r="P27" i="5" s="1"/>
  <c r="D16" i="4"/>
  <c r="D15" i="4"/>
  <c r="D13" i="4"/>
  <c r="F7" i="4"/>
  <c r="D3" i="4"/>
  <c r="D5" i="4" s="1"/>
  <c r="D7" i="4" s="1"/>
  <c r="D8" i="4" s="1"/>
  <c r="D10" i="4" s="1"/>
  <c r="J12" i="4" l="1"/>
  <c r="Q28" i="5"/>
  <c r="R28" i="5" s="1"/>
  <c r="T28" i="5" s="1"/>
  <c r="Q27" i="5"/>
  <c r="R27" i="5" s="1"/>
  <c r="T27" i="5" s="1"/>
  <c r="F29" i="5"/>
  <c r="N26" i="5"/>
  <c r="K26" i="5"/>
  <c r="G26" i="5"/>
  <c r="P26" i="5" s="1"/>
  <c r="N25" i="5"/>
  <c r="K25" i="5"/>
  <c r="G25" i="5"/>
  <c r="P25" i="5" s="1"/>
  <c r="N24" i="5"/>
  <c r="K24" i="5"/>
  <c r="G24" i="5"/>
  <c r="P24" i="5" s="1"/>
  <c r="N23" i="5"/>
  <c r="K23" i="5"/>
  <c r="G23" i="5"/>
  <c r="P23" i="5" s="1"/>
  <c r="N22" i="5"/>
  <c r="K22" i="5"/>
  <c r="G22" i="5"/>
  <c r="P22" i="5" s="1"/>
  <c r="N21" i="5"/>
  <c r="K21" i="5"/>
  <c r="G21" i="5"/>
  <c r="P21" i="5" s="1"/>
  <c r="N20" i="5"/>
  <c r="K20" i="5"/>
  <c r="G20" i="5"/>
  <c r="P20" i="5" s="1"/>
  <c r="N19" i="5"/>
  <c r="K19" i="5"/>
  <c r="G19" i="5"/>
  <c r="P19" i="5" s="1"/>
  <c r="N18" i="5"/>
  <c r="K18" i="5"/>
  <c r="G18" i="5"/>
  <c r="P18" i="5" s="1"/>
  <c r="N17" i="5"/>
  <c r="K17" i="5"/>
  <c r="G17" i="5"/>
  <c r="P17" i="5" s="1"/>
  <c r="N16" i="5"/>
  <c r="K16" i="5"/>
  <c r="G16" i="5"/>
  <c r="P16" i="5" s="1"/>
  <c r="N15" i="5"/>
  <c r="K15" i="5"/>
  <c r="G15" i="5"/>
  <c r="P15" i="5" s="1"/>
  <c r="N14" i="5"/>
  <c r="K14" i="5"/>
  <c r="G14" i="5"/>
  <c r="P14" i="5" s="1"/>
  <c r="N13" i="5"/>
  <c r="K13" i="5"/>
  <c r="G13" i="5"/>
  <c r="P13" i="5" s="1"/>
  <c r="N12" i="5"/>
  <c r="K12" i="5"/>
  <c r="G12" i="5"/>
  <c r="P12" i="5" s="1"/>
  <c r="N11" i="5"/>
  <c r="K11" i="5"/>
  <c r="G11" i="5"/>
  <c r="P11" i="5" s="1"/>
  <c r="N10" i="5"/>
  <c r="K10" i="5"/>
  <c r="G10" i="5"/>
  <c r="P10" i="5" s="1"/>
  <c r="N9" i="5"/>
  <c r="K9" i="5"/>
  <c r="G9" i="5"/>
  <c r="P9" i="5" s="1"/>
  <c r="N8" i="5"/>
  <c r="K8" i="5"/>
  <c r="G8" i="5"/>
  <c r="P8" i="5" s="1"/>
  <c r="N7" i="5"/>
  <c r="K7" i="5"/>
  <c r="G7" i="5"/>
  <c r="P7" i="5" s="1"/>
  <c r="N6" i="5"/>
  <c r="K6" i="5"/>
  <c r="G6" i="5"/>
  <c r="P6" i="5" s="1"/>
  <c r="N5" i="5"/>
  <c r="K5" i="5"/>
  <c r="G5" i="5"/>
  <c r="P5" i="5" s="1"/>
  <c r="N4" i="5"/>
  <c r="K4" i="5"/>
  <c r="G4" i="5"/>
  <c r="P4" i="5" s="1"/>
  <c r="P29" i="5" l="1"/>
  <c r="Q5" i="5"/>
  <c r="R5" i="5" s="1"/>
  <c r="T5" i="5" s="1"/>
  <c r="Q25" i="5"/>
  <c r="R25" i="5" s="1"/>
  <c r="Q13" i="5"/>
  <c r="R13" i="5" s="1"/>
  <c r="T13" i="5" s="1"/>
  <c r="Q17" i="5"/>
  <c r="R17" i="5" s="1"/>
  <c r="T17" i="5" s="1"/>
  <c r="Q15" i="5"/>
  <c r="R15" i="5" s="1"/>
  <c r="T15" i="5" s="1"/>
  <c r="Q7" i="5"/>
  <c r="R7" i="5" s="1"/>
  <c r="T7" i="5" s="1"/>
  <c r="Q11" i="5"/>
  <c r="R11" i="5" s="1"/>
  <c r="T11" i="5" s="1"/>
  <c r="Q19" i="5"/>
  <c r="R19" i="5" s="1"/>
  <c r="T19" i="5" s="1"/>
  <c r="Q22" i="5"/>
  <c r="R22" i="5" s="1"/>
  <c r="T22" i="5" s="1"/>
  <c r="Q4" i="5"/>
  <c r="R4" i="5" s="1"/>
  <c r="Q10" i="5"/>
  <c r="R10" i="5" s="1"/>
  <c r="T10" i="5" s="1"/>
  <c r="Q12" i="5"/>
  <c r="R12" i="5" s="1"/>
  <c r="T12" i="5" s="1"/>
  <c r="Q20" i="5"/>
  <c r="R20" i="5" s="1"/>
  <c r="T20" i="5" s="1"/>
  <c r="Q23" i="5"/>
  <c r="R23" i="5" s="1"/>
  <c r="T23" i="5" s="1"/>
  <c r="G29" i="5"/>
  <c r="Q9" i="5"/>
  <c r="R9" i="5" s="1"/>
  <c r="T9" i="5" s="1"/>
  <c r="Q24" i="5"/>
  <c r="R24" i="5" s="1"/>
  <c r="T24" i="5" s="1"/>
  <c r="Q6" i="5"/>
  <c r="R6" i="5" s="1"/>
  <c r="T6" i="5" s="1"/>
  <c r="Q8" i="5"/>
  <c r="R8" i="5" s="1"/>
  <c r="T8" i="5" s="1"/>
  <c r="Q14" i="5"/>
  <c r="R14" i="5" s="1"/>
  <c r="T14" i="5" s="1"/>
  <c r="Q16" i="5"/>
  <c r="R16" i="5" s="1"/>
  <c r="T16" i="5" s="1"/>
  <c r="Q18" i="5"/>
  <c r="R18" i="5" s="1"/>
  <c r="T18" i="5" s="1"/>
  <c r="Q21" i="5"/>
  <c r="R21" i="5" s="1"/>
  <c r="T21" i="5" s="1"/>
  <c r="Q26" i="5"/>
  <c r="R26" i="5" s="1"/>
  <c r="T26" i="5" s="1"/>
  <c r="T25" i="5" l="1"/>
  <c r="R29" i="5"/>
  <c r="T4" i="5"/>
  <c r="T29" i="5" l="1"/>
  <c r="J13" i="4" s="1"/>
  <c r="J14" i="4" s="1"/>
  <c r="J18" i="4" l="1"/>
  <c r="J17" i="4"/>
</calcChain>
</file>

<file path=xl/sharedStrings.xml><?xml version="1.0" encoding="utf-8"?>
<sst xmlns="http://schemas.openxmlformats.org/spreadsheetml/2006/main" count="150" uniqueCount="98">
  <si>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</si>
  <si>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</si>
  <si>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</si>
  <si>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</si>
  <si>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</si>
  <si>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</si>
  <si>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</si>
  <si>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</si>
  <si>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</si>
  <si>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</si>
  <si>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</si>
  <si>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</si>
  <si>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</si>
  <si>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</si>
  <si>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</si>
  <si>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</si>
  <si>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t>MARKET VALUE OF STRUCTURES</t>
  </si>
  <si>
    <t xml:space="preserve">Deterioration Factor
(INR) </t>
  </si>
  <si>
    <t>RCC Structure</t>
  </si>
  <si>
    <t>Time Office Building</t>
  </si>
  <si>
    <t>Ground +1 floors</t>
  </si>
  <si>
    <t>Ground +2 floors</t>
  </si>
  <si>
    <t>Ground+1 floors</t>
  </si>
  <si>
    <t>Ground+1 Floors</t>
  </si>
  <si>
    <t>Ground +1 Floors</t>
  </si>
  <si>
    <t>Tank</t>
  </si>
  <si>
    <t>Ground+2 Floors</t>
  </si>
  <si>
    <t>Discounting/Appreciation Factor</t>
  </si>
  <si>
    <r>
      <t xml:space="preserve">Area 
</t>
    </r>
    <r>
      <rPr>
        <b/>
        <i/>
        <sz val="10"/>
        <rFont val="Calibri"/>
        <family val="2"/>
        <scheme val="minor"/>
      </rPr>
      <t>(in sq ft)</t>
    </r>
  </si>
  <si>
    <t>Remarks:-</t>
  </si>
  <si>
    <t>3. the valuation of the structure is done on the basis of "Depriciated Replacement cost Approach"</t>
  </si>
  <si>
    <t>S. No.</t>
  </si>
  <si>
    <r>
      <t xml:space="preserve">Adopted Plinth Area  Rate 
</t>
    </r>
    <r>
      <rPr>
        <b/>
        <i/>
        <sz val="10"/>
        <rFont val="Calibri"/>
        <family val="2"/>
        <scheme val="minor"/>
      </rPr>
      <t>(In per sq ft)</t>
    </r>
  </si>
  <si>
    <t>A.C/ Non A.C Plant I &amp;II</t>
  </si>
  <si>
    <t>50-60</t>
  </si>
  <si>
    <t>Service block no. 1</t>
  </si>
  <si>
    <t>Raw Material/ Stores Godown</t>
  </si>
  <si>
    <t>Plant Building III</t>
  </si>
  <si>
    <t>Extension I</t>
  </si>
  <si>
    <t>Toilet Bolck</t>
  </si>
  <si>
    <t>Garrage</t>
  </si>
  <si>
    <t>Security Post</t>
  </si>
  <si>
    <t>Extension II</t>
  </si>
  <si>
    <t>Extension III</t>
  </si>
  <si>
    <t>Service block No. II</t>
  </si>
  <si>
    <t>Dispensery</t>
  </si>
  <si>
    <t>Main Plant Building No. 3 Extension No. V</t>
  </si>
  <si>
    <t>Main Plant Building No. 1 Extension No. IV</t>
  </si>
  <si>
    <t>Main Plant Building No. 1 Extension No. V</t>
  </si>
  <si>
    <t>Raw Material Stores Shed</t>
  </si>
  <si>
    <t>Admin Block</t>
  </si>
  <si>
    <t>Expansion of plant &amp; Packing Shed</t>
  </si>
  <si>
    <t>Copper Plant</t>
  </si>
  <si>
    <t>Shed Structure</t>
  </si>
  <si>
    <t>RM Storage</t>
  </si>
  <si>
    <t xml:space="preserve">Packing Shed </t>
  </si>
  <si>
    <t>Area</t>
  </si>
  <si>
    <t>Rate</t>
  </si>
  <si>
    <t>disc rate</t>
  </si>
  <si>
    <t>Land value</t>
  </si>
  <si>
    <t>GV</t>
  </si>
  <si>
    <t>rate</t>
  </si>
  <si>
    <t>2. The area for the structures is adopted as per the map provided and is cross verified through sample measurement during the site visit</t>
  </si>
  <si>
    <t xml:space="preserve">1. All the structures mentioned above belong to M/s Birla Cable Ltd. situated at  Industrial Land, Udhyog Vihar, Rewa </t>
  </si>
  <si>
    <t>build</t>
  </si>
  <si>
    <t>FMV</t>
  </si>
  <si>
    <t>RV</t>
  </si>
  <si>
    <t>DV</t>
  </si>
  <si>
    <t>Copper cable plant No. 3</t>
  </si>
  <si>
    <t>Extension</t>
  </si>
  <si>
    <t>pump house</t>
  </si>
  <si>
    <t>Export Paching Shed</t>
  </si>
  <si>
    <t>Copper Cable Plant</t>
  </si>
  <si>
    <t>Time office</t>
  </si>
  <si>
    <t>Main Plant Building</t>
  </si>
  <si>
    <t>Office</t>
  </si>
  <si>
    <t>DG set</t>
  </si>
  <si>
    <t>pump house WTP</t>
  </si>
  <si>
    <t>ProposedRM Storage</t>
  </si>
  <si>
    <t>Rm storage</t>
  </si>
  <si>
    <t>Dispensory</t>
  </si>
  <si>
    <t>RM storage shed</t>
  </si>
  <si>
    <t>plant no. 4</t>
  </si>
  <si>
    <t>LT room</t>
  </si>
  <si>
    <t>sub station</t>
  </si>
  <si>
    <t xml:space="preserve">toilet </t>
  </si>
  <si>
    <t>S. no</t>
  </si>
  <si>
    <t>Document</t>
  </si>
  <si>
    <t xml:space="preserve">Dated </t>
  </si>
  <si>
    <t>Lease Peroid</t>
  </si>
  <si>
    <t>Lease Deed</t>
  </si>
  <si>
    <t>Amended Lease Deed</t>
  </si>
  <si>
    <t>Lessee</t>
  </si>
  <si>
    <t>Area (hect.)</t>
  </si>
  <si>
    <t>M/s. Birla Ericsson Optical Ltd.</t>
  </si>
  <si>
    <t>M/s. Birla Cable Ltd.</t>
  </si>
  <si>
    <t>99 years commencing from the date of handing over its possession</t>
  </si>
  <si>
    <t>99 years commenced from 10/09/1993 to 09/09/2092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</si>
</sst>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* #,##0.0_ ;_ * \-#,##0.0_ ;_ * &quot;-&quot;??_ ;_ @_ "/>
    <numFmt numFmtId="168" formatCode="0.0"/>
    <numFmt numFmtId="169" formatCode="_ * #,##0_ ;_ * \-#,##0_ ;_ * &quot;-&quot;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4" fontId="0" fillId="0" borderId="0" xfId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1" fillId="0" borderId="0" xfId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3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167" fontId="0" fillId="0" borderId="0" xfId="3" applyNumberFormat="1" applyFont="1"/>
    <xf numFmtId="164" fontId="0" fillId="0" borderId="0" xfId="3" applyNumberFormat="1" applyFont="1"/>
    <xf numFmtId="169" fontId="0" fillId="0" borderId="0" xfId="0" applyNumberFormat="1"/>
    <xf numFmtId="164" fontId="0" fillId="0" borderId="1" xfId="3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2" fillId="0" borderId="1" xfId="3" applyFont="1" applyBorder="1"/>
    <xf numFmtId="0" fontId="11" fillId="0" borderId="0" xfId="0" applyFont="1" applyAlignment="1">
      <alignment vertical="center"/>
    </xf>
    <xf numFmtId="2" fontId="0" fillId="0" borderId="0" xfId="0" applyNumberFormat="1"/>
    <xf numFmtId="0" fontId="9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9"/>
  <sheetViews>
    <sheetView topLeftCell="A11" workbookViewId="0">
      <selection activeCell="L25" sqref="L25"/>
    </sheetView>
  </sheetViews>
  <sheetFormatPr defaultRowHeight="15" x14ac:dyDescent="0.25"/>
  <cols>
    <col min="2" max="2" width="5" customWidth="1"/>
    <col min="3" max="3" width="17.28515625" hidden="1" customWidth="1"/>
    <col min="4" max="4" width="25.28515625" style="16" customWidth="1"/>
    <col min="5" max="5" width="16.28515625" style="35" bestFit="1" customWidth="1"/>
    <col min="6" max="6" width="11" hidden="1" customWidth="1"/>
    <col min="7" max="7" width="10" bestFit="1" customWidth="1"/>
    <col min="8" max="8" width="6.85546875" customWidth="1"/>
    <col min="9" max="9" width="9.140625" customWidth="1"/>
    <col min="10" max="10" width="9.140625" hidden="1" customWidth="1"/>
    <col min="11" max="11" width="11.5703125" hidden="1" customWidth="1"/>
    <col min="12" max="12" width="10" customWidth="1"/>
    <col min="13" max="13" width="7.85546875" hidden="1" customWidth="1"/>
    <col min="14" max="14" width="12.42578125" hidden="1" customWidth="1"/>
    <col min="15" max="15" width="11.42578125" customWidth="1"/>
    <col min="16" max="16" width="14.28515625" customWidth="1"/>
    <col min="17" max="17" width="15.42578125" hidden="1" customWidth="1"/>
    <col min="18" max="18" width="13.140625" hidden="1" customWidth="1"/>
    <col min="19" max="19" width="11.42578125" hidden="1" customWidth="1"/>
    <col min="20" max="20" width="17.5703125" customWidth="1"/>
    <col min="21" max="21" width="12" bestFit="1" customWidth="1"/>
    <col min="22" max="23" width="14.28515625" bestFit="1" customWidth="1"/>
  </cols>
  <sheetData>
    <row r="2" spans="2:23" ht="15.75" x14ac:dyDescent="0.25">
      <c r="B2" s="40" t="s">
        <v>16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2:23" s="10" customFormat="1" ht="60" x14ac:dyDescent="0.25">
      <c r="B3" s="8" t="s">
        <v>31</v>
      </c>
      <c r="C3" s="8" t="s">
        <v>0</v>
      </c>
      <c r="D3" s="9" t="s">
        <v>10</v>
      </c>
      <c r="E3" s="9" t="s">
        <v>4</v>
      </c>
      <c r="F3" s="9" t="s">
        <v>12</v>
      </c>
      <c r="G3" s="9" t="s">
        <v>28</v>
      </c>
      <c r="H3" s="9" t="s">
        <v>13</v>
      </c>
      <c r="I3" s="9" t="s">
        <v>2</v>
      </c>
      <c r="J3" s="9" t="s">
        <v>3</v>
      </c>
      <c r="K3" s="9" t="s">
        <v>14</v>
      </c>
      <c r="L3" s="9" t="s">
        <v>15</v>
      </c>
      <c r="M3" s="9" t="s">
        <v>5</v>
      </c>
      <c r="N3" s="9" t="s">
        <v>7</v>
      </c>
      <c r="O3" s="9" t="s">
        <v>32</v>
      </c>
      <c r="P3" s="9" t="s">
        <v>11</v>
      </c>
      <c r="Q3" s="9" t="s">
        <v>17</v>
      </c>
      <c r="R3" s="9" t="s">
        <v>8</v>
      </c>
      <c r="S3" s="9" t="s">
        <v>27</v>
      </c>
      <c r="T3" s="9" t="s">
        <v>9</v>
      </c>
    </row>
    <row r="4" spans="2:23" x14ac:dyDescent="0.25">
      <c r="B4" s="2">
        <v>1</v>
      </c>
      <c r="C4" s="2" t="s">
        <v>1</v>
      </c>
      <c r="D4" s="15" t="s">
        <v>33</v>
      </c>
      <c r="E4" s="11" t="s">
        <v>18</v>
      </c>
      <c r="F4" s="5">
        <v>7034</v>
      </c>
      <c r="G4" s="5">
        <f>F4*10.7639</f>
        <v>75713.272599999997</v>
      </c>
      <c r="H4" s="2">
        <v>30</v>
      </c>
      <c r="I4" s="2">
        <v>1993</v>
      </c>
      <c r="J4" s="2">
        <v>2024</v>
      </c>
      <c r="K4" s="2">
        <f>J4-I4</f>
        <v>31</v>
      </c>
      <c r="L4" s="2">
        <v>45</v>
      </c>
      <c r="M4" s="3">
        <v>0.05</v>
      </c>
      <c r="N4" s="4">
        <f>(1-M4)/L4</f>
        <v>2.1111111111111112E-2</v>
      </c>
      <c r="O4" s="2">
        <v>1700</v>
      </c>
      <c r="P4" s="33">
        <f>O4*G4</f>
        <v>128712563.41999999</v>
      </c>
      <c r="Q4" s="33">
        <f t="shared" ref="Q4:Q26" si="0">P4*N4*K4</f>
        <v>84235222.060422212</v>
      </c>
      <c r="R4" s="33">
        <f t="shared" ref="R4:R25" si="1">MAX(P4-Q4,0)</f>
        <v>44477341.359577775</v>
      </c>
      <c r="S4" s="6">
        <v>0</v>
      </c>
      <c r="T4" s="33">
        <f>IF(R4&gt;M4*P4,R4*(1+S4),P4*M4)</f>
        <v>44477341.359577775</v>
      </c>
      <c r="U4" s="7"/>
      <c r="V4" s="1"/>
      <c r="W4" s="1"/>
    </row>
    <row r="5" spans="2:23" x14ac:dyDescent="0.25">
      <c r="B5" s="2">
        <v>2</v>
      </c>
      <c r="C5" s="2" t="s">
        <v>1</v>
      </c>
      <c r="D5" s="15" t="s">
        <v>35</v>
      </c>
      <c r="E5" s="11" t="s">
        <v>18</v>
      </c>
      <c r="F5" s="5">
        <v>598.70000000000005</v>
      </c>
      <c r="G5" s="5">
        <f t="shared" ref="G5:G25" si="2">F5*10.7639</f>
        <v>6444.3469300000006</v>
      </c>
      <c r="H5" s="2">
        <v>15</v>
      </c>
      <c r="I5" s="2">
        <v>1994</v>
      </c>
      <c r="J5" s="2">
        <v>2024</v>
      </c>
      <c r="K5" s="2">
        <f t="shared" ref="K5:K25" si="3">J5-I5</f>
        <v>30</v>
      </c>
      <c r="L5" s="2">
        <v>60</v>
      </c>
      <c r="M5" s="3">
        <v>0.05</v>
      </c>
      <c r="N5" s="4">
        <f t="shared" ref="N5:N25" si="4">(1-M5)/L5</f>
        <v>1.5833333333333331E-2</v>
      </c>
      <c r="O5" s="2">
        <v>1500</v>
      </c>
      <c r="P5" s="33">
        <f t="shared" ref="P5:P25" si="5">O5*G5</f>
        <v>9666520.3950000014</v>
      </c>
      <c r="Q5" s="33">
        <f t="shared" si="0"/>
        <v>4591597.1876250003</v>
      </c>
      <c r="R5" s="33">
        <f t="shared" si="1"/>
        <v>5074923.2073750012</v>
      </c>
      <c r="S5" s="6">
        <v>0</v>
      </c>
      <c r="T5" s="33">
        <f>IF(R5&gt;M5*P5,R5*(1-S5),P5*M5)</f>
        <v>5074923.2073750012</v>
      </c>
      <c r="U5" s="7"/>
      <c r="V5" s="1"/>
      <c r="W5" s="1"/>
    </row>
    <row r="6" spans="2:23" ht="30" x14ac:dyDescent="0.25">
      <c r="B6" s="2">
        <v>3</v>
      </c>
      <c r="C6" s="2" t="s">
        <v>1</v>
      </c>
      <c r="D6" s="15" t="s">
        <v>36</v>
      </c>
      <c r="E6" s="11" t="s">
        <v>18</v>
      </c>
      <c r="F6" s="5">
        <v>1568</v>
      </c>
      <c r="G6" s="5">
        <f t="shared" si="2"/>
        <v>16877.7952</v>
      </c>
      <c r="H6" s="2">
        <v>30</v>
      </c>
      <c r="I6" s="2">
        <v>1994</v>
      </c>
      <c r="J6" s="2">
        <v>2024</v>
      </c>
      <c r="K6" s="2">
        <f t="shared" si="3"/>
        <v>30</v>
      </c>
      <c r="L6" s="2">
        <v>60</v>
      </c>
      <c r="M6" s="3">
        <v>0.05</v>
      </c>
      <c r="N6" s="4">
        <f t="shared" si="4"/>
        <v>1.5833333333333331E-2</v>
      </c>
      <c r="O6" s="2">
        <v>1700</v>
      </c>
      <c r="P6" s="33">
        <f t="shared" si="5"/>
        <v>28692251.84</v>
      </c>
      <c r="Q6" s="33">
        <f t="shared" si="0"/>
        <v>13628819.623999998</v>
      </c>
      <c r="R6" s="33">
        <f t="shared" si="1"/>
        <v>15063432.216000002</v>
      </c>
      <c r="S6" s="6">
        <v>0</v>
      </c>
      <c r="T6" s="33">
        <f>IF(R6&gt;M6*P6,R6*(1-S6),P6*M6)</f>
        <v>15063432.216000002</v>
      </c>
      <c r="U6" s="7"/>
      <c r="V6" s="1"/>
      <c r="W6" s="1"/>
    </row>
    <row r="7" spans="2:23" x14ac:dyDescent="0.25">
      <c r="B7" s="2">
        <v>4</v>
      </c>
      <c r="C7" s="2" t="s">
        <v>1</v>
      </c>
      <c r="D7" s="15" t="s">
        <v>37</v>
      </c>
      <c r="E7" s="11" t="s">
        <v>18</v>
      </c>
      <c r="F7" s="5">
        <v>4280</v>
      </c>
      <c r="G7" s="5">
        <f t="shared" si="2"/>
        <v>46069.491999999998</v>
      </c>
      <c r="H7" s="2">
        <v>30</v>
      </c>
      <c r="I7" s="2">
        <v>1994</v>
      </c>
      <c r="J7" s="2">
        <v>2024</v>
      </c>
      <c r="K7" s="2">
        <f t="shared" si="3"/>
        <v>30</v>
      </c>
      <c r="L7" s="2">
        <v>45</v>
      </c>
      <c r="M7" s="3">
        <v>0.05</v>
      </c>
      <c r="N7" s="4">
        <f t="shared" si="4"/>
        <v>2.1111111111111112E-2</v>
      </c>
      <c r="O7" s="2">
        <v>1700</v>
      </c>
      <c r="P7" s="33">
        <f t="shared" si="5"/>
        <v>78318136.399999991</v>
      </c>
      <c r="Q7" s="33">
        <f t="shared" si="0"/>
        <v>49601486.386666663</v>
      </c>
      <c r="R7" s="33">
        <f t="shared" si="1"/>
        <v>28716650.013333328</v>
      </c>
      <c r="S7" s="6">
        <v>0</v>
      </c>
      <c r="T7" s="33">
        <f>IF(R7&gt;M7*P7,R7*(1-S7),P7*M7)</f>
        <v>28716650.013333328</v>
      </c>
      <c r="U7" s="7"/>
      <c r="V7" s="1"/>
      <c r="W7" s="1"/>
    </row>
    <row r="8" spans="2:23" x14ac:dyDescent="0.25">
      <c r="B8" s="2">
        <v>5</v>
      </c>
      <c r="C8" s="2" t="s">
        <v>1</v>
      </c>
      <c r="D8" s="15" t="s">
        <v>38</v>
      </c>
      <c r="E8" s="11" t="s">
        <v>18</v>
      </c>
      <c r="F8" s="5">
        <v>620</v>
      </c>
      <c r="G8" s="5">
        <f t="shared" si="2"/>
        <v>6673.6179999999995</v>
      </c>
      <c r="H8" s="2">
        <v>25</v>
      </c>
      <c r="I8" s="2">
        <v>1995</v>
      </c>
      <c r="J8" s="2">
        <v>2024</v>
      </c>
      <c r="K8" s="2">
        <f t="shared" si="3"/>
        <v>29</v>
      </c>
      <c r="L8" s="2">
        <v>45</v>
      </c>
      <c r="M8" s="3">
        <v>0.05</v>
      </c>
      <c r="N8" s="4">
        <f t="shared" si="4"/>
        <v>2.1111111111111112E-2</v>
      </c>
      <c r="O8" s="2">
        <v>1600</v>
      </c>
      <c r="P8" s="33">
        <f t="shared" si="5"/>
        <v>10677788.799999999</v>
      </c>
      <c r="Q8" s="33">
        <f t="shared" si="0"/>
        <v>6537179.5875555556</v>
      </c>
      <c r="R8" s="33">
        <f t="shared" si="1"/>
        <v>4140609.2124444433</v>
      </c>
      <c r="S8" s="6">
        <v>0</v>
      </c>
      <c r="T8" s="33">
        <f>IF(R8&gt;M8*P8,R8*(1+S8),P8*M8)</f>
        <v>4140609.2124444433</v>
      </c>
      <c r="U8" s="7"/>
      <c r="V8" s="1"/>
      <c r="W8" s="1"/>
    </row>
    <row r="9" spans="2:23" x14ac:dyDescent="0.25">
      <c r="B9" s="2">
        <v>6</v>
      </c>
      <c r="C9" s="2" t="s">
        <v>20</v>
      </c>
      <c r="D9" s="15" t="s">
        <v>38</v>
      </c>
      <c r="E9" s="11" t="s">
        <v>18</v>
      </c>
      <c r="F9" s="5">
        <v>207</v>
      </c>
      <c r="G9" s="5">
        <f t="shared" si="2"/>
        <v>2228.1273000000001</v>
      </c>
      <c r="H9" s="2">
        <v>25</v>
      </c>
      <c r="I9" s="2">
        <v>1996</v>
      </c>
      <c r="J9" s="2">
        <v>2024</v>
      </c>
      <c r="K9" s="2">
        <f t="shared" si="3"/>
        <v>28</v>
      </c>
      <c r="L9" s="2">
        <v>45</v>
      </c>
      <c r="M9" s="3">
        <v>0.05</v>
      </c>
      <c r="N9" s="4">
        <f t="shared" si="4"/>
        <v>2.1111111111111112E-2</v>
      </c>
      <c r="O9" s="2">
        <v>1600</v>
      </c>
      <c r="P9" s="33">
        <f t="shared" si="5"/>
        <v>3565003.68</v>
      </c>
      <c r="Q9" s="33">
        <f t="shared" si="0"/>
        <v>2107313.2864000001</v>
      </c>
      <c r="R9" s="33">
        <f t="shared" si="1"/>
        <v>1457690.3936000001</v>
      </c>
      <c r="S9" s="6">
        <v>0</v>
      </c>
      <c r="T9" s="33">
        <f>IF(R9&gt;M9*P9,R9*(1+S9),P9*M9)</f>
        <v>1457690.3936000001</v>
      </c>
      <c r="U9" s="7"/>
      <c r="V9" s="1"/>
      <c r="W9" s="1"/>
    </row>
    <row r="10" spans="2:23" x14ac:dyDescent="0.25">
      <c r="B10" s="2">
        <v>7</v>
      </c>
      <c r="C10" s="2" t="s">
        <v>20</v>
      </c>
      <c r="D10" s="15" t="s">
        <v>39</v>
      </c>
      <c r="E10" s="11" t="s">
        <v>18</v>
      </c>
      <c r="F10" s="5">
        <v>26.6</v>
      </c>
      <c r="G10" s="5">
        <f t="shared" si="2"/>
        <v>286.31974000000002</v>
      </c>
      <c r="H10" s="2">
        <v>10</v>
      </c>
      <c r="I10" s="2">
        <v>1996</v>
      </c>
      <c r="J10" s="2">
        <v>2024</v>
      </c>
      <c r="K10" s="2">
        <f t="shared" si="3"/>
        <v>28</v>
      </c>
      <c r="L10" s="2">
        <v>60</v>
      </c>
      <c r="M10" s="3">
        <v>0.05</v>
      </c>
      <c r="N10" s="4">
        <f t="shared" si="4"/>
        <v>1.5833333333333331E-2</v>
      </c>
      <c r="O10" s="2">
        <v>1300</v>
      </c>
      <c r="P10" s="33">
        <f t="shared" si="5"/>
        <v>372215.66200000001</v>
      </c>
      <c r="Q10" s="33">
        <f t="shared" si="0"/>
        <v>165015.61015333331</v>
      </c>
      <c r="R10" s="33">
        <f t="shared" si="1"/>
        <v>207200.0518466667</v>
      </c>
      <c r="S10" s="6">
        <v>0</v>
      </c>
      <c r="T10" s="33">
        <f>IF(R10&gt;M10*P10,R10*(1-S10),P10*M10)</f>
        <v>207200.0518466667</v>
      </c>
      <c r="U10" s="7"/>
      <c r="V10" s="1"/>
      <c r="W10" s="1"/>
    </row>
    <row r="11" spans="2:23" x14ac:dyDescent="0.25">
      <c r="B11" s="2">
        <v>8</v>
      </c>
      <c r="C11" s="2" t="s">
        <v>20</v>
      </c>
      <c r="D11" s="15" t="s">
        <v>40</v>
      </c>
      <c r="E11" s="11" t="s">
        <v>18</v>
      </c>
      <c r="F11" s="5">
        <v>72</v>
      </c>
      <c r="G11" s="5">
        <f t="shared" si="2"/>
        <v>775.00080000000003</v>
      </c>
      <c r="H11" s="2">
        <v>10</v>
      </c>
      <c r="I11" s="2">
        <v>1996</v>
      </c>
      <c r="J11" s="2">
        <v>2024</v>
      </c>
      <c r="K11" s="2">
        <f t="shared" si="3"/>
        <v>28</v>
      </c>
      <c r="L11" s="2">
        <v>45</v>
      </c>
      <c r="M11" s="3">
        <v>0.05</v>
      </c>
      <c r="N11" s="4">
        <f t="shared" si="4"/>
        <v>2.1111111111111112E-2</v>
      </c>
      <c r="O11" s="2">
        <v>1300</v>
      </c>
      <c r="P11" s="33">
        <f t="shared" si="5"/>
        <v>1007501.04</v>
      </c>
      <c r="Q11" s="33">
        <f t="shared" si="0"/>
        <v>595545.05920000002</v>
      </c>
      <c r="R11" s="33">
        <f t="shared" si="1"/>
        <v>411955.98080000002</v>
      </c>
      <c r="S11" s="6">
        <v>0</v>
      </c>
      <c r="T11" s="33">
        <f>IF(R11&gt;M11*P11,R11*(1-S11),P11*M11)</f>
        <v>411955.98080000002</v>
      </c>
      <c r="U11" s="7"/>
      <c r="V11" s="1"/>
      <c r="W11" s="1"/>
    </row>
    <row r="12" spans="2:23" x14ac:dyDescent="0.25">
      <c r="B12" s="2">
        <v>9</v>
      </c>
      <c r="C12" s="2" t="s">
        <v>21</v>
      </c>
      <c r="D12" s="15" t="s">
        <v>41</v>
      </c>
      <c r="E12" s="11" t="s">
        <v>18</v>
      </c>
      <c r="F12" s="5">
        <v>48</v>
      </c>
      <c r="G12" s="5">
        <f t="shared" si="2"/>
        <v>516.66719999999998</v>
      </c>
      <c r="H12" s="2">
        <v>10</v>
      </c>
      <c r="I12" s="2">
        <v>1996</v>
      </c>
      <c r="J12" s="2">
        <v>2024</v>
      </c>
      <c r="K12" s="2">
        <f t="shared" si="3"/>
        <v>28</v>
      </c>
      <c r="L12" s="2">
        <v>60</v>
      </c>
      <c r="M12" s="3">
        <v>0.05</v>
      </c>
      <c r="N12" s="4">
        <f t="shared" si="4"/>
        <v>1.5833333333333331E-2</v>
      </c>
      <c r="O12" s="2">
        <v>1400</v>
      </c>
      <c r="P12" s="33">
        <f t="shared" si="5"/>
        <v>723334.08</v>
      </c>
      <c r="Q12" s="33">
        <f t="shared" si="0"/>
        <v>320678.10879999993</v>
      </c>
      <c r="R12" s="33">
        <f t="shared" si="1"/>
        <v>402655.97120000003</v>
      </c>
      <c r="S12" s="6">
        <v>0</v>
      </c>
      <c r="T12" s="33">
        <f>IF(R12&gt;M12*P12,R12*(1-S12),P12*M12)</f>
        <v>402655.97120000003</v>
      </c>
      <c r="U12" s="7"/>
      <c r="V12" s="1"/>
      <c r="W12" s="1"/>
    </row>
    <row r="13" spans="2:23" x14ac:dyDescent="0.25">
      <c r="B13" s="2">
        <v>10</v>
      </c>
      <c r="C13" s="2" t="s">
        <v>20</v>
      </c>
      <c r="D13" s="15" t="s">
        <v>42</v>
      </c>
      <c r="E13" s="11" t="s">
        <v>18</v>
      </c>
      <c r="F13" s="5">
        <v>432</v>
      </c>
      <c r="G13" s="5">
        <f t="shared" si="2"/>
        <v>4650.0047999999997</v>
      </c>
      <c r="H13" s="2">
        <v>25</v>
      </c>
      <c r="I13" s="2">
        <v>1999</v>
      </c>
      <c r="J13" s="2">
        <v>2024</v>
      </c>
      <c r="K13" s="2">
        <f t="shared" si="3"/>
        <v>25</v>
      </c>
      <c r="L13" s="2">
        <v>45</v>
      </c>
      <c r="M13" s="3">
        <v>0.05</v>
      </c>
      <c r="N13" s="4">
        <f t="shared" si="4"/>
        <v>2.1111111111111112E-2</v>
      </c>
      <c r="O13" s="2">
        <v>1600</v>
      </c>
      <c r="P13" s="33">
        <f t="shared" si="5"/>
        <v>7440007.6799999997</v>
      </c>
      <c r="Q13" s="33">
        <f t="shared" si="0"/>
        <v>3926670.7199999997</v>
      </c>
      <c r="R13" s="33">
        <f t="shared" si="1"/>
        <v>3513336.96</v>
      </c>
      <c r="S13" s="6">
        <v>0</v>
      </c>
      <c r="T13" s="33">
        <f>IF(R13&gt;M13*P13,R13*(1-S13),P13*M13)</f>
        <v>3513336.96</v>
      </c>
      <c r="U13" s="7"/>
      <c r="V13" s="1"/>
      <c r="W13" s="1"/>
    </row>
    <row r="14" spans="2:23" x14ac:dyDescent="0.25">
      <c r="B14" s="2">
        <v>11</v>
      </c>
      <c r="C14" s="2" t="s">
        <v>1</v>
      </c>
      <c r="D14" s="15" t="s">
        <v>43</v>
      </c>
      <c r="E14" s="11" t="s">
        <v>18</v>
      </c>
      <c r="F14" s="5">
        <v>144</v>
      </c>
      <c r="G14" s="5">
        <f t="shared" si="2"/>
        <v>1550.0016000000001</v>
      </c>
      <c r="H14" s="2">
        <v>25</v>
      </c>
      <c r="I14" s="2">
        <v>2000</v>
      </c>
      <c r="J14" s="2">
        <v>2024</v>
      </c>
      <c r="K14" s="2">
        <f t="shared" si="3"/>
        <v>24</v>
      </c>
      <c r="L14" s="2">
        <v>45</v>
      </c>
      <c r="M14" s="3">
        <v>0.05</v>
      </c>
      <c r="N14" s="4">
        <f t="shared" si="4"/>
        <v>2.1111111111111112E-2</v>
      </c>
      <c r="O14" s="2">
        <v>1600</v>
      </c>
      <c r="P14" s="33">
        <f t="shared" si="5"/>
        <v>2480002.56</v>
      </c>
      <c r="Q14" s="33">
        <f t="shared" si="0"/>
        <v>1256534.6304000001</v>
      </c>
      <c r="R14" s="33">
        <f t="shared" si="1"/>
        <v>1223467.9295999999</v>
      </c>
      <c r="S14" s="6">
        <v>0</v>
      </c>
      <c r="T14" s="33">
        <f t="shared" ref="T14:T22" si="6">IF(R14&gt;M14*P14,R14*(1+S14),P14*M14)</f>
        <v>1223467.9295999999</v>
      </c>
      <c r="U14" s="7"/>
      <c r="V14" s="1"/>
      <c r="W14" s="1"/>
    </row>
    <row r="15" spans="2:23" x14ac:dyDescent="0.25">
      <c r="B15" s="2">
        <v>12</v>
      </c>
      <c r="C15" s="2" t="s">
        <v>1</v>
      </c>
      <c r="D15" s="15" t="s">
        <v>38</v>
      </c>
      <c r="E15" s="11" t="s">
        <v>18</v>
      </c>
      <c r="F15" s="5">
        <v>100</v>
      </c>
      <c r="G15" s="5">
        <f t="shared" si="2"/>
        <v>1076.3899999999999</v>
      </c>
      <c r="H15" s="2">
        <v>25</v>
      </c>
      <c r="I15" s="2">
        <v>2000</v>
      </c>
      <c r="J15" s="2">
        <v>2024</v>
      </c>
      <c r="K15" s="2">
        <f t="shared" si="3"/>
        <v>24</v>
      </c>
      <c r="L15" s="2">
        <v>45</v>
      </c>
      <c r="M15" s="3">
        <v>0.05</v>
      </c>
      <c r="N15" s="4">
        <f t="shared" si="4"/>
        <v>2.1111111111111112E-2</v>
      </c>
      <c r="O15" s="2">
        <v>1600</v>
      </c>
      <c r="P15" s="33">
        <f t="shared" si="5"/>
        <v>1722223.9999999998</v>
      </c>
      <c r="Q15" s="33">
        <f t="shared" si="0"/>
        <v>872593.49333333317</v>
      </c>
      <c r="R15" s="33">
        <f t="shared" si="1"/>
        <v>849630.5066666666</v>
      </c>
      <c r="S15" s="6">
        <v>0</v>
      </c>
      <c r="T15" s="33">
        <f t="shared" si="6"/>
        <v>849630.5066666666</v>
      </c>
      <c r="U15" s="7"/>
      <c r="V15" s="1"/>
      <c r="W15" s="1"/>
    </row>
    <row r="16" spans="2:23" x14ac:dyDescent="0.25">
      <c r="B16" s="2">
        <v>13</v>
      </c>
      <c r="C16" s="2" t="s">
        <v>1</v>
      </c>
      <c r="D16" s="15" t="s">
        <v>42</v>
      </c>
      <c r="E16" s="11" t="s">
        <v>18</v>
      </c>
      <c r="F16" s="5">
        <v>150</v>
      </c>
      <c r="G16" s="5">
        <f t="shared" si="2"/>
        <v>1614.585</v>
      </c>
      <c r="H16" s="2">
        <v>25</v>
      </c>
      <c r="I16" s="2">
        <v>2000</v>
      </c>
      <c r="J16" s="2">
        <v>2024</v>
      </c>
      <c r="K16" s="2">
        <f t="shared" si="3"/>
        <v>24</v>
      </c>
      <c r="L16" s="2">
        <v>45</v>
      </c>
      <c r="M16" s="3">
        <v>0.05</v>
      </c>
      <c r="N16" s="4">
        <f t="shared" si="4"/>
        <v>2.1111111111111112E-2</v>
      </c>
      <c r="O16" s="2">
        <v>1600</v>
      </c>
      <c r="P16" s="33">
        <f t="shared" si="5"/>
        <v>2583336</v>
      </c>
      <c r="Q16" s="33">
        <f t="shared" si="0"/>
        <v>1308890.2400000002</v>
      </c>
      <c r="R16" s="33">
        <f t="shared" si="1"/>
        <v>1274445.7599999998</v>
      </c>
      <c r="S16" s="6">
        <v>0</v>
      </c>
      <c r="T16" s="33">
        <f t="shared" si="6"/>
        <v>1274445.7599999998</v>
      </c>
      <c r="U16" s="7"/>
      <c r="V16" s="1"/>
      <c r="W16" s="1"/>
    </row>
    <row r="17" spans="2:23" x14ac:dyDescent="0.25">
      <c r="B17" s="2">
        <v>14</v>
      </c>
      <c r="C17" s="2" t="s">
        <v>22</v>
      </c>
      <c r="D17" s="15" t="s">
        <v>44</v>
      </c>
      <c r="E17" s="11" t="s">
        <v>18</v>
      </c>
      <c r="F17" s="5">
        <v>183.75</v>
      </c>
      <c r="G17" s="5">
        <f t="shared" si="2"/>
        <v>1977.8666249999999</v>
      </c>
      <c r="H17" s="12">
        <v>20</v>
      </c>
      <c r="I17" s="2">
        <v>1994</v>
      </c>
      <c r="J17" s="2">
        <v>2024</v>
      </c>
      <c r="K17" s="2">
        <f t="shared" si="3"/>
        <v>30</v>
      </c>
      <c r="L17" s="2">
        <v>45</v>
      </c>
      <c r="M17" s="3">
        <v>0.05</v>
      </c>
      <c r="N17" s="4">
        <f t="shared" si="4"/>
        <v>2.1111111111111112E-2</v>
      </c>
      <c r="O17" s="2">
        <v>1550</v>
      </c>
      <c r="P17" s="33">
        <f t="shared" si="5"/>
        <v>3065693.2687499998</v>
      </c>
      <c r="Q17" s="33">
        <f t="shared" si="0"/>
        <v>1941605.7368749999</v>
      </c>
      <c r="R17" s="33">
        <f t="shared" si="1"/>
        <v>1124087.5318749999</v>
      </c>
      <c r="S17" s="6">
        <v>0</v>
      </c>
      <c r="T17" s="33">
        <f t="shared" si="6"/>
        <v>1124087.5318749999</v>
      </c>
      <c r="U17" s="7"/>
      <c r="V17" s="1"/>
      <c r="W17" s="1"/>
    </row>
    <row r="18" spans="2:23" x14ac:dyDescent="0.25">
      <c r="B18" s="2">
        <v>15</v>
      </c>
      <c r="C18" s="2" t="s">
        <v>1</v>
      </c>
      <c r="D18" s="15" t="s">
        <v>45</v>
      </c>
      <c r="E18" s="11" t="s">
        <v>18</v>
      </c>
      <c r="F18" s="5">
        <v>32.5</v>
      </c>
      <c r="G18" s="5">
        <f t="shared" si="2"/>
        <v>349.82675</v>
      </c>
      <c r="H18" s="12">
        <v>15</v>
      </c>
      <c r="I18" s="2">
        <v>1994</v>
      </c>
      <c r="J18" s="2">
        <v>2024</v>
      </c>
      <c r="K18" s="2">
        <f t="shared" si="3"/>
        <v>30</v>
      </c>
      <c r="L18" s="2">
        <v>60</v>
      </c>
      <c r="M18" s="3">
        <v>0.05</v>
      </c>
      <c r="N18" s="4">
        <f t="shared" si="4"/>
        <v>1.5833333333333331E-2</v>
      </c>
      <c r="O18" s="2">
        <v>1500</v>
      </c>
      <c r="P18" s="33">
        <f t="shared" si="5"/>
        <v>524740.125</v>
      </c>
      <c r="Q18" s="33">
        <f t="shared" si="0"/>
        <v>249251.55937499995</v>
      </c>
      <c r="R18" s="33">
        <f t="shared" si="1"/>
        <v>275488.56562500005</v>
      </c>
      <c r="S18" s="6">
        <v>0</v>
      </c>
      <c r="T18" s="33">
        <f t="shared" si="6"/>
        <v>275488.56562500005</v>
      </c>
      <c r="U18" s="7"/>
      <c r="V18" s="1"/>
      <c r="W18" s="1"/>
    </row>
    <row r="19" spans="2:23" ht="30" x14ac:dyDescent="0.25">
      <c r="B19" s="2">
        <v>16</v>
      </c>
      <c r="C19" s="2" t="s">
        <v>1</v>
      </c>
      <c r="D19" s="15" t="s">
        <v>46</v>
      </c>
      <c r="E19" s="11" t="s">
        <v>18</v>
      </c>
      <c r="F19" s="5">
        <v>72</v>
      </c>
      <c r="G19" s="5">
        <f t="shared" si="2"/>
        <v>775.00080000000003</v>
      </c>
      <c r="H19" s="12">
        <v>25</v>
      </c>
      <c r="I19" s="2">
        <v>1994</v>
      </c>
      <c r="J19" s="2">
        <v>2024</v>
      </c>
      <c r="K19" s="2">
        <f t="shared" si="3"/>
        <v>30</v>
      </c>
      <c r="L19" s="2">
        <v>45</v>
      </c>
      <c r="M19" s="3">
        <v>0.05</v>
      </c>
      <c r="N19" s="4">
        <f t="shared" si="4"/>
        <v>2.1111111111111112E-2</v>
      </c>
      <c r="O19" s="2">
        <v>1600</v>
      </c>
      <c r="P19" s="33">
        <f t="shared" si="5"/>
        <v>1240001.28</v>
      </c>
      <c r="Q19" s="33">
        <f t="shared" si="0"/>
        <v>785334.14400000009</v>
      </c>
      <c r="R19" s="33">
        <f t="shared" si="1"/>
        <v>454667.13599999994</v>
      </c>
      <c r="S19" s="6">
        <v>0</v>
      </c>
      <c r="T19" s="33">
        <f t="shared" si="6"/>
        <v>454667.13599999994</v>
      </c>
      <c r="U19" s="7"/>
      <c r="V19" s="1"/>
      <c r="W19" s="1"/>
    </row>
    <row r="20" spans="2:23" ht="30" x14ac:dyDescent="0.25">
      <c r="B20" s="2">
        <v>17</v>
      </c>
      <c r="C20" s="2" t="s">
        <v>1</v>
      </c>
      <c r="D20" s="15" t="s">
        <v>47</v>
      </c>
      <c r="E20" s="11" t="s">
        <v>18</v>
      </c>
      <c r="F20" s="5">
        <v>125</v>
      </c>
      <c r="G20" s="5">
        <f t="shared" si="2"/>
        <v>1345.4875</v>
      </c>
      <c r="H20" s="12">
        <v>25</v>
      </c>
      <c r="I20" s="2">
        <v>1994</v>
      </c>
      <c r="J20" s="2">
        <v>2024</v>
      </c>
      <c r="K20" s="2">
        <f t="shared" si="3"/>
        <v>30</v>
      </c>
      <c r="L20" s="2">
        <v>45</v>
      </c>
      <c r="M20" s="3">
        <v>0.05</v>
      </c>
      <c r="N20" s="4">
        <f t="shared" si="4"/>
        <v>2.1111111111111112E-2</v>
      </c>
      <c r="O20" s="2">
        <v>1600</v>
      </c>
      <c r="P20" s="33">
        <f t="shared" si="5"/>
        <v>2152780</v>
      </c>
      <c r="Q20" s="33">
        <f t="shared" si="0"/>
        <v>1363427.3333333333</v>
      </c>
      <c r="R20" s="33">
        <f t="shared" si="1"/>
        <v>789352.66666666674</v>
      </c>
      <c r="S20" s="6">
        <v>0</v>
      </c>
      <c r="T20" s="33">
        <f t="shared" si="6"/>
        <v>789352.66666666674</v>
      </c>
      <c r="U20" s="7"/>
      <c r="V20" s="1"/>
      <c r="W20" s="1"/>
    </row>
    <row r="21" spans="2:23" ht="30" x14ac:dyDescent="0.25">
      <c r="B21" s="2">
        <v>18</v>
      </c>
      <c r="C21" s="2" t="s">
        <v>23</v>
      </c>
      <c r="D21" s="15" t="s">
        <v>48</v>
      </c>
      <c r="E21" s="11" t="s">
        <v>18</v>
      </c>
      <c r="F21" s="5">
        <v>17.5</v>
      </c>
      <c r="G21" s="5">
        <f t="shared" si="2"/>
        <v>188.36824999999999</v>
      </c>
      <c r="H21" s="12">
        <v>25</v>
      </c>
      <c r="I21" s="2">
        <v>2001</v>
      </c>
      <c r="J21" s="2">
        <v>2024</v>
      </c>
      <c r="K21" s="2">
        <f t="shared" si="3"/>
        <v>23</v>
      </c>
      <c r="L21" s="2">
        <v>45</v>
      </c>
      <c r="M21" s="3">
        <v>0.05</v>
      </c>
      <c r="N21" s="4">
        <f t="shared" si="4"/>
        <v>2.1111111111111112E-2</v>
      </c>
      <c r="O21" s="2">
        <v>1600</v>
      </c>
      <c r="P21" s="33">
        <f t="shared" si="5"/>
        <v>301389.19999999995</v>
      </c>
      <c r="Q21" s="33">
        <f t="shared" si="0"/>
        <v>146341.20044444443</v>
      </c>
      <c r="R21" s="33">
        <f t="shared" si="1"/>
        <v>155047.99955555552</v>
      </c>
      <c r="S21" s="6">
        <v>0</v>
      </c>
      <c r="T21" s="33">
        <f t="shared" si="6"/>
        <v>155047.99955555552</v>
      </c>
      <c r="U21" s="7"/>
      <c r="V21" s="1"/>
      <c r="W21" s="1"/>
    </row>
    <row r="22" spans="2:23" x14ac:dyDescent="0.25">
      <c r="B22" s="2">
        <v>19</v>
      </c>
      <c r="C22" s="2" t="s">
        <v>24</v>
      </c>
      <c r="D22" s="15" t="s">
        <v>49</v>
      </c>
      <c r="E22" s="13" t="s">
        <v>53</v>
      </c>
      <c r="F22" s="5">
        <v>216</v>
      </c>
      <c r="G22" s="5">
        <f t="shared" si="2"/>
        <v>2325.0023999999999</v>
      </c>
      <c r="H22" s="12">
        <v>30</v>
      </c>
      <c r="I22" s="2">
        <v>2001</v>
      </c>
      <c r="J22" s="2">
        <v>2024</v>
      </c>
      <c r="K22" s="2">
        <f t="shared" si="3"/>
        <v>23</v>
      </c>
      <c r="L22" s="2">
        <v>45</v>
      </c>
      <c r="M22" s="3">
        <v>0.05</v>
      </c>
      <c r="N22" s="4">
        <f t="shared" si="4"/>
        <v>2.1111111111111112E-2</v>
      </c>
      <c r="O22" s="2">
        <v>1700</v>
      </c>
      <c r="P22" s="33">
        <f t="shared" si="5"/>
        <v>3952504.0799999996</v>
      </c>
      <c r="Q22" s="33">
        <f t="shared" si="0"/>
        <v>1919160.3143999998</v>
      </c>
      <c r="R22" s="33">
        <f t="shared" si="1"/>
        <v>2033343.7655999998</v>
      </c>
      <c r="S22" s="6">
        <v>0</v>
      </c>
      <c r="T22" s="33">
        <f t="shared" si="6"/>
        <v>2033343.7655999998</v>
      </c>
      <c r="U22" s="7"/>
      <c r="V22" s="1"/>
      <c r="W22" s="1"/>
    </row>
    <row r="23" spans="2:23" x14ac:dyDescent="0.25">
      <c r="B23" s="2">
        <v>20</v>
      </c>
      <c r="C23" s="2" t="s">
        <v>1</v>
      </c>
      <c r="D23" s="15" t="s">
        <v>50</v>
      </c>
      <c r="E23" s="13" t="s">
        <v>18</v>
      </c>
      <c r="F23" s="5">
        <v>520</v>
      </c>
      <c r="G23" s="5">
        <f t="shared" si="2"/>
        <v>5597.2280000000001</v>
      </c>
      <c r="H23" s="12">
        <v>12</v>
      </c>
      <c r="I23" s="2">
        <v>2000</v>
      </c>
      <c r="J23" s="2">
        <v>2024</v>
      </c>
      <c r="K23" s="2">
        <f t="shared" si="3"/>
        <v>24</v>
      </c>
      <c r="L23" s="2">
        <v>60</v>
      </c>
      <c r="M23" s="3">
        <v>0.05</v>
      </c>
      <c r="N23" s="4">
        <f t="shared" si="4"/>
        <v>1.5833333333333331E-2</v>
      </c>
      <c r="O23" s="2">
        <v>1700</v>
      </c>
      <c r="P23" s="33">
        <f t="shared" si="5"/>
        <v>9515287.5999999996</v>
      </c>
      <c r="Q23" s="33">
        <f t="shared" si="0"/>
        <v>3615809.2879999992</v>
      </c>
      <c r="R23" s="33">
        <f t="shared" si="1"/>
        <v>5899478.3120000008</v>
      </c>
      <c r="S23" s="6">
        <v>0</v>
      </c>
      <c r="T23" s="33">
        <f>IF(R23&gt;M23*P23,R23*(1-S23),P23*M23)</f>
        <v>5899478.3120000008</v>
      </c>
      <c r="U23" s="7"/>
      <c r="V23" s="1"/>
      <c r="W23" s="1"/>
    </row>
    <row r="24" spans="2:23" x14ac:dyDescent="0.25">
      <c r="B24" s="2">
        <v>21</v>
      </c>
      <c r="C24" s="2" t="s">
        <v>25</v>
      </c>
      <c r="D24" s="15" t="s">
        <v>19</v>
      </c>
      <c r="E24" s="13" t="s">
        <v>18</v>
      </c>
      <c r="F24" s="5">
        <v>110</v>
      </c>
      <c r="G24" s="5">
        <f t="shared" si="2"/>
        <v>1184.029</v>
      </c>
      <c r="H24" s="12">
        <v>12</v>
      </c>
      <c r="I24" s="2">
        <v>2004</v>
      </c>
      <c r="J24" s="2">
        <v>2024</v>
      </c>
      <c r="K24" s="2">
        <f t="shared" si="3"/>
        <v>20</v>
      </c>
      <c r="L24" s="2">
        <v>60</v>
      </c>
      <c r="M24" s="3">
        <v>0.05</v>
      </c>
      <c r="N24" s="4">
        <f t="shared" si="4"/>
        <v>1.5833333333333331E-2</v>
      </c>
      <c r="O24" s="2">
        <v>1700</v>
      </c>
      <c r="P24" s="33">
        <f t="shared" si="5"/>
        <v>2012849.3</v>
      </c>
      <c r="Q24" s="33">
        <f t="shared" si="0"/>
        <v>637402.2783333332</v>
      </c>
      <c r="R24" s="33">
        <f t="shared" si="1"/>
        <v>1375447.021666667</v>
      </c>
      <c r="S24" s="6">
        <v>0</v>
      </c>
      <c r="T24" s="33">
        <f>IF(R24&gt;M24*P24,R24*(1-S24),P24*M24)</f>
        <v>1375447.021666667</v>
      </c>
      <c r="U24" s="7"/>
      <c r="V24" s="1"/>
      <c r="W24" s="1"/>
    </row>
    <row r="25" spans="2:23" ht="30" x14ac:dyDescent="0.25">
      <c r="B25" s="2">
        <v>22</v>
      </c>
      <c r="C25" s="2" t="s">
        <v>26</v>
      </c>
      <c r="D25" s="15" t="s">
        <v>51</v>
      </c>
      <c r="E25" s="13" t="s">
        <v>53</v>
      </c>
      <c r="F25" s="5">
        <v>2427</v>
      </c>
      <c r="G25" s="5">
        <f t="shared" si="2"/>
        <v>26123.9853</v>
      </c>
      <c r="H25" s="12">
        <v>25</v>
      </c>
      <c r="I25" s="2">
        <v>2017</v>
      </c>
      <c r="J25" s="2">
        <v>2024</v>
      </c>
      <c r="K25" s="2">
        <f t="shared" si="3"/>
        <v>7</v>
      </c>
      <c r="L25" s="2">
        <v>45</v>
      </c>
      <c r="M25" s="3">
        <v>0.05</v>
      </c>
      <c r="N25" s="4">
        <f t="shared" si="4"/>
        <v>2.1111111111111112E-2</v>
      </c>
      <c r="O25" s="2">
        <v>1600</v>
      </c>
      <c r="P25" s="33">
        <f t="shared" si="5"/>
        <v>41798376.480000004</v>
      </c>
      <c r="Q25" s="33">
        <f t="shared" si="0"/>
        <v>6176871.1909333337</v>
      </c>
      <c r="R25" s="33">
        <f t="shared" si="1"/>
        <v>35621505.289066672</v>
      </c>
      <c r="S25" s="6">
        <v>0</v>
      </c>
      <c r="T25" s="33">
        <f>IF(R25&gt;M25*P25,R25*(1-S25),P25*M25)</f>
        <v>35621505.289066672</v>
      </c>
      <c r="U25" s="7"/>
      <c r="V25" s="1"/>
      <c r="W25" s="1"/>
    </row>
    <row r="26" spans="2:23" x14ac:dyDescent="0.25">
      <c r="B26" s="2">
        <v>23</v>
      </c>
      <c r="C26" s="2" t="s">
        <v>1</v>
      </c>
      <c r="D26" s="15" t="s">
        <v>52</v>
      </c>
      <c r="E26" s="13" t="s">
        <v>53</v>
      </c>
      <c r="F26" s="5">
        <v>4635.7</v>
      </c>
      <c r="G26" s="5">
        <f>F26*10.7639</f>
        <v>49898.211229999994</v>
      </c>
      <c r="H26" s="12">
        <v>45</v>
      </c>
      <c r="I26" s="2">
        <v>2023</v>
      </c>
      <c r="J26" s="2">
        <v>2024</v>
      </c>
      <c r="K26" s="2">
        <f>J26-I26</f>
        <v>1</v>
      </c>
      <c r="L26" s="2">
        <v>45</v>
      </c>
      <c r="M26" s="3">
        <v>0.05</v>
      </c>
      <c r="N26" s="4">
        <f>(1-M26)/L26</f>
        <v>2.1111111111111112E-2</v>
      </c>
      <c r="O26" s="2">
        <v>1800</v>
      </c>
      <c r="P26" s="33">
        <f>O26*G26</f>
        <v>89816780.213999987</v>
      </c>
      <c r="Q26" s="33">
        <f t="shared" si="0"/>
        <v>1896132.0267399999</v>
      </c>
      <c r="R26" s="33">
        <f>MAX(P26-Q26,0)</f>
        <v>87920648.187259987</v>
      </c>
      <c r="S26" s="6">
        <v>0</v>
      </c>
      <c r="T26" s="33">
        <f>IF(R26&gt;M26*P26,R26*(1-S26),P26*M26)</f>
        <v>87920648.187259987</v>
      </c>
      <c r="U26" s="7"/>
      <c r="V26" s="1"/>
      <c r="W26" s="1"/>
    </row>
    <row r="27" spans="2:23" x14ac:dyDescent="0.25">
      <c r="B27" s="2">
        <v>24</v>
      </c>
      <c r="C27" s="2"/>
      <c r="D27" s="15" t="s">
        <v>54</v>
      </c>
      <c r="E27" s="13" t="s">
        <v>53</v>
      </c>
      <c r="F27" s="5">
        <f>810+576</f>
        <v>1386</v>
      </c>
      <c r="G27" s="5">
        <f>F27*10.7639</f>
        <v>14918.7654</v>
      </c>
      <c r="H27" s="12">
        <v>22</v>
      </c>
      <c r="I27" s="2">
        <v>2023</v>
      </c>
      <c r="J27" s="2">
        <v>2024</v>
      </c>
      <c r="K27" s="2">
        <f t="shared" ref="K27:K28" si="7">J27-I27</f>
        <v>1</v>
      </c>
      <c r="L27" s="2">
        <v>45</v>
      </c>
      <c r="M27" s="3">
        <v>0.05</v>
      </c>
      <c r="N27" s="4">
        <f t="shared" ref="N27:N28" si="8">(1-M27)/L27</f>
        <v>2.1111111111111112E-2</v>
      </c>
      <c r="O27" s="2">
        <v>1600</v>
      </c>
      <c r="P27" s="33">
        <f t="shared" ref="P27:P28" si="9">O27*G27</f>
        <v>23870024.640000001</v>
      </c>
      <c r="Q27" s="33">
        <f t="shared" ref="Q27:Q28" si="10">P27*N27*K27</f>
        <v>503922.74240000005</v>
      </c>
      <c r="R27" s="33">
        <f t="shared" ref="R27:R28" si="11">MAX(P27-Q27,0)</f>
        <v>23366101.897599999</v>
      </c>
      <c r="S27" s="6">
        <v>0</v>
      </c>
      <c r="T27" s="33">
        <f t="shared" ref="T27:T28" si="12">IF(R27&gt;M27*P27,R27*(1-S27),P27*M27)</f>
        <v>23366101.897599999</v>
      </c>
      <c r="U27" s="7"/>
      <c r="V27" s="1"/>
      <c r="W27" s="1"/>
    </row>
    <row r="28" spans="2:23" x14ac:dyDescent="0.25">
      <c r="B28" s="2">
        <v>25</v>
      </c>
      <c r="C28" s="2"/>
      <c r="D28" s="15" t="s">
        <v>55</v>
      </c>
      <c r="E28" s="13" t="s">
        <v>53</v>
      </c>
      <c r="F28" s="5">
        <v>750</v>
      </c>
      <c r="G28" s="5">
        <f>F28*10.7639</f>
        <v>8072.9249999999993</v>
      </c>
      <c r="H28" s="12">
        <v>30</v>
      </c>
      <c r="I28" s="2">
        <v>2023</v>
      </c>
      <c r="J28" s="2">
        <v>2024</v>
      </c>
      <c r="K28" s="2">
        <f t="shared" si="7"/>
        <v>1</v>
      </c>
      <c r="L28" s="2">
        <v>45</v>
      </c>
      <c r="M28" s="3">
        <v>0.05</v>
      </c>
      <c r="N28" s="4">
        <f t="shared" si="8"/>
        <v>2.1111111111111112E-2</v>
      </c>
      <c r="O28" s="2">
        <v>1700</v>
      </c>
      <c r="P28" s="33">
        <f t="shared" si="9"/>
        <v>13723972.499999998</v>
      </c>
      <c r="Q28" s="33">
        <f t="shared" si="10"/>
        <v>289728.30833333329</v>
      </c>
      <c r="R28" s="33">
        <f t="shared" si="11"/>
        <v>13434244.191666665</v>
      </c>
      <c r="S28" s="6">
        <v>0</v>
      </c>
      <c r="T28" s="33">
        <f t="shared" si="12"/>
        <v>13434244.191666665</v>
      </c>
      <c r="U28" s="7"/>
      <c r="V28" s="1"/>
      <c r="W28" s="1"/>
    </row>
    <row r="29" spans="2:23" x14ac:dyDescent="0.25">
      <c r="B29" s="41" t="s">
        <v>6</v>
      </c>
      <c r="C29" s="41"/>
      <c r="D29" s="41"/>
      <c r="E29" s="41"/>
      <c r="F29" s="36">
        <f>SUM(F4:F28)</f>
        <v>25755.750000000004</v>
      </c>
      <c r="G29" s="34">
        <f>SUM(G4:G28)</f>
        <v>277232.31742499996</v>
      </c>
      <c r="H29" s="14"/>
      <c r="I29" s="41"/>
      <c r="J29" s="41"/>
      <c r="K29" s="41"/>
      <c r="L29" s="41"/>
      <c r="M29" s="41"/>
      <c r="N29" s="41"/>
      <c r="O29" s="41"/>
      <c r="P29" s="34">
        <f>SUM(P4:P28)</f>
        <v>467935284.24475002</v>
      </c>
      <c r="Q29" s="34"/>
      <c r="R29" s="34">
        <f>SUM(R4:R28)</f>
        <v>279262752.12702608</v>
      </c>
      <c r="S29" s="34"/>
      <c r="T29" s="34">
        <f>SUM(T4:T28)</f>
        <v>279262752.12702608</v>
      </c>
    </row>
    <row r="30" spans="2:23" x14ac:dyDescent="0.25">
      <c r="B30" s="39" t="s">
        <v>29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2:23" x14ac:dyDescent="0.25">
      <c r="B31" s="39" t="s">
        <v>63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2:23" x14ac:dyDescent="0.25">
      <c r="B32" s="39" t="s">
        <v>62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2:20" x14ac:dyDescent="0.25">
      <c r="B33" s="39" t="s">
        <v>30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7" spans="2:20" x14ac:dyDescent="0.25">
      <c r="K37">
        <v>21673.26</v>
      </c>
    </row>
    <row r="38" spans="2:20" x14ac:dyDescent="0.25">
      <c r="K38">
        <v>10211.879999999999</v>
      </c>
    </row>
    <row r="39" spans="2:20" x14ac:dyDescent="0.25">
      <c r="K39">
        <f>SUM(K37:K38)</f>
        <v>31885.14</v>
      </c>
    </row>
  </sheetData>
  <autoFilter ref="B3:T33"/>
  <mergeCells count="7">
    <mergeCell ref="B33:T33"/>
    <mergeCell ref="B2:T2"/>
    <mergeCell ref="B29:E29"/>
    <mergeCell ref="I29:O29"/>
    <mergeCell ref="B30:T30"/>
    <mergeCell ref="B31:T31"/>
    <mergeCell ref="B32:T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tabSelected="1" topLeftCell="A4" workbookViewId="0">
      <selection activeCell="J18" sqref="J18"/>
    </sheetView>
  </sheetViews>
  <sheetFormatPr defaultRowHeight="15" x14ac:dyDescent="0.25"/>
  <cols>
    <col min="2" max="2" width="13.85546875" customWidth="1"/>
    <col min="3" max="3" width="15.28515625" customWidth="1"/>
    <col min="4" max="4" width="16.28515625" customWidth="1"/>
    <col min="5" max="5" width="12.28515625" bestFit="1" customWidth="1"/>
    <col min="6" max="6" width="14.140625" customWidth="1"/>
    <col min="7" max="7" width="13.7109375" customWidth="1"/>
    <col min="8" max="9" width="12.140625" customWidth="1"/>
    <col min="10" max="10" width="15.28515625" bestFit="1" customWidth="1"/>
    <col min="11" max="11" width="14.7109375" customWidth="1"/>
    <col min="12" max="12" width="16.7109375" customWidth="1"/>
    <col min="14" max="14" width="14.28515625" bestFit="1" customWidth="1"/>
  </cols>
  <sheetData>
    <row r="2" spans="2:14" ht="15.75" x14ac:dyDescent="0.25">
      <c r="B2" s="19"/>
      <c r="C2" s="19"/>
      <c r="D2" s="19"/>
      <c r="E2" s="19"/>
      <c r="F2" s="19"/>
      <c r="G2" s="19"/>
      <c r="H2" s="19"/>
      <c r="I2" s="19"/>
      <c r="J2" s="37">
        <v>59053</v>
      </c>
      <c r="K2" s="19"/>
      <c r="L2" s="19"/>
    </row>
    <row r="3" spans="2:14" x14ac:dyDescent="0.25">
      <c r="B3" s="20"/>
      <c r="C3" s="20"/>
      <c r="D3" s="18">
        <f>70*10^5</f>
        <v>7000000</v>
      </c>
      <c r="E3" s="21"/>
      <c r="F3" s="21"/>
      <c r="G3" s="21"/>
      <c r="H3" s="21"/>
      <c r="I3" s="21"/>
      <c r="J3" s="21"/>
      <c r="K3" s="21"/>
      <c r="L3" s="21"/>
    </row>
    <row r="4" spans="2:14" x14ac:dyDescent="0.25">
      <c r="B4" s="22"/>
      <c r="C4" s="22"/>
      <c r="D4" s="28">
        <v>8800</v>
      </c>
      <c r="E4" s="23"/>
      <c r="F4" s="24"/>
      <c r="G4" s="24"/>
      <c r="H4" s="22"/>
      <c r="I4" s="17" t="s">
        <v>56</v>
      </c>
      <c r="J4" s="22">
        <v>4.91</v>
      </c>
      <c r="K4" s="25"/>
      <c r="L4" s="26"/>
    </row>
    <row r="5" spans="2:14" x14ac:dyDescent="0.25">
      <c r="B5" s="27"/>
      <c r="C5" s="27"/>
      <c r="D5" s="29">
        <f>D3/D4</f>
        <v>795.4545454545455</v>
      </c>
      <c r="E5" s="23"/>
      <c r="F5" s="24">
        <v>1100</v>
      </c>
      <c r="G5" s="22"/>
      <c r="H5" s="27"/>
      <c r="I5" s="27"/>
      <c r="J5" s="27">
        <f>J4*10000</f>
        <v>49100</v>
      </c>
      <c r="K5" s="22"/>
      <c r="L5" s="26"/>
    </row>
    <row r="6" spans="2:14" x14ac:dyDescent="0.25">
      <c r="J6" s="38">
        <f>J5/4046.856</f>
        <v>12.132875496434762</v>
      </c>
    </row>
    <row r="7" spans="2:14" x14ac:dyDescent="0.25">
      <c r="D7" s="31">
        <f>D5*10.7639</f>
        <v>8562.193181818182</v>
      </c>
      <c r="F7" s="30">
        <f>F5*10000</f>
        <v>11000000</v>
      </c>
      <c r="J7">
        <f>J2-J5</f>
        <v>9953</v>
      </c>
    </row>
    <row r="8" spans="2:14" x14ac:dyDescent="0.25">
      <c r="D8" s="1">
        <f>D7*10000</f>
        <v>85621931.818181813</v>
      </c>
    </row>
    <row r="9" spans="2:14" x14ac:dyDescent="0.25">
      <c r="I9" t="s">
        <v>57</v>
      </c>
      <c r="J9" s="31">
        <f>3*10^7</f>
        <v>30000000</v>
      </c>
      <c r="M9" t="s">
        <v>60</v>
      </c>
    </row>
    <row r="10" spans="2:14" x14ac:dyDescent="0.25">
      <c r="D10" s="1">
        <f>D8*0.6</f>
        <v>51373159.090909086</v>
      </c>
      <c r="I10" t="s">
        <v>58</v>
      </c>
      <c r="J10" s="31">
        <f>J9*0.6</f>
        <v>18000000</v>
      </c>
      <c r="M10" t="s">
        <v>61</v>
      </c>
      <c r="N10">
        <v>1431</v>
      </c>
    </row>
    <row r="12" spans="2:14" x14ac:dyDescent="0.25">
      <c r="D12">
        <v>1000</v>
      </c>
      <c r="F12" t="s">
        <v>34</v>
      </c>
      <c r="I12" t="s">
        <v>59</v>
      </c>
      <c r="J12" s="1">
        <f>J10*J6</f>
        <v>218391758.93582571</v>
      </c>
      <c r="N12" s="31">
        <f>N10*J5</f>
        <v>70262100</v>
      </c>
    </row>
    <row r="13" spans="2:14" x14ac:dyDescent="0.25">
      <c r="D13" s="31">
        <f>D12*20000</f>
        <v>20000000</v>
      </c>
      <c r="I13" t="s">
        <v>64</v>
      </c>
      <c r="J13" s="31">
        <f>'final valuation'!T29</f>
        <v>279262752.12702608</v>
      </c>
    </row>
    <row r="14" spans="2:14" x14ac:dyDescent="0.25">
      <c r="J14" s="1">
        <f>SUM(J12:J13)</f>
        <v>497654511.06285179</v>
      </c>
    </row>
    <row r="15" spans="2:14" x14ac:dyDescent="0.25">
      <c r="D15" s="31">
        <f>D12*43560</f>
        <v>43560000</v>
      </c>
    </row>
    <row r="16" spans="2:14" x14ac:dyDescent="0.25">
      <c r="D16" s="32">
        <f>D15*0.6</f>
        <v>26136000</v>
      </c>
      <c r="I16" t="s">
        <v>65</v>
      </c>
      <c r="J16" s="1">
        <f>ROUND(J14,-7)</f>
        <v>500000000</v>
      </c>
    </row>
    <row r="17" spans="9:10" x14ac:dyDescent="0.25">
      <c r="I17" t="s">
        <v>66</v>
      </c>
      <c r="J17" s="1">
        <f>J16*0.85</f>
        <v>425000000</v>
      </c>
    </row>
    <row r="18" spans="9:10" x14ac:dyDescent="0.25">
      <c r="I18" t="s">
        <v>67</v>
      </c>
      <c r="J18" s="1">
        <f>J16*0.75</f>
        <v>375000000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R32"/>
  <sheetViews>
    <sheetView topLeftCell="D1" zoomScaleNormal="100" workbookViewId="0">
      <selection activeCell="M5" sqref="M5:R7"/>
    </sheetView>
  </sheetViews>
  <sheetFormatPr defaultRowHeight="15" x14ac:dyDescent="0.25"/>
  <cols>
    <col min="5" max="5" width="23" bestFit="1" customWidth="1"/>
    <col min="6" max="6" width="9.5703125" bestFit="1" customWidth="1"/>
    <col min="13" max="13" width="5.28515625" bestFit="1" customWidth="1"/>
    <col min="14" max="14" width="20.5703125" bestFit="1" customWidth="1"/>
    <col min="15" max="15" width="10.42578125" bestFit="1" customWidth="1"/>
    <col min="16" max="16" width="28" bestFit="1" customWidth="1"/>
    <col min="17" max="17" width="12.28515625" bestFit="1" customWidth="1"/>
    <col min="18" max="18" width="11.42578125" bestFit="1" customWidth="1"/>
  </cols>
  <sheetData>
    <row r="3" spans="4:18" x14ac:dyDescent="0.25">
      <c r="D3">
        <v>2</v>
      </c>
      <c r="E3" t="s">
        <v>68</v>
      </c>
      <c r="F3">
        <v>4279.1400000000003</v>
      </c>
    </row>
    <row r="4" spans="4:18" x14ac:dyDescent="0.25">
      <c r="E4" t="s">
        <v>69</v>
      </c>
      <c r="F4" s="38">
        <f>183.5*6</f>
        <v>1101</v>
      </c>
    </row>
    <row r="5" spans="4:18" x14ac:dyDescent="0.25">
      <c r="E5" t="s">
        <v>69</v>
      </c>
      <c r="F5">
        <v>144</v>
      </c>
      <c r="M5" s="42" t="s">
        <v>86</v>
      </c>
      <c r="N5" s="42" t="s">
        <v>87</v>
      </c>
      <c r="O5" s="42" t="s">
        <v>88</v>
      </c>
      <c r="P5" s="42" t="s">
        <v>92</v>
      </c>
      <c r="Q5" s="42" t="s">
        <v>89</v>
      </c>
      <c r="R5" s="42" t="s">
        <v>93</v>
      </c>
    </row>
    <row r="6" spans="4:18" x14ac:dyDescent="0.25">
      <c r="E6" t="s">
        <v>69</v>
      </c>
      <c r="F6">
        <v>432</v>
      </c>
      <c r="M6" s="42">
        <v>1</v>
      </c>
      <c r="N6" s="42" t="s">
        <v>90</v>
      </c>
      <c r="O6" s="43">
        <v>33901</v>
      </c>
      <c r="P6" s="42" t="s">
        <v>94</v>
      </c>
      <c r="Q6" s="42" t="s">
        <v>96</v>
      </c>
      <c r="R6" s="42">
        <v>2.99</v>
      </c>
    </row>
    <row r="7" spans="4:18" x14ac:dyDescent="0.25">
      <c r="E7" t="s">
        <v>69</v>
      </c>
      <c r="F7">
        <v>619.20000000000005</v>
      </c>
      <c r="M7" s="42">
        <v>2</v>
      </c>
      <c r="N7" s="42" t="s">
        <v>91</v>
      </c>
      <c r="O7" s="43">
        <v>34222</v>
      </c>
      <c r="P7" s="42" t="s">
        <v>95</v>
      </c>
      <c r="Q7" s="42" t="s">
        <v>97</v>
      </c>
      <c r="R7" s="42">
        <v>1.92</v>
      </c>
    </row>
    <row r="8" spans="4:18" x14ac:dyDescent="0.25">
      <c r="E8" t="s">
        <v>70</v>
      </c>
      <c r="F8">
        <f>10.5*17.5</f>
        <v>183.75</v>
      </c>
    </row>
    <row r="9" spans="4:18" x14ac:dyDescent="0.25">
      <c r="E9" t="s">
        <v>71</v>
      </c>
      <c r="F9">
        <v>750</v>
      </c>
    </row>
    <row r="10" spans="4:18" x14ac:dyDescent="0.25">
      <c r="E10" t="s">
        <v>72</v>
      </c>
      <c r="F10">
        <f>94.9*25+60*25</f>
        <v>3872.5</v>
      </c>
    </row>
    <row r="11" spans="4:18" x14ac:dyDescent="0.25">
      <c r="E11" t="s">
        <v>69</v>
      </c>
      <c r="F11">
        <f>60*6+94.8*6</f>
        <v>928.8</v>
      </c>
    </row>
    <row r="12" spans="4:18" x14ac:dyDescent="0.25">
      <c r="E12" t="s">
        <v>73</v>
      </c>
      <c r="F12">
        <v>110.18300000000001</v>
      </c>
    </row>
    <row r="13" spans="4:18" x14ac:dyDescent="0.25">
      <c r="E13" t="s">
        <v>75</v>
      </c>
      <c r="F13">
        <f>520*2</f>
        <v>1040</v>
      </c>
    </row>
    <row r="14" spans="4:18" x14ac:dyDescent="0.25">
      <c r="E14" t="s">
        <v>74</v>
      </c>
      <c r="F14">
        <v>7034</v>
      </c>
    </row>
    <row r="15" spans="4:18" x14ac:dyDescent="0.25">
      <c r="E15" t="s">
        <v>69</v>
      </c>
      <c r="F15">
        <v>100</v>
      </c>
    </row>
    <row r="16" spans="4:18" x14ac:dyDescent="0.25">
      <c r="E16" t="s">
        <v>69</v>
      </c>
      <c r="F16">
        <v>125</v>
      </c>
    </row>
    <row r="17" spans="5:6" x14ac:dyDescent="0.25">
      <c r="E17" t="s">
        <v>69</v>
      </c>
      <c r="F17">
        <v>72</v>
      </c>
    </row>
    <row r="18" spans="5:6" x14ac:dyDescent="0.25">
      <c r="E18" t="s">
        <v>69</v>
      </c>
      <c r="F18">
        <v>150</v>
      </c>
    </row>
    <row r="19" spans="5:6" x14ac:dyDescent="0.25">
      <c r="E19" t="s">
        <v>69</v>
      </c>
      <c r="F19">
        <v>17.5</v>
      </c>
    </row>
    <row r="20" spans="5:6" x14ac:dyDescent="0.25">
      <c r="E20" t="s">
        <v>76</v>
      </c>
      <c r="F20">
        <v>207</v>
      </c>
    </row>
    <row r="21" spans="5:6" x14ac:dyDescent="0.25">
      <c r="E21" t="s">
        <v>77</v>
      </c>
      <c r="F21">
        <v>598.697</v>
      </c>
    </row>
    <row r="22" spans="5:6" x14ac:dyDescent="0.25">
      <c r="E22" t="s">
        <v>78</v>
      </c>
      <c r="F22">
        <v>576</v>
      </c>
    </row>
    <row r="23" spans="5:6" x14ac:dyDescent="0.25">
      <c r="E23" t="s">
        <v>79</v>
      </c>
      <c r="F23">
        <v>1568.64</v>
      </c>
    </row>
    <row r="24" spans="5:6" x14ac:dyDescent="0.25">
      <c r="E24" t="s">
        <v>69</v>
      </c>
      <c r="F24">
        <v>216</v>
      </c>
    </row>
    <row r="25" spans="5:6" x14ac:dyDescent="0.25">
      <c r="E25" t="s">
        <v>80</v>
      </c>
      <c r="F25">
        <v>32.5</v>
      </c>
    </row>
    <row r="26" spans="5:6" x14ac:dyDescent="0.25">
      <c r="E26" t="s">
        <v>81</v>
      </c>
      <c r="F26">
        <v>810</v>
      </c>
    </row>
    <row r="27" spans="5:6" x14ac:dyDescent="0.25">
      <c r="E27" t="s">
        <v>82</v>
      </c>
      <c r="F27">
        <v>490</v>
      </c>
    </row>
    <row r="28" spans="5:6" x14ac:dyDescent="0.25">
      <c r="E28" t="s">
        <v>69</v>
      </c>
      <c r="F28">
        <v>336</v>
      </c>
    </row>
    <row r="29" spans="5:6" x14ac:dyDescent="0.25">
      <c r="E29" t="s">
        <v>83</v>
      </c>
      <c r="F29">
        <f>240+144</f>
        <v>384</v>
      </c>
    </row>
    <row r="30" spans="5:6" x14ac:dyDescent="0.25">
      <c r="E30" t="s">
        <v>84</v>
      </c>
      <c r="F30">
        <v>480</v>
      </c>
    </row>
    <row r="31" spans="5:6" x14ac:dyDescent="0.25">
      <c r="E31" t="s">
        <v>85</v>
      </c>
      <c r="F31">
        <v>26.62</v>
      </c>
    </row>
    <row r="32" spans="5:6" x14ac:dyDescent="0.25">
      <c r="F32">
        <f>SUM(F3:F31)</f>
        <v>26684.53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valuation</vt:lpstr>
      <vt:lpstr> Value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Mahesh Joshi</cp:lastModifiedBy>
  <dcterms:created xsi:type="dcterms:W3CDTF">2021-09-16T11:33:35Z</dcterms:created>
  <dcterms:modified xsi:type="dcterms:W3CDTF">2025-01-06T10:11:23Z</dcterms:modified>
</cp:coreProperties>
</file>