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X:\In Progress Files\Anuj Sharma\Ms Pasupati Fabrics Limited\Working\"/>
    </mc:Choice>
  </mc:AlternateContent>
  <xr:revisionPtr revIDLastSave="0" documentId="13_ncr:1_{A80C7061-B747-4E95-8DEA-DDB6CA9DFBC5}" xr6:coauthVersionLast="47" xr6:coauthVersionMax="47" xr10:uidLastSave="{00000000-0000-0000-0000-000000000000}"/>
  <bookViews>
    <workbookView xWindow="-120" yWindow="-120" windowWidth="24240" windowHeight="13140" activeTab="2" xr2:uid="{00000000-000D-0000-FFFF-FFFF00000000}"/>
  </bookViews>
  <sheets>
    <sheet name="Building" sheetId="2" r:id="rId1"/>
    <sheet name="Asthetic" sheetId="6" r:id="rId2"/>
    <sheet name="Allotment Rate" sheetId="3" r:id="rId3"/>
    <sheet name="Available Plots" sheetId="4" r:id="rId4"/>
    <sheet name="Circle Rate" sheetId="5" r:id="rId5"/>
    <sheet name="Links" sheetId="8" r:id="rId6"/>
    <sheet name="Land Valuation" sheetId="7" r:id="rId7"/>
  </sheets>
  <externalReferences>
    <externalReference r:id="rId8"/>
  </externalReferenc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0" i="6" l="1"/>
  <c r="P20" i="6"/>
  <c r="O20" i="6"/>
  <c r="Q19" i="6"/>
  <c r="P19" i="6"/>
  <c r="Q18" i="6"/>
  <c r="P18" i="6"/>
  <c r="Q17" i="6"/>
  <c r="P17" i="6"/>
  <c r="Q16" i="6"/>
  <c r="P16" i="6"/>
  <c r="Q15" i="6"/>
  <c r="P15" i="6"/>
  <c r="O18" i="6"/>
  <c r="I11" i="8" l="1"/>
  <c r="H11" i="8"/>
  <c r="G4" i="8"/>
  <c r="G3" i="8"/>
  <c r="R2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0" i="2"/>
  <c r="R9" i="2"/>
  <c r="R7" i="2"/>
  <c r="R6" i="2"/>
  <c r="O19" i="6"/>
  <c r="O17" i="6"/>
  <c r="O16" i="6"/>
  <c r="O15" i="6"/>
  <c r="D11" i="8"/>
  <c r="F5" i="7"/>
  <c r="F6" i="7" s="1"/>
  <c r="F4" i="7"/>
  <c r="J4" i="7" s="1"/>
  <c r="F24" i="8"/>
  <c r="E24" i="8"/>
  <c r="E25" i="8" s="1"/>
  <c r="E26" i="8" s="1"/>
  <c r="D24" i="8"/>
  <c r="D25" i="8" s="1"/>
  <c r="D26" i="8" s="1"/>
  <c r="F11" i="8"/>
  <c r="D27" i="8" l="1"/>
  <c r="E4" i="8"/>
  <c r="F4" i="8" s="1"/>
  <c r="E11" i="8" s="1"/>
  <c r="E27" i="8" s="1"/>
  <c r="E3" i="8"/>
  <c r="F3" i="8" s="1"/>
  <c r="E7" i="7"/>
  <c r="E6" i="7"/>
  <c r="D4" i="6"/>
  <c r="E4" i="6" s="1"/>
  <c r="J4" i="6" s="1"/>
  <c r="J5" i="6"/>
  <c r="K5" i="6" s="1"/>
  <c r="L5" i="6" s="1"/>
  <c r="E5" i="6"/>
  <c r="D2" i="2"/>
  <c r="P25" i="2"/>
  <c r="P21" i="2"/>
  <c r="P20" i="2"/>
  <c r="P18" i="2"/>
  <c r="P17" i="2"/>
  <c r="P16" i="2"/>
  <c r="P15" i="2"/>
  <c r="P14" i="2"/>
  <c r="P13" i="2"/>
  <c r="P12" i="2"/>
  <c r="P10" i="2"/>
  <c r="P9" i="2"/>
  <c r="P7" i="2"/>
  <c r="M25" i="2"/>
  <c r="N25" i="2" s="1"/>
  <c r="M24" i="2"/>
  <c r="N24" i="2" s="1"/>
  <c r="P24" i="2" s="1"/>
  <c r="M21" i="2"/>
  <c r="N21" i="2" s="1"/>
  <c r="M20" i="2"/>
  <c r="N20" i="2" s="1"/>
  <c r="M18" i="2"/>
  <c r="N18" i="2" s="1"/>
  <c r="N17" i="2"/>
  <c r="M17" i="2"/>
  <c r="M16" i="2"/>
  <c r="N16" i="2" s="1"/>
  <c r="N15" i="2"/>
  <c r="M15" i="2"/>
  <c r="M14" i="2"/>
  <c r="N14" i="2" s="1"/>
  <c r="M13" i="2"/>
  <c r="N13" i="2" s="1"/>
  <c r="M12" i="2"/>
  <c r="N12" i="2" s="1"/>
  <c r="N10" i="2"/>
  <c r="M10" i="2"/>
  <c r="M9" i="2"/>
  <c r="N9" i="2" s="1"/>
  <c r="N7" i="2"/>
  <c r="M7" i="2"/>
  <c r="M6" i="2"/>
  <c r="L25" i="2"/>
  <c r="L24" i="2"/>
  <c r="L23" i="2"/>
  <c r="M23" i="2" s="1"/>
  <c r="N23" i="2" s="1"/>
  <c r="P23" i="2" s="1"/>
  <c r="L22" i="2"/>
  <c r="M22" i="2" s="1"/>
  <c r="N22" i="2" s="1"/>
  <c r="P22" i="2" s="1"/>
  <c r="L21" i="2"/>
  <c r="L20" i="2"/>
  <c r="L19" i="2"/>
  <c r="M19" i="2" s="1"/>
  <c r="N19" i="2" s="1"/>
  <c r="P19" i="2" s="1"/>
  <c r="L18" i="2"/>
  <c r="L17" i="2"/>
  <c r="L16" i="2"/>
  <c r="L15" i="2"/>
  <c r="L14" i="2"/>
  <c r="L13" i="2"/>
  <c r="L12" i="2"/>
  <c r="L10" i="2"/>
  <c r="L9" i="2"/>
  <c r="L7" i="2"/>
  <c r="L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0" i="2"/>
  <c r="H9" i="2"/>
  <c r="H7" i="2"/>
  <c r="H6" i="2"/>
  <c r="H10" i="5"/>
  <c r="F13" i="5"/>
  <c r="F12" i="5"/>
  <c r="E8" i="5"/>
  <c r="E7" i="5"/>
  <c r="E6" i="5"/>
  <c r="E5" i="5"/>
  <c r="R12" i="3"/>
  <c r="O17" i="3"/>
  <c r="M21" i="3"/>
  <c r="M19" i="3"/>
  <c r="R5" i="3"/>
  <c r="E28" i="8" l="1"/>
  <c r="F5" i="8"/>
  <c r="K4" i="6"/>
  <c r="K2" i="6" s="1"/>
  <c r="J2" i="6"/>
  <c r="M2" i="2"/>
  <c r="L2" i="2"/>
  <c r="N6" i="2"/>
  <c r="G4" i="7" l="1"/>
  <c r="G6" i="7"/>
  <c r="G5" i="7"/>
  <c r="L4" i="6"/>
  <c r="L2" i="6" s="1"/>
  <c r="P6" i="2"/>
  <c r="P2" i="2" s="1"/>
  <c r="M2" i="6" s="1"/>
  <c r="N2" i="2"/>
  <c r="O2" i="6" l="1"/>
  <c r="G7" i="7"/>
  <c r="G9" i="7" s="1"/>
  <c r="O3" i="6" s="1"/>
  <c r="O4" i="6" l="1"/>
</calcChain>
</file>

<file path=xl/sharedStrings.xml><?xml version="1.0" encoding="utf-8"?>
<sst xmlns="http://schemas.openxmlformats.org/spreadsheetml/2006/main" count="152" uniqueCount="112">
  <si>
    <t>Industrial Building &amp; Residential Colony</t>
  </si>
  <si>
    <t>S. No</t>
  </si>
  <si>
    <t>Description</t>
  </si>
  <si>
    <t>Area in sq.mt</t>
  </si>
  <si>
    <t>Type of construction</t>
  </si>
  <si>
    <t xml:space="preserve">Spinning Section </t>
  </si>
  <si>
    <t>a</t>
  </si>
  <si>
    <t>Admin. Section etc. G.F. &amp; F.F.</t>
  </si>
  <si>
    <t>RCC roofing with false ceiling, tiles/CC flooring, stone fcing, Aluminium section/ M.S./ Wooden dor windows</t>
  </si>
  <si>
    <t>b</t>
  </si>
  <si>
    <t>Working hall</t>
  </si>
  <si>
    <t>A.C Sheet roofing with false ceilng, Stone/Tiles/CC flooring</t>
  </si>
  <si>
    <t xml:space="preserve">Weaving Section </t>
  </si>
  <si>
    <t>Side sheds</t>
  </si>
  <si>
    <t>RCC roofing</t>
  </si>
  <si>
    <t>Working sheds</t>
  </si>
  <si>
    <t xml:space="preserve">AC sheet roofing attached to spinning section </t>
  </si>
  <si>
    <t>Process Section</t>
  </si>
  <si>
    <t xml:space="preserve">Work Shed </t>
  </si>
  <si>
    <t>AC sheet roofing, CC flooring, ht.20'/26'</t>
  </si>
  <si>
    <t>RCC roofing, ht.12'</t>
  </si>
  <si>
    <t>c</t>
  </si>
  <si>
    <t>G.I. sheet roofing, ht. 20'/24'</t>
  </si>
  <si>
    <t>Raw material/ Finished goods godown &amp; make up units</t>
  </si>
  <si>
    <t>AC sheet roofing with false ceiling, ht.16'/20'</t>
  </si>
  <si>
    <t>Packing section &amp; make up units</t>
  </si>
  <si>
    <t>RCC roofing, Aluminium section/M.S. doors &amp; window</t>
  </si>
  <si>
    <t>Utility/ work sheds</t>
  </si>
  <si>
    <t>RCC roofing , CC flooring</t>
  </si>
  <si>
    <t>AC sheet roofing, CC flooring</t>
  </si>
  <si>
    <t>Boiler House</t>
  </si>
  <si>
    <t>ACC sheet roofing brick walls up to 8'ht. rest with ACC</t>
  </si>
  <si>
    <t>Canteen</t>
  </si>
  <si>
    <t>RCC roofing, M.S./wooden doors &amp; windows</t>
  </si>
  <si>
    <t>Officers Colony</t>
  </si>
  <si>
    <t>RCC roofing, Marble flooring</t>
  </si>
  <si>
    <t>Triple Storey houses ( Ground floor, First Floor &amp; Second Floor)</t>
  </si>
  <si>
    <t>RCC roofing, mosaic flooring</t>
  </si>
  <si>
    <t>Double Storey house (Ground Floor and First Foor)</t>
  </si>
  <si>
    <t>Panel/Guard room</t>
  </si>
  <si>
    <t>RCC roofing, CC flooring</t>
  </si>
  <si>
    <t>Allotment Rate</t>
  </si>
  <si>
    <t>per sqm</t>
  </si>
  <si>
    <t>Area</t>
  </si>
  <si>
    <t>Acre</t>
  </si>
  <si>
    <t>Sqm</t>
  </si>
  <si>
    <t>Google</t>
  </si>
  <si>
    <t>Allotment Value</t>
  </si>
  <si>
    <t>On Highway</t>
  </si>
  <si>
    <t>NA Land Rate</t>
  </si>
  <si>
    <t>Kosi Kalan</t>
  </si>
  <si>
    <t>Per sqm</t>
  </si>
  <si>
    <t>on Highway Agri. Land Rate</t>
  </si>
  <si>
    <t>Kotwan</t>
  </si>
  <si>
    <t>Nagla Hasanpur</t>
  </si>
  <si>
    <t>Navipur</t>
  </si>
  <si>
    <t>Industrial rate</t>
  </si>
  <si>
    <t>RCC Construction Cost</t>
  </si>
  <si>
    <t>Tin Shed</t>
  </si>
  <si>
    <t>per sqft</t>
  </si>
  <si>
    <t>YoC</t>
  </si>
  <si>
    <t>Time/Gate Office</t>
  </si>
  <si>
    <t>RCC roofing, Mosaic/CC Flooring, Alum/MS/Wooden doors &amp; window</t>
  </si>
  <si>
    <t>Rate per sqtf</t>
  </si>
  <si>
    <t>Plant</t>
  </si>
  <si>
    <t>Residential</t>
  </si>
  <si>
    <t>RKA</t>
  </si>
  <si>
    <t>per sqtf</t>
  </si>
  <si>
    <t>OVR CoC Rate</t>
  </si>
  <si>
    <t>EL</t>
  </si>
  <si>
    <t>SV</t>
  </si>
  <si>
    <t>GCRC</t>
  </si>
  <si>
    <t>Dep.</t>
  </si>
  <si>
    <t>DRC</t>
  </si>
  <si>
    <t>Discount</t>
  </si>
  <si>
    <t>FMV</t>
  </si>
  <si>
    <t>Boundary Wall</t>
  </si>
  <si>
    <t>Roads</t>
  </si>
  <si>
    <t>Km</t>
  </si>
  <si>
    <t>RMT</t>
  </si>
  <si>
    <t>Rate per RMT</t>
  </si>
  <si>
    <t>Part-1</t>
  </si>
  <si>
    <t>Part-2</t>
  </si>
  <si>
    <t>Part-3</t>
  </si>
  <si>
    <t>https://www.99acres.com/industrial-land-plot-for-sale-in-kosi-kalan-mathura-2628-sq-yard-r1-spid-M75239293</t>
  </si>
  <si>
    <t>Area sqm</t>
  </si>
  <si>
    <t>Asking</t>
  </si>
  <si>
    <t>Rate/Sqm</t>
  </si>
  <si>
    <t>https://www.99acres.com/industrial-land-plot-for-sale-in-kosi-kalan-mathura-1792-sq-yard-spid-B77262909</t>
  </si>
  <si>
    <t>Size</t>
  </si>
  <si>
    <t>Road Facing Width</t>
  </si>
  <si>
    <t>open Sides</t>
  </si>
  <si>
    <t>Frontage</t>
  </si>
  <si>
    <t>Asking Discount</t>
  </si>
  <si>
    <t>18 ft</t>
  </si>
  <si>
    <t>24 ft</t>
  </si>
  <si>
    <t>100 ft</t>
  </si>
  <si>
    <t>Open Sides</t>
  </si>
  <si>
    <t>Location</t>
  </si>
  <si>
    <t>165 ft</t>
  </si>
  <si>
    <t>~150 ft</t>
  </si>
  <si>
    <t>~1300 ft</t>
  </si>
  <si>
    <t>Internal</t>
  </si>
  <si>
    <t>Highway</t>
  </si>
  <si>
    <t>Land</t>
  </si>
  <si>
    <t>Building</t>
  </si>
  <si>
    <t>Asthetic</t>
  </si>
  <si>
    <t>P&amp;M</t>
  </si>
  <si>
    <t>Total</t>
  </si>
  <si>
    <t>RV</t>
  </si>
  <si>
    <t>DV</t>
  </si>
  <si>
    <t>Say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</si>
</sst>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5">
    <xf numFmtId="0" fontId="0" fillId="0" borderId="0" xfId="0"/>
    <xf numFmtId="0" fontId="2" fillId="0" borderId="0" xfId="0" applyFont="1"/>
    <xf numFmtId="0" fontId="2" fillId="3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164" fontId="0" fillId="0" borderId="1" xfId="1" applyNumberFormat="1" applyFont="1" applyBorder="1" applyAlignment="1">
      <alignment horizontal="right" vertical="center"/>
    </xf>
    <xf numFmtId="164" fontId="0" fillId="0" borderId="0" xfId="1" applyNumberFormat="1" applyFont="1" applyAlignment="1">
      <alignment horizontal="right"/>
    </xf>
    <xf numFmtId="0" fontId="2" fillId="2" borderId="1" xfId="0" applyFont="1" applyFill="1" applyBorder="1"/>
    <xf numFmtId="164" fontId="2" fillId="3" borderId="1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43" fontId="0" fillId="0" borderId="0" xfId="1" applyFont="1"/>
    <xf numFmtId="164" fontId="0" fillId="0" borderId="0" xfId="1" applyNumberFormat="1" applyFont="1"/>
    <xf numFmtId="0" fontId="2" fillId="0" borderId="0" xfId="0" applyFont="1" applyAlignment="1">
      <alignment horizontal="center" vertical="center"/>
    </xf>
    <xf numFmtId="43" fontId="0" fillId="0" borderId="0" xfId="0" applyNumberFormat="1"/>
    <xf numFmtId="164" fontId="0" fillId="0" borderId="0" xfId="0" applyNumberFormat="1"/>
    <xf numFmtId="164" fontId="2" fillId="0" borderId="0" xfId="1" applyNumberFormat="1" applyFont="1" applyAlignment="1">
      <alignment horizontal="center" vertical="center"/>
    </xf>
    <xf numFmtId="164" fontId="2" fillId="0" borderId="0" xfId="1" applyNumberFormat="1" applyFont="1"/>
    <xf numFmtId="164" fontId="4" fillId="0" borderId="0" xfId="1" applyNumberFormat="1" applyFont="1"/>
    <xf numFmtId="0" fontId="5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9" fontId="0" fillId="0" borderId="0" xfId="0" applyNumberFormat="1"/>
    <xf numFmtId="164" fontId="2" fillId="0" borderId="0" xfId="1" applyNumberFormat="1" applyFont="1" applyAlignment="1">
      <alignment horizontal="right"/>
    </xf>
    <xf numFmtId="9" fontId="2" fillId="0" borderId="0" xfId="2" applyFont="1" applyAlignment="1">
      <alignment horizontal="center" vertical="center"/>
    </xf>
    <xf numFmtId="9" fontId="0" fillId="0" borderId="0" xfId="2" applyFont="1"/>
    <xf numFmtId="0" fontId="2" fillId="0" borderId="0" xfId="0" applyFont="1" applyAlignment="1">
      <alignment horizontal="right" vertical="center"/>
    </xf>
    <xf numFmtId="164" fontId="2" fillId="0" borderId="0" xfId="1" applyNumberFormat="1" applyFont="1" applyAlignment="1">
      <alignment horizontal="right" vertic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164" fontId="0" fillId="0" borderId="0" xfId="1" applyNumberFormat="1" applyFont="1" applyAlignment="1">
      <alignment horizontal="left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161926</xdr:rowOff>
    </xdr:from>
    <xdr:to>
      <xdr:col>9</xdr:col>
      <xdr:colOff>531440</xdr:colOff>
      <xdr:row>29</xdr:row>
      <xdr:rowOff>66676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60A887-936B-10C4-63E5-6CC581399A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490" t="9961" r="24064" b="4045"/>
        <a:stretch/>
      </xdr:blipFill>
      <xdr:spPr>
        <a:xfrm>
          <a:off x="180975" y="161926"/>
          <a:ext cx="5998790" cy="54292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19050</xdr:rowOff>
    </xdr:from>
    <xdr:to>
      <xdr:col>19</xdr:col>
      <xdr:colOff>381000</xdr:colOff>
      <xdr:row>33</xdr:row>
      <xdr:rowOff>107011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2819B1-9ED5-5EEC-8485-596A157374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54" t="10112" r="2104" b="9455"/>
        <a:stretch/>
      </xdr:blipFill>
      <xdr:spPr>
        <a:xfrm>
          <a:off x="0" y="781050"/>
          <a:ext cx="11963400" cy="561246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457200</xdr:colOff>
      <xdr:row>3</xdr:row>
      <xdr:rowOff>76200</xdr:rowOff>
    </xdr:from>
    <xdr:to>
      <xdr:col>23</xdr:col>
      <xdr:colOff>186550</xdr:colOff>
      <xdr:row>30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076C21-65B6-1A05-0BD2-40B1EC3BF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55" t="10818" r="1178" b="5221"/>
        <a:stretch/>
      </xdr:blipFill>
      <xdr:spPr>
        <a:xfrm>
          <a:off x="3505200" y="647700"/>
          <a:ext cx="10702150" cy="51911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In%20Progress%20Files\Anuj%20Sharma\Ms%20Pasupati%20Fabrics%20Limited\Working\P&amp;M%20Working.xlsx" TargetMode="External"/><Relationship Id="rId1" Type="http://schemas.openxmlformats.org/officeDocument/2006/relationships/externalLinkPath" Target="P&amp;M%20Work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t &amp; Machinery"/>
      <sheetName val="Sheet1"/>
    </sheetNames>
    <sheetDataSet>
      <sheetData sheetId="0">
        <row r="1">
          <cell r="O1">
            <v>60730198.749999993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2B7A0-2273-494A-8E2F-DB1B48D400AC}">
  <dimension ref="A2:R32"/>
  <sheetViews>
    <sheetView topLeftCell="A2" zoomScale="85" zoomScaleNormal="85" workbookViewId="0">
      <selection activeCell="P2" sqref="P2"/>
    </sheetView>
  </sheetViews>
  <sheetFormatPr defaultRowHeight="15" x14ac:dyDescent="0.25"/>
  <cols>
    <col min="1" max="1" width="7.140625" style="6" bestFit="1" customWidth="1"/>
    <col min="2" max="2" width="11.85546875" style="6" hidden="1" customWidth="1"/>
    <col min="3" max="3" width="44.140625" style="8" customWidth="1"/>
    <col min="4" max="4" width="13.7109375" style="11" bestFit="1" customWidth="1"/>
    <col min="5" max="5" width="35.28515625" style="9" customWidth="1"/>
    <col min="6" max="6" width="5.140625" customWidth="1"/>
    <col min="7" max="7" width="9" style="17" customWidth="1"/>
    <col min="8" max="8" width="8.7109375" style="17" customWidth="1"/>
    <col min="9" max="9" width="13.28515625" customWidth="1"/>
    <col min="10" max="10" width="4" bestFit="1" customWidth="1"/>
    <col min="11" max="11" width="4.7109375" customWidth="1"/>
    <col min="12" max="12" width="12.7109375" style="17" bestFit="1" customWidth="1"/>
    <col min="13" max="14" width="12.7109375" hidden="1" customWidth="1"/>
    <col min="15" max="15" width="9.5703125" hidden="1" customWidth="1"/>
    <col min="16" max="16" width="12.7109375" style="17" bestFit="1" customWidth="1"/>
    <col min="18" max="18" width="10.28515625" bestFit="1" customWidth="1"/>
  </cols>
  <sheetData>
    <row r="2" spans="1:18" x14ac:dyDescent="0.25">
      <c r="D2" s="11">
        <f>SUM(D6:D25)</f>
        <v>41370</v>
      </c>
      <c r="L2" s="27">
        <f>SUM(L6:L25)</f>
        <v>439860095.99999994</v>
      </c>
      <c r="M2" s="27">
        <f>SUM(M6:M25)</f>
        <v>283919037.14571428</v>
      </c>
      <c r="N2" s="27">
        <f>SUM(N6:N25)</f>
        <v>155941058.85428566</v>
      </c>
      <c r="O2" s="1"/>
      <c r="P2" s="27">
        <f>SUM(P6:P25)</f>
        <v>105997342.86514282</v>
      </c>
      <c r="R2" s="27">
        <f>SUM(R6:R25)</f>
        <v>445306.67999999993</v>
      </c>
    </row>
    <row r="3" spans="1:18" ht="15" customHeight="1" x14ac:dyDescent="0.25">
      <c r="A3" s="12" t="s">
        <v>0</v>
      </c>
      <c r="B3" s="12"/>
      <c r="C3" s="12"/>
      <c r="D3" s="12"/>
      <c r="E3" s="12"/>
      <c r="F3" s="1"/>
      <c r="G3" s="32" t="s">
        <v>68</v>
      </c>
      <c r="H3" s="33"/>
      <c r="I3" s="25" t="s">
        <v>66</v>
      </c>
    </row>
    <row r="4" spans="1:18" s="15" customFormat="1" ht="18.75" x14ac:dyDescent="0.3">
      <c r="A4" s="2" t="s">
        <v>1</v>
      </c>
      <c r="B4" s="2"/>
      <c r="C4" s="2" t="s">
        <v>2</v>
      </c>
      <c r="D4" s="13" t="s">
        <v>3</v>
      </c>
      <c r="E4" s="2" t="s">
        <v>4</v>
      </c>
      <c r="F4" s="14" t="s">
        <v>60</v>
      </c>
      <c r="G4" s="13" t="s">
        <v>42</v>
      </c>
      <c r="H4" s="13" t="s">
        <v>67</v>
      </c>
      <c r="I4" s="13" t="s">
        <v>63</v>
      </c>
      <c r="J4" s="13" t="s">
        <v>69</v>
      </c>
      <c r="K4" s="13" t="s">
        <v>70</v>
      </c>
      <c r="L4" s="13" t="s">
        <v>71</v>
      </c>
      <c r="M4" s="13" t="s">
        <v>72</v>
      </c>
      <c r="N4" s="13" t="s">
        <v>73</v>
      </c>
      <c r="O4" s="13" t="s">
        <v>74</v>
      </c>
      <c r="P4" s="13" t="s">
        <v>75</v>
      </c>
    </row>
    <row r="5" spans="1:18" s="5" customFormat="1" ht="15.75" x14ac:dyDescent="0.25">
      <c r="A5" s="3">
        <v>1</v>
      </c>
      <c r="B5" s="3"/>
      <c r="C5" s="24" t="s">
        <v>5</v>
      </c>
      <c r="D5" s="10"/>
      <c r="E5" s="7"/>
      <c r="F5"/>
      <c r="G5" s="23"/>
      <c r="H5" s="23"/>
      <c r="L5" s="23"/>
      <c r="P5" s="23"/>
    </row>
    <row r="6" spans="1:18" x14ac:dyDescent="0.25">
      <c r="A6" s="4" t="s">
        <v>6</v>
      </c>
      <c r="B6" s="4" t="s">
        <v>64</v>
      </c>
      <c r="C6" s="7" t="s">
        <v>7</v>
      </c>
      <c r="D6" s="10">
        <v>2600</v>
      </c>
      <c r="E6" s="7" t="s">
        <v>8</v>
      </c>
      <c r="F6">
        <v>1995</v>
      </c>
      <c r="G6" s="17">
        <v>16000</v>
      </c>
      <c r="H6" s="17">
        <f>G6/10.764</f>
        <v>1486.4362690449648</v>
      </c>
      <c r="I6">
        <v>1400</v>
      </c>
      <c r="J6">
        <v>60</v>
      </c>
      <c r="K6" s="26">
        <v>0.9</v>
      </c>
      <c r="L6" s="17">
        <f>I6*10.764*D6</f>
        <v>39180959.999999993</v>
      </c>
      <c r="M6" s="20">
        <f>L6*(K6/J6)*(2024-F6)</f>
        <v>17043717.599999998</v>
      </c>
      <c r="N6" s="20">
        <f>L6-M6</f>
        <v>22137242.399999995</v>
      </c>
      <c r="O6" s="26">
        <v>0.3</v>
      </c>
      <c r="P6" s="17">
        <f>N6*(1-O6)</f>
        <v>15496069.679999996</v>
      </c>
      <c r="R6" s="19">
        <f>D6*10.764</f>
        <v>27986.399999999998</v>
      </c>
    </row>
    <row r="7" spans="1:18" x14ac:dyDescent="0.25">
      <c r="A7" s="4" t="s">
        <v>9</v>
      </c>
      <c r="B7" s="4" t="s">
        <v>64</v>
      </c>
      <c r="C7" s="7" t="s">
        <v>10</v>
      </c>
      <c r="D7" s="10">
        <v>11060</v>
      </c>
      <c r="E7" s="7" t="s">
        <v>11</v>
      </c>
      <c r="F7">
        <v>1995</v>
      </c>
      <c r="G7" s="17">
        <v>8000</v>
      </c>
      <c r="H7" s="17">
        <f>G7/10.764</f>
        <v>743.21813452248239</v>
      </c>
      <c r="I7">
        <v>900</v>
      </c>
      <c r="J7">
        <v>35</v>
      </c>
      <c r="K7" s="26">
        <v>0.9</v>
      </c>
      <c r="L7" s="17">
        <f>I7*10.764*D7</f>
        <v>107144855.99999999</v>
      </c>
      <c r="M7" s="20">
        <f>L7*(K7/J7)*(2024-F7)</f>
        <v>79899449.75999999</v>
      </c>
      <c r="N7" s="20">
        <f>L7-M7</f>
        <v>27245406.239999995</v>
      </c>
      <c r="O7" s="26">
        <v>0.3</v>
      </c>
      <c r="P7" s="17">
        <f>N7*(1-O7)</f>
        <v>19071784.367999993</v>
      </c>
      <c r="R7" s="19">
        <f>D7*10.764</f>
        <v>119049.84</v>
      </c>
    </row>
    <row r="8" spans="1:18" x14ac:dyDescent="0.25">
      <c r="A8" s="4">
        <v>2</v>
      </c>
      <c r="B8" s="4" t="s">
        <v>64</v>
      </c>
      <c r="C8" s="24" t="s">
        <v>12</v>
      </c>
      <c r="D8" s="10"/>
      <c r="E8" s="7"/>
    </row>
    <row r="9" spans="1:18" x14ac:dyDescent="0.25">
      <c r="A9" s="4" t="s">
        <v>6</v>
      </c>
      <c r="B9" s="4" t="s">
        <v>64</v>
      </c>
      <c r="C9" s="7" t="s">
        <v>13</v>
      </c>
      <c r="D9" s="10">
        <v>310</v>
      </c>
      <c r="E9" s="7" t="s">
        <v>14</v>
      </c>
      <c r="F9">
        <v>1995</v>
      </c>
      <c r="G9" s="17">
        <v>13000</v>
      </c>
      <c r="H9" s="17">
        <f>G9/10.764</f>
        <v>1207.7294685990339</v>
      </c>
      <c r="I9">
        <v>1200</v>
      </c>
      <c r="J9">
        <v>60</v>
      </c>
      <c r="K9" s="26">
        <v>0.9</v>
      </c>
      <c r="L9" s="17">
        <f>I9*10.764*D9</f>
        <v>4004208</v>
      </c>
      <c r="M9" s="20">
        <f>L9*(K9/J9)*(2024-F9)</f>
        <v>1741830.48</v>
      </c>
      <c r="N9" s="20">
        <f>L9-M9</f>
        <v>2262377.52</v>
      </c>
      <c r="O9" s="26">
        <v>0.3</v>
      </c>
      <c r="P9" s="17">
        <f>N9*(1-O9)</f>
        <v>1583664.264</v>
      </c>
      <c r="R9" s="19">
        <f>D9*10.764</f>
        <v>3336.8399999999997</v>
      </c>
    </row>
    <row r="10" spans="1:18" x14ac:dyDescent="0.25">
      <c r="A10" s="4" t="s">
        <v>9</v>
      </c>
      <c r="B10" s="4" t="s">
        <v>64</v>
      </c>
      <c r="C10" s="7" t="s">
        <v>15</v>
      </c>
      <c r="D10" s="10">
        <v>7700</v>
      </c>
      <c r="E10" s="7" t="s">
        <v>16</v>
      </c>
      <c r="F10">
        <v>1995</v>
      </c>
      <c r="G10" s="17">
        <v>8000</v>
      </c>
      <c r="H10" s="17">
        <f>G10/10.764</f>
        <v>743.21813452248239</v>
      </c>
      <c r="I10">
        <v>900</v>
      </c>
      <c r="J10">
        <v>35</v>
      </c>
      <c r="K10" s="26">
        <v>0.9</v>
      </c>
      <c r="L10" s="17">
        <f>I10*10.764*D10</f>
        <v>74594519.999999985</v>
      </c>
      <c r="M10" s="20">
        <f>L10*(K10/J10)*(2024-F10)</f>
        <v>55626199.199999988</v>
      </c>
      <c r="N10" s="20">
        <f>L10-M10</f>
        <v>18968320.799999997</v>
      </c>
      <c r="O10" s="26">
        <v>0.3</v>
      </c>
      <c r="P10" s="17">
        <f>N10*(1-O10)</f>
        <v>13277824.559999997</v>
      </c>
      <c r="R10" s="19">
        <f>D10*10.764</f>
        <v>82882.799999999988</v>
      </c>
    </row>
    <row r="11" spans="1:18" x14ac:dyDescent="0.25">
      <c r="A11" s="4">
        <v>3</v>
      </c>
      <c r="B11" s="4" t="s">
        <v>64</v>
      </c>
      <c r="C11" s="24" t="s">
        <v>17</v>
      </c>
      <c r="D11" s="10"/>
      <c r="E11" s="7"/>
    </row>
    <row r="12" spans="1:18" x14ac:dyDescent="0.25">
      <c r="A12" s="4" t="s">
        <v>6</v>
      </c>
      <c r="B12" s="4" t="s">
        <v>64</v>
      </c>
      <c r="C12" s="7" t="s">
        <v>18</v>
      </c>
      <c r="D12" s="10">
        <v>5680</v>
      </c>
      <c r="E12" s="7" t="s">
        <v>19</v>
      </c>
      <c r="F12">
        <v>1995</v>
      </c>
      <c r="G12" s="17">
        <v>8000</v>
      </c>
      <c r="H12" s="17">
        <f t="shared" ref="H12:H21" si="0">G12/10.764</f>
        <v>743.21813452248239</v>
      </c>
      <c r="I12">
        <v>900</v>
      </c>
      <c r="J12">
        <v>35</v>
      </c>
      <c r="K12" s="26">
        <v>0.9</v>
      </c>
      <c r="L12" s="17">
        <f t="shared" ref="L12:L25" si="1">I12*10.764*D12</f>
        <v>55025567.999999993</v>
      </c>
      <c r="M12" s="20">
        <f t="shared" ref="M12:M25" si="2">L12*(K12/J12)*(2024-F12)</f>
        <v>41033352.137142852</v>
      </c>
      <c r="N12" s="20">
        <f t="shared" ref="N12:N25" si="3">L12-M12</f>
        <v>13992215.862857141</v>
      </c>
      <c r="O12" s="26">
        <v>0.3</v>
      </c>
      <c r="P12" s="17">
        <f t="shared" ref="P12:P25" si="4">N12*(1-O12)</f>
        <v>9794551.1039999984</v>
      </c>
      <c r="R12" s="19">
        <f t="shared" ref="R12:R25" si="5">D12*10.764</f>
        <v>61139.519999999997</v>
      </c>
    </row>
    <row r="13" spans="1:18" x14ac:dyDescent="0.25">
      <c r="A13" s="4" t="s">
        <v>9</v>
      </c>
      <c r="B13" s="4" t="s">
        <v>64</v>
      </c>
      <c r="C13" s="7" t="s">
        <v>10</v>
      </c>
      <c r="D13" s="10">
        <v>1050</v>
      </c>
      <c r="E13" s="7" t="s">
        <v>20</v>
      </c>
      <c r="F13">
        <v>1995</v>
      </c>
      <c r="G13" s="17">
        <v>10000</v>
      </c>
      <c r="H13" s="17">
        <f t="shared" si="0"/>
        <v>929.02266815310304</v>
      </c>
      <c r="I13">
        <v>900</v>
      </c>
      <c r="J13">
        <v>60</v>
      </c>
      <c r="K13" s="26">
        <v>0.9</v>
      </c>
      <c r="L13" s="17">
        <f t="shared" si="1"/>
        <v>10171979.999999998</v>
      </c>
      <c r="M13" s="20">
        <f t="shared" si="2"/>
        <v>4424811.3</v>
      </c>
      <c r="N13" s="20">
        <f t="shared" si="3"/>
        <v>5747168.6999999983</v>
      </c>
      <c r="O13" s="26">
        <v>0.3</v>
      </c>
      <c r="P13" s="17">
        <f t="shared" si="4"/>
        <v>4023018.0899999985</v>
      </c>
      <c r="R13" s="19">
        <f t="shared" si="5"/>
        <v>11302.199999999999</v>
      </c>
    </row>
    <row r="14" spans="1:18" x14ac:dyDescent="0.25">
      <c r="A14" s="4" t="s">
        <v>21</v>
      </c>
      <c r="B14" s="4" t="s">
        <v>64</v>
      </c>
      <c r="C14" s="7" t="s">
        <v>18</v>
      </c>
      <c r="D14" s="10">
        <v>900</v>
      </c>
      <c r="E14" s="7" t="s">
        <v>22</v>
      </c>
      <c r="F14">
        <v>1995</v>
      </c>
      <c r="G14" s="17">
        <v>8000</v>
      </c>
      <c r="H14" s="17">
        <f t="shared" si="0"/>
        <v>743.21813452248239</v>
      </c>
      <c r="I14">
        <v>900</v>
      </c>
      <c r="J14">
        <v>35</v>
      </c>
      <c r="K14" s="26">
        <v>0.9</v>
      </c>
      <c r="L14" s="17">
        <f t="shared" si="1"/>
        <v>8718839.9999999981</v>
      </c>
      <c r="M14" s="20">
        <f t="shared" si="2"/>
        <v>6501763.5428571422</v>
      </c>
      <c r="N14" s="20">
        <f t="shared" si="3"/>
        <v>2217076.457142856</v>
      </c>
      <c r="O14" s="26">
        <v>0.3</v>
      </c>
      <c r="P14" s="17">
        <f t="shared" si="4"/>
        <v>1551953.5199999991</v>
      </c>
      <c r="R14" s="19">
        <f t="shared" si="5"/>
        <v>9687.5999999999985</v>
      </c>
    </row>
    <row r="15" spans="1:18" x14ac:dyDescent="0.25">
      <c r="A15" s="4">
        <v>4</v>
      </c>
      <c r="B15" s="4" t="s">
        <v>64</v>
      </c>
      <c r="C15" s="7" t="s">
        <v>23</v>
      </c>
      <c r="D15" s="10">
        <v>3330</v>
      </c>
      <c r="E15" s="7" t="s">
        <v>24</v>
      </c>
      <c r="F15">
        <v>1995</v>
      </c>
      <c r="G15" s="17">
        <v>8000</v>
      </c>
      <c r="H15" s="17">
        <f t="shared" si="0"/>
        <v>743.21813452248239</v>
      </c>
      <c r="I15">
        <v>900</v>
      </c>
      <c r="J15">
        <v>35</v>
      </c>
      <c r="K15" s="26">
        <v>0.9</v>
      </c>
      <c r="L15" s="17">
        <f t="shared" si="1"/>
        <v>32259707.999999996</v>
      </c>
      <c r="M15" s="20">
        <f t="shared" si="2"/>
        <v>24056525.108571425</v>
      </c>
      <c r="N15" s="20">
        <f t="shared" si="3"/>
        <v>8203182.8914285712</v>
      </c>
      <c r="O15" s="26">
        <v>0.3</v>
      </c>
      <c r="P15" s="17">
        <f t="shared" si="4"/>
        <v>5742228.0239999993</v>
      </c>
      <c r="R15" s="19">
        <f t="shared" si="5"/>
        <v>35844.119999999995</v>
      </c>
    </row>
    <row r="16" spans="1:18" x14ac:dyDescent="0.25">
      <c r="A16" s="4">
        <v>5</v>
      </c>
      <c r="B16" s="4" t="s">
        <v>64</v>
      </c>
      <c r="C16" s="7" t="s">
        <v>25</v>
      </c>
      <c r="D16" s="10">
        <v>1670</v>
      </c>
      <c r="E16" s="7" t="s">
        <v>26</v>
      </c>
      <c r="F16">
        <v>1995</v>
      </c>
      <c r="G16" s="17">
        <v>10000</v>
      </c>
      <c r="H16" s="17">
        <f t="shared" si="0"/>
        <v>929.02266815310304</v>
      </c>
      <c r="I16">
        <v>900</v>
      </c>
      <c r="J16">
        <v>60</v>
      </c>
      <c r="K16" s="26">
        <v>0.9</v>
      </c>
      <c r="L16" s="17">
        <f t="shared" si="1"/>
        <v>16178291.999999998</v>
      </c>
      <c r="M16" s="20">
        <f t="shared" si="2"/>
        <v>7037557.0200000005</v>
      </c>
      <c r="N16" s="20">
        <f t="shared" si="3"/>
        <v>9140734.9799999967</v>
      </c>
      <c r="O16" s="26">
        <v>0.3</v>
      </c>
      <c r="P16" s="17">
        <f t="shared" si="4"/>
        <v>6398514.4859999977</v>
      </c>
      <c r="R16" s="19">
        <f t="shared" si="5"/>
        <v>17975.879999999997</v>
      </c>
    </row>
    <row r="17" spans="1:18" x14ac:dyDescent="0.25">
      <c r="A17" s="4">
        <v>6</v>
      </c>
      <c r="B17" s="4" t="s">
        <v>64</v>
      </c>
      <c r="C17" s="7" t="s">
        <v>27</v>
      </c>
      <c r="D17" s="10">
        <v>1000</v>
      </c>
      <c r="E17" s="7" t="s">
        <v>28</v>
      </c>
      <c r="F17">
        <v>1995</v>
      </c>
      <c r="G17" s="17">
        <v>10000</v>
      </c>
      <c r="H17" s="17">
        <f t="shared" si="0"/>
        <v>929.02266815310304</v>
      </c>
      <c r="I17">
        <v>900</v>
      </c>
      <c r="J17">
        <v>60</v>
      </c>
      <c r="K17" s="26">
        <v>0.9</v>
      </c>
      <c r="L17" s="17">
        <f t="shared" si="1"/>
        <v>9687599.9999999981</v>
      </c>
      <c r="M17" s="20">
        <f t="shared" si="2"/>
        <v>4214105.9999999991</v>
      </c>
      <c r="N17" s="20">
        <f t="shared" si="3"/>
        <v>5473493.9999999991</v>
      </c>
      <c r="O17" s="26">
        <v>0.3</v>
      </c>
      <c r="P17" s="17">
        <f t="shared" si="4"/>
        <v>3831445.7999999989</v>
      </c>
      <c r="R17" s="19">
        <f t="shared" si="5"/>
        <v>10764</v>
      </c>
    </row>
    <row r="18" spans="1:18" x14ac:dyDescent="0.25">
      <c r="A18" s="4">
        <v>7</v>
      </c>
      <c r="B18" s="4" t="s">
        <v>64</v>
      </c>
      <c r="C18" s="7" t="s">
        <v>27</v>
      </c>
      <c r="D18" s="10">
        <v>1500</v>
      </c>
      <c r="E18" s="7" t="s">
        <v>29</v>
      </c>
      <c r="F18">
        <v>1995</v>
      </c>
      <c r="G18" s="17">
        <v>8000</v>
      </c>
      <c r="H18" s="17">
        <f t="shared" si="0"/>
        <v>743.21813452248239</v>
      </c>
      <c r="I18">
        <v>900</v>
      </c>
      <c r="J18">
        <v>35</v>
      </c>
      <c r="K18" s="26">
        <v>0.9</v>
      </c>
      <c r="L18" s="17">
        <f t="shared" si="1"/>
        <v>14531399.999999998</v>
      </c>
      <c r="M18" s="20">
        <f t="shared" si="2"/>
        <v>10836272.571428569</v>
      </c>
      <c r="N18" s="20">
        <f t="shared" si="3"/>
        <v>3695127.4285714291</v>
      </c>
      <c r="O18" s="26">
        <v>0.3</v>
      </c>
      <c r="P18" s="17">
        <f t="shared" si="4"/>
        <v>2586589.2000000002</v>
      </c>
      <c r="R18" s="19">
        <f t="shared" si="5"/>
        <v>16145.999999999998</v>
      </c>
    </row>
    <row r="19" spans="1:18" x14ac:dyDescent="0.25">
      <c r="A19" s="4">
        <v>8</v>
      </c>
      <c r="B19" s="4" t="s">
        <v>64</v>
      </c>
      <c r="C19" s="7" t="s">
        <v>30</v>
      </c>
      <c r="D19" s="10">
        <v>570</v>
      </c>
      <c r="E19" s="7" t="s">
        <v>31</v>
      </c>
      <c r="F19">
        <v>1995</v>
      </c>
      <c r="G19" s="17">
        <v>8000</v>
      </c>
      <c r="H19" s="17">
        <f t="shared" si="0"/>
        <v>743.21813452248239</v>
      </c>
      <c r="I19">
        <v>900</v>
      </c>
      <c r="J19">
        <v>35</v>
      </c>
      <c r="K19" s="26">
        <v>0.9</v>
      </c>
      <c r="L19" s="17">
        <f t="shared" si="1"/>
        <v>5521931.9999999991</v>
      </c>
      <c r="M19" s="20">
        <f t="shared" si="2"/>
        <v>4117783.5771428565</v>
      </c>
      <c r="N19" s="20">
        <f t="shared" si="3"/>
        <v>1404148.4228571425</v>
      </c>
      <c r="O19" s="26">
        <v>0.3</v>
      </c>
      <c r="P19" s="17">
        <f t="shared" si="4"/>
        <v>982903.89599999972</v>
      </c>
      <c r="R19" s="19">
        <f t="shared" si="5"/>
        <v>6135.48</v>
      </c>
    </row>
    <row r="20" spans="1:18" x14ac:dyDescent="0.25">
      <c r="A20" s="4"/>
      <c r="B20" s="4" t="s">
        <v>64</v>
      </c>
      <c r="C20" s="7" t="s">
        <v>61</v>
      </c>
      <c r="D20" s="10">
        <v>105</v>
      </c>
      <c r="E20" s="7" t="s">
        <v>62</v>
      </c>
      <c r="F20">
        <v>1995</v>
      </c>
      <c r="G20" s="17">
        <v>11000</v>
      </c>
      <c r="H20" s="17">
        <f t="shared" si="0"/>
        <v>1021.9249349684133</v>
      </c>
      <c r="I20">
        <v>1200</v>
      </c>
      <c r="J20">
        <v>60</v>
      </c>
      <c r="K20" s="26">
        <v>0.9</v>
      </c>
      <c r="L20" s="17">
        <f t="shared" si="1"/>
        <v>1356264</v>
      </c>
      <c r="M20" s="20">
        <f t="shared" si="2"/>
        <v>589974.84000000008</v>
      </c>
      <c r="N20" s="20">
        <f t="shared" si="3"/>
        <v>766289.15999999992</v>
      </c>
      <c r="O20" s="26">
        <v>0.3</v>
      </c>
      <c r="P20" s="17">
        <f t="shared" si="4"/>
        <v>536402.41199999989</v>
      </c>
      <c r="R20" s="19">
        <f t="shared" si="5"/>
        <v>1130.22</v>
      </c>
    </row>
    <row r="21" spans="1:18" x14ac:dyDescent="0.25">
      <c r="A21" s="4">
        <v>9</v>
      </c>
      <c r="B21" s="4" t="s">
        <v>64</v>
      </c>
      <c r="C21" s="7" t="s">
        <v>32</v>
      </c>
      <c r="D21" s="10">
        <v>410</v>
      </c>
      <c r="E21" s="7" t="s">
        <v>33</v>
      </c>
      <c r="F21">
        <v>1995</v>
      </c>
      <c r="G21" s="17">
        <v>11000</v>
      </c>
      <c r="H21" s="17">
        <f t="shared" si="0"/>
        <v>1021.9249349684133</v>
      </c>
      <c r="I21">
        <v>1200</v>
      </c>
      <c r="J21">
        <v>60</v>
      </c>
      <c r="K21" s="26">
        <v>0.9</v>
      </c>
      <c r="L21" s="17">
        <f t="shared" si="1"/>
        <v>5295888</v>
      </c>
      <c r="M21" s="20">
        <f t="shared" si="2"/>
        <v>2303711.2800000003</v>
      </c>
      <c r="N21" s="20">
        <f t="shared" si="3"/>
        <v>2992176.7199999997</v>
      </c>
      <c r="O21" s="26">
        <v>0.3</v>
      </c>
      <c r="P21" s="17">
        <f t="shared" si="4"/>
        <v>2094523.7039999997</v>
      </c>
      <c r="R21" s="19">
        <f t="shared" si="5"/>
        <v>4413.24</v>
      </c>
    </row>
    <row r="22" spans="1:18" x14ac:dyDescent="0.25">
      <c r="A22" s="4">
        <v>1</v>
      </c>
      <c r="B22" s="4" t="s">
        <v>65</v>
      </c>
      <c r="C22" s="7" t="s">
        <v>34</v>
      </c>
      <c r="D22" s="10">
        <v>560</v>
      </c>
      <c r="E22" s="7" t="s">
        <v>35</v>
      </c>
      <c r="F22">
        <v>1995</v>
      </c>
      <c r="G22" s="17">
        <v>16000</v>
      </c>
      <c r="H22" s="17">
        <f t="shared" ref="H22:H25" si="6">G22/10.764</f>
        <v>1486.4362690449648</v>
      </c>
      <c r="I22">
        <v>1500</v>
      </c>
      <c r="J22">
        <v>60</v>
      </c>
      <c r="K22" s="26">
        <v>0.9</v>
      </c>
      <c r="L22" s="17">
        <f t="shared" si="1"/>
        <v>9041759.9999999981</v>
      </c>
      <c r="M22" s="20">
        <f t="shared" si="2"/>
        <v>3933165.5999999996</v>
      </c>
      <c r="N22" s="20">
        <f t="shared" si="3"/>
        <v>5108594.3999999985</v>
      </c>
      <c r="O22" s="26">
        <v>0.4</v>
      </c>
      <c r="P22" s="17">
        <f t="shared" si="4"/>
        <v>3065156.6399999992</v>
      </c>
      <c r="R22" s="19">
        <f t="shared" si="5"/>
        <v>6027.8399999999992</v>
      </c>
    </row>
    <row r="23" spans="1:18" x14ac:dyDescent="0.25">
      <c r="A23" s="4">
        <v>2</v>
      </c>
      <c r="B23" s="4" t="s">
        <v>65</v>
      </c>
      <c r="C23" s="7" t="s">
        <v>36</v>
      </c>
      <c r="D23" s="10">
        <v>1130</v>
      </c>
      <c r="E23" s="7" t="s">
        <v>37</v>
      </c>
      <c r="F23">
        <v>1995</v>
      </c>
      <c r="G23" s="17">
        <v>16000</v>
      </c>
      <c r="H23" s="17">
        <f t="shared" si="6"/>
        <v>1486.4362690449648</v>
      </c>
      <c r="I23">
        <v>1500</v>
      </c>
      <c r="J23">
        <v>60</v>
      </c>
      <c r="K23" s="26">
        <v>0.9</v>
      </c>
      <c r="L23" s="17">
        <f t="shared" si="1"/>
        <v>18244979.999999996</v>
      </c>
      <c r="M23" s="20">
        <f t="shared" si="2"/>
        <v>7936566.2999999989</v>
      </c>
      <c r="N23" s="20">
        <f t="shared" si="3"/>
        <v>10308413.699999997</v>
      </c>
      <c r="O23" s="26">
        <v>0.4</v>
      </c>
      <c r="P23" s="17">
        <f t="shared" si="4"/>
        <v>6185048.2199999979</v>
      </c>
      <c r="R23" s="19">
        <f t="shared" si="5"/>
        <v>12163.32</v>
      </c>
    </row>
    <row r="24" spans="1:18" x14ac:dyDescent="0.25">
      <c r="A24" s="4">
        <v>3</v>
      </c>
      <c r="B24" s="4" t="s">
        <v>65</v>
      </c>
      <c r="C24" s="7" t="s">
        <v>38</v>
      </c>
      <c r="D24" s="10">
        <v>1780</v>
      </c>
      <c r="E24" s="7" t="s">
        <v>37</v>
      </c>
      <c r="F24">
        <v>1995</v>
      </c>
      <c r="G24" s="17">
        <v>16000</v>
      </c>
      <c r="H24" s="17">
        <f t="shared" si="6"/>
        <v>1486.4362690449648</v>
      </c>
      <c r="I24">
        <v>1500</v>
      </c>
      <c r="J24">
        <v>60</v>
      </c>
      <c r="K24" s="26">
        <v>0.9</v>
      </c>
      <c r="L24" s="17">
        <f t="shared" si="1"/>
        <v>28739879.999999996</v>
      </c>
      <c r="M24" s="20">
        <f t="shared" si="2"/>
        <v>12501847.799999999</v>
      </c>
      <c r="N24" s="20">
        <f t="shared" si="3"/>
        <v>16238032.199999997</v>
      </c>
      <c r="O24" s="26">
        <v>0.4</v>
      </c>
      <c r="P24" s="17">
        <f t="shared" si="4"/>
        <v>9742819.3199999984</v>
      </c>
      <c r="R24" s="19">
        <f t="shared" si="5"/>
        <v>19159.919999999998</v>
      </c>
    </row>
    <row r="25" spans="1:18" x14ac:dyDescent="0.25">
      <c r="A25" s="4">
        <v>4</v>
      </c>
      <c r="B25" s="4" t="s">
        <v>65</v>
      </c>
      <c r="C25" s="7" t="s">
        <v>39</v>
      </c>
      <c r="D25" s="10">
        <v>15</v>
      </c>
      <c r="E25" s="7" t="s">
        <v>40</v>
      </c>
      <c r="F25">
        <v>1995</v>
      </c>
      <c r="G25" s="17">
        <v>11000</v>
      </c>
      <c r="H25" s="17">
        <f t="shared" si="6"/>
        <v>1021.9249349684133</v>
      </c>
      <c r="I25">
        <v>1000</v>
      </c>
      <c r="J25">
        <v>35</v>
      </c>
      <c r="K25" s="26">
        <v>0.9</v>
      </c>
      <c r="L25" s="17">
        <f t="shared" si="1"/>
        <v>161460</v>
      </c>
      <c r="M25" s="20">
        <f t="shared" si="2"/>
        <v>120403.02857142857</v>
      </c>
      <c r="N25" s="20">
        <f t="shared" si="3"/>
        <v>41056.971428571429</v>
      </c>
      <c r="O25" s="26">
        <v>0.2</v>
      </c>
      <c r="P25" s="17">
        <f t="shared" si="4"/>
        <v>32845.577142857146</v>
      </c>
      <c r="R25" s="19">
        <f t="shared" si="5"/>
        <v>161.45999999999998</v>
      </c>
    </row>
    <row r="32" spans="1:18" x14ac:dyDescent="0.25">
      <c r="E32" s="34"/>
    </row>
  </sheetData>
  <mergeCells count="1">
    <mergeCell ref="G3:H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BF7E0-32AA-4112-9642-E6C101B8DBA5}">
  <dimension ref="C2:Q20"/>
  <sheetViews>
    <sheetView workbookViewId="0">
      <selection activeCell="Q20" sqref="Q20"/>
    </sheetView>
  </sheetViews>
  <sheetFormatPr defaultRowHeight="15" x14ac:dyDescent="0.25"/>
  <cols>
    <col min="3" max="3" width="14" bestFit="1" customWidth="1"/>
    <col min="7" max="7" width="9.140625" style="17"/>
    <col min="10" max="11" width="14.28515625" style="17" bestFit="1" customWidth="1"/>
    <col min="12" max="12" width="12.5703125" style="17" bestFit="1" customWidth="1"/>
    <col min="13" max="14" width="12.5703125" bestFit="1" customWidth="1"/>
    <col min="15" max="15" width="16.85546875" style="17" bestFit="1" customWidth="1"/>
    <col min="16" max="16" width="14.28515625" bestFit="1" customWidth="1"/>
    <col min="17" max="17" width="16.85546875" bestFit="1" customWidth="1"/>
  </cols>
  <sheetData>
    <row r="2" spans="3:17" x14ac:dyDescent="0.25">
      <c r="J2" s="22">
        <f>SUM(J4:J5)</f>
        <v>36120000</v>
      </c>
      <c r="K2" s="22">
        <f>SUM(K4:K5)</f>
        <v>28431600</v>
      </c>
      <c r="L2" s="22">
        <f>SUM(L4:L5)</f>
        <v>7688400.0000000019</v>
      </c>
      <c r="M2" s="17">
        <f>Building!P2</f>
        <v>105997342.86514282</v>
      </c>
      <c r="N2" s="17">
        <v>60000000</v>
      </c>
      <c r="O2" s="17">
        <f>N2+M2+L2</f>
        <v>173685742.86514282</v>
      </c>
    </row>
    <row r="3" spans="3:17" x14ac:dyDescent="0.25">
      <c r="D3" s="18" t="s">
        <v>78</v>
      </c>
      <c r="E3" s="18" t="s">
        <v>79</v>
      </c>
      <c r="F3" s="18"/>
      <c r="G3" s="21" t="s">
        <v>80</v>
      </c>
      <c r="H3" s="18"/>
      <c r="I3" s="18"/>
      <c r="J3" s="21" t="s">
        <v>71</v>
      </c>
      <c r="K3" s="21" t="s">
        <v>72</v>
      </c>
      <c r="L3" s="21" t="s">
        <v>73</v>
      </c>
      <c r="O3" s="17">
        <f>'Land Valuation'!G9</f>
        <v>1697996074.5</v>
      </c>
      <c r="P3" s="19"/>
    </row>
    <row r="4" spans="3:17" x14ac:dyDescent="0.25">
      <c r="C4" t="s">
        <v>76</v>
      </c>
      <c r="D4">
        <f>2.9+0.64</f>
        <v>3.54</v>
      </c>
      <c r="E4">
        <f>D4*1000</f>
        <v>3540</v>
      </c>
      <c r="G4" s="17">
        <v>6000</v>
      </c>
      <c r="H4">
        <v>35</v>
      </c>
      <c r="I4" s="26">
        <v>0.95</v>
      </c>
      <c r="J4" s="17">
        <f>G4*E4</f>
        <v>21240000</v>
      </c>
      <c r="K4" s="17">
        <f>J4*(I4/H4)*(2024-1995)</f>
        <v>16718914.285714285</v>
      </c>
      <c r="L4" s="17">
        <f>J4-K4</f>
        <v>4521085.7142857146</v>
      </c>
      <c r="O4" s="17">
        <f>SUM(O2:O3)</f>
        <v>1871681817.3651428</v>
      </c>
    </row>
    <row r="5" spans="3:17" x14ac:dyDescent="0.25">
      <c r="C5" t="s">
        <v>77</v>
      </c>
      <c r="D5">
        <v>670</v>
      </c>
      <c r="E5">
        <f>SUM(D5:D7)</f>
        <v>1860</v>
      </c>
      <c r="G5" s="17">
        <v>8000</v>
      </c>
      <c r="H5">
        <v>35</v>
      </c>
      <c r="I5" s="26">
        <v>0.95</v>
      </c>
      <c r="J5" s="17">
        <f>G5*E5</f>
        <v>14880000</v>
      </c>
      <c r="K5" s="17">
        <f>J5*(I5/H5)*(2024-1995)</f>
        <v>11712685.714285713</v>
      </c>
      <c r="L5" s="17">
        <f>J5-K5</f>
        <v>3167314.2857142873</v>
      </c>
    </row>
    <row r="6" spans="3:17" x14ac:dyDescent="0.25">
      <c r="D6">
        <v>1000</v>
      </c>
    </row>
    <row r="7" spans="3:17" x14ac:dyDescent="0.25">
      <c r="D7">
        <v>190</v>
      </c>
    </row>
    <row r="14" spans="3:17" x14ac:dyDescent="0.25">
      <c r="O14" s="21" t="s">
        <v>75</v>
      </c>
      <c r="P14" s="18" t="s">
        <v>109</v>
      </c>
      <c r="Q14" s="18" t="s">
        <v>110</v>
      </c>
    </row>
    <row r="15" spans="3:17" x14ac:dyDescent="0.25">
      <c r="M15" t="s">
        <v>104</v>
      </c>
      <c r="O15" s="17">
        <f>'Land Valuation'!G9</f>
        <v>1697996074.5</v>
      </c>
      <c r="P15" s="20">
        <f>O15*0.9</f>
        <v>1528196467.05</v>
      </c>
      <c r="Q15" s="20">
        <f>O15*0.8</f>
        <v>1358396859.6000001</v>
      </c>
    </row>
    <row r="16" spans="3:17" x14ac:dyDescent="0.25">
      <c r="M16" t="s">
        <v>105</v>
      </c>
      <c r="O16" s="17">
        <f>Building!P2</f>
        <v>105997342.86514282</v>
      </c>
      <c r="P16" s="20">
        <f t="shared" ref="P16:P18" si="0">O16*0.9</f>
        <v>95397608.57862854</v>
      </c>
      <c r="Q16" s="20">
        <f t="shared" ref="Q16:Q17" si="1">O16*0.8</f>
        <v>84797874.292114258</v>
      </c>
    </row>
    <row r="17" spans="13:17" x14ac:dyDescent="0.25">
      <c r="M17" t="s">
        <v>106</v>
      </c>
      <c r="O17" s="17">
        <f>L2</f>
        <v>7688400.0000000019</v>
      </c>
      <c r="P17" s="20">
        <f t="shared" si="0"/>
        <v>6919560.0000000019</v>
      </c>
      <c r="Q17" s="20">
        <f t="shared" si="1"/>
        <v>6150720.0000000019</v>
      </c>
    </row>
    <row r="18" spans="13:17" x14ac:dyDescent="0.25">
      <c r="M18" t="s">
        <v>107</v>
      </c>
      <c r="O18" s="17">
        <f>'[1]Plant &amp; Machinery'!$O$1</f>
        <v>60730198.749999993</v>
      </c>
      <c r="P18" s="20">
        <f>O18*0.95</f>
        <v>57693688.812499993</v>
      </c>
      <c r="Q18" s="20">
        <f>O18*0.9</f>
        <v>54657178.874999993</v>
      </c>
    </row>
    <row r="19" spans="13:17" x14ac:dyDescent="0.25">
      <c r="M19" s="30" t="s">
        <v>108</v>
      </c>
      <c r="N19" s="30"/>
      <c r="O19" s="31">
        <f>SUM(O15:O18)</f>
        <v>1872412016.1151428</v>
      </c>
      <c r="P19" s="31">
        <f t="shared" ref="P19:Q19" si="2">SUM(P15:P18)</f>
        <v>1688207324.4411285</v>
      </c>
      <c r="Q19" s="31">
        <f t="shared" si="2"/>
        <v>1504002632.7671144</v>
      </c>
    </row>
    <row r="20" spans="13:17" x14ac:dyDescent="0.25">
      <c r="N20" t="s">
        <v>111</v>
      </c>
      <c r="O20" s="17">
        <f>ROUND(O19,-7)</f>
        <v>1870000000</v>
      </c>
      <c r="P20" s="17">
        <f t="shared" ref="P20:Q20" si="3">ROUND(P19,-7)</f>
        <v>1690000000</v>
      </c>
      <c r="Q20" s="17">
        <f t="shared" si="3"/>
        <v>1500000000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29F0A-E114-4111-9E5D-E299943D7CC7}">
  <dimension ref="C3:R21"/>
  <sheetViews>
    <sheetView tabSelected="1" topLeftCell="A6" workbookViewId="0">
      <selection activeCell="N13" sqref="N13"/>
    </sheetView>
  </sheetViews>
  <sheetFormatPr defaultRowHeight="15" x14ac:dyDescent="0.25"/>
  <cols>
    <col min="3" max="3" width="11.5703125" style="16" bestFit="1" customWidth="1"/>
    <col min="11" max="11" width="14.5703125" bestFit="1" customWidth="1"/>
    <col min="12" max="12" width="11.5703125" bestFit="1" customWidth="1"/>
    <col min="15" max="15" width="16.85546875" bestFit="1" customWidth="1"/>
    <col min="18" max="18" width="15.28515625" bestFit="1" customWidth="1"/>
  </cols>
  <sheetData>
    <row r="3" spans="12:18" x14ac:dyDescent="0.25">
      <c r="R3" s="16">
        <v>333554.28000000003</v>
      </c>
    </row>
    <row r="4" spans="12:18" x14ac:dyDescent="0.25">
      <c r="R4" s="16">
        <v>4046.8449999999998</v>
      </c>
    </row>
    <row r="5" spans="12:18" x14ac:dyDescent="0.25">
      <c r="R5" s="16">
        <f>R3/R4</f>
        <v>82.423290242151609</v>
      </c>
    </row>
    <row r="10" spans="12:18" x14ac:dyDescent="0.25">
      <c r="R10" s="17">
        <v>107986640</v>
      </c>
    </row>
    <row r="11" spans="12:18" x14ac:dyDescent="0.25">
      <c r="R11">
        <v>43543</v>
      </c>
    </row>
    <row r="12" spans="12:18" x14ac:dyDescent="0.25">
      <c r="R12" s="20">
        <f>R10/R11</f>
        <v>2480</v>
      </c>
    </row>
    <row r="16" spans="12:18" x14ac:dyDescent="0.25">
      <c r="L16" s="18" t="s">
        <v>42</v>
      </c>
      <c r="O16" s="18" t="s">
        <v>47</v>
      </c>
    </row>
    <row r="17" spans="11:15" x14ac:dyDescent="0.25">
      <c r="K17" t="s">
        <v>41</v>
      </c>
      <c r="L17" s="17">
        <v>3530</v>
      </c>
      <c r="O17" s="20">
        <f>L17*L19</f>
        <v>1155158682.5999999</v>
      </c>
    </row>
    <row r="18" spans="11:15" x14ac:dyDescent="0.25">
      <c r="L18" s="18" t="s">
        <v>45</v>
      </c>
      <c r="M18" s="18" t="s">
        <v>44</v>
      </c>
    </row>
    <row r="19" spans="11:15" x14ac:dyDescent="0.25">
      <c r="K19" t="s">
        <v>43</v>
      </c>
      <c r="L19" s="16">
        <v>327240.42</v>
      </c>
      <c r="M19" s="16">
        <f>L19/4046.845</f>
        <v>80.863097054619089</v>
      </c>
    </row>
    <row r="21" spans="11:15" x14ac:dyDescent="0.25">
      <c r="K21" t="s">
        <v>46</v>
      </c>
      <c r="L21" s="17">
        <v>333554.28000000003</v>
      </c>
      <c r="M21" s="19">
        <f>L21/4046.845</f>
        <v>82.423290242151609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06C29-C2A5-4316-87C5-6E2F6B393325}">
  <dimension ref="A1"/>
  <sheetViews>
    <sheetView workbookViewId="0">
      <selection activeCell="A19" sqref="A19"/>
    </sheetView>
  </sheetViews>
  <sheetFormatPr defaultRowHeight="15" x14ac:dyDescent="0.25"/>
  <sheetData>
    <row r="1" spans="1:1" x14ac:dyDescent="0.25">
      <c r="A1" s="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0BEDC-A9F6-437D-B9F1-6D0FF14A6915}">
  <dimension ref="C2:H13"/>
  <sheetViews>
    <sheetView workbookViewId="0">
      <selection activeCell="C7" sqref="C7"/>
    </sheetView>
  </sheetViews>
  <sheetFormatPr defaultRowHeight="15" x14ac:dyDescent="0.25"/>
  <cols>
    <col min="3" max="3" width="14.85546875" bestFit="1" customWidth="1"/>
    <col min="4" max="4" width="25.28515625" bestFit="1" customWidth="1"/>
    <col min="5" max="5" width="23.42578125" style="17" bestFit="1" customWidth="1"/>
    <col min="8" max="8" width="14.28515625" bestFit="1" customWidth="1"/>
  </cols>
  <sheetData>
    <row r="2" spans="3:8" x14ac:dyDescent="0.25">
      <c r="E2" s="17" t="s">
        <v>51</v>
      </c>
    </row>
    <row r="3" spans="3:8" x14ac:dyDescent="0.25">
      <c r="C3" t="s">
        <v>48</v>
      </c>
      <c r="D3" s="21" t="s">
        <v>49</v>
      </c>
      <c r="E3" s="17">
        <v>20000</v>
      </c>
    </row>
    <row r="5" spans="3:8" x14ac:dyDescent="0.25">
      <c r="C5" t="s">
        <v>50</v>
      </c>
      <c r="D5" t="s">
        <v>52</v>
      </c>
      <c r="E5" s="17">
        <f>373*10^5/10000</f>
        <v>3730</v>
      </c>
    </row>
    <row r="6" spans="3:8" x14ac:dyDescent="0.25">
      <c r="C6" t="s">
        <v>53</v>
      </c>
      <c r="D6" t="s">
        <v>52</v>
      </c>
      <c r="E6" s="17">
        <f>310*10^5/10000</f>
        <v>3100</v>
      </c>
    </row>
    <row r="7" spans="3:8" x14ac:dyDescent="0.25">
      <c r="C7" t="s">
        <v>54</v>
      </c>
      <c r="D7" t="s">
        <v>52</v>
      </c>
      <c r="E7" s="17">
        <f>310*10^5/10000</f>
        <v>3100</v>
      </c>
    </row>
    <row r="8" spans="3:8" x14ac:dyDescent="0.25">
      <c r="C8" t="s">
        <v>55</v>
      </c>
      <c r="D8" t="s">
        <v>52</v>
      </c>
      <c r="E8" s="17">
        <f>296*10^5/10000</f>
        <v>2960</v>
      </c>
    </row>
    <row r="10" spans="3:8" x14ac:dyDescent="0.25">
      <c r="D10" t="s">
        <v>56</v>
      </c>
      <c r="E10" s="17">
        <v>5000</v>
      </c>
      <c r="H10" s="20">
        <f>E10*'Allotment Rate'!L19</f>
        <v>1636202100</v>
      </c>
    </row>
    <row r="11" spans="3:8" x14ac:dyDescent="0.25">
      <c r="F11" s="18" t="s">
        <v>59</v>
      </c>
    </row>
    <row r="12" spans="3:8" x14ac:dyDescent="0.25">
      <c r="D12" t="s">
        <v>57</v>
      </c>
      <c r="E12" s="17">
        <v>13000</v>
      </c>
      <c r="F12" s="19">
        <f>E12/10.764</f>
        <v>1207.7294685990339</v>
      </c>
    </row>
    <row r="13" spans="3:8" x14ac:dyDescent="0.25">
      <c r="D13" t="s">
        <v>58</v>
      </c>
      <c r="E13" s="17">
        <v>7000</v>
      </c>
      <c r="F13" s="19">
        <f>E13/10.764</f>
        <v>650.31586770717206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AE6EA-0197-4669-96AF-3C1C9C1E0FBB}">
  <dimension ref="C2:I29"/>
  <sheetViews>
    <sheetView zoomScaleNormal="100" workbookViewId="0">
      <selection activeCell="E3" sqref="E3"/>
    </sheetView>
  </sheetViews>
  <sheetFormatPr defaultRowHeight="15" x14ac:dyDescent="0.25"/>
  <cols>
    <col min="1" max="2" width="9.140625" style="17"/>
    <col min="3" max="3" width="18.7109375" style="17" customWidth="1"/>
    <col min="4" max="4" width="9.28515625" style="17" bestFit="1" customWidth="1"/>
    <col min="5" max="5" width="14.28515625" style="17" bestFit="1" customWidth="1"/>
    <col min="6" max="6" width="9.140625" style="17"/>
    <col min="7" max="7" width="14.28515625" style="29" bestFit="1" customWidth="1"/>
    <col min="8" max="16384" width="9.140625" style="17"/>
  </cols>
  <sheetData>
    <row r="2" spans="3:9" s="21" customFormat="1" x14ac:dyDescent="0.25">
      <c r="D2" s="21" t="s">
        <v>85</v>
      </c>
      <c r="E2" s="21" t="s">
        <v>86</v>
      </c>
      <c r="F2" s="21" t="s">
        <v>87</v>
      </c>
      <c r="G2" s="28"/>
    </row>
    <row r="3" spans="3:9" x14ac:dyDescent="0.25">
      <c r="C3" s="17" t="s">
        <v>84</v>
      </c>
      <c r="D3" s="17">
        <v>2200</v>
      </c>
      <c r="E3" s="17">
        <f>5*10^7</f>
        <v>50000000</v>
      </c>
      <c r="F3" s="17">
        <f>E3/D3</f>
        <v>22727.272727272728</v>
      </c>
      <c r="G3" s="17">
        <f>F3*4047</f>
        <v>91977272.727272734</v>
      </c>
    </row>
    <row r="4" spans="3:9" x14ac:dyDescent="0.25">
      <c r="C4" s="17" t="s">
        <v>88</v>
      </c>
      <c r="D4" s="17">
        <v>1500</v>
      </c>
      <c r="E4" s="17">
        <f>3.75*10^7</f>
        <v>37500000</v>
      </c>
      <c r="F4" s="17">
        <f>E4/D4</f>
        <v>25000</v>
      </c>
      <c r="G4" s="17">
        <f>F4*4047</f>
        <v>101175000</v>
      </c>
    </row>
    <row r="5" spans="3:9" x14ac:dyDescent="0.25">
      <c r="F5" s="17">
        <f>AVERAGE(F3:F4)</f>
        <v>23863.636363636364</v>
      </c>
    </row>
    <row r="11" spans="3:9" x14ac:dyDescent="0.25">
      <c r="D11" s="17">
        <f>F3</f>
        <v>22727.272727272728</v>
      </c>
      <c r="E11" s="17">
        <f>F4</f>
        <v>25000</v>
      </c>
      <c r="F11" s="17">
        <f>'Land Valuation'!E4</f>
        <v>136501.32</v>
      </c>
      <c r="H11" s="17">
        <f>F11/D3</f>
        <v>62.046054545454545</v>
      </c>
      <c r="I11" s="17">
        <f>F11/D4</f>
        <v>91.000880000000009</v>
      </c>
    </row>
    <row r="12" spans="3:9" x14ac:dyDescent="0.25">
      <c r="C12" s="17" t="s">
        <v>93</v>
      </c>
    </row>
    <row r="13" spans="3:9" x14ac:dyDescent="0.25">
      <c r="C13" s="17" t="s">
        <v>90</v>
      </c>
      <c r="D13" s="17" t="s">
        <v>94</v>
      </c>
      <c r="E13" s="17" t="s">
        <v>95</v>
      </c>
      <c r="F13" s="17" t="s">
        <v>96</v>
      </c>
    </row>
    <row r="14" spans="3:9" x14ac:dyDescent="0.25">
      <c r="C14" s="17" t="s">
        <v>89</v>
      </c>
    </row>
    <row r="15" spans="3:9" x14ac:dyDescent="0.25">
      <c r="C15" s="17" t="s">
        <v>98</v>
      </c>
      <c r="D15" s="17" t="s">
        <v>102</v>
      </c>
      <c r="E15" s="17" t="s">
        <v>103</v>
      </c>
      <c r="F15" s="17" t="s">
        <v>103</v>
      </c>
    </row>
    <row r="16" spans="3:9" x14ac:dyDescent="0.25">
      <c r="C16" s="17" t="s">
        <v>97</v>
      </c>
      <c r="D16" s="17">
        <v>2</v>
      </c>
      <c r="E16" s="17">
        <v>1</v>
      </c>
      <c r="F16" s="17">
        <v>2</v>
      </c>
    </row>
    <row r="17" spans="3:6" x14ac:dyDescent="0.25">
      <c r="C17" s="17" t="s">
        <v>92</v>
      </c>
      <c r="D17" s="17" t="s">
        <v>99</v>
      </c>
      <c r="E17" s="17" t="s">
        <v>100</v>
      </c>
      <c r="F17" s="17" t="s">
        <v>101</v>
      </c>
    </row>
    <row r="19" spans="3:6" x14ac:dyDescent="0.25">
      <c r="C19" s="17" t="s">
        <v>93</v>
      </c>
      <c r="D19" s="29">
        <v>-0.1</v>
      </c>
      <c r="E19" s="29">
        <v>-0.1</v>
      </c>
      <c r="F19" s="29">
        <v>0</v>
      </c>
    </row>
    <row r="20" spans="3:6" x14ac:dyDescent="0.25">
      <c r="C20" s="17" t="s">
        <v>90</v>
      </c>
      <c r="D20" s="29">
        <v>-0.1</v>
      </c>
      <c r="E20" s="29">
        <v>-0.1</v>
      </c>
      <c r="F20" s="29">
        <v>0</v>
      </c>
    </row>
    <row r="21" spans="3:6" x14ac:dyDescent="0.25">
      <c r="C21" s="17" t="s">
        <v>89</v>
      </c>
      <c r="D21" s="29">
        <v>-0.3</v>
      </c>
      <c r="E21" s="29">
        <v>-0.3</v>
      </c>
      <c r="F21" s="29">
        <v>0</v>
      </c>
    </row>
    <row r="22" spans="3:6" x14ac:dyDescent="0.25">
      <c r="C22" s="17" t="s">
        <v>91</v>
      </c>
      <c r="D22" s="29">
        <v>0</v>
      </c>
      <c r="E22" s="29">
        <v>-0.05</v>
      </c>
      <c r="F22" s="29">
        <v>0</v>
      </c>
    </row>
    <row r="23" spans="3:6" x14ac:dyDescent="0.25">
      <c r="C23" s="17" t="s">
        <v>92</v>
      </c>
      <c r="D23" s="29">
        <v>-0.1</v>
      </c>
      <c r="E23" s="29">
        <v>-0.1</v>
      </c>
      <c r="F23" s="29">
        <v>0</v>
      </c>
    </row>
    <row r="24" spans="3:6" x14ac:dyDescent="0.25">
      <c r="D24" s="29">
        <f>SUM(D19:D23)</f>
        <v>-0.6</v>
      </c>
      <c r="E24" s="29">
        <f>SUM(E19:E23)</f>
        <v>-0.65</v>
      </c>
      <c r="F24" s="29">
        <f>SUM(F19:F23)</f>
        <v>0</v>
      </c>
    </row>
    <row r="25" spans="3:6" x14ac:dyDescent="0.25">
      <c r="D25" s="29">
        <f>D24*-1</f>
        <v>0.6</v>
      </c>
      <c r="E25" s="29">
        <f>E24*-1</f>
        <v>0.65</v>
      </c>
      <c r="F25" s="29"/>
    </row>
    <row r="26" spans="3:6" x14ac:dyDescent="0.25">
      <c r="D26" s="17">
        <f>(1-D25)*D11</f>
        <v>9090.9090909090919</v>
      </c>
      <c r="E26" s="17">
        <f>(1-E25)*E11</f>
        <v>8750</v>
      </c>
    </row>
    <row r="27" spans="3:6" x14ac:dyDescent="0.25">
      <c r="D27" s="22">
        <f>D26*-1</f>
        <v>-9090.9090909090919</v>
      </c>
      <c r="E27" s="22">
        <f>E26*-1</f>
        <v>-8750</v>
      </c>
    </row>
    <row r="28" spans="3:6" x14ac:dyDescent="0.25">
      <c r="E28" s="17">
        <f>AVERAGE(D27:E27)</f>
        <v>-8920.454545454546</v>
      </c>
    </row>
    <row r="29" spans="3:6" x14ac:dyDescent="0.25">
      <c r="E29" s="17">
        <v>9000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057E0-7035-4122-9A38-7F94E4D77A57}">
  <dimension ref="D3:J9"/>
  <sheetViews>
    <sheetView workbookViewId="0">
      <selection activeCell="G9" sqref="G9"/>
    </sheetView>
  </sheetViews>
  <sheetFormatPr defaultRowHeight="15" x14ac:dyDescent="0.25"/>
  <cols>
    <col min="5" max="5" width="11.5703125" style="17" bestFit="1" customWidth="1"/>
    <col min="6" max="6" width="10" style="17" bestFit="1" customWidth="1"/>
    <col min="7" max="7" width="16.85546875" style="17" bestFit="1" customWidth="1"/>
    <col min="10" max="10" width="11.5703125" bestFit="1" customWidth="1"/>
  </cols>
  <sheetData>
    <row r="3" spans="4:10" x14ac:dyDescent="0.25">
      <c r="E3" s="21" t="s">
        <v>45</v>
      </c>
    </row>
    <row r="4" spans="4:10" x14ac:dyDescent="0.25">
      <c r="D4" t="s">
        <v>81</v>
      </c>
      <c r="E4" s="17">
        <v>136501.32</v>
      </c>
      <c r="F4" s="17">
        <f>Links!E29</f>
        <v>9000</v>
      </c>
      <c r="G4" s="17">
        <f>F4*E4</f>
        <v>1228511880</v>
      </c>
      <c r="J4" s="20">
        <f>F4*4047</f>
        <v>36423000</v>
      </c>
    </row>
    <row r="5" spans="4:10" x14ac:dyDescent="0.25">
      <c r="D5" t="s">
        <v>82</v>
      </c>
      <c r="E5" s="17">
        <v>101772.2</v>
      </c>
      <c r="F5" s="17">
        <f>F4/2</f>
        <v>4500</v>
      </c>
      <c r="G5" s="17">
        <f t="shared" ref="G5:G6" si="0">F5*E5</f>
        <v>457974900</v>
      </c>
    </row>
    <row r="6" spans="4:10" x14ac:dyDescent="0.25">
      <c r="D6" t="s">
        <v>83</v>
      </c>
      <c r="E6" s="17">
        <f>'Allotment Rate'!L19-'Land Valuation'!E4-'Land Valuation'!E5</f>
        <v>88966.89999999998</v>
      </c>
      <c r="F6" s="17">
        <f>F5/2</f>
        <v>2250</v>
      </c>
      <c r="G6" s="17">
        <f t="shared" si="0"/>
        <v>200175524.99999994</v>
      </c>
    </row>
    <row r="7" spans="4:10" x14ac:dyDescent="0.25">
      <c r="E7" s="22">
        <f>SUM(E4:E6)</f>
        <v>327240.42</v>
      </c>
      <c r="G7" s="22">
        <f>SUM(G4:G6)</f>
        <v>1886662305</v>
      </c>
    </row>
    <row r="9" spans="4:10" x14ac:dyDescent="0.25">
      <c r="G9" s="17">
        <f>G7*0.9</f>
        <v>1697996074.5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Building</vt:lpstr>
      <vt:lpstr>Asthetic</vt:lpstr>
      <vt:lpstr>Allotment Rate</vt:lpstr>
      <vt:lpstr>Available Plots</vt:lpstr>
      <vt:lpstr>Circle Rate</vt:lpstr>
      <vt:lpstr>Links</vt:lpstr>
      <vt:lpstr>Land Valuation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Abhinav Chaturvedi</dc:creator>
  <cp:lastModifiedBy>Abhinav Chaturvedi</cp:lastModifiedBy>
  <dcterms:created xsi:type="dcterms:W3CDTF">2015-06-05T18:17:20Z</dcterms:created>
  <dcterms:modified xsi:type="dcterms:W3CDTF">2025-01-04T12:58:44Z</dcterms:modified>
</cp:coreProperties>
</file>