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VIS(2024-25)-PL634-569-803_Accord Infotech\Report\"/>
    </mc:Choice>
  </mc:AlternateContent>
  <xr:revisionPtr revIDLastSave="0" documentId="13_ncr:1_{C3D0D7A1-4DB2-443E-90F6-9E8FF05C520B}" xr6:coauthVersionLast="47" xr6:coauthVersionMax="47" xr10:uidLastSave="{00000000-0000-0000-0000-000000000000}"/>
  <bookViews>
    <workbookView xWindow="-120" yWindow="-120" windowWidth="24240" windowHeight="13140" tabRatio="619" activeTab="2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G15" i="3"/>
  <c r="G14" i="3"/>
  <c r="G13" i="3"/>
  <c r="K20" i="1"/>
  <c r="L13" i="3"/>
  <c r="H14" i="3"/>
  <c r="K18" i="1"/>
  <c r="J17" i="1"/>
  <c r="K17" i="1" s="1"/>
  <c r="J16" i="1"/>
  <c r="J15" i="1"/>
  <c r="J14" i="1"/>
  <c r="K14" i="1" s="1"/>
  <c r="J13" i="1"/>
  <c r="K13" i="1" s="1"/>
  <c r="K16" i="1"/>
  <c r="K15" i="1"/>
  <c r="H13" i="1"/>
  <c r="J21" i="3"/>
  <c r="P4" i="1"/>
  <c r="C11" i="1"/>
  <c r="O9" i="1"/>
  <c r="C10" i="1"/>
  <c r="I10" i="3"/>
  <c r="E24" i="1"/>
  <c r="E27" i="1" s="1"/>
  <c r="H11" i="3"/>
  <c r="I11" i="3" s="1"/>
  <c r="H4" i="3"/>
  <c r="E3" i="3"/>
  <c r="E7" i="3"/>
  <c r="H12" i="3" l="1"/>
  <c r="H13" i="3" s="1"/>
  <c r="E25" i="1"/>
  <c r="D22" i="1"/>
  <c r="D21" i="1"/>
  <c r="D26" i="2"/>
  <c r="F14" i="1"/>
  <c r="F15" i="1" s="1"/>
  <c r="G13" i="1"/>
  <c r="C9" i="1"/>
  <c r="E17" i="1" s="1"/>
  <c r="H4" i="1"/>
  <c r="F16" i="1" l="1"/>
  <c r="G15" i="1"/>
  <c r="H15" i="1" s="1"/>
  <c r="G14" i="1"/>
  <c r="H14" i="1" s="1"/>
  <c r="E14" i="1"/>
  <c r="E15" i="1"/>
  <c r="E16" i="1"/>
  <c r="E13" i="1"/>
  <c r="I15" i="1" l="1"/>
  <c r="I16" i="1"/>
  <c r="I14" i="1"/>
  <c r="G16" i="1"/>
  <c r="H16" i="1" s="1"/>
  <c r="F17" i="1"/>
  <c r="G17" i="1" s="1"/>
  <c r="H17" i="1" s="1"/>
  <c r="I17" i="1" s="1"/>
  <c r="E18" i="1"/>
  <c r="I13" i="1"/>
  <c r="I18" i="1" l="1"/>
  <c r="H15" i="3" s="1"/>
  <c r="H16" i="3" s="1"/>
  <c r="H17" i="3" l="1"/>
  <c r="H18" i="3"/>
</calcChain>
</file>

<file path=xl/sharedStrings.xml><?xml version="1.0" encoding="utf-8"?>
<sst xmlns="http://schemas.openxmlformats.org/spreadsheetml/2006/main" count="57" uniqueCount="52">
  <si>
    <t>Lessor</t>
  </si>
  <si>
    <t>Lessee</t>
  </si>
  <si>
    <t>The Governor of WB</t>
  </si>
  <si>
    <t xml:space="preserve">Accord Infortech </t>
  </si>
  <si>
    <t>Area</t>
  </si>
  <si>
    <t>Period</t>
  </si>
  <si>
    <t>999 years</t>
  </si>
  <si>
    <t>I-04908</t>
  </si>
  <si>
    <t>B+G+21</t>
  </si>
  <si>
    <t>Basement</t>
  </si>
  <si>
    <t>7 to 12 Floor</t>
  </si>
  <si>
    <t>13 to 18 Floor</t>
  </si>
  <si>
    <t>18 floor above</t>
  </si>
  <si>
    <t>Ground to 6 Floor</t>
  </si>
  <si>
    <t>Sq. ft.</t>
  </si>
  <si>
    <t>Floors</t>
  </si>
  <si>
    <t>CoC / sqm</t>
  </si>
  <si>
    <t>CoC / sq.ft.</t>
  </si>
  <si>
    <t>Ground</t>
  </si>
  <si>
    <t>1 Floor</t>
  </si>
  <si>
    <t>2 Floor</t>
  </si>
  <si>
    <t>3 Floor</t>
  </si>
  <si>
    <t>4 Floor</t>
  </si>
  <si>
    <t>5 Floor</t>
  </si>
  <si>
    <t>6 Floor</t>
  </si>
  <si>
    <t>7 Floor</t>
  </si>
  <si>
    <t>8 Floor</t>
  </si>
  <si>
    <t>9 Floor</t>
  </si>
  <si>
    <t>10 Floor</t>
  </si>
  <si>
    <t>11 Floor</t>
  </si>
  <si>
    <t>12 Floor</t>
  </si>
  <si>
    <t>13 Floor</t>
  </si>
  <si>
    <t>14 Floor</t>
  </si>
  <si>
    <t>15 Floor</t>
  </si>
  <si>
    <t>16 Floor</t>
  </si>
  <si>
    <t>17 Floor</t>
  </si>
  <si>
    <t>18 Floor</t>
  </si>
  <si>
    <t>19 Floor</t>
  </si>
  <si>
    <t>20 Floor</t>
  </si>
  <si>
    <t>21 Floor</t>
  </si>
  <si>
    <t>% Completion</t>
  </si>
  <si>
    <t>Sqyd</t>
  </si>
  <si>
    <t>sqft</t>
  </si>
  <si>
    <t>per sqft</t>
  </si>
  <si>
    <t>Katha</t>
  </si>
  <si>
    <t>Total Saleble area</t>
  </si>
  <si>
    <t>per floor saleble area</t>
  </si>
  <si>
    <t>https://www.99acres.com/commercial-institutional-land-for-sale-in-gp-block-sector-5-salt-lake-kolkata-east-9600-sq-yard-spid-L79433895</t>
  </si>
  <si>
    <t>https://www.99acres.com/commercial-institutional-land-for-sale-in-ep-block-sector-5-salt-lake-kolkata-east-1240-sq-yard-spid-S79412869</t>
  </si>
  <si>
    <t>https://www.99acres.com/commercial-institutional-land-for-sale-in-sector-5-salt-lake-kolkata-east-1200-sq-yard-r5-spid-N74880523</t>
  </si>
  <si>
    <t>https://www.99acres.com/commercial-institutional-land-for-sale-in-ep-block-sector-5-salt-lake-kolkata-east-1440-sq-yard-spid-U79413155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</si>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</sst>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_ ;_ @_ "/>
    <numFmt numFmtId="166" formatCode="_ * #,##0.00000_ ;_ * \-#,##0.000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164" fontId="2" fillId="0" borderId="0" xfId="1" applyNumberFormat="1" applyFont="1"/>
    <xf numFmtId="9" fontId="0" fillId="0" borderId="0" xfId="2" applyFont="1"/>
    <xf numFmtId="9" fontId="2" fillId="0" borderId="0" xfId="2" applyFont="1"/>
    <xf numFmtId="9" fontId="2" fillId="0" borderId="0" xfId="2" applyFont="1" applyAlignment="1">
      <alignment horizontal="center" vertical="center"/>
    </xf>
    <xf numFmtId="165" fontId="0" fillId="0" borderId="0" xfId="0" applyNumberFormat="1"/>
    <xf numFmtId="43" fontId="0" fillId="0" borderId="0" xfId="0" applyNumberFormat="1"/>
    <xf numFmtId="166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14</xdr:col>
      <xdr:colOff>534704</xdr:colOff>
      <xdr:row>20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EAEEA3-D946-26C9-2404-89C1C801D9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0" t="9643" r="2766" b="18391"/>
        <a:stretch/>
      </xdr:blipFill>
      <xdr:spPr>
        <a:xfrm>
          <a:off x="19050" y="28575"/>
          <a:ext cx="9107204" cy="3838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27"/>
  <sheetViews>
    <sheetView workbookViewId="0">
      <selection activeCell="K20" sqref="K20"/>
    </sheetView>
  </sheetViews>
  <sheetFormatPr defaultRowHeight="15" x14ac:dyDescent="0.25"/>
  <cols>
    <col min="1" max="1" width="7.28515625" bestFit="1" customWidth="1"/>
    <col min="2" max="2" width="10.42578125" bestFit="1" customWidth="1"/>
    <col min="3" max="3" width="23.42578125" bestFit="1" customWidth="1"/>
    <col min="4" max="4" width="16.140625" bestFit="1" customWidth="1"/>
    <col min="5" max="5" width="12.5703125" bestFit="1" customWidth="1"/>
    <col min="6" max="6" width="10" bestFit="1" customWidth="1"/>
    <col min="7" max="7" width="10.7109375" style="2" bestFit="1" customWidth="1"/>
    <col min="8" max="8" width="10" style="2" bestFit="1" customWidth="1"/>
    <col min="9" max="9" width="12.5703125" bestFit="1" customWidth="1"/>
    <col min="11" max="11" width="15.28515625" bestFit="1" customWidth="1"/>
    <col min="15" max="15" width="11.5703125" bestFit="1" customWidth="1"/>
    <col min="16" max="16" width="10" bestFit="1" customWidth="1"/>
  </cols>
  <sheetData>
    <row r="3" spans="1:16" x14ac:dyDescent="0.25">
      <c r="C3" t="s">
        <v>0</v>
      </c>
      <c r="D3" t="s">
        <v>1</v>
      </c>
      <c r="E3" t="s">
        <v>4</v>
      </c>
      <c r="F3" t="s">
        <v>5</v>
      </c>
    </row>
    <row r="4" spans="1:16" s="3" customFormat="1" ht="27.75" customHeight="1" x14ac:dyDescent="0.25">
      <c r="A4" s="3" t="s">
        <v>7</v>
      </c>
      <c r="B4" s="4">
        <v>39720</v>
      </c>
      <c r="C4" s="3" t="s">
        <v>2</v>
      </c>
      <c r="D4" s="3" t="s">
        <v>3</v>
      </c>
      <c r="E4" s="14">
        <v>15.111879999999999</v>
      </c>
      <c r="F4" s="3" t="s">
        <v>6</v>
      </c>
      <c r="G4" s="5">
        <v>300000</v>
      </c>
      <c r="H4" s="5">
        <f>G4*E4</f>
        <v>4533564</v>
      </c>
      <c r="O4" s="3">
        <v>2857</v>
      </c>
      <c r="P4" s="5">
        <f>O4*22</f>
        <v>62854</v>
      </c>
    </row>
    <row r="7" spans="1:16" x14ac:dyDescent="0.25">
      <c r="C7" s="2">
        <v>60000</v>
      </c>
      <c r="D7" t="s">
        <v>8</v>
      </c>
    </row>
    <row r="8" spans="1:16" x14ac:dyDescent="0.25">
      <c r="C8">
        <v>23</v>
      </c>
      <c r="O8">
        <v>1500</v>
      </c>
    </row>
    <row r="9" spans="1:16" x14ac:dyDescent="0.25">
      <c r="C9" s="2">
        <f>C7/C8</f>
        <v>2608.695652173913</v>
      </c>
      <c r="O9" s="2">
        <f>O8*7250</f>
        <v>10875000</v>
      </c>
    </row>
    <row r="10" spans="1:16" x14ac:dyDescent="0.25">
      <c r="C10" s="1">
        <f>C7/21</f>
        <v>2857.1428571428573</v>
      </c>
    </row>
    <row r="11" spans="1:16" x14ac:dyDescent="0.25">
      <c r="C11" s="2">
        <f>C10*22</f>
        <v>62857.142857142862</v>
      </c>
      <c r="D11" s="1"/>
      <c r="E11" s="1"/>
      <c r="F11" s="1"/>
    </row>
    <row r="12" spans="1:16" x14ac:dyDescent="0.25">
      <c r="D12" s="7" t="s">
        <v>15</v>
      </c>
      <c r="E12" s="7" t="s">
        <v>14</v>
      </c>
      <c r="F12" s="7" t="s">
        <v>16</v>
      </c>
      <c r="G12" s="7" t="s">
        <v>17</v>
      </c>
      <c r="H12" s="7"/>
      <c r="I12" s="7" t="s">
        <v>51</v>
      </c>
      <c r="J12" s="7"/>
      <c r="K12" s="7" t="s">
        <v>51</v>
      </c>
    </row>
    <row r="13" spans="1:16" x14ac:dyDescent="0.25">
      <c r="D13" t="s">
        <v>9</v>
      </c>
      <c r="E13" s="2">
        <f>C9</f>
        <v>2608.695652173913</v>
      </c>
      <c r="F13" s="2">
        <v>30820</v>
      </c>
      <c r="G13" s="2">
        <f>F13/10.764</f>
        <v>2863.2478632478633</v>
      </c>
      <c r="H13" s="2">
        <f>G13*1</f>
        <v>2863.2478632478633</v>
      </c>
      <c r="I13" s="2">
        <f>H13*E13</f>
        <v>7469342.2519509476</v>
      </c>
      <c r="J13" s="9">
        <f>Sheet2!$D$26</f>
        <v>0.73478260869565215</v>
      </c>
      <c r="K13" s="2">
        <f>J13*I13</f>
        <v>5488342.7851291746</v>
      </c>
    </row>
    <row r="14" spans="1:16" x14ac:dyDescent="0.25">
      <c r="D14" t="s">
        <v>13</v>
      </c>
      <c r="E14" s="2">
        <f>C9*7</f>
        <v>18260.869565217392</v>
      </c>
      <c r="F14" s="2">
        <f>F13+(120)</f>
        <v>30940</v>
      </c>
      <c r="G14" s="2">
        <f t="shared" ref="G14:G17" si="0">F14/10.764</f>
        <v>2874.3961352657007</v>
      </c>
      <c r="H14" s="2">
        <f t="shared" ref="H14:H17" si="1">G14*1</f>
        <v>2874.3961352657007</v>
      </c>
      <c r="I14" s="2">
        <f t="shared" ref="I14:I17" si="2">H14*E14</f>
        <v>52488972.904851928</v>
      </c>
      <c r="J14" s="9">
        <f>Sheet2!$D$26</f>
        <v>0.73478260869565215</v>
      </c>
      <c r="K14" s="2">
        <f t="shared" ref="K14:K17" si="3">J14*I14</f>
        <v>38567984.438782506</v>
      </c>
    </row>
    <row r="15" spans="1:16" x14ac:dyDescent="0.25">
      <c r="D15" t="s">
        <v>10</v>
      </c>
      <c r="E15" s="2">
        <f>C9*6</f>
        <v>15652.173913043478</v>
      </c>
      <c r="F15" s="2">
        <f>F14+(120)</f>
        <v>31060</v>
      </c>
      <c r="G15" s="2">
        <f t="shared" si="0"/>
        <v>2885.544407283538</v>
      </c>
      <c r="H15" s="2">
        <f t="shared" si="1"/>
        <v>2885.544407283538</v>
      </c>
      <c r="I15" s="2">
        <f t="shared" si="2"/>
        <v>45165042.896611899</v>
      </c>
      <c r="J15" s="9">
        <f>Sheet2!$D$26</f>
        <v>0.73478260869565215</v>
      </c>
      <c r="K15" s="2">
        <f t="shared" si="3"/>
        <v>33186488.041423526</v>
      </c>
    </row>
    <row r="16" spans="1:16" x14ac:dyDescent="0.25">
      <c r="D16" t="s">
        <v>11</v>
      </c>
      <c r="E16" s="2">
        <f>C9*6</f>
        <v>15652.173913043478</v>
      </c>
      <c r="F16" s="2">
        <f>F15+(120)</f>
        <v>31180</v>
      </c>
      <c r="G16" s="2">
        <f t="shared" si="0"/>
        <v>2896.6926793013749</v>
      </c>
      <c r="H16" s="2">
        <f t="shared" si="1"/>
        <v>2896.6926793013749</v>
      </c>
      <c r="I16" s="2">
        <f t="shared" si="2"/>
        <v>45339537.589065</v>
      </c>
      <c r="J16" s="9">
        <f>Sheet2!$D$26</f>
        <v>0.73478260869565215</v>
      </c>
      <c r="K16" s="2">
        <f t="shared" si="3"/>
        <v>33314703.706747759</v>
      </c>
    </row>
    <row r="17" spans="4:11" x14ac:dyDescent="0.25">
      <c r="D17" t="s">
        <v>12</v>
      </c>
      <c r="E17" s="2">
        <f>C9*3</f>
        <v>7826.086956521739</v>
      </c>
      <c r="F17" s="2">
        <f>F16+(120)</f>
        <v>31300</v>
      </c>
      <c r="G17" s="2">
        <f t="shared" si="0"/>
        <v>2907.8409513192123</v>
      </c>
      <c r="H17" s="2">
        <f t="shared" si="1"/>
        <v>2907.8409513192123</v>
      </c>
      <c r="I17" s="2">
        <f t="shared" si="2"/>
        <v>22757016.140759051</v>
      </c>
      <c r="J17" s="9">
        <f>Sheet2!$D$26</f>
        <v>0.73478260869565215</v>
      </c>
      <c r="K17" s="2">
        <f t="shared" si="3"/>
        <v>16721459.686035998</v>
      </c>
    </row>
    <row r="18" spans="4:11" x14ac:dyDescent="0.25">
      <c r="E18" s="8">
        <f>SUM(E13:E17)</f>
        <v>60000</v>
      </c>
      <c r="F18" s="2"/>
      <c r="I18" s="8">
        <f>SUM(I13:I17)</f>
        <v>173219911.78323883</v>
      </c>
      <c r="J18" s="2"/>
      <c r="K18" s="8">
        <f>SUM(K13:K17)</f>
        <v>127278978.65811896</v>
      </c>
    </row>
    <row r="19" spans="4:11" x14ac:dyDescent="0.25">
      <c r="I19" s="2"/>
    </row>
    <row r="20" spans="4:11" x14ac:dyDescent="0.25">
      <c r="D20" s="2">
        <v>4500</v>
      </c>
      <c r="K20" s="6">
        <f>K18*0.8</f>
        <v>101823182.92649518</v>
      </c>
    </row>
    <row r="21" spans="4:11" x14ac:dyDescent="0.25">
      <c r="D21" s="2">
        <f>D20*23</f>
        <v>103500</v>
      </c>
      <c r="E21" s="6"/>
    </row>
    <row r="22" spans="4:11" x14ac:dyDescent="0.25">
      <c r="D22" s="6">
        <f>D21*2800</f>
        <v>289800000</v>
      </c>
    </row>
    <row r="24" spans="4:11" x14ac:dyDescent="0.25">
      <c r="E24" s="12">
        <f>E18*1.6</f>
        <v>96000</v>
      </c>
      <c r="F24" t="s">
        <v>45</v>
      </c>
    </row>
    <row r="25" spans="4:11" x14ac:dyDescent="0.25">
      <c r="E25" s="13">
        <f>E24/21</f>
        <v>4571.4285714285716</v>
      </c>
      <c r="F25" t="s">
        <v>46</v>
      </c>
    </row>
    <row r="26" spans="4:11" x14ac:dyDescent="0.25">
      <c r="E26" s="2">
        <v>6000</v>
      </c>
    </row>
    <row r="27" spans="4:11" x14ac:dyDescent="0.25">
      <c r="E27" s="6">
        <f>E26*E24</f>
        <v>576000000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555FE-8546-4914-8A7C-752DC32E19FB}">
  <dimension ref="C2:D26"/>
  <sheetViews>
    <sheetView workbookViewId="0">
      <selection activeCell="D26" sqref="D26"/>
    </sheetView>
  </sheetViews>
  <sheetFormatPr defaultRowHeight="15" x14ac:dyDescent="0.25"/>
  <cols>
    <col min="3" max="3" width="9.85546875" bestFit="1" customWidth="1"/>
    <col min="4" max="4" width="13.5703125" style="9" bestFit="1" customWidth="1"/>
  </cols>
  <sheetData>
    <row r="2" spans="3:4" x14ac:dyDescent="0.25">
      <c r="C2" s="7" t="s">
        <v>15</v>
      </c>
      <c r="D2" s="11" t="s">
        <v>40</v>
      </c>
    </row>
    <row r="3" spans="3:4" x14ac:dyDescent="0.25">
      <c r="C3" t="s">
        <v>9</v>
      </c>
      <c r="D3" s="9">
        <v>1</v>
      </c>
    </row>
    <row r="4" spans="3:4" x14ac:dyDescent="0.25">
      <c r="C4" t="s">
        <v>18</v>
      </c>
      <c r="D4" s="9">
        <v>0.5</v>
      </c>
    </row>
    <row r="5" spans="3:4" x14ac:dyDescent="0.25">
      <c r="C5" t="s">
        <v>19</v>
      </c>
      <c r="D5" s="9">
        <v>0.6</v>
      </c>
    </row>
    <row r="6" spans="3:4" x14ac:dyDescent="0.25">
      <c r="C6" t="s">
        <v>20</v>
      </c>
      <c r="D6" s="9">
        <v>0.6</v>
      </c>
    </row>
    <row r="7" spans="3:4" x14ac:dyDescent="0.25">
      <c r="C7" t="s">
        <v>21</v>
      </c>
      <c r="D7" s="9">
        <v>0.95</v>
      </c>
    </row>
    <row r="8" spans="3:4" x14ac:dyDescent="0.25">
      <c r="C8" t="s">
        <v>22</v>
      </c>
      <c r="D8" s="9">
        <v>0.95</v>
      </c>
    </row>
    <row r="9" spans="3:4" x14ac:dyDescent="0.25">
      <c r="C9" t="s">
        <v>23</v>
      </c>
      <c r="D9" s="9">
        <v>1</v>
      </c>
    </row>
    <row r="10" spans="3:4" x14ac:dyDescent="0.25">
      <c r="C10" t="s">
        <v>24</v>
      </c>
      <c r="D10" s="9">
        <v>1</v>
      </c>
    </row>
    <row r="11" spans="3:4" x14ac:dyDescent="0.25">
      <c r="C11" t="s">
        <v>25</v>
      </c>
      <c r="D11" s="9">
        <v>0.95</v>
      </c>
    </row>
    <row r="12" spans="3:4" x14ac:dyDescent="0.25">
      <c r="C12" t="s">
        <v>26</v>
      </c>
      <c r="D12" s="9">
        <v>0.95</v>
      </c>
    </row>
    <row r="13" spans="3:4" x14ac:dyDescent="0.25">
      <c r="C13" t="s">
        <v>27</v>
      </c>
      <c r="D13" s="9">
        <v>0.5</v>
      </c>
    </row>
    <row r="14" spans="3:4" x14ac:dyDescent="0.25">
      <c r="C14" t="s">
        <v>28</v>
      </c>
      <c r="D14" s="9">
        <v>0.5</v>
      </c>
    </row>
    <row r="15" spans="3:4" x14ac:dyDescent="0.25">
      <c r="C15" t="s">
        <v>29</v>
      </c>
      <c r="D15" s="9">
        <v>0.5</v>
      </c>
    </row>
    <row r="16" spans="3:4" x14ac:dyDescent="0.25">
      <c r="C16" t="s">
        <v>30</v>
      </c>
      <c r="D16" s="9">
        <v>0.5</v>
      </c>
    </row>
    <row r="17" spans="3:4" x14ac:dyDescent="0.25">
      <c r="C17" t="s">
        <v>31</v>
      </c>
      <c r="D17" s="9">
        <v>0.5</v>
      </c>
    </row>
    <row r="18" spans="3:4" x14ac:dyDescent="0.25">
      <c r="C18" t="s">
        <v>32</v>
      </c>
      <c r="D18" s="9">
        <v>0.5</v>
      </c>
    </row>
    <row r="19" spans="3:4" x14ac:dyDescent="0.25">
      <c r="C19" t="s">
        <v>33</v>
      </c>
      <c r="D19" s="9">
        <v>0.5</v>
      </c>
    </row>
    <row r="20" spans="3:4" x14ac:dyDescent="0.25">
      <c r="C20" t="s">
        <v>34</v>
      </c>
      <c r="D20" s="9">
        <v>0.65</v>
      </c>
    </row>
    <row r="21" spans="3:4" x14ac:dyDescent="0.25">
      <c r="C21" t="s">
        <v>35</v>
      </c>
      <c r="D21" s="9">
        <v>0.95</v>
      </c>
    </row>
    <row r="22" spans="3:4" x14ac:dyDescent="0.25">
      <c r="C22" t="s">
        <v>36</v>
      </c>
      <c r="D22" s="9">
        <v>0.95</v>
      </c>
    </row>
    <row r="23" spans="3:4" x14ac:dyDescent="0.25">
      <c r="C23" t="s">
        <v>37</v>
      </c>
      <c r="D23" s="9">
        <v>0.8</v>
      </c>
    </row>
    <row r="24" spans="3:4" x14ac:dyDescent="0.25">
      <c r="C24" t="s">
        <v>38</v>
      </c>
      <c r="D24" s="9">
        <v>0.85</v>
      </c>
    </row>
    <row r="25" spans="3:4" x14ac:dyDescent="0.25">
      <c r="C25" t="s">
        <v>39</v>
      </c>
      <c r="D25" s="9">
        <v>0.7</v>
      </c>
    </row>
    <row r="26" spans="3:4" x14ac:dyDescent="0.25">
      <c r="D26" s="10">
        <f>AVERAGE(D3:D25)</f>
        <v>0.73478260869565215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E1C4-4346-42F1-BAAE-89C1F4C356B1}">
  <dimension ref="C2:O21"/>
  <sheetViews>
    <sheetView tabSelected="1" workbookViewId="0">
      <selection activeCell="J19" sqref="J19"/>
    </sheetView>
  </sheetViews>
  <sheetFormatPr defaultRowHeight="15" x14ac:dyDescent="0.25"/>
  <cols>
    <col min="1" max="4" width="9.140625" style="2"/>
    <col min="5" max="5" width="11.5703125" style="2" bestFit="1" customWidth="1"/>
    <col min="6" max="6" width="9.140625" style="2"/>
    <col min="7" max="8" width="12.5703125" style="2" bestFit="1" customWidth="1"/>
    <col min="9" max="9" width="11.5703125" style="2" bestFit="1" customWidth="1"/>
    <col min="10" max="10" width="9.140625" style="2"/>
    <col min="11" max="11" width="10" style="2" bestFit="1" customWidth="1"/>
    <col min="12" max="16384" width="9.140625" style="2"/>
  </cols>
  <sheetData>
    <row r="2" spans="3:15" x14ac:dyDescent="0.25">
      <c r="C2" s="2" t="s">
        <v>43</v>
      </c>
      <c r="D2" s="2" t="s">
        <v>43</v>
      </c>
    </row>
    <row r="3" spans="3:15" x14ac:dyDescent="0.25">
      <c r="C3" s="2">
        <v>5800</v>
      </c>
      <c r="D3" s="2">
        <v>13900</v>
      </c>
      <c r="E3" s="2">
        <f>D3*E7</f>
        <v>10008000</v>
      </c>
      <c r="H3" s="2">
        <v>7692</v>
      </c>
      <c r="O3" s="2" t="s">
        <v>47</v>
      </c>
    </row>
    <row r="4" spans="3:15" x14ac:dyDescent="0.25">
      <c r="H4" s="2">
        <f>H3*E7</f>
        <v>5538240</v>
      </c>
      <c r="O4" s="2" t="s">
        <v>48</v>
      </c>
    </row>
    <row r="5" spans="3:15" x14ac:dyDescent="0.25">
      <c r="O5" s="2" t="s">
        <v>49</v>
      </c>
    </row>
    <row r="6" spans="3:15" x14ac:dyDescent="0.25">
      <c r="C6" s="2" t="s">
        <v>44</v>
      </c>
      <c r="D6" s="2" t="s">
        <v>41</v>
      </c>
      <c r="E6" s="2" t="s">
        <v>42</v>
      </c>
      <c r="O6" s="2" t="s">
        <v>50</v>
      </c>
    </row>
    <row r="7" spans="3:15" x14ac:dyDescent="0.25">
      <c r="C7" s="5">
        <v>1</v>
      </c>
      <c r="D7" s="5">
        <v>80</v>
      </c>
      <c r="E7" s="2">
        <f>D7*9</f>
        <v>720</v>
      </c>
    </row>
    <row r="10" spans="3:15" x14ac:dyDescent="0.25">
      <c r="H10" s="1">
        <v>1.1000000000000001</v>
      </c>
      <c r="I10" s="2">
        <f>H10*10^7</f>
        <v>11000000</v>
      </c>
    </row>
    <row r="11" spans="3:15" x14ac:dyDescent="0.25">
      <c r="H11" s="1">
        <f>H10*1.1</f>
        <v>1.2100000000000002</v>
      </c>
      <c r="I11" s="2">
        <f>H11*10^7</f>
        <v>12100000.000000002</v>
      </c>
    </row>
    <row r="12" spans="3:15" x14ac:dyDescent="0.25">
      <c r="H12" s="1">
        <f>H11*Sheet1!E4</f>
        <v>18.285374800000003</v>
      </c>
    </row>
    <row r="13" spans="3:15" x14ac:dyDescent="0.25">
      <c r="G13" s="2">
        <f>H13</f>
        <v>182853748.00000003</v>
      </c>
      <c r="H13" s="2">
        <f>H12*10^7</f>
        <v>182853748.00000003</v>
      </c>
      <c r="K13">
        <v>175305254</v>
      </c>
      <c r="L13" s="9">
        <f>K13/H13</f>
        <v>0.95871840701892519</v>
      </c>
    </row>
    <row r="14" spans="3:15" x14ac:dyDescent="0.25">
      <c r="G14" s="2">
        <f>Sheet1!I18</f>
        <v>173219911.78323883</v>
      </c>
      <c r="H14" s="2">
        <f>Sheet1!K18</f>
        <v>127278978.65811896</v>
      </c>
    </row>
    <row r="15" spans="3:15" x14ac:dyDescent="0.25">
      <c r="G15" s="2">
        <f>G14+G13</f>
        <v>356073659.78323889</v>
      </c>
      <c r="H15" s="2">
        <f>H14+H13</f>
        <v>310132726.65811896</v>
      </c>
    </row>
    <row r="16" spans="3:15" x14ac:dyDescent="0.25">
      <c r="G16" s="2">
        <f>ROUND(G15,-6)</f>
        <v>356000000</v>
      </c>
      <c r="H16" s="2">
        <f>ROUND(H15,-6)</f>
        <v>310000000</v>
      </c>
    </row>
    <row r="17" spans="8:11" x14ac:dyDescent="0.25">
      <c r="H17" s="2">
        <f>H16*0.85</f>
        <v>263500000</v>
      </c>
    </row>
    <row r="18" spans="8:11" x14ac:dyDescent="0.25">
      <c r="H18" s="2">
        <f>H16*0.75</f>
        <v>232500000</v>
      </c>
    </row>
    <row r="20" spans="8:11" x14ac:dyDescent="0.25">
      <c r="J20" s="1">
        <v>15.111879999999999</v>
      </c>
    </row>
    <row r="21" spans="8:11" x14ac:dyDescent="0.25">
      <c r="J21" s="2">
        <f>J20*720</f>
        <v>10880.553599999999</v>
      </c>
      <c r="K21" s="2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61B4-CE5C-4C7A-BD47-197A87A62692}">
  <dimension ref="A1"/>
  <sheetViews>
    <sheetView workbookViewId="0">
      <selection activeCell="C25" sqref="C25"/>
    </sheetView>
  </sheetViews>
  <sheetFormatPr defaultRowHeight="15" x14ac:dyDescent="0.25"/>
  <cols>
    <col min="3" max="3" width="10" bestFit="1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2025-02-06T10:07:35Z</dcterms:modified>
</cp:coreProperties>
</file>