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WIP\VIS(2024-25)-PL657-588-825 Wadia Reality\"/>
    </mc:Choice>
  </mc:AlternateContent>
  <bookViews>
    <workbookView xWindow="0" yWindow="0" windowWidth="21600" windowHeight="9735" activeTab="2"/>
  </bookViews>
  <sheets>
    <sheet name="Calculation" sheetId="1" r:id="rId1"/>
    <sheet name="land details" sheetId="2" r:id="rId2"/>
    <sheet name="Sheet1" sheetId="4" r:id="rId3"/>
    <sheet name="Sheet3" sheetId="3" r:id="rId4"/>
  </sheets>
  <definedNames>
    <definedName name="_xlnm._FilterDatabase" localSheetId="1" hidden="1">'land details'!$D$2:$K$41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  <c r="H58" i="4" s="1"/>
  <c r="I58" i="4" s="1"/>
  <c r="I59" i="4" s="1"/>
  <c r="I61" i="4" s="1"/>
  <c r="I57" i="4"/>
  <c r="D51" i="4"/>
  <c r="G59" i="4"/>
  <c r="G58" i="4"/>
  <c r="G57" i="4"/>
  <c r="F59" i="4"/>
  <c r="E59" i="4"/>
  <c r="E58" i="4"/>
  <c r="E57" i="4"/>
  <c r="D48" i="4"/>
  <c r="D47" i="4"/>
  <c r="K51" i="4"/>
  <c r="K50" i="4"/>
  <c r="K49" i="4"/>
  <c r="K47" i="4"/>
  <c r="F58" i="4"/>
  <c r="C20" i="4" s="1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16" i="4"/>
  <c r="C16" i="4"/>
  <c r="F57" i="4"/>
  <c r="E39" i="4"/>
  <c r="E22" i="4"/>
  <c r="E16" i="4"/>
  <c r="E38" i="4"/>
  <c r="E21" i="4"/>
  <c r="E15" i="4"/>
  <c r="I63" i="4" l="1"/>
  <c r="I62" i="4"/>
  <c r="Y5" i="4"/>
  <c r="Y6" i="4"/>
  <c r="Y7" i="4"/>
  <c r="Y8" i="4"/>
  <c r="Y4" i="4"/>
  <c r="K22" i="4"/>
  <c r="K23" i="4"/>
  <c r="K26" i="4"/>
  <c r="K29" i="4"/>
  <c r="K34" i="4"/>
  <c r="K35" i="4"/>
  <c r="K38" i="4"/>
  <c r="K24" i="4"/>
  <c r="K28" i="4"/>
  <c r="K30" i="4"/>
  <c r="K36" i="4"/>
  <c r="K37" i="4"/>
  <c r="K33" i="4"/>
  <c r="K21" i="4"/>
  <c r="K18" i="4"/>
  <c r="K16" i="4"/>
  <c r="K20" i="4"/>
  <c r="K25" i="4"/>
  <c r="K32" i="4"/>
  <c r="G40" i="4"/>
  <c r="G39" i="4"/>
  <c r="K31" i="4"/>
  <c r="K27" i="4"/>
  <c r="K5" i="4"/>
  <c r="K6" i="4"/>
  <c r="K7" i="4"/>
  <c r="K8" i="4"/>
  <c r="K9" i="4"/>
  <c r="K10" i="4"/>
  <c r="K11" i="4"/>
  <c r="K12" i="4"/>
  <c r="K13" i="4"/>
  <c r="K14" i="4"/>
  <c r="K15" i="4"/>
  <c r="K4" i="4"/>
  <c r="K17" i="4"/>
  <c r="K19" i="4"/>
  <c r="J17" i="4"/>
  <c r="J18" i="4"/>
  <c r="J19" i="4"/>
  <c r="J20" i="4"/>
  <c r="J21" i="4"/>
  <c r="J16" i="4"/>
  <c r="K39" i="4" l="1"/>
  <c r="K40" i="4" s="1"/>
  <c r="N64" i="2"/>
  <c r="N63" i="2"/>
  <c r="M63" i="2"/>
  <c r="M64" i="2"/>
  <c r="M65" i="2" s="1"/>
  <c r="L64" i="2"/>
  <c r="L65" i="2" s="1"/>
  <c r="L68" i="2"/>
  <c r="N65" i="2" l="1"/>
  <c r="K42" i="4"/>
  <c r="K43" i="4"/>
  <c r="L60" i="2"/>
  <c r="L56" i="2" l="1"/>
  <c r="L57" i="2" s="1"/>
  <c r="F57" i="2" l="1"/>
  <c r="F41" i="2" l="1"/>
  <c r="I41" i="2" s="1"/>
  <c r="F51" i="2"/>
  <c r="F34" i="2"/>
  <c r="I34" i="2" s="1"/>
  <c r="G51" i="2" l="1"/>
  <c r="F58" i="2"/>
  <c r="F59" i="2" s="1"/>
  <c r="G59" i="2" s="1"/>
  <c r="F52" i="2"/>
  <c r="Q4" i="2"/>
  <c r="Q5" i="2"/>
  <c r="Q3" i="2"/>
  <c r="P6" i="2"/>
  <c r="Q6" i="2" l="1"/>
  <c r="F53" i="2"/>
  <c r="F61" i="2"/>
  <c r="G61" i="2" s="1"/>
  <c r="L18" i="1"/>
  <c r="L20" i="1" s="1"/>
  <c r="P14" i="1" l="1"/>
  <c r="P12" i="1"/>
  <c r="M10" i="1"/>
  <c r="M8" i="1"/>
  <c r="D9" i="1"/>
  <c r="I5" i="1"/>
  <c r="D8" i="1" l="1"/>
  <c r="D4" i="1"/>
  <c r="D11" i="1" l="1"/>
</calcChain>
</file>

<file path=xl/sharedStrings.xml><?xml version="1.0" encoding="utf-8"?>
<sst xmlns="http://schemas.openxmlformats.org/spreadsheetml/2006/main" count="194" uniqueCount="117">
  <si>
    <t>Area</t>
  </si>
  <si>
    <t>acre</t>
  </si>
  <si>
    <t>guntha</t>
  </si>
  <si>
    <t>Rate</t>
  </si>
  <si>
    <t>Khasra no.</t>
  </si>
  <si>
    <t>NA Land</t>
  </si>
  <si>
    <t>As per LSR</t>
  </si>
  <si>
    <t>Agriculture land</t>
  </si>
  <si>
    <t>TMC land for road widening</t>
  </si>
  <si>
    <t>sqm</t>
  </si>
  <si>
    <t>8/1</t>
  </si>
  <si>
    <t>8/8</t>
  </si>
  <si>
    <t>8/21</t>
  </si>
  <si>
    <t>41/2</t>
  </si>
  <si>
    <t>41/4</t>
  </si>
  <si>
    <t>40</t>
  </si>
  <si>
    <t>43</t>
  </si>
  <si>
    <t>42/3A</t>
  </si>
  <si>
    <t>47/3</t>
  </si>
  <si>
    <t>44</t>
  </si>
  <si>
    <t>46</t>
  </si>
  <si>
    <t>48</t>
  </si>
  <si>
    <t>51/1A</t>
  </si>
  <si>
    <t>51/1B</t>
  </si>
  <si>
    <t>51/2</t>
  </si>
  <si>
    <t>38</t>
  </si>
  <si>
    <t>39</t>
  </si>
  <si>
    <t>31</t>
  </si>
  <si>
    <t>32</t>
  </si>
  <si>
    <t>35</t>
  </si>
  <si>
    <t>34/1</t>
  </si>
  <si>
    <t>33</t>
  </si>
  <si>
    <t>28</t>
  </si>
  <si>
    <t>57/2</t>
  </si>
  <si>
    <t>27/1</t>
  </si>
  <si>
    <t>29</t>
  </si>
  <si>
    <t>30</t>
  </si>
  <si>
    <t>9</t>
  </si>
  <si>
    <t>10</t>
  </si>
  <si>
    <t>11</t>
  </si>
  <si>
    <t>NA</t>
  </si>
  <si>
    <t>Agri</t>
  </si>
  <si>
    <t>8/7</t>
  </si>
  <si>
    <t>8/19</t>
  </si>
  <si>
    <t>8/24</t>
  </si>
  <si>
    <t>8/26</t>
  </si>
  <si>
    <t>42/1</t>
  </si>
  <si>
    <t>47/2A</t>
  </si>
  <si>
    <t>Road</t>
  </si>
  <si>
    <t>Widening</t>
  </si>
  <si>
    <t>36/4/4</t>
  </si>
  <si>
    <t>36/4/2</t>
  </si>
  <si>
    <t>36/4/1</t>
  </si>
  <si>
    <t>36/4/8</t>
  </si>
  <si>
    <t>36/4/3</t>
  </si>
  <si>
    <t>36/4/5</t>
  </si>
  <si>
    <t>36/4/6</t>
  </si>
  <si>
    <t>36/4/7</t>
  </si>
  <si>
    <t>TOTAL</t>
  </si>
  <si>
    <t>Gr. TOTAL</t>
  </si>
  <si>
    <t>37/3</t>
  </si>
  <si>
    <t>28pt</t>
  </si>
  <si>
    <t>27pt</t>
  </si>
  <si>
    <t>40pt</t>
  </si>
  <si>
    <t>41pt</t>
  </si>
  <si>
    <t>42pt</t>
  </si>
  <si>
    <t>43pt</t>
  </si>
  <si>
    <t>46pt</t>
  </si>
  <si>
    <t>47pt</t>
  </si>
  <si>
    <t>to check</t>
  </si>
  <si>
    <t>Area As per Bhunaksha</t>
  </si>
  <si>
    <t>MPD road</t>
  </si>
  <si>
    <t>not in the name of Go Airlines</t>
  </si>
  <si>
    <t>Comments</t>
  </si>
  <si>
    <t>As per 7/12 extract</t>
  </si>
  <si>
    <t>comments</t>
  </si>
  <si>
    <t xml:space="preserve">Description </t>
  </si>
  <si>
    <t>Area (in sqm)</t>
  </si>
  <si>
    <t>Area (in acre)</t>
  </si>
  <si>
    <t>Description</t>
  </si>
  <si>
    <t>Observations</t>
  </si>
  <si>
    <t>Survey No.</t>
  </si>
  <si>
    <t>Remarks</t>
  </si>
  <si>
    <t>All the survey which is coming under agriculture land</t>
  </si>
  <si>
    <t>This survey no. is not owned by M/s. Go Airlines India Ltd.</t>
  </si>
  <si>
    <t>The land area is not considered for valuation assessment</t>
  </si>
  <si>
    <t>As per the TIR, the total area is recorded as 5,290 sqm. However, the BhuNaksha website indicates an area of 4,940 sqm, while the 7/12 extract also confirms it as 5,290 sqm</t>
  </si>
  <si>
    <t>The land area is considered as 5,290 sqm</t>
  </si>
  <si>
    <t>The survey no. is coming under road area</t>
  </si>
  <si>
    <t>As per the TIR, all survey numbers are classified as agricultural land. However, according to the 7/12 extract, the land is recorded as non-agricultural (NA) land.</t>
  </si>
  <si>
    <t>The survey numbers is considered NA for the valuation assessment</t>
  </si>
  <si>
    <t>Survey no.</t>
  </si>
  <si>
    <t>rate</t>
  </si>
  <si>
    <t>Value</t>
  </si>
  <si>
    <t>Only a portion of the specified survey numbers is reserved for amenities, but the exact extent is unknown</t>
  </si>
  <si>
    <t>The entire area of the specified survey numbers is reserved for amenities</t>
  </si>
  <si>
    <t>The value of these survey numbers are calculated as per the ASR land rate 2022-23</t>
  </si>
  <si>
    <t>As the exact extent of the reserved land is unknown, it is assumed that 50% of each survey number is designated for amenities, while the remaining 50% is valued based on the general market rate for the purpose of valuation assessment</t>
  </si>
  <si>
    <t>Land Rate as per ASR 2022-23
(INR per Sqm)</t>
  </si>
  <si>
    <t>Area
(Sqm)</t>
  </si>
  <si>
    <t>2,42,890 sqm</t>
  </si>
  <si>
    <t>60.02 acres</t>
  </si>
  <si>
    <t>Circle</t>
  </si>
  <si>
    <t xml:space="preserve">rate </t>
  </si>
  <si>
    <t>area</t>
  </si>
  <si>
    <t>value</t>
  </si>
  <si>
    <t xml:space="preserve">Type of Land </t>
  </si>
  <si>
    <t xml:space="preserve">Non Agriculture inreserved land </t>
  </si>
  <si>
    <t>Resevered portion as described in breif description</t>
  </si>
  <si>
    <t>Area 
(acre)</t>
  </si>
  <si>
    <t>Area 
(sqm)</t>
  </si>
  <si>
    <t>Fair Market Value</t>
  </si>
  <si>
    <t>Area
(guntha)</t>
  </si>
  <si>
    <t>FMV</t>
  </si>
  <si>
    <t>base rate</t>
  </si>
  <si>
    <t>disc. Rate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</si>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</sst>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2" fillId="0" borderId="1" xfId="0" applyNumberFormat="1" applyFont="1" applyBorder="1"/>
    <xf numFmtId="164" fontId="0" fillId="0" borderId="1" xfId="1" applyNumberFormat="1" applyFont="1" applyBorder="1"/>
    <xf numFmtId="43" fontId="0" fillId="0" borderId="1" xfId="0" applyNumberFormat="1" applyBorder="1"/>
    <xf numFmtId="0" fontId="2" fillId="0" borderId="1" xfId="0" applyFont="1" applyBorder="1"/>
    <xf numFmtId="49" fontId="0" fillId="2" borderId="1" xfId="0" applyNumberForma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164" fontId="2" fillId="0" borderId="1" xfId="1" applyNumberFormat="1" applyFont="1" applyBorder="1"/>
    <xf numFmtId="43" fontId="2" fillId="0" borderId="1" xfId="0" applyNumberFormat="1" applyFont="1" applyBorder="1"/>
    <xf numFmtId="164" fontId="2" fillId="0" borderId="0" xfId="0" applyNumberFormat="1" applyFont="1"/>
    <xf numFmtId="2" fontId="2" fillId="0" borderId="0" xfId="0" applyNumberFormat="1" applyFont="1" applyBorder="1"/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0" fillId="0" borderId="2" xfId="0" applyNumberFormat="1" applyBorder="1"/>
    <xf numFmtId="0" fontId="0" fillId="0" borderId="2" xfId="0" applyBorder="1"/>
    <xf numFmtId="0" fontId="0" fillId="2" borderId="1" xfId="0" applyFill="1" applyBorder="1"/>
    <xf numFmtId="0" fontId="0" fillId="4" borderId="1" xfId="0" applyFill="1" applyBorder="1"/>
    <xf numFmtId="0" fontId="2" fillId="5" borderId="1" xfId="0" applyFont="1" applyFill="1" applyBorder="1"/>
    <xf numFmtId="164" fontId="2" fillId="5" borderId="1" xfId="1" applyNumberFormat="1" applyFont="1" applyFill="1" applyBorder="1"/>
    <xf numFmtId="43" fontId="2" fillId="5" borderId="1" xfId="0" applyNumberFormat="1" applyFont="1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4" fontId="0" fillId="0" borderId="1" xfId="1" applyNumberFormat="1" applyFont="1" applyFill="1" applyBorder="1"/>
    <xf numFmtId="49" fontId="0" fillId="6" borderId="1" xfId="0" applyNumberFormat="1" applyFill="1" applyBorder="1"/>
    <xf numFmtId="49" fontId="0" fillId="7" borderId="1" xfId="0" applyNumberFormat="1" applyFill="1" applyBorder="1"/>
    <xf numFmtId="49" fontId="0" fillId="2" borderId="2" xfId="0" applyNumberFormat="1" applyFill="1" applyBorder="1"/>
    <xf numFmtId="164" fontId="0" fillId="0" borderId="2" xfId="1" applyNumberFormat="1" applyFont="1" applyBorder="1"/>
    <xf numFmtId="164" fontId="0" fillId="0" borderId="1" xfId="0" applyNumberFormat="1" applyBorder="1"/>
    <xf numFmtId="49" fontId="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" fontId="6" fillId="9" borderId="5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4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5"/>
  <sheetViews>
    <sheetView workbookViewId="0">
      <selection activeCell="E6" sqref="E6"/>
    </sheetView>
  </sheetViews>
  <sheetFormatPr defaultRowHeight="15" x14ac:dyDescent="0.25"/>
  <cols>
    <col min="4" max="4" width="18" bestFit="1" customWidth="1"/>
    <col min="5" max="5" width="15.28515625" bestFit="1" customWidth="1"/>
    <col min="6" max="6" width="11.5703125" bestFit="1" customWidth="1"/>
    <col min="7" max="7" width="12.5703125" bestFit="1" customWidth="1"/>
    <col min="12" max="12" width="15.28515625" bestFit="1" customWidth="1"/>
  </cols>
  <sheetData>
    <row r="3" spans="3:16" x14ac:dyDescent="0.25">
      <c r="C3" t="s">
        <v>0</v>
      </c>
      <c r="D3">
        <v>94</v>
      </c>
      <c r="E3" t="s">
        <v>1</v>
      </c>
    </row>
    <row r="4" spans="3:16" x14ac:dyDescent="0.25">
      <c r="D4" s="1">
        <f>D3*40</f>
        <v>3760</v>
      </c>
      <c r="E4" t="s">
        <v>2</v>
      </c>
      <c r="I4">
        <v>383190</v>
      </c>
    </row>
    <row r="5" spans="3:16" x14ac:dyDescent="0.25">
      <c r="I5" s="3">
        <f>I4/4046.856</f>
        <v>94.688321007715615</v>
      </c>
    </row>
    <row r="6" spans="3:16" x14ac:dyDescent="0.25">
      <c r="C6" t="s">
        <v>3</v>
      </c>
      <c r="D6" s="1">
        <v>6000000</v>
      </c>
      <c r="M6">
        <v>14.22</v>
      </c>
      <c r="P6">
        <v>19.05</v>
      </c>
    </row>
    <row r="7" spans="3:16" x14ac:dyDescent="0.25">
      <c r="M7">
        <v>5.37</v>
      </c>
      <c r="P7">
        <v>3.5</v>
      </c>
    </row>
    <row r="8" spans="3:16" x14ac:dyDescent="0.25">
      <c r="D8" s="1">
        <f>D6*D4</f>
        <v>22560000000</v>
      </c>
      <c r="M8">
        <f>SUM(M6:M7)</f>
        <v>19.59</v>
      </c>
      <c r="P8">
        <v>0.52</v>
      </c>
    </row>
    <row r="9" spans="3:16" x14ac:dyDescent="0.25">
      <c r="D9" s="2">
        <f>D8*0.8</f>
        <v>18048000000</v>
      </c>
      <c r="P9">
        <v>0.56000000000000005</v>
      </c>
    </row>
    <row r="10" spans="3:16" x14ac:dyDescent="0.25">
      <c r="M10">
        <f>M8/0.404686</f>
        <v>48.407901434692576</v>
      </c>
      <c r="P10">
        <v>0.38</v>
      </c>
    </row>
    <row r="11" spans="3:16" x14ac:dyDescent="0.25">
      <c r="D11" s="2">
        <f>D9*0.85</f>
        <v>15340800000</v>
      </c>
      <c r="P11">
        <v>0.23</v>
      </c>
    </row>
    <row r="12" spans="3:16" x14ac:dyDescent="0.25">
      <c r="P12">
        <f>SUM(P6:P11)</f>
        <v>24.24</v>
      </c>
    </row>
    <row r="14" spans="3:16" x14ac:dyDescent="0.25">
      <c r="P14">
        <f>P12/0.404686</f>
        <v>59.898291514902908</v>
      </c>
    </row>
    <row r="18" spans="5:12" x14ac:dyDescent="0.25">
      <c r="L18" s="1">
        <f>474.92*10.7639</f>
        <v>5111.9913880000004</v>
      </c>
    </row>
    <row r="19" spans="5:12" x14ac:dyDescent="0.25">
      <c r="L19" s="1">
        <v>448910000</v>
      </c>
    </row>
    <row r="20" spans="5:12" x14ac:dyDescent="0.25">
      <c r="F20" s="1"/>
      <c r="G20" s="5"/>
      <c r="L20" s="1">
        <f>L19/L18</f>
        <v>87815.093165802493</v>
      </c>
    </row>
    <row r="21" spans="5:12" x14ac:dyDescent="0.25">
      <c r="E21" s="1"/>
      <c r="G21" s="5"/>
    </row>
    <row r="23" spans="5:12" x14ac:dyDescent="0.25">
      <c r="E23" s="4"/>
    </row>
    <row r="25" spans="5:12" x14ac:dyDescent="0.25">
      <c r="E25" s="5"/>
      <c r="F25" s="4"/>
      <c r="G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68"/>
  <sheetViews>
    <sheetView topLeftCell="A19" zoomScaleNormal="100" workbookViewId="0">
      <selection activeCell="E9" sqref="E9"/>
    </sheetView>
  </sheetViews>
  <sheetFormatPr defaultRowHeight="15" x14ac:dyDescent="0.25"/>
  <cols>
    <col min="4" max="4" width="12.140625" bestFit="1" customWidth="1"/>
    <col min="5" max="5" width="17.5703125" style="7" bestFit="1" customWidth="1"/>
    <col min="6" max="6" width="18.7109375" bestFit="1" customWidth="1"/>
    <col min="7" max="7" width="24" bestFit="1" customWidth="1"/>
    <col min="8" max="8" width="28" bestFit="1" customWidth="1"/>
    <col min="9" max="9" width="19.85546875" bestFit="1" customWidth="1"/>
    <col min="10" max="10" width="11.140625" bestFit="1" customWidth="1"/>
    <col min="11" max="11" width="13.85546875" customWidth="1"/>
    <col min="12" max="12" width="15.42578125" customWidth="1"/>
    <col min="13" max="13" width="17.5703125" customWidth="1"/>
    <col min="14" max="14" width="19.28515625" customWidth="1"/>
    <col min="15" max="15" width="25.85546875" bestFit="1" customWidth="1"/>
    <col min="16" max="16" width="11.5703125" bestFit="1" customWidth="1"/>
  </cols>
  <sheetData>
    <row r="1" spans="4:19" x14ac:dyDescent="0.25">
      <c r="O1" t="s">
        <v>6</v>
      </c>
    </row>
    <row r="2" spans="4:19" ht="15.75" x14ac:dyDescent="0.25">
      <c r="D2" s="25" t="s">
        <v>79</v>
      </c>
      <c r="E2" s="25" t="s">
        <v>4</v>
      </c>
      <c r="F2" s="26" t="s">
        <v>77</v>
      </c>
      <c r="G2" s="26" t="s">
        <v>70</v>
      </c>
      <c r="H2" s="26" t="s">
        <v>73</v>
      </c>
      <c r="I2" s="26" t="s">
        <v>74</v>
      </c>
      <c r="J2" s="26" t="s">
        <v>75</v>
      </c>
      <c r="K2" s="16" t="s">
        <v>69</v>
      </c>
      <c r="O2" s="26" t="s">
        <v>76</v>
      </c>
      <c r="P2" s="26" t="s">
        <v>77</v>
      </c>
      <c r="Q2" s="26" t="s">
        <v>78</v>
      </c>
    </row>
    <row r="3" spans="4:19" x14ac:dyDescent="0.25">
      <c r="D3" s="13" t="s">
        <v>40</v>
      </c>
      <c r="E3" s="27" t="s">
        <v>10</v>
      </c>
      <c r="F3" s="28">
        <v>10500</v>
      </c>
      <c r="G3" s="9">
        <v>10500</v>
      </c>
      <c r="H3" s="17"/>
      <c r="O3" s="30" t="s">
        <v>5</v>
      </c>
      <c r="P3" s="11">
        <v>365190</v>
      </c>
      <c r="Q3" s="12">
        <f>P3/4046.856</f>
        <v>90.240423677047062</v>
      </c>
    </row>
    <row r="4" spans="4:19" x14ac:dyDescent="0.25">
      <c r="E4" s="8" t="s">
        <v>11</v>
      </c>
      <c r="F4" s="9">
        <v>2000</v>
      </c>
      <c r="G4" s="9">
        <v>2000</v>
      </c>
      <c r="H4" s="17"/>
      <c r="O4" s="30" t="s">
        <v>7</v>
      </c>
      <c r="P4" s="11">
        <v>13220</v>
      </c>
      <c r="Q4" s="12">
        <f t="shared" ref="Q4:Q5" si="0">P4/4046.856</f>
        <v>3.2667334839687894</v>
      </c>
    </row>
    <row r="5" spans="4:19" x14ac:dyDescent="0.25">
      <c r="E5" s="8" t="s">
        <v>12</v>
      </c>
      <c r="F5" s="9">
        <v>5900</v>
      </c>
      <c r="G5" s="9">
        <v>5900</v>
      </c>
      <c r="H5" s="17"/>
      <c r="O5" s="30" t="s">
        <v>8</v>
      </c>
      <c r="P5" s="11">
        <v>4780</v>
      </c>
      <c r="Q5" s="12">
        <f t="shared" si="0"/>
        <v>1.1811638466997589</v>
      </c>
    </row>
    <row r="6" spans="4:19" x14ac:dyDescent="0.25">
      <c r="E6" s="39" t="s">
        <v>13</v>
      </c>
      <c r="F6" s="11">
        <v>1390</v>
      </c>
      <c r="G6" s="15">
        <v>1390</v>
      </c>
      <c r="H6" s="17"/>
      <c r="K6" t="s">
        <v>64</v>
      </c>
      <c r="O6" s="31" t="s">
        <v>58</v>
      </c>
      <c r="P6" s="32">
        <f>SUM(P3:P5)</f>
        <v>383190</v>
      </c>
      <c r="Q6" s="33">
        <f>SUM(Q3:Q5)</f>
        <v>94.688321007715615</v>
      </c>
    </row>
    <row r="7" spans="4:19" x14ac:dyDescent="0.25">
      <c r="E7" s="8" t="s">
        <v>14</v>
      </c>
      <c r="F7" s="9">
        <v>3060</v>
      </c>
      <c r="G7" s="15">
        <v>3060</v>
      </c>
      <c r="H7" s="17"/>
      <c r="P7" s="6"/>
      <c r="S7" s="5"/>
    </row>
    <row r="8" spans="4:19" x14ac:dyDescent="0.25">
      <c r="E8" s="39" t="s">
        <v>15</v>
      </c>
      <c r="F8" s="11">
        <v>29140</v>
      </c>
      <c r="G8" s="15">
        <v>29140</v>
      </c>
      <c r="H8" s="17"/>
      <c r="K8" t="s">
        <v>63</v>
      </c>
    </row>
    <row r="9" spans="4:19" x14ac:dyDescent="0.25">
      <c r="E9" s="39" t="s">
        <v>16</v>
      </c>
      <c r="F9" s="11">
        <v>7440</v>
      </c>
      <c r="G9" s="15">
        <v>7440</v>
      </c>
      <c r="H9" s="17"/>
      <c r="K9" t="s">
        <v>66</v>
      </c>
    </row>
    <row r="10" spans="4:19" x14ac:dyDescent="0.25">
      <c r="E10" s="39" t="s">
        <v>17</v>
      </c>
      <c r="F10" s="11">
        <v>2230</v>
      </c>
      <c r="G10" s="15">
        <v>2230</v>
      </c>
      <c r="H10" s="17"/>
      <c r="K10" t="s">
        <v>65</v>
      </c>
    </row>
    <row r="11" spans="4:19" x14ac:dyDescent="0.25">
      <c r="E11" s="39" t="s">
        <v>18</v>
      </c>
      <c r="F11" s="11">
        <v>760</v>
      </c>
      <c r="G11" s="15">
        <v>760</v>
      </c>
      <c r="H11" s="17"/>
      <c r="K11" t="s">
        <v>68</v>
      </c>
    </row>
    <row r="12" spans="4:19" x14ac:dyDescent="0.25">
      <c r="E12" s="14" t="s">
        <v>19</v>
      </c>
      <c r="F12" s="11">
        <v>22640</v>
      </c>
      <c r="G12" s="15">
        <v>22640</v>
      </c>
      <c r="H12" s="17"/>
    </row>
    <row r="13" spans="4:19" x14ac:dyDescent="0.25">
      <c r="E13" s="39" t="s">
        <v>20</v>
      </c>
      <c r="F13" s="11">
        <v>26530</v>
      </c>
      <c r="G13" s="15">
        <v>26530</v>
      </c>
      <c r="H13" s="17"/>
      <c r="K13" t="s">
        <v>67</v>
      </c>
    </row>
    <row r="14" spans="4:19" x14ac:dyDescent="0.25">
      <c r="E14" s="8" t="s">
        <v>21</v>
      </c>
      <c r="F14" s="9">
        <v>15730</v>
      </c>
      <c r="G14" s="15">
        <v>15730</v>
      </c>
      <c r="H14" s="17"/>
    </row>
    <row r="15" spans="4:19" x14ac:dyDescent="0.25">
      <c r="E15" s="8" t="s">
        <v>22</v>
      </c>
      <c r="F15" s="9">
        <v>1040</v>
      </c>
      <c r="G15" s="15">
        <v>1040</v>
      </c>
      <c r="H15" s="17"/>
    </row>
    <row r="16" spans="4:19" x14ac:dyDescent="0.25">
      <c r="E16" s="40" t="s">
        <v>23</v>
      </c>
      <c r="F16" s="9">
        <v>2500</v>
      </c>
      <c r="G16" s="29">
        <v>2500</v>
      </c>
      <c r="H16" s="17" t="s">
        <v>72</v>
      </c>
    </row>
    <row r="17" spans="5:12" x14ac:dyDescent="0.25">
      <c r="E17" s="8" t="s">
        <v>24</v>
      </c>
      <c r="F17" s="9">
        <v>1640</v>
      </c>
      <c r="G17" s="15">
        <v>1640</v>
      </c>
      <c r="H17" s="17"/>
    </row>
    <row r="18" spans="5:12" x14ac:dyDescent="0.25">
      <c r="E18" s="8" t="s">
        <v>60</v>
      </c>
      <c r="F18" s="9">
        <v>3060</v>
      </c>
      <c r="G18" s="15">
        <v>3060</v>
      </c>
      <c r="H18" s="17"/>
    </row>
    <row r="19" spans="5:12" x14ac:dyDescent="0.25">
      <c r="E19" s="14" t="s">
        <v>25</v>
      </c>
      <c r="F19" s="11">
        <v>17300</v>
      </c>
      <c r="G19" s="15">
        <v>17300</v>
      </c>
      <c r="H19" s="17"/>
    </row>
    <row r="20" spans="5:12" x14ac:dyDescent="0.25">
      <c r="E20" s="14" t="s">
        <v>26</v>
      </c>
      <c r="F20" s="38">
        <v>8600</v>
      </c>
      <c r="G20" s="15">
        <v>8600</v>
      </c>
      <c r="H20" s="18"/>
    </row>
    <row r="21" spans="5:12" x14ac:dyDescent="0.25">
      <c r="E21" s="14" t="s">
        <v>27</v>
      </c>
      <c r="F21" s="38">
        <v>19780</v>
      </c>
      <c r="G21" s="15">
        <v>19780</v>
      </c>
      <c r="H21" s="18"/>
    </row>
    <row r="22" spans="5:12" x14ac:dyDescent="0.25">
      <c r="E22" s="14" t="s">
        <v>28</v>
      </c>
      <c r="F22" s="38">
        <v>19450</v>
      </c>
      <c r="G22" s="15">
        <v>19450</v>
      </c>
      <c r="H22" s="18"/>
    </row>
    <row r="23" spans="5:12" x14ac:dyDescent="0.25">
      <c r="E23" s="14" t="s">
        <v>29</v>
      </c>
      <c r="F23" s="38">
        <v>16410</v>
      </c>
      <c r="G23" s="15">
        <v>16410</v>
      </c>
      <c r="H23" s="18"/>
    </row>
    <row r="24" spans="5:12" x14ac:dyDescent="0.25">
      <c r="E24" s="14" t="s">
        <v>30</v>
      </c>
      <c r="F24" s="38">
        <v>5290</v>
      </c>
      <c r="G24" s="29">
        <v>4940</v>
      </c>
      <c r="H24" s="18"/>
      <c r="I24">
        <v>5290</v>
      </c>
      <c r="K24">
        <v>34</v>
      </c>
    </row>
    <row r="25" spans="5:12" x14ac:dyDescent="0.25">
      <c r="E25" s="14" t="s">
        <v>31</v>
      </c>
      <c r="F25" s="38">
        <v>7610</v>
      </c>
      <c r="G25" s="15">
        <v>7610</v>
      </c>
      <c r="H25" s="18"/>
    </row>
    <row r="26" spans="5:12" x14ac:dyDescent="0.25">
      <c r="E26" s="14" t="s">
        <v>32</v>
      </c>
      <c r="F26" s="11">
        <v>18160</v>
      </c>
      <c r="G26" s="15">
        <v>18160</v>
      </c>
      <c r="H26" s="17"/>
      <c r="K26" t="s">
        <v>61</v>
      </c>
    </row>
    <row r="27" spans="5:12" x14ac:dyDescent="0.25">
      <c r="E27" s="8" t="s">
        <v>33</v>
      </c>
      <c r="F27" s="9">
        <v>1870</v>
      </c>
      <c r="G27" s="15">
        <v>1870</v>
      </c>
      <c r="H27" s="17"/>
    </row>
    <row r="28" spans="5:12" x14ac:dyDescent="0.25">
      <c r="E28" s="14" t="s">
        <v>34</v>
      </c>
      <c r="F28" s="11">
        <v>4650</v>
      </c>
      <c r="G28" s="15">
        <v>4650</v>
      </c>
      <c r="H28" s="17"/>
      <c r="K28">
        <v>27</v>
      </c>
      <c r="L28" t="s">
        <v>62</v>
      </c>
    </row>
    <row r="29" spans="5:12" x14ac:dyDescent="0.25">
      <c r="E29" s="14" t="s">
        <v>35</v>
      </c>
      <c r="F29" s="11">
        <v>16640</v>
      </c>
      <c r="G29" s="15">
        <v>16640</v>
      </c>
      <c r="H29" s="17"/>
    </row>
    <row r="30" spans="5:12" x14ac:dyDescent="0.25">
      <c r="E30" s="14" t="s">
        <v>36</v>
      </c>
      <c r="F30" s="11">
        <v>18870</v>
      </c>
      <c r="G30" s="15">
        <v>18870</v>
      </c>
      <c r="H30" s="17"/>
    </row>
    <row r="31" spans="5:12" x14ac:dyDescent="0.25">
      <c r="E31" s="8" t="s">
        <v>37</v>
      </c>
      <c r="F31" s="9">
        <v>35310</v>
      </c>
      <c r="G31" s="15">
        <v>35310</v>
      </c>
      <c r="H31" s="17"/>
    </row>
    <row r="32" spans="5:12" x14ac:dyDescent="0.25">
      <c r="E32" s="8" t="s">
        <v>38</v>
      </c>
      <c r="F32" s="9">
        <v>31590</v>
      </c>
      <c r="G32" s="15">
        <v>31590</v>
      </c>
      <c r="H32" s="17"/>
    </row>
    <row r="33" spans="4:9" x14ac:dyDescent="0.25">
      <c r="E33" s="8" t="s">
        <v>39</v>
      </c>
      <c r="F33" s="9">
        <v>8100</v>
      </c>
      <c r="G33" s="15">
        <v>8100</v>
      </c>
      <c r="H33" s="17"/>
    </row>
    <row r="34" spans="4:9" x14ac:dyDescent="0.25">
      <c r="D34" s="3"/>
      <c r="E34" s="10" t="s">
        <v>58</v>
      </c>
      <c r="F34" s="13">
        <f>SUBTOTAL(9,F3:F33)</f>
        <v>365190</v>
      </c>
      <c r="G34" s="23"/>
      <c r="H34" s="19"/>
      <c r="I34" s="3">
        <f>F34/4046.856</f>
        <v>90.240423677047062</v>
      </c>
    </row>
    <row r="35" spans="4:9" x14ac:dyDescent="0.25">
      <c r="D35" s="13" t="s">
        <v>41</v>
      </c>
      <c r="E35" s="8" t="s">
        <v>42</v>
      </c>
      <c r="F35" s="9">
        <v>2300</v>
      </c>
      <c r="G35" s="9">
        <v>2300</v>
      </c>
      <c r="H35" s="17"/>
    </row>
    <row r="36" spans="4:9" x14ac:dyDescent="0.25">
      <c r="E36" s="8" t="s">
        <v>43</v>
      </c>
      <c r="F36" s="9">
        <v>3650</v>
      </c>
      <c r="G36" s="9">
        <v>3650</v>
      </c>
      <c r="H36" s="17"/>
    </row>
    <row r="37" spans="4:9" x14ac:dyDescent="0.25">
      <c r="E37" s="8" t="s">
        <v>44</v>
      </c>
      <c r="F37" s="9">
        <v>3300</v>
      </c>
      <c r="G37" s="9">
        <v>3300</v>
      </c>
      <c r="H37" s="17"/>
    </row>
    <row r="38" spans="4:9" x14ac:dyDescent="0.25">
      <c r="E38" s="40" t="s">
        <v>45</v>
      </c>
      <c r="F38" s="9">
        <v>800</v>
      </c>
      <c r="G38" s="15">
        <v>800</v>
      </c>
      <c r="H38" s="17" t="s">
        <v>71</v>
      </c>
    </row>
    <row r="39" spans="4:9" x14ac:dyDescent="0.25">
      <c r="E39" s="8" t="s">
        <v>46</v>
      </c>
      <c r="F39" s="9">
        <v>1260</v>
      </c>
      <c r="G39" s="15">
        <v>1260</v>
      </c>
      <c r="H39" s="17"/>
    </row>
    <row r="40" spans="4:9" x14ac:dyDescent="0.25">
      <c r="E40" s="8" t="s">
        <v>47</v>
      </c>
      <c r="F40" s="9">
        <v>1910</v>
      </c>
      <c r="G40" s="15">
        <v>1910</v>
      </c>
      <c r="H40" s="17"/>
    </row>
    <row r="41" spans="4:9" x14ac:dyDescent="0.25">
      <c r="E41" s="10" t="s">
        <v>58</v>
      </c>
      <c r="F41" s="13">
        <f>SUM(F35:F40)</f>
        <v>13220</v>
      </c>
      <c r="G41" s="23"/>
      <c r="H41" s="19"/>
      <c r="I41" s="3">
        <f>F41/4046.856</f>
        <v>3.2667334839687894</v>
      </c>
    </row>
    <row r="42" spans="4:9" x14ac:dyDescent="0.25">
      <c r="E42" s="10"/>
      <c r="F42" s="13"/>
      <c r="G42" s="23"/>
      <c r="H42" s="19"/>
      <c r="I42" s="3"/>
    </row>
    <row r="43" spans="4:9" x14ac:dyDescent="0.25">
      <c r="D43" s="13" t="s">
        <v>48</v>
      </c>
      <c r="E43" s="8" t="s">
        <v>52</v>
      </c>
      <c r="F43" s="9">
        <v>1250</v>
      </c>
      <c r="G43" s="9"/>
      <c r="H43" s="17"/>
    </row>
    <row r="44" spans="4:9" x14ac:dyDescent="0.25">
      <c r="D44" s="13" t="s">
        <v>49</v>
      </c>
      <c r="E44" s="8" t="s">
        <v>51</v>
      </c>
      <c r="F44" s="9">
        <v>2220</v>
      </c>
      <c r="G44" s="9"/>
      <c r="H44" s="17"/>
    </row>
    <row r="45" spans="4:9" x14ac:dyDescent="0.25">
      <c r="D45" s="13"/>
      <c r="E45" s="8" t="s">
        <v>54</v>
      </c>
      <c r="F45" s="9">
        <v>160</v>
      </c>
      <c r="G45" s="9"/>
      <c r="H45" s="17"/>
    </row>
    <row r="46" spans="4:9" x14ac:dyDescent="0.25">
      <c r="E46" s="8" t="s">
        <v>50</v>
      </c>
      <c r="F46" s="9">
        <v>340</v>
      </c>
      <c r="G46" s="9"/>
      <c r="H46" s="17"/>
    </row>
    <row r="47" spans="4:9" x14ac:dyDescent="0.25">
      <c r="E47" s="8" t="s">
        <v>55</v>
      </c>
      <c r="F47" s="9">
        <v>250</v>
      </c>
      <c r="G47" s="9"/>
      <c r="H47" s="17"/>
    </row>
    <row r="48" spans="4:9" x14ac:dyDescent="0.25">
      <c r="E48" s="8" t="s">
        <v>56</v>
      </c>
      <c r="F48" s="9">
        <v>310</v>
      </c>
      <c r="G48" s="9"/>
      <c r="H48" s="17"/>
    </row>
    <row r="49" spans="5:14" x14ac:dyDescent="0.25">
      <c r="E49" s="8" t="s">
        <v>57</v>
      </c>
      <c r="F49" s="9">
        <v>20</v>
      </c>
      <c r="G49" s="9"/>
      <c r="H49" s="17"/>
    </row>
    <row r="50" spans="5:14" x14ac:dyDescent="0.25">
      <c r="E50" s="8" t="s">
        <v>53</v>
      </c>
      <c r="F50" s="9">
        <v>230</v>
      </c>
      <c r="G50" s="9"/>
      <c r="H50" s="17"/>
    </row>
    <row r="51" spans="5:14" x14ac:dyDescent="0.25">
      <c r="E51" s="10" t="s">
        <v>58</v>
      </c>
      <c r="F51" s="13">
        <f>SUM(F43:F50)</f>
        <v>4780</v>
      </c>
      <c r="G51" s="23">
        <f>F51/4046.856</f>
        <v>1.1811638466997589</v>
      </c>
      <c r="H51" s="19"/>
    </row>
    <row r="52" spans="5:14" x14ac:dyDescent="0.25">
      <c r="E52" s="10" t="s">
        <v>59</v>
      </c>
      <c r="F52" s="20">
        <f>F51+F41+F34</f>
        <v>383190</v>
      </c>
      <c r="G52" s="9" t="s">
        <v>9</v>
      </c>
      <c r="H52" s="11"/>
      <c r="I52" s="9" t="s">
        <v>9</v>
      </c>
      <c r="J52" s="17"/>
    </row>
    <row r="53" spans="5:14" x14ac:dyDescent="0.25">
      <c r="E53" s="8"/>
      <c r="F53" s="21">
        <f>F52/4046.856</f>
        <v>94.688321007715615</v>
      </c>
      <c r="G53" s="9" t="s">
        <v>1</v>
      </c>
      <c r="H53" s="12"/>
      <c r="I53" s="9" t="s">
        <v>1</v>
      </c>
      <c r="J53" s="17"/>
    </row>
    <row r="55" spans="5:14" x14ac:dyDescent="0.25">
      <c r="L55">
        <v>5900</v>
      </c>
    </row>
    <row r="56" spans="5:14" x14ac:dyDescent="0.25">
      <c r="L56">
        <f>1.24*10000</f>
        <v>12400</v>
      </c>
    </row>
    <row r="57" spans="5:14" x14ac:dyDescent="0.25">
      <c r="F57">
        <f>SUM(F38,F30,F29,F25,F19:F23)</f>
        <v>125460</v>
      </c>
      <c r="L57" s="1">
        <f>L55*L56</f>
        <v>73160000</v>
      </c>
    </row>
    <row r="58" spans="5:14" x14ac:dyDescent="0.25">
      <c r="F58">
        <f>F51</f>
        <v>4780</v>
      </c>
    </row>
    <row r="59" spans="5:14" x14ac:dyDescent="0.25">
      <c r="F59" s="16">
        <f>SUM(F57:F58)</f>
        <v>130240</v>
      </c>
      <c r="G59" s="6">
        <f>F59/4046.856</f>
        <v>32.18300824145954</v>
      </c>
      <c r="L59" s="1">
        <v>365190</v>
      </c>
    </row>
    <row r="60" spans="5:14" x14ac:dyDescent="0.25">
      <c r="G60" s="16"/>
      <c r="L60" s="5">
        <f>L59/4046.856</f>
        <v>90.240423677047062</v>
      </c>
    </row>
    <row r="61" spans="5:14" x14ac:dyDescent="0.25">
      <c r="F61" s="22">
        <f>F52-F59</f>
        <v>252950</v>
      </c>
      <c r="G61" s="6">
        <f>F61/4046.856</f>
        <v>62.505312766256075</v>
      </c>
    </row>
    <row r="62" spans="5:14" x14ac:dyDescent="0.25">
      <c r="F62" s="5"/>
    </row>
    <row r="63" spans="5:14" x14ac:dyDescent="0.25">
      <c r="L63">
        <v>1600</v>
      </c>
      <c r="M63">
        <f>72*9</f>
        <v>648</v>
      </c>
      <c r="N63">
        <f>129*9</f>
        <v>1161</v>
      </c>
    </row>
    <row r="64" spans="5:14" x14ac:dyDescent="0.25">
      <c r="L64" s="1">
        <f>1.5*10^7</f>
        <v>15000000</v>
      </c>
      <c r="M64" s="1">
        <f>1.6*10^7</f>
        <v>16000000</v>
      </c>
      <c r="N64" s="1">
        <f>3*10^7</f>
        <v>30000000</v>
      </c>
    </row>
    <row r="65" spans="12:14" x14ac:dyDescent="0.25">
      <c r="L65" s="1">
        <f>L64/L63</f>
        <v>9375</v>
      </c>
      <c r="M65" s="5">
        <f>M64/M63</f>
        <v>24691.358024691359</v>
      </c>
      <c r="N65" s="5">
        <f>N64/N63</f>
        <v>25839.793281653747</v>
      </c>
    </row>
    <row r="67" spans="12:14" x14ac:dyDescent="0.25">
      <c r="L67">
        <v>86500</v>
      </c>
    </row>
    <row r="68" spans="12:14" x14ac:dyDescent="0.25">
      <c r="L68" s="1">
        <f>L67/9</f>
        <v>9611.1111111111113</v>
      </c>
    </row>
  </sheetData>
  <autoFilter ref="D2:K4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63"/>
  <sheetViews>
    <sheetView tabSelected="1" topLeftCell="H1" workbookViewId="0">
      <selection activeCell="S4" sqref="S4:S21"/>
    </sheetView>
  </sheetViews>
  <sheetFormatPr defaultRowHeight="15" x14ac:dyDescent="0.25"/>
  <cols>
    <col min="4" max="4" width="25.42578125" customWidth="1"/>
    <col min="6" max="6" width="10.28515625" bestFit="1" customWidth="1"/>
    <col min="7" max="7" width="14.5703125" customWidth="1"/>
    <col min="8" max="8" width="12.5703125" bestFit="1" customWidth="1"/>
    <col min="9" max="9" width="18.5703125" bestFit="1" customWidth="1"/>
    <col min="10" max="10" width="12.140625" customWidth="1"/>
    <col min="11" max="11" width="15.28515625" bestFit="1" customWidth="1"/>
    <col min="17" max="17" width="11.42578125" bestFit="1" customWidth="1"/>
    <col min="18" max="18" width="13" customWidth="1"/>
    <col min="19" max="19" width="17.28515625" customWidth="1"/>
    <col min="20" max="20" width="19.5703125" customWidth="1"/>
    <col min="21" max="21" width="39.140625" customWidth="1"/>
    <col min="25" max="25" width="10" bestFit="1" customWidth="1"/>
  </cols>
  <sheetData>
    <row r="3" spans="3:25" ht="47.25" x14ac:dyDescent="0.25">
      <c r="F3" s="9" t="s">
        <v>91</v>
      </c>
      <c r="G3" s="9" t="s">
        <v>0</v>
      </c>
      <c r="H3" s="9" t="s">
        <v>92</v>
      </c>
      <c r="K3" s="9" t="s">
        <v>93</v>
      </c>
      <c r="L3" s="9"/>
      <c r="Q3" s="25" t="s">
        <v>91</v>
      </c>
      <c r="R3" s="44" t="s">
        <v>99</v>
      </c>
      <c r="S3" s="44" t="s">
        <v>98</v>
      </c>
      <c r="T3" s="25" t="s">
        <v>80</v>
      </c>
      <c r="U3" s="25" t="s">
        <v>82</v>
      </c>
    </row>
    <row r="4" spans="3:25" x14ac:dyDescent="0.25">
      <c r="F4" s="41" t="s">
        <v>19</v>
      </c>
      <c r="G4" s="42">
        <v>22640</v>
      </c>
      <c r="H4" s="11">
        <v>22400</v>
      </c>
      <c r="K4" s="43">
        <f>G4*H4</f>
        <v>507136000</v>
      </c>
      <c r="L4" s="9"/>
      <c r="Q4" s="45" t="s">
        <v>19</v>
      </c>
      <c r="R4" s="11">
        <v>22640</v>
      </c>
      <c r="S4" s="11">
        <v>22400</v>
      </c>
      <c r="T4" s="56" t="s">
        <v>95</v>
      </c>
      <c r="U4" s="56" t="s">
        <v>96</v>
      </c>
      <c r="W4">
        <v>1.33</v>
      </c>
      <c r="X4">
        <v>29.8</v>
      </c>
      <c r="Y4" s="1">
        <f>(X4*10^7)/(W4*10^4)</f>
        <v>22406.015037593985</v>
      </c>
    </row>
    <row r="5" spans="3:25" x14ac:dyDescent="0.25">
      <c r="F5" s="14" t="s">
        <v>25</v>
      </c>
      <c r="G5" s="11">
        <v>17300</v>
      </c>
      <c r="H5" s="11">
        <v>22400</v>
      </c>
      <c r="K5" s="43">
        <f t="shared" ref="K5:K15" si="0">G5*H5</f>
        <v>387520000</v>
      </c>
      <c r="L5" s="9"/>
      <c r="Q5" s="45" t="s">
        <v>25</v>
      </c>
      <c r="R5" s="11">
        <v>17300</v>
      </c>
      <c r="S5" s="11">
        <v>22400</v>
      </c>
      <c r="T5" s="56"/>
      <c r="U5" s="56"/>
      <c r="W5">
        <v>0.35</v>
      </c>
      <c r="X5">
        <v>7.9</v>
      </c>
      <c r="Y5" s="1">
        <f t="shared" ref="Y5:Y8" si="1">(X5*10^7)/(W5*10^4)</f>
        <v>22571.428571428572</v>
      </c>
    </row>
    <row r="6" spans="3:25" x14ac:dyDescent="0.25">
      <c r="F6" s="14" t="s">
        <v>26</v>
      </c>
      <c r="G6" s="38">
        <v>8600</v>
      </c>
      <c r="H6" s="11">
        <v>22400</v>
      </c>
      <c r="K6" s="43">
        <f t="shared" si="0"/>
        <v>192640000</v>
      </c>
      <c r="L6" s="9"/>
      <c r="Q6" s="45" t="s">
        <v>26</v>
      </c>
      <c r="R6" s="38">
        <v>8600</v>
      </c>
      <c r="S6" s="11">
        <v>22400</v>
      </c>
      <c r="T6" s="56"/>
      <c r="U6" s="56"/>
      <c r="W6">
        <v>0.47</v>
      </c>
      <c r="X6">
        <v>10.6</v>
      </c>
      <c r="Y6" s="1">
        <f t="shared" si="1"/>
        <v>22553.191489361703</v>
      </c>
    </row>
    <row r="7" spans="3:25" x14ac:dyDescent="0.25">
      <c r="F7" s="14" t="s">
        <v>27</v>
      </c>
      <c r="G7" s="38">
        <v>19780</v>
      </c>
      <c r="H7" s="11">
        <v>22400</v>
      </c>
      <c r="K7" s="43">
        <f t="shared" si="0"/>
        <v>443072000</v>
      </c>
      <c r="L7" s="9"/>
      <c r="Q7" s="45" t="s">
        <v>27</v>
      </c>
      <c r="R7" s="38">
        <v>19780</v>
      </c>
      <c r="S7" s="11">
        <v>22400</v>
      </c>
      <c r="T7" s="56"/>
      <c r="U7" s="56"/>
      <c r="W7">
        <v>0.5</v>
      </c>
      <c r="X7">
        <v>11.2</v>
      </c>
      <c r="Y7" s="1">
        <f t="shared" si="1"/>
        <v>22400</v>
      </c>
    </row>
    <row r="8" spans="3:25" x14ac:dyDescent="0.25">
      <c r="F8" s="14" t="s">
        <v>28</v>
      </c>
      <c r="G8" s="38">
        <v>19450</v>
      </c>
      <c r="H8" s="11">
        <v>22400</v>
      </c>
      <c r="K8" s="43">
        <f t="shared" si="0"/>
        <v>435680000</v>
      </c>
      <c r="L8" s="9"/>
      <c r="Q8" s="45" t="s">
        <v>28</v>
      </c>
      <c r="R8" s="38">
        <v>19450</v>
      </c>
      <c r="S8" s="11">
        <v>22400</v>
      </c>
      <c r="T8" s="56"/>
      <c r="U8" s="56"/>
      <c r="W8">
        <v>14.74</v>
      </c>
      <c r="X8">
        <v>169.3</v>
      </c>
      <c r="Y8" s="1">
        <f t="shared" si="1"/>
        <v>11485.753052917233</v>
      </c>
    </row>
    <row r="9" spans="3:25" x14ac:dyDescent="0.25">
      <c r="F9" s="14" t="s">
        <v>29</v>
      </c>
      <c r="G9" s="38">
        <v>16410</v>
      </c>
      <c r="H9" s="11">
        <v>22400</v>
      </c>
      <c r="K9" s="43">
        <f t="shared" si="0"/>
        <v>367584000</v>
      </c>
      <c r="L9" s="9"/>
      <c r="Q9" s="45" t="s">
        <v>29</v>
      </c>
      <c r="R9" s="38">
        <v>16410</v>
      </c>
      <c r="S9" s="11">
        <v>22400</v>
      </c>
      <c r="T9" s="56"/>
      <c r="U9" s="56"/>
    </row>
    <row r="10" spans="3:25" x14ac:dyDescent="0.25">
      <c r="F10" s="14" t="s">
        <v>30</v>
      </c>
      <c r="G10" s="38">
        <v>5290</v>
      </c>
      <c r="H10" s="11">
        <v>22400</v>
      </c>
      <c r="K10" s="43">
        <f t="shared" si="0"/>
        <v>118496000</v>
      </c>
      <c r="L10" s="9"/>
      <c r="Q10" s="45" t="s">
        <v>30</v>
      </c>
      <c r="R10" s="38">
        <v>5290</v>
      </c>
      <c r="S10" s="11">
        <v>22400</v>
      </c>
      <c r="T10" s="56"/>
      <c r="U10" s="56"/>
    </row>
    <row r="11" spans="3:25" x14ac:dyDescent="0.25">
      <c r="F11" s="14" t="s">
        <v>31</v>
      </c>
      <c r="G11" s="38">
        <v>7610</v>
      </c>
      <c r="H11" s="11">
        <v>22400</v>
      </c>
      <c r="K11" s="43">
        <f t="shared" si="0"/>
        <v>170464000</v>
      </c>
      <c r="L11" s="9"/>
      <c r="Q11" s="45" t="s">
        <v>31</v>
      </c>
      <c r="R11" s="38">
        <v>7610</v>
      </c>
      <c r="S11" s="11">
        <v>22400</v>
      </c>
      <c r="T11" s="56"/>
      <c r="U11" s="56"/>
    </row>
    <row r="12" spans="3:25" x14ac:dyDescent="0.25">
      <c r="F12" s="14" t="s">
        <v>32</v>
      </c>
      <c r="G12" s="11">
        <v>18160</v>
      </c>
      <c r="H12" s="11">
        <v>22400</v>
      </c>
      <c r="K12" s="43">
        <f t="shared" si="0"/>
        <v>406784000</v>
      </c>
      <c r="L12" s="9"/>
      <c r="Q12" s="45" t="s">
        <v>32</v>
      </c>
      <c r="R12" s="11">
        <v>18160</v>
      </c>
      <c r="S12" s="11">
        <v>22400</v>
      </c>
      <c r="T12" s="56"/>
      <c r="U12" s="56"/>
    </row>
    <row r="13" spans="3:25" x14ac:dyDescent="0.25">
      <c r="F13" s="14" t="s">
        <v>34</v>
      </c>
      <c r="G13" s="11">
        <v>4650</v>
      </c>
      <c r="H13" s="11">
        <v>22400</v>
      </c>
      <c r="K13" s="43">
        <f t="shared" si="0"/>
        <v>104160000</v>
      </c>
      <c r="L13" s="9"/>
      <c r="Q13" s="45" t="s">
        <v>34</v>
      </c>
      <c r="R13" s="11">
        <v>4650</v>
      </c>
      <c r="S13" s="11">
        <v>22400</v>
      </c>
      <c r="T13" s="56"/>
      <c r="U13" s="56"/>
    </row>
    <row r="14" spans="3:25" x14ac:dyDescent="0.25">
      <c r="F14" s="14" t="s">
        <v>35</v>
      </c>
      <c r="G14" s="11">
        <v>16640</v>
      </c>
      <c r="H14" s="11">
        <v>22400</v>
      </c>
      <c r="K14" s="43">
        <f t="shared" si="0"/>
        <v>372736000</v>
      </c>
      <c r="L14" s="9"/>
      <c r="Q14" s="45" t="s">
        <v>35</v>
      </c>
      <c r="R14" s="11">
        <v>16640</v>
      </c>
      <c r="S14" s="11">
        <v>22400</v>
      </c>
      <c r="T14" s="56"/>
      <c r="U14" s="56"/>
    </row>
    <row r="15" spans="3:25" x14ac:dyDescent="0.25">
      <c r="E15" s="4">
        <f>SUM(G4:G15)</f>
        <v>175400</v>
      </c>
      <c r="F15" s="14" t="s">
        <v>36</v>
      </c>
      <c r="G15" s="11">
        <v>18870</v>
      </c>
      <c r="H15" s="11">
        <v>22400</v>
      </c>
      <c r="K15" s="43">
        <f t="shared" si="0"/>
        <v>422688000</v>
      </c>
      <c r="L15" s="9"/>
      <c r="Q15" s="45" t="s">
        <v>36</v>
      </c>
      <c r="R15" s="11">
        <v>18870</v>
      </c>
      <c r="S15" s="11">
        <v>22400</v>
      </c>
      <c r="T15" s="56"/>
      <c r="U15" s="56"/>
    </row>
    <row r="16" spans="3:25" x14ac:dyDescent="0.25">
      <c r="C16" s="5">
        <f>F57/4046.856</f>
        <v>51.680860401259643</v>
      </c>
      <c r="E16" s="5">
        <f>E15/4046.856</f>
        <v>43.34228843329241</v>
      </c>
      <c r="F16" s="39" t="s">
        <v>13</v>
      </c>
      <c r="G16" s="11">
        <v>1390</v>
      </c>
      <c r="H16" s="11">
        <f>(70*10^5*0.9)/101.17</f>
        <v>62271.424335277254</v>
      </c>
      <c r="I16" s="1">
        <v>22400</v>
      </c>
      <c r="J16" s="1">
        <f>G16/2</f>
        <v>695</v>
      </c>
      <c r="K16" s="43">
        <f>J16*H16+I16*J16</f>
        <v>58846639.91301769</v>
      </c>
      <c r="L16" s="9"/>
      <c r="Q16" s="45" t="s">
        <v>13</v>
      </c>
      <c r="R16" s="11">
        <v>1390</v>
      </c>
      <c r="S16" s="11">
        <v>22400</v>
      </c>
      <c r="T16" s="56" t="s">
        <v>94</v>
      </c>
      <c r="U16" s="56" t="s">
        <v>97</v>
      </c>
    </row>
    <row r="17" spans="3:21" x14ac:dyDescent="0.25">
      <c r="F17" s="39" t="s">
        <v>15</v>
      </c>
      <c r="G17" s="11">
        <v>29140</v>
      </c>
      <c r="H17" s="11">
        <f t="shared" ref="H17:H38" si="2">(70*10^5*0.9)/101.17</f>
        <v>62271.424335277254</v>
      </c>
      <c r="I17" s="1">
        <v>22400</v>
      </c>
      <c r="J17" s="1">
        <f t="shared" ref="J17:J21" si="3">G17/2</f>
        <v>14570</v>
      </c>
      <c r="K17" s="43">
        <f t="shared" ref="K17:K21" si="4">J17*H17+I17*J17</f>
        <v>1233662652.5649896</v>
      </c>
      <c r="L17" s="9"/>
      <c r="Q17" s="45" t="s">
        <v>15</v>
      </c>
      <c r="R17" s="11">
        <v>29140</v>
      </c>
      <c r="S17" s="11">
        <v>22400</v>
      </c>
      <c r="T17" s="56"/>
      <c r="U17" s="56"/>
    </row>
    <row r="18" spans="3:21" x14ac:dyDescent="0.25">
      <c r="F18" s="39" t="s">
        <v>16</v>
      </c>
      <c r="G18" s="11">
        <v>7440</v>
      </c>
      <c r="H18" s="11">
        <f t="shared" si="2"/>
        <v>62271.424335277254</v>
      </c>
      <c r="I18" s="1">
        <v>22400</v>
      </c>
      <c r="J18" s="1">
        <f t="shared" si="3"/>
        <v>3720</v>
      </c>
      <c r="K18" s="43">
        <f t="shared" si="4"/>
        <v>314977698.5272314</v>
      </c>
      <c r="L18" s="9"/>
      <c r="Q18" s="45" t="s">
        <v>16</v>
      </c>
      <c r="R18" s="11">
        <v>7440</v>
      </c>
      <c r="S18" s="11">
        <v>22400</v>
      </c>
      <c r="T18" s="56"/>
      <c r="U18" s="56"/>
    </row>
    <row r="19" spans="3:21" x14ac:dyDescent="0.25">
      <c r="F19" s="39" t="s">
        <v>17</v>
      </c>
      <c r="G19" s="11">
        <v>2230</v>
      </c>
      <c r="H19" s="11">
        <f t="shared" si="2"/>
        <v>62271.424335277254</v>
      </c>
      <c r="I19" s="1">
        <v>22400</v>
      </c>
      <c r="J19" s="1">
        <f t="shared" si="3"/>
        <v>1115</v>
      </c>
      <c r="K19" s="43">
        <f t="shared" si="4"/>
        <v>94408638.133834139</v>
      </c>
      <c r="L19" s="9"/>
      <c r="Q19" s="45" t="s">
        <v>17</v>
      </c>
      <c r="R19" s="11">
        <v>2230</v>
      </c>
      <c r="S19" s="11">
        <v>22400</v>
      </c>
      <c r="T19" s="56"/>
      <c r="U19" s="56"/>
    </row>
    <row r="20" spans="3:21" x14ac:dyDescent="0.25">
      <c r="C20" s="5">
        <f>F58/4046.856</f>
        <v>41.01084891580031</v>
      </c>
      <c r="F20" s="39" t="s">
        <v>18</v>
      </c>
      <c r="G20" s="11">
        <v>760</v>
      </c>
      <c r="H20" s="11">
        <f t="shared" si="2"/>
        <v>62271.424335277254</v>
      </c>
      <c r="I20" s="1">
        <v>22400</v>
      </c>
      <c r="J20" s="1">
        <f t="shared" si="3"/>
        <v>380</v>
      </c>
      <c r="K20" s="43">
        <f t="shared" si="4"/>
        <v>32175141.247405358</v>
      </c>
      <c r="L20" s="9"/>
      <c r="Q20" s="45" t="s">
        <v>18</v>
      </c>
      <c r="R20" s="11">
        <v>760</v>
      </c>
      <c r="S20" s="11">
        <v>22400</v>
      </c>
      <c r="T20" s="56"/>
      <c r="U20" s="56"/>
    </row>
    <row r="21" spans="3:21" x14ac:dyDescent="0.25">
      <c r="E21" s="4">
        <f>SUM(G16:G21)</f>
        <v>67490</v>
      </c>
      <c r="F21" s="39" t="s">
        <v>20</v>
      </c>
      <c r="G21" s="11">
        <v>26530</v>
      </c>
      <c r="H21" s="11">
        <f t="shared" si="2"/>
        <v>62271.424335277254</v>
      </c>
      <c r="I21" s="1">
        <v>22400</v>
      </c>
      <c r="J21" s="1">
        <f t="shared" si="3"/>
        <v>13265</v>
      </c>
      <c r="K21" s="43">
        <f t="shared" si="4"/>
        <v>1123166443.8074527</v>
      </c>
      <c r="L21" s="9"/>
      <c r="Q21" s="45" t="s">
        <v>20</v>
      </c>
      <c r="R21" s="11">
        <v>26530</v>
      </c>
      <c r="S21" s="11">
        <v>22400</v>
      </c>
      <c r="T21" s="56"/>
      <c r="U21" s="56"/>
    </row>
    <row r="22" spans="3:21" x14ac:dyDescent="0.25">
      <c r="E22" s="5">
        <f>E21/4046.856</f>
        <v>16.677143935934463</v>
      </c>
      <c r="F22" s="27" t="s">
        <v>10</v>
      </c>
      <c r="G22" s="42">
        <v>10500</v>
      </c>
      <c r="H22" s="11">
        <f t="shared" si="2"/>
        <v>62271.424335277254</v>
      </c>
      <c r="K22" s="43">
        <f t="shared" ref="K22:K38" si="5">G22*H22</f>
        <v>653849955.52041113</v>
      </c>
      <c r="L22" s="9"/>
    </row>
    <row r="23" spans="3:21" x14ac:dyDescent="0.25">
      <c r="F23" s="8" t="s">
        <v>11</v>
      </c>
      <c r="G23" s="11">
        <v>2000</v>
      </c>
      <c r="H23" s="11">
        <f t="shared" si="2"/>
        <v>62271.424335277254</v>
      </c>
      <c r="K23" s="43">
        <f t="shared" si="5"/>
        <v>124542848.6705545</v>
      </c>
      <c r="L23" s="9"/>
    </row>
    <row r="24" spans="3:21" x14ac:dyDescent="0.25">
      <c r="F24" s="8" t="s">
        <v>12</v>
      </c>
      <c r="G24" s="11">
        <v>5900</v>
      </c>
      <c r="H24" s="11">
        <f t="shared" si="2"/>
        <v>62271.424335277254</v>
      </c>
      <c r="K24" s="43">
        <f t="shared" si="5"/>
        <v>367401403.57813579</v>
      </c>
      <c r="L24" s="9"/>
    </row>
    <row r="25" spans="3:21" ht="15.75" thickBot="1" x14ac:dyDescent="0.3">
      <c r="F25" s="8" t="s">
        <v>14</v>
      </c>
      <c r="G25" s="11">
        <v>3060</v>
      </c>
      <c r="H25" s="11">
        <f t="shared" si="2"/>
        <v>62271.424335277254</v>
      </c>
      <c r="K25" s="43">
        <f t="shared" si="5"/>
        <v>190550558.4659484</v>
      </c>
      <c r="L25" s="9"/>
    </row>
    <row r="26" spans="3:21" ht="15.75" thickBot="1" x14ac:dyDescent="0.3">
      <c r="F26" s="8" t="s">
        <v>21</v>
      </c>
      <c r="G26" s="11">
        <v>15730</v>
      </c>
      <c r="H26" s="11">
        <f t="shared" si="2"/>
        <v>62271.424335277254</v>
      </c>
      <c r="K26" s="43">
        <f t="shared" si="5"/>
        <v>979529504.79391122</v>
      </c>
      <c r="L26" s="9"/>
      <c r="Q26" s="46" t="s">
        <v>91</v>
      </c>
      <c r="R26" s="47" t="s">
        <v>77</v>
      </c>
    </row>
    <row r="27" spans="3:21" ht="15.75" thickBot="1" x14ac:dyDescent="0.3">
      <c r="F27" s="8" t="s">
        <v>22</v>
      </c>
      <c r="G27" s="11">
        <v>1040</v>
      </c>
      <c r="H27" s="11">
        <f t="shared" si="2"/>
        <v>62271.424335277254</v>
      </c>
      <c r="K27" s="43">
        <f t="shared" si="5"/>
        <v>64762281.308688343</v>
      </c>
      <c r="L27" s="9"/>
      <c r="Q27" s="48" t="s">
        <v>13</v>
      </c>
      <c r="R27" s="49">
        <v>1390</v>
      </c>
    </row>
    <row r="28" spans="3:21" ht="15.75" thickBot="1" x14ac:dyDescent="0.3">
      <c r="F28" s="8" t="s">
        <v>24</v>
      </c>
      <c r="G28" s="11">
        <v>1640</v>
      </c>
      <c r="H28" s="11">
        <f t="shared" si="2"/>
        <v>62271.424335277254</v>
      </c>
      <c r="K28" s="43">
        <f t="shared" si="5"/>
        <v>102125135.9098547</v>
      </c>
      <c r="L28" s="9"/>
      <c r="Q28" s="48">
        <v>40</v>
      </c>
      <c r="R28" s="49">
        <v>29140</v>
      </c>
    </row>
    <row r="29" spans="3:21" ht="15.75" thickBot="1" x14ac:dyDescent="0.3">
      <c r="F29" s="8" t="s">
        <v>60</v>
      </c>
      <c r="G29" s="11">
        <v>3060</v>
      </c>
      <c r="H29" s="11">
        <f t="shared" si="2"/>
        <v>62271.424335277254</v>
      </c>
      <c r="K29" s="43">
        <f t="shared" si="5"/>
        <v>190550558.4659484</v>
      </c>
      <c r="L29" s="9"/>
      <c r="Q29" s="48">
        <v>43</v>
      </c>
      <c r="R29" s="49">
        <v>7440</v>
      </c>
    </row>
    <row r="30" spans="3:21" ht="15.75" thickBot="1" x14ac:dyDescent="0.3">
      <c r="F30" s="8" t="s">
        <v>33</v>
      </c>
      <c r="G30" s="11">
        <v>1870</v>
      </c>
      <c r="H30" s="11">
        <f t="shared" si="2"/>
        <v>62271.424335277254</v>
      </c>
      <c r="K30" s="43">
        <f t="shared" si="5"/>
        <v>116447563.50696847</v>
      </c>
      <c r="L30" s="9"/>
      <c r="Q30" s="48" t="s">
        <v>17</v>
      </c>
      <c r="R30" s="49">
        <v>2230</v>
      </c>
    </row>
    <row r="31" spans="3:21" ht="15.75" thickBot="1" x14ac:dyDescent="0.3">
      <c r="F31" s="8" t="s">
        <v>37</v>
      </c>
      <c r="G31" s="11">
        <v>35310</v>
      </c>
      <c r="H31" s="11">
        <f t="shared" si="2"/>
        <v>62271.424335277254</v>
      </c>
      <c r="K31" s="43">
        <f t="shared" si="5"/>
        <v>2198803993.2786398</v>
      </c>
      <c r="L31" s="9"/>
      <c r="Q31" s="48" t="s">
        <v>18</v>
      </c>
      <c r="R31" s="50">
        <v>760</v>
      </c>
    </row>
    <row r="32" spans="3:21" ht="15.75" thickBot="1" x14ac:dyDescent="0.3">
      <c r="F32" s="8" t="s">
        <v>38</v>
      </c>
      <c r="G32" s="11">
        <v>31590</v>
      </c>
      <c r="H32" s="11">
        <f t="shared" si="2"/>
        <v>62271.424335277254</v>
      </c>
      <c r="K32" s="43">
        <f t="shared" si="5"/>
        <v>1967154294.7514083</v>
      </c>
      <c r="L32" s="9"/>
      <c r="Q32" s="48">
        <v>44</v>
      </c>
      <c r="R32" s="49">
        <v>22640</v>
      </c>
    </row>
    <row r="33" spans="3:18" ht="15.75" thickBot="1" x14ac:dyDescent="0.3">
      <c r="F33" s="8" t="s">
        <v>39</v>
      </c>
      <c r="G33" s="11">
        <v>8100</v>
      </c>
      <c r="H33" s="11">
        <f t="shared" si="2"/>
        <v>62271.424335277254</v>
      </c>
      <c r="K33" s="43">
        <f t="shared" si="5"/>
        <v>504398537.11574578</v>
      </c>
      <c r="L33" s="9"/>
      <c r="Q33" s="48">
        <v>46</v>
      </c>
      <c r="R33" s="49">
        <v>26530</v>
      </c>
    </row>
    <row r="34" spans="3:18" ht="15.75" thickBot="1" x14ac:dyDescent="0.3">
      <c r="F34" s="8" t="s">
        <v>42</v>
      </c>
      <c r="G34" s="11">
        <v>2300</v>
      </c>
      <c r="H34" s="11">
        <f t="shared" si="2"/>
        <v>62271.424335277254</v>
      </c>
      <c r="K34" s="43">
        <f t="shared" si="5"/>
        <v>143224275.97113767</v>
      </c>
      <c r="L34" s="9"/>
      <c r="Q34" s="48">
        <v>38</v>
      </c>
      <c r="R34" s="49">
        <v>17300</v>
      </c>
    </row>
    <row r="35" spans="3:18" ht="15.75" thickBot="1" x14ac:dyDescent="0.3">
      <c r="F35" s="8" t="s">
        <v>43</v>
      </c>
      <c r="G35" s="11">
        <v>3650</v>
      </c>
      <c r="H35" s="11">
        <f t="shared" si="2"/>
        <v>62271.424335277254</v>
      </c>
      <c r="K35" s="43">
        <f t="shared" si="5"/>
        <v>227290698.82376197</v>
      </c>
      <c r="L35" s="9"/>
      <c r="Q35" s="48">
        <v>39</v>
      </c>
      <c r="R35" s="49">
        <v>8600</v>
      </c>
    </row>
    <row r="36" spans="3:18" ht="15.75" thickBot="1" x14ac:dyDescent="0.3">
      <c r="F36" s="8" t="s">
        <v>44</v>
      </c>
      <c r="G36" s="11">
        <v>3300</v>
      </c>
      <c r="H36" s="11">
        <f t="shared" si="2"/>
        <v>62271.424335277254</v>
      </c>
      <c r="K36" s="43">
        <f t="shared" si="5"/>
        <v>205495700.30641493</v>
      </c>
      <c r="L36" s="9"/>
      <c r="Q36" s="48">
        <v>31</v>
      </c>
      <c r="R36" s="49">
        <v>19780</v>
      </c>
    </row>
    <row r="37" spans="3:18" ht="15.75" thickBot="1" x14ac:dyDescent="0.3">
      <c r="F37" s="8" t="s">
        <v>46</v>
      </c>
      <c r="G37" s="11">
        <v>1260</v>
      </c>
      <c r="H37" s="11">
        <f t="shared" si="2"/>
        <v>62271.424335277254</v>
      </c>
      <c r="K37" s="43">
        <f t="shared" si="5"/>
        <v>78461994.662449345</v>
      </c>
      <c r="L37" s="9"/>
      <c r="Q37" s="48">
        <v>32</v>
      </c>
      <c r="R37" s="49">
        <v>19450</v>
      </c>
    </row>
    <row r="38" spans="3:18" ht="15.75" thickBot="1" x14ac:dyDescent="0.3">
      <c r="E38" s="4">
        <f>SUM(G22:G38)</f>
        <v>132220</v>
      </c>
      <c r="F38" s="8" t="s">
        <v>47</v>
      </c>
      <c r="G38" s="11">
        <v>1910</v>
      </c>
      <c r="H38" s="11">
        <f t="shared" si="2"/>
        <v>62271.424335277254</v>
      </c>
      <c r="K38" s="43">
        <f t="shared" si="5"/>
        <v>118938420.48037955</v>
      </c>
      <c r="L38" s="9"/>
      <c r="Q38" s="48">
        <v>35</v>
      </c>
      <c r="R38" s="49">
        <v>16410</v>
      </c>
    </row>
    <row r="39" spans="3:18" ht="15.75" thickBot="1" x14ac:dyDescent="0.3">
      <c r="E39" s="5">
        <f>E38/4046.856</f>
        <v>32.672276947833083</v>
      </c>
      <c r="G39" s="22">
        <f>SUM(G4:G38)</f>
        <v>375110</v>
      </c>
      <c r="K39" s="22">
        <f>SUM(K4:K38)</f>
        <v>15019724939.804287</v>
      </c>
      <c r="Q39" s="48" t="s">
        <v>30</v>
      </c>
      <c r="R39" s="49">
        <v>5290</v>
      </c>
    </row>
    <row r="40" spans="3:18" ht="15.75" thickBot="1" x14ac:dyDescent="0.3">
      <c r="G40" s="6">
        <f>G39/4046.856</f>
        <v>92.69170931705996</v>
      </c>
      <c r="K40" s="5">
        <f>K39/10^7</f>
        <v>1501.9724939804287</v>
      </c>
      <c r="Q40" s="48">
        <v>33</v>
      </c>
      <c r="R40" s="49">
        <v>7610</v>
      </c>
    </row>
    <row r="41" spans="3:18" ht="15.75" thickBot="1" x14ac:dyDescent="0.3">
      <c r="Q41" s="48">
        <v>28</v>
      </c>
      <c r="R41" s="49">
        <v>18160</v>
      </c>
    </row>
    <row r="42" spans="3:18" ht="15.75" thickBot="1" x14ac:dyDescent="0.3">
      <c r="K42" s="5">
        <f>K40*0.85</f>
        <v>1276.6766198833643</v>
      </c>
      <c r="Q42" s="51">
        <v>45684</v>
      </c>
      <c r="R42" s="49">
        <v>4650</v>
      </c>
    </row>
    <row r="43" spans="3:18" ht="15.75" thickBot="1" x14ac:dyDescent="0.3">
      <c r="G43" s="4"/>
      <c r="K43" s="5">
        <f>K40*0.75</f>
        <v>1126.4793704853214</v>
      </c>
      <c r="Q43" s="48">
        <v>29</v>
      </c>
      <c r="R43" s="49">
        <v>16640</v>
      </c>
    </row>
    <row r="44" spans="3:18" ht="15.75" thickBot="1" x14ac:dyDescent="0.3">
      <c r="G44" s="5"/>
      <c r="Q44" s="48">
        <v>30</v>
      </c>
      <c r="R44" s="49">
        <v>18870</v>
      </c>
    </row>
    <row r="45" spans="3:18" ht="15.75" thickBot="1" x14ac:dyDescent="0.3">
      <c r="C45" t="s">
        <v>102</v>
      </c>
      <c r="Q45" s="57" t="s">
        <v>58</v>
      </c>
      <c r="R45" s="52" t="s">
        <v>100</v>
      </c>
    </row>
    <row r="46" spans="3:18" ht="15.75" thickBot="1" x14ac:dyDescent="0.3">
      <c r="C46" t="s">
        <v>103</v>
      </c>
      <c r="D46" s="1">
        <v>22400</v>
      </c>
      <c r="Q46" s="58"/>
      <c r="R46" s="52" t="s">
        <v>101</v>
      </c>
    </row>
    <row r="47" spans="3:18" x14ac:dyDescent="0.25">
      <c r="C47" t="s">
        <v>104</v>
      </c>
      <c r="D47" s="4">
        <f>G39</f>
        <v>375110</v>
      </c>
      <c r="K47" s="1">
        <f>65*10^7</f>
        <v>650000000</v>
      </c>
    </row>
    <row r="48" spans="3:18" x14ac:dyDescent="0.25">
      <c r="C48" t="s">
        <v>105</v>
      </c>
      <c r="D48" s="1">
        <f>D46*D47</f>
        <v>8402464000</v>
      </c>
      <c r="K48">
        <v>2</v>
      </c>
    </row>
    <row r="49" spans="3:11" x14ac:dyDescent="0.25">
      <c r="K49" s="1">
        <f>K47/K48</f>
        <v>325000000</v>
      </c>
    </row>
    <row r="50" spans="3:11" x14ac:dyDescent="0.25">
      <c r="C50" t="s">
        <v>113</v>
      </c>
      <c r="K50" s="5">
        <f>K49/4046.856</f>
        <v>80309.257359293231</v>
      </c>
    </row>
    <row r="51" spans="3:11" x14ac:dyDescent="0.25">
      <c r="C51" t="s">
        <v>114</v>
      </c>
      <c r="D51" s="1">
        <f>70*10^5</f>
        <v>7000000</v>
      </c>
      <c r="K51" s="5">
        <f>K50*101.17</f>
        <v>8124887.5670396965</v>
      </c>
    </row>
    <row r="52" spans="3:11" x14ac:dyDescent="0.25">
      <c r="C52" t="s">
        <v>115</v>
      </c>
      <c r="D52" s="2">
        <f>D51*0.85</f>
        <v>5950000</v>
      </c>
    </row>
    <row r="56" spans="3:11" ht="31.5" x14ac:dyDescent="0.25">
      <c r="C56" s="25" t="s">
        <v>116</v>
      </c>
      <c r="D56" s="25" t="s">
        <v>106</v>
      </c>
      <c r="E56" s="44" t="s">
        <v>109</v>
      </c>
      <c r="F56" s="44" t="s">
        <v>110</v>
      </c>
      <c r="G56" s="44" t="s">
        <v>112</v>
      </c>
      <c r="H56" s="44" t="s">
        <v>3</v>
      </c>
      <c r="I56" s="44" t="s">
        <v>111</v>
      </c>
    </row>
    <row r="57" spans="3:11" ht="45" x14ac:dyDescent="0.25">
      <c r="C57" s="9">
        <v>1</v>
      </c>
      <c r="D57" s="53" t="s">
        <v>108</v>
      </c>
      <c r="E57" s="12">
        <f>F57/4046.856</f>
        <v>51.680860401259643</v>
      </c>
      <c r="F57" s="43">
        <f>E15+E21/2</f>
        <v>209145</v>
      </c>
      <c r="G57" s="12">
        <f>F57/101.17</f>
        <v>2067.2630226351685</v>
      </c>
      <c r="H57" s="11">
        <v>22400</v>
      </c>
      <c r="I57" s="43">
        <f>F57*H57</f>
        <v>4684848000</v>
      </c>
    </row>
    <row r="58" spans="3:11" ht="30" x14ac:dyDescent="0.25">
      <c r="C58" s="9">
        <v>2</v>
      </c>
      <c r="D58" s="53" t="s">
        <v>107</v>
      </c>
      <c r="E58" s="12">
        <f>F58/4046.856</f>
        <v>41.01084891580031</v>
      </c>
      <c r="F58" s="43">
        <f>G39-F57</f>
        <v>165965</v>
      </c>
      <c r="G58" s="12">
        <f>F58/101.17</f>
        <v>1640.4566571117921</v>
      </c>
      <c r="H58" s="54">
        <f>D52</f>
        <v>5950000</v>
      </c>
      <c r="I58" s="11">
        <f>G58*H58</f>
        <v>9760717109.8151627</v>
      </c>
    </row>
    <row r="59" spans="3:11" x14ac:dyDescent="0.25">
      <c r="C59" s="9"/>
      <c r="D59" s="13" t="s">
        <v>58</v>
      </c>
      <c r="E59" s="21">
        <f>SUM(E57:E58)</f>
        <v>92.691709317059946</v>
      </c>
      <c r="F59" s="55">
        <f>SUM(F57:F58)</f>
        <v>375110</v>
      </c>
      <c r="G59" s="21">
        <f>SUM(G57:G58)</f>
        <v>3707.7196797469605</v>
      </c>
      <c r="H59" s="13"/>
      <c r="I59" s="55">
        <f>SUM(I57:I58)</f>
        <v>14445565109.815163</v>
      </c>
    </row>
    <row r="61" spans="3:11" x14ac:dyDescent="0.25">
      <c r="I61" s="4">
        <f>ROUND(I59,-7)</f>
        <v>14450000000</v>
      </c>
    </row>
    <row r="62" spans="3:11" x14ac:dyDescent="0.25">
      <c r="I62" s="4">
        <f>I61*0.85</f>
        <v>12282500000</v>
      </c>
    </row>
    <row r="63" spans="3:11" x14ac:dyDescent="0.25">
      <c r="I63" s="4">
        <f>I61*0.75</f>
        <v>10837500000</v>
      </c>
    </row>
  </sheetData>
  <mergeCells count="5">
    <mergeCell ref="T4:T15"/>
    <mergeCell ref="U4:U15"/>
    <mergeCell ref="T16:T21"/>
    <mergeCell ref="U16:U21"/>
    <mergeCell ref="Q45:Q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I7"/>
  <sheetViews>
    <sheetView topLeftCell="B1" workbookViewId="0">
      <selection activeCell="G11" sqref="G11"/>
    </sheetView>
  </sheetViews>
  <sheetFormatPr defaultRowHeight="15" x14ac:dyDescent="0.25"/>
  <cols>
    <col min="7" max="7" width="15.7109375" bestFit="1" customWidth="1"/>
    <col min="8" max="8" width="53.140625" bestFit="1" customWidth="1"/>
    <col min="9" max="9" width="52.28515625" bestFit="1" customWidth="1"/>
  </cols>
  <sheetData>
    <row r="3" spans="7:9" x14ac:dyDescent="0.25">
      <c r="G3" s="24" t="s">
        <v>81</v>
      </c>
      <c r="H3" s="24" t="s">
        <v>80</v>
      </c>
      <c r="I3" s="24" t="s">
        <v>82</v>
      </c>
    </row>
    <row r="4" spans="7:9" x14ac:dyDescent="0.25">
      <c r="G4" s="34" t="s">
        <v>23</v>
      </c>
      <c r="H4" s="35" t="s">
        <v>84</v>
      </c>
      <c r="I4" s="35" t="s">
        <v>85</v>
      </c>
    </row>
    <row r="5" spans="7:9" ht="60" x14ac:dyDescent="0.25">
      <c r="G5" s="34" t="s">
        <v>30</v>
      </c>
      <c r="H5" s="36" t="s">
        <v>86</v>
      </c>
      <c r="I5" s="35" t="s">
        <v>87</v>
      </c>
    </row>
    <row r="6" spans="7:9" ht="60" x14ac:dyDescent="0.25">
      <c r="G6" s="36" t="s">
        <v>83</v>
      </c>
      <c r="H6" s="37" t="s">
        <v>89</v>
      </c>
      <c r="I6" s="36" t="s">
        <v>90</v>
      </c>
    </row>
    <row r="7" spans="7:9" x14ac:dyDescent="0.25">
      <c r="G7" s="34" t="s">
        <v>45</v>
      </c>
      <c r="H7" s="35" t="s">
        <v>88</v>
      </c>
      <c r="I7" s="3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land details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Bhatnagar</dc:creator>
  <cp:lastModifiedBy>Mahesh Joshi</cp:lastModifiedBy>
  <dcterms:created xsi:type="dcterms:W3CDTF">2015-06-05T18:17:20Z</dcterms:created>
  <dcterms:modified xsi:type="dcterms:W3CDTF">2025-01-14T08:58:03Z</dcterms:modified>
</cp:coreProperties>
</file>