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Files For Review\Yash Bhatnagar\Reviwed Files\Megafine Pharma\Report Working - 24-25\Nasik\"/>
    </mc:Choice>
  </mc:AlternateContent>
  <bookViews>
    <workbookView xWindow="0" yWindow="0" windowWidth="21600" windowHeight="9735"/>
  </bookViews>
  <sheets>
    <sheet name="Building Sheet (2)" sheetId="10" r:id="rId1"/>
    <sheet name="Plot wise Area" sheetId="5" r:id="rId2"/>
    <sheet name="Land Calculation" sheetId="6" r:id="rId3"/>
    <sheet name="Building Sheet" sheetId="1" r:id="rId4"/>
    <sheet name="Sheet3" sheetId="9" r:id="rId5"/>
    <sheet name="Sheet2" sheetId="8" r:id="rId6"/>
    <sheet name="Sheet1" sheetId="7" r:id="rId7"/>
    <sheet name="Boundary Wall Length" sheetId="2" r:id="rId8"/>
    <sheet name="Lenght or Area of Road" sheetId="3" r:id="rId9"/>
    <sheet name="Drainage length" sheetId="4" r:id="rId10"/>
  </sheets>
  <externalReferences>
    <externalReference r:id="rId11"/>
  </externalReferences>
  <definedNames>
    <definedName name="_xlnm._FilterDatabase" localSheetId="3" hidden="1">'Building Sheet'!$B$4:$AE$24</definedName>
    <definedName name="_xlnm._FilterDatabase" localSheetId="0" hidden="1">'Building Sheet (2)'!$B$4:$AD$22</definedName>
    <definedName name="_GoBack" localSheetId="1">'Plot wise Area'!$U$30</definedName>
    <definedName name="_xlnm.Print_Area" localSheetId="3">'Building Sheet'!$B$4:$O$21</definedName>
    <definedName name="_xlnm.Print_Area" localSheetId="0">'Building Sheet (2)'!$B$4:$O$19</definedName>
    <definedName name="_xlnm.Print_Area" localSheetId="1">#N/A</definedName>
  </definedNames>
  <calcPr calcId="152511"/>
</workbook>
</file>

<file path=xl/calcChain.xml><?xml version="1.0" encoding="utf-8"?>
<calcChain xmlns="http://schemas.openxmlformats.org/spreadsheetml/2006/main">
  <c r="AD38" i="10" l="1"/>
  <c r="J26" i="5" l="1"/>
  <c r="J27" i="5" s="1"/>
  <c r="B11" i="5"/>
  <c r="B12" i="5"/>
  <c r="B13" i="5"/>
  <c r="B14" i="5"/>
  <c r="B15" i="5"/>
  <c r="B16" i="5"/>
  <c r="B17" i="5"/>
  <c r="B18" i="5"/>
  <c r="B19" i="5"/>
  <c r="B20" i="5"/>
  <c r="B21" i="5"/>
  <c r="B22" i="5"/>
  <c r="B23" i="5"/>
  <c r="B24" i="5"/>
  <c r="B25" i="5"/>
  <c r="B10" i="5"/>
  <c r="F26" i="5"/>
  <c r="F27" i="5" s="1"/>
  <c r="AD48" i="10" l="1"/>
  <c r="AD42" i="10"/>
  <c r="AD44" i="10" s="1"/>
  <c r="AD45" i="10" s="1"/>
  <c r="AD46" i="10" l="1"/>
  <c r="B6" i="10"/>
  <c r="B7" i="10"/>
  <c r="B8" i="10"/>
  <c r="B9" i="10"/>
  <c r="B10" i="10"/>
  <c r="B11" i="10"/>
  <c r="B12" i="10"/>
  <c r="B13" i="10"/>
  <c r="B14" i="10"/>
  <c r="B15" i="10"/>
  <c r="B16" i="10"/>
  <c r="B17" i="10"/>
  <c r="B18" i="10"/>
  <c r="B5" i="10"/>
  <c r="AF60" i="10"/>
  <c r="W40" i="10"/>
  <c r="R40" i="10"/>
  <c r="R39" i="10"/>
  <c r="N38" i="10"/>
  <c r="S37" i="10"/>
  <c r="F35" i="10"/>
  <c r="F34" i="10"/>
  <c r="U33" i="10"/>
  <c r="R33" i="10"/>
  <c r="T32" i="10"/>
  <c r="S32" i="10"/>
  <c r="F31" i="10"/>
  <c r="L28" i="10"/>
  <c r="N27" i="10"/>
  <c r="L27" i="10"/>
  <c r="AB26" i="10"/>
  <c r="X26" i="10"/>
  <c r="U26" i="10"/>
  <c r="R19" i="10"/>
  <c r="R28" i="10" s="1"/>
  <c r="AA18" i="10"/>
  <c r="X18" i="10"/>
  <c r="U18" i="10"/>
  <c r="S18" i="10"/>
  <c r="M18" i="10"/>
  <c r="Z17" i="10"/>
  <c r="AA17" i="10" s="1"/>
  <c r="X17" i="10"/>
  <c r="U17" i="10"/>
  <c r="S17" i="10"/>
  <c r="M17" i="10"/>
  <c r="Z16" i="10"/>
  <c r="AA16" i="10" s="1"/>
  <c r="X16" i="10"/>
  <c r="U16" i="10"/>
  <c r="S16" i="10"/>
  <c r="M16" i="10"/>
  <c r="Z15" i="10"/>
  <c r="X15" i="10"/>
  <c r="U15" i="10"/>
  <c r="S15" i="10"/>
  <c r="M15" i="10"/>
  <c r="Z14" i="10"/>
  <c r="AA14" i="10" s="1"/>
  <c r="X14" i="10"/>
  <c r="U14" i="10"/>
  <c r="S14" i="10"/>
  <c r="M14" i="10"/>
  <c r="Z13" i="10"/>
  <c r="X13" i="10"/>
  <c r="U13" i="10"/>
  <c r="S13" i="10"/>
  <c r="M13" i="10"/>
  <c r="X12" i="10"/>
  <c r="U12" i="10"/>
  <c r="S12" i="10"/>
  <c r="M12" i="10"/>
  <c r="X11" i="10"/>
  <c r="U11" i="10"/>
  <c r="S11" i="10"/>
  <c r="M11" i="10"/>
  <c r="X10" i="10"/>
  <c r="U10" i="10"/>
  <c r="S10" i="10"/>
  <c r="M10" i="10"/>
  <c r="Z9" i="10"/>
  <c r="AA9" i="10" s="1"/>
  <c r="X9" i="10"/>
  <c r="U9" i="10"/>
  <c r="S9" i="10"/>
  <c r="M9" i="10"/>
  <c r="Z8" i="10"/>
  <c r="AA8" i="10" s="1"/>
  <c r="X8" i="10"/>
  <c r="U8" i="10"/>
  <c r="S8" i="10"/>
  <c r="M8" i="10"/>
  <c r="Z7" i="10"/>
  <c r="X7" i="10"/>
  <c r="U7" i="10"/>
  <c r="S7" i="10"/>
  <c r="M7" i="10"/>
  <c r="Z6" i="10"/>
  <c r="X6" i="10"/>
  <c r="U6" i="10"/>
  <c r="S6" i="10"/>
  <c r="M6" i="10"/>
  <c r="Z5" i="10"/>
  <c r="AA5" i="10" s="1"/>
  <c r="X5" i="10"/>
  <c r="U5" i="10"/>
  <c r="S5" i="10"/>
  <c r="M5" i="10"/>
  <c r="N2" i="10"/>
  <c r="AB7" i="10" l="1"/>
  <c r="AB8" i="10"/>
  <c r="AB15" i="10"/>
  <c r="AB16" i="10"/>
  <c r="AC16" i="10" s="1"/>
  <c r="AD16" i="10" s="1"/>
  <c r="AB6" i="10"/>
  <c r="AB14" i="10"/>
  <c r="AB18" i="10"/>
  <c r="AC18" i="10" s="1"/>
  <c r="AD18" i="10" s="1"/>
  <c r="AB11" i="10"/>
  <c r="AC11" i="10" s="1"/>
  <c r="AD11" i="10" s="1"/>
  <c r="AB12" i="10"/>
  <c r="AC12" i="10" s="1"/>
  <c r="AD12" i="10" s="1"/>
  <c r="AB10" i="10"/>
  <c r="AC10" i="10" s="1"/>
  <c r="AD10" i="10" s="1"/>
  <c r="AB9" i="10"/>
  <c r="AC9" i="10" s="1"/>
  <c r="AD9" i="10" s="1"/>
  <c r="AB13" i="10"/>
  <c r="AC13" i="10" s="1"/>
  <c r="AD13" i="10" s="1"/>
  <c r="AB17" i="10"/>
  <c r="AC17" i="10" s="1"/>
  <c r="AD17" i="10" s="1"/>
  <c r="S19" i="10"/>
  <c r="AC26" i="10"/>
  <c r="AD26" i="10" s="1"/>
  <c r="AB5" i="10"/>
  <c r="AC14" i="10"/>
  <c r="AD14" i="10" s="1"/>
  <c r="AC7" i="10"/>
  <c r="AD7" i="10" s="1"/>
  <c r="AC15" i="10"/>
  <c r="AD15" i="10" s="1"/>
  <c r="AC6" i="10"/>
  <c r="AD6" i="10" s="1"/>
  <c r="AC8" i="10"/>
  <c r="AD8" i="10" s="1"/>
  <c r="AF19" i="10"/>
  <c r="AL38" i="7"/>
  <c r="AB19" i="10" l="1"/>
  <c r="AC31" i="10" s="1"/>
  <c r="AB3" i="10"/>
  <c r="AC5" i="10"/>
  <c r="AC3" i="10" s="1"/>
  <c r="AG32" i="7"/>
  <c r="AG33" i="7" s="1"/>
  <c r="AG36" i="7" s="1"/>
  <c r="AG40" i="7" s="1"/>
  <c r="AG42" i="7" s="1"/>
  <c r="AH29" i="7"/>
  <c r="AG29" i="7"/>
  <c r="AD5" i="10" l="1"/>
  <c r="AD3" i="10" s="1"/>
  <c r="AC19" i="10"/>
  <c r="AG44" i="7"/>
  <c r="AG43" i="7"/>
  <c r="O13" i="9"/>
  <c r="M6" i="9"/>
  <c r="M8" i="9" s="1"/>
  <c r="M11" i="9" s="1"/>
  <c r="O4" i="9"/>
  <c r="O5" i="9"/>
  <c r="O3" i="9"/>
  <c r="N4" i="9"/>
  <c r="N5" i="9"/>
  <c r="N3" i="9"/>
  <c r="O6" i="9" l="1"/>
  <c r="AD19" i="10"/>
  <c r="M13" i="9"/>
  <c r="M12" i="9"/>
  <c r="N6" i="9"/>
  <c r="T8" i="7"/>
  <c r="T9" i="7"/>
  <c r="T10" i="7"/>
  <c r="T11" i="7"/>
  <c r="T12" i="7"/>
  <c r="T13" i="7"/>
  <c r="T14" i="7"/>
  <c r="T15" i="7"/>
  <c r="T16" i="7"/>
  <c r="T17" i="7"/>
  <c r="T18" i="7"/>
  <c r="T19" i="7"/>
  <c r="T20" i="7"/>
  <c r="T21" i="7"/>
  <c r="T22" i="7"/>
  <c r="T7" i="7"/>
  <c r="U23" i="7"/>
  <c r="F37" i="10" l="1"/>
  <c r="AB10" i="1"/>
  <c r="AB11" i="1"/>
  <c r="AB12" i="1"/>
  <c r="AB19" i="1"/>
  <c r="AB20" i="1"/>
  <c r="AA18" i="1" l="1"/>
  <c r="AB18" i="1" s="1"/>
  <c r="AA17" i="1"/>
  <c r="AB17" i="1" s="1"/>
  <c r="AA16" i="1"/>
  <c r="AB16" i="1" s="1"/>
  <c r="AA15" i="1"/>
  <c r="AB15" i="1" s="1"/>
  <c r="AA14" i="1"/>
  <c r="AB14" i="1" s="1"/>
  <c r="AA13" i="1"/>
  <c r="AB13" i="1" s="1"/>
  <c r="AA9" i="1"/>
  <c r="AB9" i="1" s="1"/>
  <c r="AA8" i="1"/>
  <c r="AB8" i="1" s="1"/>
  <c r="AA7" i="1"/>
  <c r="AB7" i="1" s="1"/>
  <c r="AA6" i="1"/>
  <c r="AB6" i="1" s="1"/>
  <c r="AA5" i="1"/>
  <c r="AB5" i="1" s="1"/>
  <c r="N2" i="1" l="1"/>
  <c r="X42" i="1" l="1"/>
  <c r="N19" i="6"/>
  <c r="O16" i="6"/>
  <c r="F29" i="10" s="1"/>
  <c r="F30" i="10" s="1"/>
  <c r="F32" i="10" s="1"/>
  <c r="N40" i="1" l="1"/>
  <c r="Q8" i="6"/>
  <c r="O9" i="6"/>
  <c r="O8" i="6"/>
  <c r="L30" i="1"/>
  <c r="N29" i="1"/>
  <c r="L29" i="1"/>
  <c r="AG62" i="1"/>
  <c r="Q15" i="6" l="1"/>
  <c r="Q7" i="6"/>
  <c r="Q6" i="6"/>
  <c r="K5" i="8" l="1"/>
  <c r="F31" i="1" l="1"/>
  <c r="T23" i="7" l="1"/>
  <c r="M23" i="7"/>
  <c r="L23" i="7"/>
  <c r="K23" i="7"/>
  <c r="Z22" i="7"/>
  <c r="W22" i="7"/>
  <c r="AB22" i="7"/>
  <c r="N22" i="7"/>
  <c r="Z21" i="7"/>
  <c r="W21" i="7"/>
  <c r="AB21" i="7"/>
  <c r="N21" i="7"/>
  <c r="Z20" i="7"/>
  <c r="W20" i="7"/>
  <c r="AB20" i="7"/>
  <c r="N20" i="7"/>
  <c r="Z19" i="7"/>
  <c r="W19" i="7"/>
  <c r="AB19" i="7"/>
  <c r="N19" i="7"/>
  <c r="Z18" i="7"/>
  <c r="W18" i="7"/>
  <c r="AB18" i="7"/>
  <c r="N18" i="7"/>
  <c r="Z17" i="7"/>
  <c r="W17" i="7"/>
  <c r="AB17" i="7"/>
  <c r="N17" i="7"/>
  <c r="Z16" i="7"/>
  <c r="W16" i="7"/>
  <c r="AB16" i="7"/>
  <c r="N16" i="7"/>
  <c r="Z15" i="7"/>
  <c r="W15" i="7"/>
  <c r="AB15" i="7"/>
  <c r="N15" i="7"/>
  <c r="Z14" i="7"/>
  <c r="W14" i="7"/>
  <c r="AB14" i="7"/>
  <c r="N14" i="7"/>
  <c r="Z13" i="7"/>
  <c r="W13" i="7"/>
  <c r="AB13" i="7"/>
  <c r="N13" i="7"/>
  <c r="Z12" i="7"/>
  <c r="W12" i="7"/>
  <c r="AB12" i="7"/>
  <c r="N12" i="7"/>
  <c r="Z11" i="7"/>
  <c r="W11" i="7"/>
  <c r="AB11" i="7"/>
  <c r="N11" i="7"/>
  <c r="Z10" i="7"/>
  <c r="W10" i="7"/>
  <c r="AB10" i="7"/>
  <c r="N10" i="7"/>
  <c r="Z9" i="7"/>
  <c r="W9" i="7"/>
  <c r="AB9" i="7"/>
  <c r="N9" i="7"/>
  <c r="Z8" i="7"/>
  <c r="W8" i="7"/>
  <c r="AB8" i="7"/>
  <c r="N8" i="7"/>
  <c r="C8" i="7"/>
  <c r="C9" i="7" s="1"/>
  <c r="C10" i="7" s="1"/>
  <c r="C11" i="7" s="1"/>
  <c r="C12" i="7" s="1"/>
  <c r="C13" i="7" s="1"/>
  <c r="C14" i="7" s="1"/>
  <c r="C15" i="7" s="1"/>
  <c r="C16" i="7" s="1"/>
  <c r="C17" i="7" s="1"/>
  <c r="C18" i="7" s="1"/>
  <c r="C19" i="7" s="1"/>
  <c r="C20" i="7" s="1"/>
  <c r="C21" i="7" s="1"/>
  <c r="C22" i="7" s="1"/>
  <c r="Z7" i="7"/>
  <c r="W7" i="7"/>
  <c r="AB7" i="7"/>
  <c r="N7" i="7"/>
  <c r="H28" i="6"/>
  <c r="N23" i="7" l="1"/>
  <c r="AB23" i="7"/>
  <c r="AC7" i="7"/>
  <c r="AB5" i="7"/>
  <c r="AC8" i="7"/>
  <c r="AD8" i="7" s="1"/>
  <c r="AC9" i="7"/>
  <c r="AD9" i="7" s="1"/>
  <c r="AC10" i="7"/>
  <c r="AD10" i="7" s="1"/>
  <c r="AC11" i="7"/>
  <c r="AD11" i="7" s="1"/>
  <c r="AC12" i="7"/>
  <c r="AD12" i="7" s="1"/>
  <c r="AC13" i="7"/>
  <c r="AD13" i="7" s="1"/>
  <c r="AC14" i="7"/>
  <c r="AD14" i="7" s="1"/>
  <c r="AC15" i="7"/>
  <c r="AD15" i="7" s="1"/>
  <c r="AC16" i="7"/>
  <c r="AD16" i="7" s="1"/>
  <c r="AC17" i="7"/>
  <c r="AD17" i="7" s="1"/>
  <c r="AC18" i="7"/>
  <c r="AD18" i="7" s="1"/>
  <c r="AC19" i="7"/>
  <c r="AD19" i="7" s="1"/>
  <c r="AC20" i="7"/>
  <c r="AD20" i="7" s="1"/>
  <c r="AC21" i="7"/>
  <c r="AD21" i="7" s="1"/>
  <c r="AC22" i="7"/>
  <c r="AD22" i="7" s="1"/>
  <c r="K25" i="5"/>
  <c r="K24" i="5"/>
  <c r="K23" i="5"/>
  <c r="K22" i="5"/>
  <c r="K21" i="5"/>
  <c r="K20" i="5"/>
  <c r="K19" i="5"/>
  <c r="K18" i="5"/>
  <c r="K17" i="5"/>
  <c r="K16" i="5"/>
  <c r="K15" i="5"/>
  <c r="K14" i="5"/>
  <c r="G25" i="5"/>
  <c r="G24" i="5"/>
  <c r="G23" i="5"/>
  <c r="G22" i="5"/>
  <c r="G21" i="5"/>
  <c r="G20" i="5"/>
  <c r="G19" i="5"/>
  <c r="G18" i="5"/>
  <c r="G17" i="5"/>
  <c r="G16" i="5"/>
  <c r="G15" i="5"/>
  <c r="G14" i="5"/>
  <c r="H14" i="5"/>
  <c r="H19" i="5"/>
  <c r="H23" i="5"/>
  <c r="H25" i="5"/>
  <c r="K26" i="5" l="1"/>
  <c r="AC23" i="7"/>
  <c r="AC5" i="7"/>
  <c r="AD7" i="7"/>
  <c r="H26" i="5"/>
  <c r="H27" i="5" s="1"/>
  <c r="AD23" i="7" l="1"/>
  <c r="AD5" i="7"/>
  <c r="M20" i="1"/>
  <c r="M19" i="1"/>
  <c r="M18" i="1"/>
  <c r="M17" i="1"/>
  <c r="M16" i="1"/>
  <c r="M15" i="1"/>
  <c r="M14" i="1"/>
  <c r="M13" i="1"/>
  <c r="M12" i="1"/>
  <c r="M11" i="1"/>
  <c r="M10" i="1"/>
  <c r="M9" i="1"/>
  <c r="M8" i="1"/>
  <c r="M7" i="1"/>
  <c r="M6" i="1"/>
  <c r="M5" i="1"/>
  <c r="F17" i="6" l="1"/>
  <c r="V35" i="1"/>
  <c r="N20" i="5"/>
  <c r="N19" i="5"/>
  <c r="Q19" i="5"/>
  <c r="T39" i="1"/>
  <c r="S42" i="1"/>
  <c r="S41" i="1"/>
  <c r="F37" i="1"/>
  <c r="F36" i="1"/>
  <c r="F33" i="1"/>
  <c r="S35" i="1" l="1"/>
  <c r="T34" i="1"/>
  <c r="K8" i="6"/>
  <c r="K9" i="6" s="1"/>
  <c r="K10" i="6" s="1"/>
  <c r="U34" i="1"/>
  <c r="F26" i="6"/>
  <c r="E18" i="6" l="1"/>
  <c r="H17" i="6"/>
  <c r="F16" i="6"/>
  <c r="H16" i="6" s="1"/>
  <c r="F15" i="6"/>
  <c r="H15" i="6" s="1"/>
  <c r="F14" i="6"/>
  <c r="H14" i="6" s="1"/>
  <c r="F13" i="6"/>
  <c r="H13" i="6" s="1"/>
  <c r="F12" i="6"/>
  <c r="H12" i="6" s="1"/>
  <c r="F11" i="6"/>
  <c r="H11" i="6" s="1"/>
  <c r="F10" i="6"/>
  <c r="H10" i="6" s="1"/>
  <c r="F9" i="6"/>
  <c r="H9" i="6" s="1"/>
  <c r="F8" i="6"/>
  <c r="H8" i="6" s="1"/>
  <c r="F7" i="6"/>
  <c r="H7" i="6" s="1"/>
  <c r="F6" i="6"/>
  <c r="H6" i="6" s="1"/>
  <c r="F24" i="6"/>
  <c r="AC28" i="1"/>
  <c r="Y28" i="1"/>
  <c r="V28" i="1"/>
  <c r="Y20" i="1"/>
  <c r="Y19" i="1"/>
  <c r="Y18" i="1"/>
  <c r="Y17" i="1"/>
  <c r="Y16" i="1"/>
  <c r="Y15" i="1"/>
  <c r="Y14" i="1"/>
  <c r="Y13" i="1"/>
  <c r="Y12" i="1"/>
  <c r="Y11" i="1"/>
  <c r="Y10" i="1"/>
  <c r="Y9" i="1"/>
  <c r="Y8" i="1"/>
  <c r="Y7" i="1"/>
  <c r="Y6" i="1"/>
  <c r="Y5" i="1"/>
  <c r="T15" i="1"/>
  <c r="AC15" i="1" s="1"/>
  <c r="V14" i="1"/>
  <c r="V15" i="1"/>
  <c r="V20" i="1"/>
  <c r="V19" i="1"/>
  <c r="V18" i="1"/>
  <c r="V17" i="1"/>
  <c r="V16" i="1"/>
  <c r="V13" i="1"/>
  <c r="V12" i="1"/>
  <c r="V11" i="1"/>
  <c r="V10" i="1"/>
  <c r="V9" i="1"/>
  <c r="V8" i="1"/>
  <c r="V7" i="1"/>
  <c r="V6" i="1"/>
  <c r="V5" i="1"/>
  <c r="F18" i="6" l="1"/>
  <c r="K11" i="6" s="1"/>
  <c r="H18" i="6"/>
  <c r="AD15" i="1"/>
  <c r="AE15" i="1" s="1"/>
  <c r="AD28" i="1"/>
  <c r="AE28" i="1" s="1"/>
  <c r="G26" i="5" l="1"/>
  <c r="G27" i="5" s="1"/>
  <c r="S21" i="1"/>
  <c r="T13" i="1"/>
  <c r="AC13" i="1" s="1"/>
  <c r="T14" i="1"/>
  <c r="AC14" i="1" s="1"/>
  <c r="B6" i="1"/>
  <c r="B7" i="1" s="1"/>
  <c r="B8" i="1" s="1"/>
  <c r="B9" i="1" s="1"/>
  <c r="B10" i="1" s="1"/>
  <c r="B11" i="1" s="1"/>
  <c r="B12" i="1" s="1"/>
  <c r="B13" i="1" s="1"/>
  <c r="B14" i="1" s="1"/>
  <c r="T6" i="1"/>
  <c r="AC6" i="1" s="1"/>
  <c r="T7" i="1"/>
  <c r="AC7" i="1" s="1"/>
  <c r="T8" i="1"/>
  <c r="AC8" i="1" s="1"/>
  <c r="T9" i="1"/>
  <c r="AC9" i="1" s="1"/>
  <c r="T10" i="1"/>
  <c r="AC10" i="1" s="1"/>
  <c r="T11" i="1"/>
  <c r="AC11" i="1" s="1"/>
  <c r="T12" i="1"/>
  <c r="AC12" i="1" s="1"/>
  <c r="T16" i="1"/>
  <c r="AC16" i="1" s="1"/>
  <c r="T17" i="1"/>
  <c r="AC17" i="1" s="1"/>
  <c r="T18" i="1"/>
  <c r="AC18" i="1" s="1"/>
  <c r="T19" i="1"/>
  <c r="AC19" i="1" s="1"/>
  <c r="T20" i="1"/>
  <c r="T5" i="1"/>
  <c r="AC5" i="1" s="1"/>
  <c r="B15" i="1" l="1"/>
  <c r="B16" i="1" s="1"/>
  <c r="B17" i="1" s="1"/>
  <c r="B18" i="1" s="1"/>
  <c r="B19" i="1" s="1"/>
  <c r="B20" i="1" s="1"/>
  <c r="AG20" i="1"/>
  <c r="AG21" i="1" s="1"/>
  <c r="AC20" i="1"/>
  <c r="AD20" i="1" s="1"/>
  <c r="AE20" i="1" s="1"/>
  <c r="AD8" i="1"/>
  <c r="AE8" i="1" s="1"/>
  <c r="AD12" i="1"/>
  <c r="AE12" i="1" s="1"/>
  <c r="AD18" i="1"/>
  <c r="AE18" i="1" s="1"/>
  <c r="AD11" i="1"/>
  <c r="AE11" i="1" s="1"/>
  <c r="AD7" i="1"/>
  <c r="AE7" i="1" s="1"/>
  <c r="AD13" i="1"/>
  <c r="AE13" i="1" s="1"/>
  <c r="AD19" i="1"/>
  <c r="AE19" i="1" s="1"/>
  <c r="AD17" i="1"/>
  <c r="AE17" i="1" s="1"/>
  <c r="AD10" i="1"/>
  <c r="AE10" i="1" s="1"/>
  <c r="AD16" i="1"/>
  <c r="AE16" i="1" s="1"/>
  <c r="AD9" i="1"/>
  <c r="AE9" i="1" s="1"/>
  <c r="T21" i="1"/>
  <c r="S30" i="1"/>
  <c r="AD5" i="1"/>
  <c r="AE5" i="1" s="1"/>
  <c r="AD6" i="1"/>
  <c r="AE6" i="1" s="1"/>
  <c r="AD14" i="1"/>
  <c r="AC3" i="1" l="1"/>
  <c r="AC21" i="1"/>
  <c r="AD33" i="1" s="1"/>
  <c r="AE14" i="1"/>
  <c r="AD21" i="1"/>
  <c r="AD3" i="1"/>
  <c r="AE3" i="1" l="1"/>
  <c r="AE21" i="1"/>
  <c r="F32" i="1" s="1"/>
  <c r="F39" i="1" l="1"/>
  <c r="F34" i="1"/>
</calcChain>
</file>

<file path=xl/sharedStrings.xml><?xml version="1.0" encoding="utf-8"?>
<sst xmlns="http://schemas.openxmlformats.org/spreadsheetml/2006/main" count="680" uniqueCount="211">
  <si>
    <t>Block Name</t>
  </si>
  <si>
    <t>Total Slabs/ Floors</t>
  </si>
  <si>
    <t>Year of construction</t>
  </si>
  <si>
    <t>Structure condition</t>
  </si>
  <si>
    <t>GI shed roof mounted on iron pillars, trusses frame structure</t>
  </si>
  <si>
    <t>S.No.</t>
  </si>
  <si>
    <t>Area (in sq. mtr.)</t>
  </si>
  <si>
    <t>Area (sq. fts.)</t>
  </si>
  <si>
    <t>Floor wise Height (ft.)</t>
  </si>
  <si>
    <t>Wing-1</t>
  </si>
  <si>
    <t>Wing-2</t>
  </si>
  <si>
    <t>Wing-3</t>
  </si>
  <si>
    <t>Wing-4</t>
  </si>
  <si>
    <t>Wing-5</t>
  </si>
  <si>
    <t>Wing-6</t>
  </si>
  <si>
    <t>Wing-7</t>
  </si>
  <si>
    <t>Wing-8</t>
  </si>
  <si>
    <t>Wing-9</t>
  </si>
  <si>
    <t>Wing-10</t>
  </si>
  <si>
    <t>Wing-10 A</t>
  </si>
  <si>
    <t>Wing-11</t>
  </si>
  <si>
    <t>Wing-12</t>
  </si>
  <si>
    <t>Wing-13</t>
  </si>
  <si>
    <t>Wing-14</t>
  </si>
  <si>
    <t>RCC Frammed Str.,Slab+BBM Work+Internal External Plaster
&amp; Roof Top Steel Structure with GI Colour Coated Sheet for Roofing</t>
  </si>
  <si>
    <t>Total</t>
  </si>
  <si>
    <t>1st Floor- 48
2nd Floor -32</t>
  </si>
  <si>
    <t>1st Floor- 32
2nd Floor -32
3rd Floor-32</t>
  </si>
  <si>
    <t>1st Floor- 48
2nd Floor -48
3rd Floor-48</t>
  </si>
  <si>
    <t>1st Floor- 38
2nd Floor -38
3rd Floor-38
4th Floor-38
5th Floor-38
6th Floor-38
7th Floor-38</t>
  </si>
  <si>
    <t xml:space="preserve">1st Floor- 38
2nd Floor -38
3rd Floor-38
4th Floor-38
</t>
  </si>
  <si>
    <t xml:space="preserve">GR. Floor- 38
</t>
  </si>
  <si>
    <t xml:space="preserve">GR. Floor- 54
</t>
  </si>
  <si>
    <t>Ground Flr</t>
  </si>
  <si>
    <t>1st Floor- 38
2nd Floor -38
3rd Floor-38</t>
  </si>
  <si>
    <t>UCR Compound Wall 2.4 M Ht.</t>
  </si>
  <si>
    <t>UCR Wall With RCC Coping</t>
  </si>
  <si>
    <t>Description of Property</t>
  </si>
  <si>
    <t>Structure Type</t>
  </si>
  <si>
    <t>Running Meter</t>
  </si>
  <si>
    <t>Sr.No</t>
  </si>
  <si>
    <t>Internal Roads</t>
  </si>
  <si>
    <t>Concrate Road + Pavar Blocks</t>
  </si>
  <si>
    <t>Sq. Meter</t>
  </si>
  <si>
    <t>Septic Tanks</t>
  </si>
  <si>
    <t>BBM+RCC</t>
  </si>
  <si>
    <t>Under Ground water Tank-1 =1.5 lk Litre
Approx.</t>
  </si>
  <si>
    <t>RCC Pardi Walls With Water Proofing
treatment &amp; Top RCC Slab</t>
  </si>
  <si>
    <t>Control Room</t>
  </si>
  <si>
    <t>RCC</t>
  </si>
  <si>
    <t>Under Ground Drains &amp; Gutters</t>
  </si>
  <si>
    <t>BBM &amp; Plaster</t>
  </si>
  <si>
    <t>Rain Water Harvesting &amp; Recharge Pits Etc.</t>
  </si>
  <si>
    <t>Street Lights &amp; cable Etc.</t>
  </si>
  <si>
    <t>Temple</t>
  </si>
  <si>
    <t>Not Calculated</t>
  </si>
  <si>
    <t xml:space="preserve"> Plots Wise Area to be Submitted to Bank</t>
  </si>
  <si>
    <t>Sr.</t>
  </si>
  <si>
    <t xml:space="preserve">Plot </t>
  </si>
  <si>
    <t>Name of Owner</t>
  </si>
  <si>
    <t xml:space="preserve">Purchse </t>
  </si>
  <si>
    <t>Total area</t>
  </si>
  <si>
    <t>Remark</t>
  </si>
  <si>
    <t>of Plot</t>
  </si>
  <si>
    <t xml:space="preserve"> </t>
  </si>
  <si>
    <t>12.06.2013</t>
  </si>
  <si>
    <t>New Plot  : 1/2/3/4/5</t>
  </si>
  <si>
    <t>29.11.1995</t>
  </si>
  <si>
    <t>New Plot  : 31/32/33/34/35</t>
  </si>
  <si>
    <t>07.05.1986</t>
  </si>
  <si>
    <t>New Plot  : 48/49/50/51</t>
  </si>
  <si>
    <t>K</t>
  </si>
  <si>
    <t>Old Plot 6 to 10</t>
  </si>
  <si>
    <t>Grand Total</t>
  </si>
  <si>
    <t>Good</t>
  </si>
  <si>
    <t xml:space="preserve">Year of Valuation </t>
  </si>
  <si>
    <t>Total Consumed Life (in Yrs.)</t>
  </si>
  <si>
    <t>Total Economic Life (in Yrs.)</t>
  </si>
  <si>
    <t>Salvage Value</t>
  </si>
  <si>
    <t>Depreciation Rate</t>
  </si>
  <si>
    <t>Plinth Area Rate  (in Sq.Ft.)</t>
  </si>
  <si>
    <t>Gross Replacement Value</t>
  </si>
  <si>
    <t>Depreciation</t>
  </si>
  <si>
    <t xml:space="preserve">Depreciated Replacement Value </t>
  </si>
  <si>
    <t xml:space="preserve">Type of construction     </t>
  </si>
  <si>
    <t>Boundary wall</t>
  </si>
  <si>
    <t>Length (in mtr.)</t>
  </si>
  <si>
    <t>Stone rubble masonry</t>
  </si>
  <si>
    <t>Rate/running mtr.</t>
  </si>
  <si>
    <t>Year of 
construction</t>
  </si>
  <si>
    <t>Nashik municipality NOC-23211.52 SQ.MTR., built up area mentioned.</t>
  </si>
  <si>
    <t>Notes:-</t>
  </si>
  <si>
    <t>Area(in sq.mt.)</t>
  </si>
  <si>
    <t>Area(in acre)</t>
  </si>
  <si>
    <t>Rate Considered
(per Acre)</t>
  </si>
  <si>
    <t>Total Value</t>
  </si>
  <si>
    <t>Plot No.</t>
  </si>
  <si>
    <t>Area given in
 Municipal NOC</t>
  </si>
  <si>
    <t>k</t>
  </si>
  <si>
    <t>Area
(in sq.mt.)</t>
  </si>
  <si>
    <t>Area
(in acre)</t>
  </si>
  <si>
    <t>TOTAL</t>
  </si>
  <si>
    <t>1. The buildings/sheds area has been considered from the building sheet shared from client's end, however area of some of the building/sheds has been cross verified during site survey, via physical measurement.</t>
  </si>
  <si>
    <t>Area given in
 Forest NOC</t>
  </si>
  <si>
    <t>p&amp;m</t>
  </si>
  <si>
    <t>Round up</t>
  </si>
  <si>
    <t>RV</t>
  </si>
  <si>
    <t>DSV</t>
  </si>
  <si>
    <t>Insuarance VALUE</t>
  </si>
  <si>
    <t>Warehouse-2</t>
  </si>
  <si>
    <t>Warehouse office &amp; Hazardous material storage area</t>
  </si>
  <si>
    <t>Description</t>
  </si>
  <si>
    <t>Electric Substation 
(Panel Room &amp; Elec. Office)</t>
  </si>
  <si>
    <t>Production Block-A</t>
  </si>
  <si>
    <t>Production Block- B,C,D,E,F,G &amp;H</t>
  </si>
  <si>
    <t>Utility &amp; Chilling Plant</t>
  </si>
  <si>
    <t>Peoduction block I&amp;J</t>
  </si>
  <si>
    <t>R&amp;D, Production Block-K, Storage Area</t>
  </si>
  <si>
    <t>Solvent Recovery Area</t>
  </si>
  <si>
    <t>R.O. Building, Chimney, Aeration Tank, Multi effect evaporator, MCC room Equalization</t>
  </si>
  <si>
    <t>ETP 2 &amp; Fire Hydrant Reservoir</t>
  </si>
  <si>
    <t>Warehouse-3,4,5 &amp; H.R.office</t>
  </si>
  <si>
    <t>Warehouse-1,2 &amp; Administrative office</t>
  </si>
  <si>
    <t>Canteen</t>
  </si>
  <si>
    <t>Boiler House &amp; Electric substation-2</t>
  </si>
  <si>
    <t>Work Shop &amp; Pip store area</t>
  </si>
  <si>
    <t>Ground floor 
(in sq.mt.)</t>
  </si>
  <si>
    <t>1st floor
(in sq.mt.)</t>
  </si>
  <si>
    <t>2nd Floor
(in sq.mt.)</t>
  </si>
  <si>
    <t>4th Floor
(in sq.mt.)</t>
  </si>
  <si>
    <t>5th Floor
(in sq.mt.)</t>
  </si>
  <si>
    <t>Total Area, as per approved plan(in sq.mt.)</t>
  </si>
  <si>
    <t>Floors (as per approved plan)</t>
  </si>
  <si>
    <t>G+1</t>
  </si>
  <si>
    <t>G+2</t>
  </si>
  <si>
    <t>G.F</t>
  </si>
  <si>
    <t>2. We have not considered building mentioned in wing 16,17 &amp;18, situated in plot no. 1 to 4. As during site survey no construction has been observed there, also plot no. 1 to 4 is not mortgaged in bank as per client's information.</t>
  </si>
  <si>
    <t>Deed No.</t>
  </si>
  <si>
    <t>2039/2013</t>
  </si>
  <si>
    <t>2037/2013</t>
  </si>
  <si>
    <t>2038/2013</t>
  </si>
  <si>
    <t>3471/2006</t>
  </si>
  <si>
    <t>3472/2006</t>
  </si>
  <si>
    <t>3473/2006</t>
  </si>
  <si>
    <t>3474/2006</t>
  </si>
  <si>
    <t>3475/2006</t>
  </si>
  <si>
    <t>3479/2006</t>
  </si>
  <si>
    <t>3476/2006</t>
  </si>
  <si>
    <t>3477/2006</t>
  </si>
  <si>
    <r>
      <t xml:space="preserve">Area 
mentioned
 in deed
</t>
    </r>
    <r>
      <rPr>
        <b/>
        <i/>
        <sz val="10"/>
        <color theme="0"/>
        <rFont val="Arial"/>
        <family val="2"/>
      </rPr>
      <t>(in acres</t>
    </r>
    <r>
      <rPr>
        <b/>
        <sz val="10"/>
        <color theme="0"/>
        <rFont val="Arial"/>
        <family val="2"/>
      </rPr>
      <t>)</t>
    </r>
  </si>
  <si>
    <r>
      <t xml:space="preserve">Area 
mentioned
 in deed
</t>
    </r>
    <r>
      <rPr>
        <b/>
        <i/>
        <sz val="10"/>
        <color theme="0"/>
        <rFont val="Arial"/>
        <family val="2"/>
      </rPr>
      <t>(in sq. mt.)</t>
    </r>
  </si>
  <si>
    <t>Area falls under open space</t>
  </si>
  <si>
    <t>sq.mt.</t>
  </si>
  <si>
    <t>Acre</t>
  </si>
  <si>
    <t>Approved</t>
  </si>
  <si>
    <t>Not approved</t>
  </si>
  <si>
    <t>Building plan status</t>
  </si>
  <si>
    <t>1. We have considered 4.66 Acre as land area, for which relevant documents provided to us. However, via measurement through google tools, during site survey, the land area found out to be 7.29 Acre.</t>
  </si>
  <si>
    <t>Rate considered</t>
  </si>
  <si>
    <t>Discount %</t>
  </si>
  <si>
    <t>Rate evaluated</t>
  </si>
  <si>
    <t>Total land value</t>
  </si>
  <si>
    <t>Total building , land &amp; boundary wall</t>
  </si>
  <si>
    <t>land</t>
  </si>
  <si>
    <t>Production block I&amp;J</t>
  </si>
  <si>
    <t>Land (in acre)</t>
  </si>
  <si>
    <t>Plinth Area Rate considered
(in Sq.Ft.)</t>
  </si>
  <si>
    <t xml:space="preserve">3. We have considered the covered area of wing 6,7,8,14 &amp; Work shop &amp; pipe store area from the building details shared in excel sheet from client's end. However, approval is still pending from Town Planning Department. Due to non-availability of approved plan we have discounted 50 % from plinth area rates of wing 6, 7, 8, 14 &amp; Work shop &amp; Pipe Area </t>
  </si>
  <si>
    <t>Area 
(in sq. mtr.)</t>
  </si>
  <si>
    <t>Area 
(sq. fts.)</t>
  </si>
  <si>
    <t>Total Area, as per approved plan
(in sq.mt.)</t>
  </si>
  <si>
    <t>Floors
 (as per approved plan)</t>
  </si>
  <si>
    <t>Plinth Area Rate
(INR per Sq.Ft.)</t>
  </si>
  <si>
    <t>S.No+BB4:AE16</t>
  </si>
  <si>
    <t>1 to 5</t>
  </si>
  <si>
    <t>31 to 35</t>
  </si>
  <si>
    <t>48 to 51</t>
  </si>
  <si>
    <t>201/K</t>
  </si>
  <si>
    <t>OS A</t>
  </si>
  <si>
    <t>OS B</t>
  </si>
  <si>
    <t>48-51</t>
  </si>
  <si>
    <t>31-35</t>
  </si>
  <si>
    <t>Ground</t>
  </si>
  <si>
    <t>RCC Structure</t>
  </si>
  <si>
    <t>Shed Roof with Brick Wall</t>
  </si>
  <si>
    <t>Steel Structure</t>
  </si>
  <si>
    <t>RCC &amp; Shed structure</t>
  </si>
  <si>
    <t>Ground+Mezzanine/First Floor</t>
  </si>
  <si>
    <t>Ground+First+Second</t>
  </si>
  <si>
    <t>Ground,First,Sec,Third,Fourth &amp; Fifth floor</t>
  </si>
  <si>
    <t>Basement,Ground,First,Sec,Third,Fourth &amp; Fifth floor</t>
  </si>
  <si>
    <t>new</t>
  </si>
  <si>
    <t>previous</t>
  </si>
  <si>
    <t>Gross Replacement Value
(INR)</t>
  </si>
  <si>
    <t>Depreciation
(INR)</t>
  </si>
  <si>
    <t>Depreciated Replacement Value 
(INR)</t>
  </si>
  <si>
    <t>S. No</t>
  </si>
  <si>
    <t>MFPPL</t>
  </si>
  <si>
    <t>22.05.2014</t>
  </si>
  <si>
    <r>
      <t xml:space="preserve">Area as per plot layout 2024
</t>
    </r>
    <r>
      <rPr>
        <b/>
        <i/>
        <sz val="10"/>
        <color theme="0"/>
        <rFont val="Arial"/>
        <family val="2"/>
      </rPr>
      <t>(in sq. mt.</t>
    </r>
    <r>
      <rPr>
        <b/>
        <sz val="10"/>
        <color theme="0"/>
        <rFont val="Arial"/>
        <family val="2"/>
      </rPr>
      <t>)</t>
    </r>
  </si>
  <si>
    <r>
      <t xml:space="preserve">Area as per plot layout 2024
</t>
    </r>
    <r>
      <rPr>
        <b/>
        <i/>
        <sz val="10"/>
        <color theme="0"/>
        <rFont val="Arial"/>
        <family val="2"/>
      </rPr>
      <t>(in acres)</t>
    </r>
  </si>
  <si>
    <t>Plot</t>
  </si>
  <si>
    <t>Purchase date</t>
  </si>
  <si>
    <t>Area as per plot layout</t>
  </si>
  <si>
    <r>
      <t>(in sq. mt.</t>
    </r>
    <r>
      <rPr>
        <b/>
        <sz val="8"/>
        <color rgb="FFFFFFFF"/>
        <rFont val="Calibri"/>
        <family val="2"/>
      </rPr>
      <t>)</t>
    </r>
  </si>
  <si>
    <t>Area as per plot layout 2024</t>
  </si>
  <si>
    <t>(in acres)</t>
  </si>
  <si>
    <t>Area</t>
  </si>
  <si>
    <t>(in sq. mt.)</t>
  </si>
  <si>
    <t>16.08.2006</t>
  </si>
  <si>
    <t>01.06.2015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</si>
</sst>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 numFmtId="166" formatCode="_ * #,##0.0_ ;_ * \-#,##0.0_ ;_ * &quot;-&quot;??_ ;_ @_ "/>
  </numFmts>
  <fonts count="30">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11"/>
      <name val="Arial"/>
      <family val="2"/>
    </font>
    <font>
      <b/>
      <sz val="8"/>
      <name val="Arial"/>
      <family val="2"/>
    </font>
    <font>
      <sz val="11"/>
      <name val="Arial"/>
      <family val="2"/>
    </font>
    <font>
      <b/>
      <sz val="10"/>
      <name val="Arial"/>
      <family val="2"/>
    </font>
    <font>
      <sz val="8"/>
      <name val="Arial"/>
      <family val="2"/>
    </font>
    <font>
      <sz val="10"/>
      <name val="Times New Roman"/>
      <family val="1"/>
    </font>
    <font>
      <b/>
      <sz val="11"/>
      <name val="Aharoni"/>
      <charset val="177"/>
    </font>
    <font>
      <b/>
      <sz val="10"/>
      <name val="Times New Roman"/>
      <family val="1"/>
    </font>
    <font>
      <b/>
      <sz val="12"/>
      <name val="Aharoni"/>
      <charset val="177"/>
    </font>
    <font>
      <b/>
      <sz val="16"/>
      <name val="Aharoni"/>
      <charset val="177"/>
    </font>
    <font>
      <b/>
      <sz val="11"/>
      <color theme="0"/>
      <name val="Calibri"/>
      <family val="2"/>
      <scheme val="minor"/>
    </font>
    <font>
      <i/>
      <sz val="11"/>
      <color theme="1"/>
      <name val="Calibri"/>
      <family val="2"/>
      <scheme val="minor"/>
    </font>
    <font>
      <b/>
      <sz val="10"/>
      <color theme="0"/>
      <name val="Arial"/>
      <family val="2"/>
    </font>
    <font>
      <b/>
      <i/>
      <sz val="10"/>
      <color theme="0"/>
      <name val="Arial"/>
      <family val="2"/>
    </font>
    <font>
      <b/>
      <sz val="9"/>
      <color theme="1"/>
      <name val="Calibri"/>
      <family val="2"/>
      <scheme val="minor"/>
    </font>
    <font>
      <sz val="9"/>
      <color theme="1"/>
      <name val="Calibri"/>
      <family val="2"/>
      <scheme val="minor"/>
    </font>
    <font>
      <sz val="8"/>
      <color rgb="FF000000"/>
      <name val="Calibri"/>
      <family val="2"/>
    </font>
    <font>
      <sz val="10"/>
      <color theme="1"/>
      <name val="Arial"/>
      <family val="2"/>
    </font>
    <font>
      <b/>
      <sz val="10"/>
      <color theme="1"/>
      <name val="Arial"/>
      <family val="2"/>
    </font>
    <font>
      <sz val="10"/>
      <name val="Cambria"/>
      <family val="2"/>
      <scheme val="major"/>
    </font>
    <font>
      <b/>
      <sz val="12"/>
      <name val="Cambria"/>
      <family val="2"/>
      <scheme val="major"/>
    </font>
    <font>
      <b/>
      <sz val="8"/>
      <color rgb="FFFFFFFF"/>
      <name val="Calibri"/>
      <family val="2"/>
    </font>
    <font>
      <b/>
      <i/>
      <sz val="8"/>
      <color rgb="FFFFFFFF"/>
      <name val="Calibri"/>
      <family val="2"/>
    </font>
    <font>
      <sz val="8"/>
      <color theme="1"/>
      <name val="Calibri"/>
      <family val="2"/>
    </font>
    <font>
      <b/>
      <sz val="8"/>
      <color theme="1"/>
      <name val="Calibri"/>
      <family val="2"/>
    </font>
    <font>
      <sz val="9"/>
      <color theme="1"/>
      <name val="Calibri"/>
      <family val="2"/>
    </font>
  </fonts>
  <fills count="14">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206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FF"/>
        <bgColor indexed="64"/>
      </patternFill>
    </fill>
    <fill>
      <patternFill patternType="solid">
        <fgColor rgb="FFD9D9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3">
    <xf numFmtId="0" fontId="0" fillId="0" borderId="0"/>
    <xf numFmtId="0" fontId="2" fillId="0" borderId="0"/>
    <xf numFmtId="43" fontId="3" fillId="0" borderId="0" applyFont="0" applyFill="0" applyBorder="0" applyAlignment="0" applyProtection="0"/>
  </cellStyleXfs>
  <cellXfs count="198">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1" fillId="2" borderId="1" xfId="0" applyFont="1" applyFill="1" applyBorder="1" applyAlignment="1">
      <alignment horizontal="left" vertical="center" wrapText="1"/>
    </xf>
    <xf numFmtId="0" fontId="0" fillId="0" borderId="1" xfId="0" applyBorder="1"/>
    <xf numFmtId="0" fontId="0" fillId="0" borderId="1" xfId="0" applyBorder="1" applyAlignment="1">
      <alignment wrapText="1"/>
    </xf>
    <xf numFmtId="0" fontId="1" fillId="0" borderId="0" xfId="0" applyFont="1"/>
    <xf numFmtId="0" fontId="0" fillId="0" borderId="1" xfId="0" applyBorder="1" applyAlignment="1">
      <alignment vertical="center"/>
    </xf>
    <xf numFmtId="43" fontId="0" fillId="0" borderId="1" xfId="2" applyFont="1" applyBorder="1" applyAlignment="1">
      <alignment horizontal="center" vertical="center"/>
    </xf>
    <xf numFmtId="0" fontId="2" fillId="0" borderId="0" xfId="1" applyAlignment="1">
      <alignment horizontal="center"/>
    </xf>
    <xf numFmtId="0" fontId="2" fillId="0" borderId="0" xfId="1"/>
    <xf numFmtId="0" fontId="4" fillId="0" borderId="0" xfId="1" applyFont="1"/>
    <xf numFmtId="0" fontId="5" fillId="0" borderId="0" xfId="1" applyFont="1" applyAlignment="1">
      <alignment horizontal="right"/>
    </xf>
    <xf numFmtId="0" fontId="6" fillId="0" borderId="0" xfId="1" applyFont="1"/>
    <xf numFmtId="0" fontId="9" fillId="0" borderId="0" xfId="1" applyFont="1" applyAlignment="1">
      <alignment horizontal="center"/>
    </xf>
    <xf numFmtId="0" fontId="9" fillId="0" borderId="0" xfId="1" applyFont="1"/>
    <xf numFmtId="0" fontId="10" fillId="4" borderId="1" xfId="1" applyFont="1" applyFill="1" applyBorder="1" applyAlignment="1">
      <alignment vertical="center"/>
    </xf>
    <xf numFmtId="0" fontId="11" fillId="4" borderId="5" xfId="1" applyFont="1" applyFill="1" applyBorder="1" applyAlignment="1">
      <alignment horizontal="center" vertical="center"/>
    </xf>
    <xf numFmtId="0" fontId="10" fillId="4" borderId="5" xfId="1" applyFont="1" applyFill="1" applyBorder="1" applyAlignment="1">
      <alignment vertical="center"/>
    </xf>
    <xf numFmtId="0" fontId="12" fillId="4" borderId="5" xfId="1" applyFont="1" applyFill="1" applyBorder="1" applyAlignment="1">
      <alignment horizontal="center" vertical="center"/>
    </xf>
    <xf numFmtId="1" fontId="13" fillId="4" borderId="5" xfId="1" applyNumberFormat="1" applyFont="1" applyFill="1" applyBorder="1" applyAlignment="1">
      <alignment horizontal="center" vertical="center"/>
    </xf>
    <xf numFmtId="0" fontId="12" fillId="4" borderId="8" xfId="1" applyFont="1" applyFill="1" applyBorder="1" applyAlignment="1">
      <alignment vertical="center"/>
    </xf>
    <xf numFmtId="0" fontId="9" fillId="0" borderId="0" xfId="1" applyFont="1" applyAlignment="1">
      <alignment vertical="center"/>
    </xf>
    <xf numFmtId="164" fontId="0" fillId="0" borderId="0" xfId="2" applyNumberFormat="1" applyFont="1"/>
    <xf numFmtId="165" fontId="0" fillId="0" borderId="0" xfId="2" applyNumberFormat="1" applyFont="1"/>
    <xf numFmtId="165" fontId="1" fillId="2" borderId="1" xfId="2" applyNumberFormat="1" applyFont="1" applyFill="1" applyBorder="1" applyAlignment="1">
      <alignment horizontal="center" vertical="center" wrapText="1"/>
    </xf>
    <xf numFmtId="165" fontId="0" fillId="0" borderId="0" xfId="0" applyNumberFormat="1"/>
    <xf numFmtId="165" fontId="1" fillId="2" borderId="1" xfId="0" applyNumberFormat="1" applyFont="1" applyFill="1" applyBorder="1" applyAlignment="1">
      <alignment horizontal="center" vertical="center" wrapText="1"/>
    </xf>
    <xf numFmtId="165" fontId="1" fillId="0" borderId="0" xfId="2" applyNumberFormat="1" applyFont="1"/>
    <xf numFmtId="9" fontId="0" fillId="0" borderId="1" xfId="0" applyNumberFormat="1" applyBorder="1" applyAlignment="1">
      <alignment horizontal="center" vertical="center"/>
    </xf>
    <xf numFmtId="165" fontId="0" fillId="0" borderId="1" xfId="2" applyNumberFormat="1" applyFont="1" applyBorder="1" applyAlignment="1">
      <alignment horizontal="center" vertical="center"/>
    </xf>
    <xf numFmtId="165" fontId="0" fillId="0" borderId="1" xfId="0" applyNumberFormat="1" applyBorder="1" applyAlignment="1">
      <alignment horizontal="center" vertical="center"/>
    </xf>
    <xf numFmtId="43" fontId="0" fillId="0" borderId="0" xfId="2" applyFont="1"/>
    <xf numFmtId="43" fontId="0" fillId="0" borderId="0" xfId="2" applyFont="1" applyAlignment="1">
      <alignment horizontal="center" vertical="center"/>
    </xf>
    <xf numFmtId="0" fontId="1" fillId="7" borderId="1" xfId="0" applyFont="1" applyFill="1" applyBorder="1" applyAlignment="1">
      <alignment horizontal="center" vertical="center"/>
    </xf>
    <xf numFmtId="43" fontId="1" fillId="7" borderId="1" xfId="2" applyFont="1" applyFill="1" applyBorder="1" applyAlignment="1">
      <alignment horizontal="center" vertical="center"/>
    </xf>
    <xf numFmtId="164" fontId="0" fillId="7" borderId="1" xfId="2" applyNumberFormat="1" applyFont="1" applyFill="1" applyBorder="1" applyAlignment="1">
      <alignment horizontal="center" vertical="center"/>
    </xf>
    <xf numFmtId="164" fontId="0" fillId="0" borderId="0" xfId="2" applyNumberFormat="1" applyFont="1" applyAlignment="1">
      <alignment horizontal="center" vertical="center"/>
    </xf>
    <xf numFmtId="165" fontId="1" fillId="7" borderId="1" xfId="0" applyNumberFormat="1" applyFont="1" applyFill="1" applyBorder="1" applyAlignment="1">
      <alignment horizontal="center" vertical="center"/>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43" fontId="14" fillId="6" borderId="1" xfId="2" applyFont="1" applyFill="1" applyBorder="1" applyAlignment="1">
      <alignment horizontal="center" vertical="center" wrapText="1"/>
    </xf>
    <xf numFmtId="164" fontId="14" fillId="6" borderId="1" xfId="2" applyNumberFormat="1" applyFont="1" applyFill="1" applyBorder="1" applyAlignment="1">
      <alignment horizontal="center" vertical="center" wrapText="1"/>
    </xf>
    <xf numFmtId="44" fontId="0" fillId="0" borderId="0" xfId="0" applyNumberFormat="1"/>
    <xf numFmtId="43" fontId="0" fillId="0" borderId="0" xfId="0" applyNumberFormat="1"/>
    <xf numFmtId="0" fontId="1" fillId="8" borderId="1" xfId="0" applyFont="1" applyFill="1" applyBorder="1" applyAlignment="1">
      <alignment horizontal="center" vertical="center"/>
    </xf>
    <xf numFmtId="43" fontId="1" fillId="8" borderId="1" xfId="2" applyFont="1" applyFill="1" applyBorder="1" applyAlignment="1">
      <alignment horizontal="center" vertical="center"/>
    </xf>
    <xf numFmtId="0" fontId="0" fillId="8" borderId="1" xfId="0" applyFill="1" applyBorder="1" applyAlignment="1">
      <alignment horizontal="center" vertical="center"/>
    </xf>
    <xf numFmtId="165" fontId="0" fillId="8" borderId="1" xfId="2" applyNumberFormat="1" applyFont="1" applyFill="1" applyBorder="1" applyAlignment="1">
      <alignment horizontal="center" vertical="center"/>
    </xf>
    <xf numFmtId="165" fontId="1" fillId="8" borderId="1" xfId="2" applyNumberFormat="1" applyFont="1" applyFill="1" applyBorder="1" applyAlignment="1">
      <alignment horizontal="center" vertical="center"/>
    </xf>
    <xf numFmtId="165" fontId="1" fillId="8" borderId="1" xfId="0" applyNumberFormat="1" applyFont="1" applyFill="1" applyBorder="1" applyAlignment="1">
      <alignment horizontal="center" vertical="center"/>
    </xf>
    <xf numFmtId="166" fontId="2" fillId="0" borderId="0" xfId="2" applyNumberFormat="1" applyFont="1" applyAlignment="1">
      <alignment horizontal="center"/>
    </xf>
    <xf numFmtId="166" fontId="13" fillId="4" borderId="5" xfId="2" applyNumberFormat="1" applyFont="1" applyFill="1" applyBorder="1" applyAlignment="1">
      <alignment horizontal="center" vertical="center"/>
    </xf>
    <xf numFmtId="166" fontId="9" fillId="0" borderId="0" xfId="2" applyNumberFormat="1" applyFont="1" applyAlignment="1">
      <alignment horizontal="center"/>
    </xf>
    <xf numFmtId="0" fontId="4" fillId="7" borderId="1" xfId="1" applyFont="1" applyFill="1" applyBorder="1" applyAlignment="1">
      <alignment horizontal="center" vertical="center"/>
    </xf>
    <xf numFmtId="1" fontId="4" fillId="7" borderId="1" xfId="1" applyNumberFormat="1" applyFont="1" applyFill="1" applyBorder="1" applyAlignment="1">
      <alignment horizontal="center" vertical="center"/>
    </xf>
    <xf numFmtId="43" fontId="4" fillId="7" borderId="1" xfId="2" applyFont="1" applyFill="1" applyBorder="1" applyAlignment="1">
      <alignment horizontal="center" vertical="center"/>
    </xf>
    <xf numFmtId="0" fontId="2" fillId="0" borderId="1" xfId="1" applyBorder="1" applyAlignment="1">
      <alignment horizontal="center" vertical="center"/>
    </xf>
    <xf numFmtId="0" fontId="2" fillId="3" borderId="1" xfId="1" applyFill="1" applyBorder="1" applyAlignment="1">
      <alignment horizontal="center" vertical="center"/>
    </xf>
    <xf numFmtId="0" fontId="7" fillId="0" borderId="1" xfId="1" applyFont="1" applyBorder="1" applyAlignment="1">
      <alignment horizontal="center" vertical="center"/>
    </xf>
    <xf numFmtId="1" fontId="7" fillId="0" borderId="1" xfId="1" applyNumberFormat="1" applyFont="1" applyBorder="1" applyAlignment="1">
      <alignment horizontal="center" vertical="center"/>
    </xf>
    <xf numFmtId="0" fontId="0" fillId="10" borderId="1" xfId="0" applyFill="1" applyBorder="1" applyAlignment="1">
      <alignment horizontal="center" vertical="center" wrapText="1"/>
    </xf>
    <xf numFmtId="0" fontId="4" fillId="0" borderId="2" xfId="1" applyFont="1" applyBorder="1" applyAlignment="1">
      <alignment horizontal="center"/>
    </xf>
    <xf numFmtId="0" fontId="4" fillId="0" borderId="3" xfId="1" applyFont="1" applyBorder="1" applyAlignment="1">
      <alignment horizontal="center"/>
    </xf>
    <xf numFmtId="0" fontId="4" fillId="0" borderId="6" xfId="1" applyFont="1" applyBorder="1" applyAlignment="1">
      <alignment horizontal="center"/>
    </xf>
    <xf numFmtId="0" fontId="2" fillId="10" borderId="1" xfId="1" applyFill="1" applyBorder="1" applyAlignment="1">
      <alignment horizontal="center" vertical="center"/>
    </xf>
    <xf numFmtId="2" fontId="13" fillId="4" borderId="5" xfId="1" applyNumberFormat="1" applyFont="1" applyFill="1" applyBorder="1" applyAlignment="1">
      <alignment horizontal="center" vertical="center"/>
    </xf>
    <xf numFmtId="0" fontId="4" fillId="0" borderId="0" xfId="1" applyFont="1" applyAlignment="1">
      <alignment horizontal="center"/>
    </xf>
    <xf numFmtId="0" fontId="2" fillId="10" borderId="0" xfId="1" applyFill="1"/>
    <xf numFmtId="0" fontId="7" fillId="10" borderId="1" xfId="1" applyFont="1" applyFill="1" applyBorder="1" applyAlignment="1">
      <alignment horizontal="center" vertical="center"/>
    </xf>
    <xf numFmtId="166" fontId="2" fillId="0" borderId="1" xfId="2" applyNumberFormat="1" applyFont="1" applyBorder="1" applyAlignment="1">
      <alignment horizontal="center" vertical="center"/>
    </xf>
    <xf numFmtId="1" fontId="2" fillId="0" borderId="1" xfId="1" applyNumberFormat="1" applyBorder="1" applyAlignment="1">
      <alignment horizontal="center" vertical="center"/>
    </xf>
    <xf numFmtId="43" fontId="2" fillId="0" borderId="0" xfId="2" applyFont="1" applyAlignment="1">
      <alignment horizontal="center"/>
    </xf>
    <xf numFmtId="43" fontId="4" fillId="0" borderId="0" xfId="2" applyFont="1"/>
    <xf numFmtId="43" fontId="2" fillId="0" borderId="1" xfId="2" applyFont="1" applyBorder="1" applyAlignment="1">
      <alignment horizontal="center" vertical="center"/>
    </xf>
    <xf numFmtId="43" fontId="13" fillId="4" borderId="8" xfId="2" applyFont="1" applyFill="1" applyBorder="1" applyAlignment="1">
      <alignment horizontal="center" vertical="center"/>
    </xf>
    <xf numFmtId="43" fontId="9" fillId="0" borderId="0" xfId="2" applyFont="1" applyAlignment="1">
      <alignment horizontal="center"/>
    </xf>
    <xf numFmtId="0" fontId="8" fillId="0" borderId="1" xfId="1" applyFont="1" applyBorder="1" applyAlignment="1">
      <alignment horizontal="center" vertical="center"/>
    </xf>
    <xf numFmtId="0" fontId="16" fillId="9" borderId="1" xfId="1" applyFont="1" applyFill="1" applyBorder="1" applyAlignment="1">
      <alignment horizontal="center" vertical="center"/>
    </xf>
    <xf numFmtId="0" fontId="18" fillId="2" borderId="1" xfId="0" applyFont="1" applyFill="1" applyBorder="1" applyAlignment="1">
      <alignment horizontal="center" vertical="center" wrapText="1"/>
    </xf>
    <xf numFmtId="43" fontId="18" fillId="2" borderId="1" xfId="2" applyFont="1"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43" fontId="19" fillId="0" borderId="1" xfId="2" applyFont="1" applyBorder="1" applyAlignment="1">
      <alignment horizontal="center" vertical="center"/>
    </xf>
    <xf numFmtId="0" fontId="19" fillId="11" borderId="1" xfId="0" applyFont="1" applyFill="1" applyBorder="1" applyAlignment="1">
      <alignment horizontal="center" vertical="center" wrapText="1"/>
    </xf>
    <xf numFmtId="43" fontId="19" fillId="11" borderId="1" xfId="2" applyFont="1" applyFill="1" applyBorder="1" applyAlignment="1">
      <alignment horizontal="center" vertical="center"/>
    </xf>
    <xf numFmtId="0" fontId="18" fillId="8" borderId="1" xfId="0" applyFont="1" applyFill="1" applyBorder="1" applyAlignment="1">
      <alignment horizontal="center" vertical="center"/>
    </xf>
    <xf numFmtId="43" fontId="18" fillId="8" borderId="1" xfId="2"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43" fontId="19" fillId="0" borderId="0" xfId="2" applyFont="1" applyAlignment="1">
      <alignment horizontal="center" vertical="center"/>
    </xf>
    <xf numFmtId="0" fontId="19" fillId="0" borderId="0" xfId="0" applyFont="1"/>
    <xf numFmtId="165" fontId="19" fillId="0" borderId="0" xfId="2" applyNumberFormat="1" applyFont="1"/>
    <xf numFmtId="165" fontId="18" fillId="0" borderId="0" xfId="2" applyNumberFormat="1" applyFont="1"/>
    <xf numFmtId="165" fontId="18" fillId="2" borderId="1" xfId="2"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9" fontId="19" fillId="0" borderId="1" xfId="0" applyNumberFormat="1" applyFont="1" applyBorder="1" applyAlignment="1">
      <alignment horizontal="center" vertical="center"/>
    </xf>
    <xf numFmtId="165" fontId="19" fillId="0" borderId="1" xfId="2" applyNumberFormat="1" applyFont="1" applyBorder="1" applyAlignment="1">
      <alignment horizontal="center" vertical="center"/>
    </xf>
    <xf numFmtId="165" fontId="19" fillId="0" borderId="1" xfId="0" applyNumberFormat="1" applyFont="1" applyBorder="1" applyAlignment="1">
      <alignment horizontal="center" vertical="center"/>
    </xf>
    <xf numFmtId="0" fontId="19" fillId="8" borderId="1" xfId="0" applyFont="1" applyFill="1" applyBorder="1" applyAlignment="1">
      <alignment horizontal="center" vertical="center"/>
    </xf>
    <xf numFmtId="165" fontId="19" fillId="8" borderId="1" xfId="2" applyNumberFormat="1" applyFont="1" applyFill="1" applyBorder="1" applyAlignment="1">
      <alignment horizontal="center" vertical="center"/>
    </xf>
    <xf numFmtId="165" fontId="18" fillId="8" borderId="1" xfId="2" applyNumberFormat="1" applyFont="1" applyFill="1" applyBorder="1" applyAlignment="1">
      <alignment horizontal="center" vertical="center"/>
    </xf>
    <xf numFmtId="165" fontId="18" fillId="8" borderId="1" xfId="0" applyNumberFormat="1" applyFont="1" applyFill="1" applyBorder="1" applyAlignment="1">
      <alignment horizontal="center" vertical="center"/>
    </xf>
    <xf numFmtId="0" fontId="18" fillId="0" borderId="0" xfId="0" applyFont="1" applyAlignment="1">
      <alignment horizontal="center" vertical="center" wrapText="1"/>
    </xf>
    <xf numFmtId="43" fontId="18" fillId="0" borderId="0" xfId="2" applyFont="1" applyAlignment="1">
      <alignment horizontal="center" vertical="center"/>
    </xf>
    <xf numFmtId="9" fontId="19" fillId="0" borderId="0" xfId="0" applyNumberFormat="1" applyFont="1" applyAlignment="1">
      <alignment horizontal="center" vertical="center"/>
    </xf>
    <xf numFmtId="165" fontId="19" fillId="0" borderId="0" xfId="2" applyNumberFormat="1" applyFont="1" applyAlignment="1">
      <alignment horizontal="center" vertical="center"/>
    </xf>
    <xf numFmtId="165" fontId="19" fillId="0" borderId="0" xfId="0" applyNumberFormat="1" applyFont="1" applyAlignment="1">
      <alignment horizontal="center" vertical="center"/>
    </xf>
    <xf numFmtId="165" fontId="19" fillId="0" borderId="0" xfId="0" applyNumberFormat="1" applyFont="1"/>
    <xf numFmtId="165" fontId="18" fillId="0" borderId="0" xfId="0" applyNumberFormat="1" applyFont="1" applyAlignment="1">
      <alignment horizontal="center" vertical="center"/>
    </xf>
    <xf numFmtId="0" fontId="18" fillId="0" borderId="0" xfId="0" applyFont="1" applyAlignment="1">
      <alignment horizontal="left" vertical="center" wrapText="1"/>
    </xf>
    <xf numFmtId="164" fontId="18" fillId="0" borderId="0" xfId="2" applyNumberFormat="1" applyFont="1" applyAlignment="1">
      <alignment horizontal="center" vertical="center"/>
    </xf>
    <xf numFmtId="44" fontId="19" fillId="0" borderId="0" xfId="0" applyNumberFormat="1" applyFont="1" applyAlignment="1">
      <alignment horizontal="center" vertical="center"/>
    </xf>
    <xf numFmtId="9" fontId="0" fillId="0" borderId="0" xfId="0" applyNumberFormat="1"/>
    <xf numFmtId="43" fontId="19" fillId="0" borderId="0" xfId="0" applyNumberFormat="1" applyFont="1"/>
    <xf numFmtId="3" fontId="0" fillId="0" borderId="0" xfId="0" applyNumberFormat="1"/>
    <xf numFmtId="164" fontId="0" fillId="0" borderId="0" xfId="0" applyNumberFormat="1"/>
    <xf numFmtId="164" fontId="19" fillId="0" borderId="0" xfId="2" applyNumberFormat="1" applyFont="1"/>
    <xf numFmtId="3" fontId="21" fillId="0" borderId="9" xfId="0" applyNumberFormat="1" applyFont="1" applyBorder="1" applyAlignment="1">
      <alignment horizontal="center" vertical="center"/>
    </xf>
    <xf numFmtId="3" fontId="20" fillId="0" borderId="10" xfId="0" applyNumberFormat="1" applyFont="1" applyBorder="1" applyAlignment="1">
      <alignment horizontal="center" vertical="center"/>
    </xf>
    <xf numFmtId="164" fontId="0" fillId="0" borderId="0" xfId="2" applyNumberFormat="1" applyFont="1" applyBorder="1"/>
    <xf numFmtId="3" fontId="22" fillId="0" borderId="0" xfId="0" applyNumberFormat="1" applyFont="1"/>
    <xf numFmtId="164" fontId="1" fillId="0" borderId="0" xfId="2" applyNumberFormat="1" applyFont="1"/>
    <xf numFmtId="0" fontId="23" fillId="3" borderId="5" xfId="1" applyFont="1" applyFill="1" applyBorder="1" applyAlignment="1">
      <alignment horizontal="center" vertical="center" wrapText="1"/>
    </xf>
    <xf numFmtId="0" fontId="23" fillId="3" borderId="1" xfId="1" applyFont="1" applyFill="1" applyBorder="1" applyAlignment="1">
      <alignment horizontal="center" vertical="center" wrapText="1"/>
    </xf>
    <xf numFmtId="0" fontId="24" fillId="3" borderId="5" xfId="1" applyFont="1" applyFill="1" applyBorder="1" applyAlignment="1">
      <alignment horizontal="center" vertical="center"/>
    </xf>
    <xf numFmtId="0" fontId="24" fillId="3" borderId="1" xfId="1" applyFont="1" applyFill="1" applyBorder="1" applyAlignment="1">
      <alignment horizontal="center" vertical="center"/>
    </xf>
    <xf numFmtId="0" fontId="24" fillId="0" borderId="1" xfId="1" applyFont="1" applyBorder="1" applyAlignment="1">
      <alignment horizontal="center" vertical="center"/>
    </xf>
    <xf numFmtId="0" fontId="24" fillId="3" borderId="1" xfId="1" applyFont="1" applyFill="1" applyBorder="1" applyAlignment="1">
      <alignment horizontal="center" vertical="center" wrapText="1"/>
    </xf>
    <xf numFmtId="2" fontId="24" fillId="3" borderId="1" xfId="1" applyNumberFormat="1" applyFont="1" applyFill="1" applyBorder="1" applyAlignment="1">
      <alignment horizontal="center" vertical="center"/>
    </xf>
    <xf numFmtId="165" fontId="19" fillId="10" borderId="1" xfId="2" applyNumberFormat="1" applyFont="1" applyFill="1" applyBorder="1" applyAlignment="1">
      <alignment horizontal="center" vertical="center"/>
    </xf>
    <xf numFmtId="0" fontId="19" fillId="10" borderId="1" xfId="0" applyFont="1" applyFill="1" applyBorder="1" applyAlignment="1">
      <alignment horizontal="center" vertical="center" wrapText="1"/>
    </xf>
    <xf numFmtId="0" fontId="19" fillId="10" borderId="1" xfId="0" applyFont="1" applyFill="1" applyBorder="1" applyAlignment="1">
      <alignment horizontal="center" vertical="center"/>
    </xf>
    <xf numFmtId="0" fontId="19" fillId="0" borderId="1" xfId="0" applyFont="1" applyFill="1" applyBorder="1" applyAlignment="1">
      <alignment horizontal="center" vertical="center" wrapText="1"/>
    </xf>
    <xf numFmtId="164" fontId="19" fillId="0" borderId="1" xfId="2" applyNumberFormat="1" applyFont="1" applyFill="1" applyBorder="1" applyAlignment="1">
      <alignment horizontal="center" vertical="center"/>
    </xf>
    <xf numFmtId="164" fontId="19" fillId="0" borderId="1" xfId="2" applyNumberFormat="1" applyFont="1" applyBorder="1" applyAlignment="1">
      <alignment horizontal="center" vertical="center"/>
    </xf>
    <xf numFmtId="164" fontId="19" fillId="8" borderId="1" xfId="2" applyNumberFormat="1" applyFont="1" applyFill="1" applyBorder="1" applyAlignment="1">
      <alignment horizontal="center" vertical="center"/>
    </xf>
    <xf numFmtId="164" fontId="18" fillId="8" borderId="1" xfId="2" applyNumberFormat="1" applyFont="1" applyFill="1" applyBorder="1" applyAlignment="1">
      <alignment horizontal="center" vertical="center"/>
    </xf>
    <xf numFmtId="164" fontId="19" fillId="0" borderId="0" xfId="0" applyNumberFormat="1" applyFont="1"/>
    <xf numFmtId="0" fontId="2" fillId="0" borderId="1" xfId="1" applyBorder="1"/>
    <xf numFmtId="0" fontId="25" fillId="9" borderId="15"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0" fillId="9" borderId="17" xfId="0" applyFill="1" applyBorder="1" applyAlignment="1">
      <alignment vertical="center" wrapText="1"/>
    </xf>
    <xf numFmtId="0" fontId="25" fillId="9" borderId="16" xfId="0" applyFont="1" applyFill="1" applyBorder="1" applyAlignment="1">
      <alignment horizontal="center" vertical="center" wrapText="1"/>
    </xf>
    <xf numFmtId="0" fontId="0" fillId="0" borderId="0" xfId="0" applyAlignment="1">
      <alignment vertical="center" wrapText="1"/>
    </xf>
    <xf numFmtId="0" fontId="27" fillId="0" borderId="13" xfId="0" applyFont="1" applyBorder="1" applyAlignment="1">
      <alignment horizontal="center" vertical="center"/>
    </xf>
    <xf numFmtId="0" fontId="27" fillId="12" borderId="17" xfId="0" applyFont="1" applyFill="1" applyBorder="1" applyAlignment="1">
      <alignment horizontal="center" vertical="center"/>
    </xf>
    <xf numFmtId="0" fontId="27" fillId="0" borderId="17" xfId="0" applyFont="1" applyBorder="1" applyAlignment="1">
      <alignment horizontal="center" vertical="center"/>
    </xf>
    <xf numFmtId="0" fontId="28" fillId="13" borderId="17" xfId="0" applyFont="1" applyFill="1" applyBorder="1" applyAlignment="1">
      <alignment horizontal="center" vertical="center"/>
    </xf>
    <xf numFmtId="0" fontId="0" fillId="13" borderId="17" xfId="0" applyFill="1" applyBorder="1" applyAlignment="1">
      <alignment vertical="center"/>
    </xf>
    <xf numFmtId="0" fontId="29" fillId="0" borderId="20" xfId="0" applyFont="1" applyBorder="1" applyAlignment="1">
      <alignment horizontal="center" vertical="center"/>
    </xf>
    <xf numFmtId="0" fontId="29" fillId="0" borderId="13" xfId="0" applyFont="1" applyBorder="1" applyAlignment="1">
      <alignment horizontal="center" vertical="center"/>
    </xf>
    <xf numFmtId="2" fontId="0" fillId="0" borderId="0" xfId="0" applyNumberFormat="1"/>
    <xf numFmtId="0" fontId="18" fillId="8" borderId="2" xfId="0" applyFont="1" applyFill="1" applyBorder="1" applyAlignment="1">
      <alignment horizontal="center" vertical="center"/>
    </xf>
    <xf numFmtId="0" fontId="18" fillId="8" borderId="3" xfId="0" applyFont="1" applyFill="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6" xfId="0" applyFont="1" applyBorder="1" applyAlignment="1">
      <alignment horizontal="left"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6" xfId="0" applyFont="1" applyBorder="1" applyAlignment="1">
      <alignment horizontal="left" vertical="center" wrapText="1"/>
    </xf>
    <xf numFmtId="0" fontId="25" fillId="9" borderId="11" xfId="0" applyFont="1" applyFill="1" applyBorder="1" applyAlignment="1">
      <alignment horizontal="center" vertical="center"/>
    </xf>
    <xf numFmtId="0" fontId="25" fillId="9" borderId="12" xfId="0" applyFont="1" applyFill="1" applyBorder="1" applyAlignment="1">
      <alignment horizontal="center" vertical="center"/>
    </xf>
    <xf numFmtId="0" fontId="25" fillId="9" borderId="13" xfId="0" applyFont="1" applyFill="1" applyBorder="1" applyAlignment="1">
      <alignment horizontal="center" vertical="center"/>
    </xf>
    <xf numFmtId="0" fontId="16" fillId="9" borderId="4" xfId="1" applyFont="1" applyFill="1" applyBorder="1" applyAlignment="1">
      <alignment horizontal="center" vertical="center"/>
    </xf>
    <xf numFmtId="0" fontId="16" fillId="9" borderId="7" xfId="1" applyFont="1" applyFill="1" applyBorder="1" applyAlignment="1">
      <alignment horizontal="center" vertical="center"/>
    </xf>
    <xf numFmtId="0" fontId="16" fillId="9" borderId="5" xfId="1" applyFont="1" applyFill="1" applyBorder="1" applyAlignment="1">
      <alignment horizontal="center" vertical="center"/>
    </xf>
    <xf numFmtId="43" fontId="16" fillId="9" borderId="1" xfId="2" applyFont="1" applyFill="1" applyBorder="1" applyAlignment="1">
      <alignment horizontal="center" vertical="center" wrapText="1"/>
    </xf>
    <xf numFmtId="0" fontId="4" fillId="7" borderId="1" xfId="1" applyFont="1" applyFill="1" applyBorder="1" applyAlignment="1">
      <alignment horizontal="center" vertical="center"/>
    </xf>
    <xf numFmtId="0" fontId="16" fillId="9" borderId="1" xfId="1" applyFont="1" applyFill="1" applyBorder="1" applyAlignment="1">
      <alignment horizontal="center" vertical="center" wrapText="1"/>
    </xf>
    <xf numFmtId="0" fontId="16" fillId="9" borderId="1" xfId="1" applyFont="1" applyFill="1" applyBorder="1" applyAlignment="1">
      <alignment horizontal="center" vertical="center"/>
    </xf>
    <xf numFmtId="166" fontId="16" fillId="9" borderId="1" xfId="2" applyNumberFormat="1" applyFont="1" applyFill="1" applyBorder="1" applyAlignment="1">
      <alignment horizontal="center" vertical="center" wrapText="1"/>
    </xf>
    <xf numFmtId="166" fontId="16" fillId="9" borderId="1" xfId="2" applyNumberFormat="1" applyFont="1" applyFill="1" applyBorder="1" applyAlignment="1">
      <alignment horizontal="center" vertical="center"/>
    </xf>
    <xf numFmtId="0" fontId="2" fillId="3" borderId="4" xfId="1" applyFill="1" applyBorder="1" applyAlignment="1">
      <alignment horizontal="center" vertical="center"/>
    </xf>
    <xf numFmtId="0" fontId="2" fillId="3" borderId="7" xfId="1" applyFill="1" applyBorder="1" applyAlignment="1">
      <alignment horizontal="center" vertical="center"/>
    </xf>
    <xf numFmtId="0" fontId="2" fillId="3" borderId="5" xfId="1" applyFill="1" applyBorder="1" applyAlignment="1">
      <alignment horizontal="center" vertical="center"/>
    </xf>
    <xf numFmtId="0" fontId="28" fillId="13" borderId="18" xfId="0" applyFont="1" applyFill="1" applyBorder="1" applyAlignment="1">
      <alignment horizontal="center" vertical="center"/>
    </xf>
    <xf numFmtId="0" fontId="28" fillId="13" borderId="19" xfId="0" applyFont="1" applyFill="1" applyBorder="1" applyAlignment="1">
      <alignment horizontal="center" vertical="center"/>
    </xf>
    <xf numFmtId="0" fontId="28" fillId="13" borderId="14" xfId="0" applyFont="1" applyFill="1" applyBorder="1" applyAlignment="1">
      <alignment horizontal="center" vertical="center"/>
    </xf>
    <xf numFmtId="0" fontId="0" fillId="0" borderId="0" xfId="0" applyAlignment="1">
      <alignment horizontal="center"/>
    </xf>
    <xf numFmtId="0" fontId="0" fillId="5" borderId="0" xfId="0" applyFill="1" applyAlignment="1">
      <alignment horizontal="center" wrapText="1"/>
    </xf>
    <xf numFmtId="0" fontId="0" fillId="5" borderId="0" xfId="0" applyFill="1" applyAlignment="1">
      <alignment horizontal="center"/>
    </xf>
    <xf numFmtId="0" fontId="1" fillId="7" borderId="1" xfId="0" applyFont="1" applyFill="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6" xfId="0" applyFont="1"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18" fillId="8" borderId="6" xfId="0"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xdr:from>
      <xdr:col>11</xdr:col>
      <xdr:colOff>647700</xdr:colOff>
      <xdr:row>0</xdr:row>
      <xdr:rowOff>85725</xdr:rowOff>
    </xdr:from>
    <xdr:to>
      <xdr:col>11</xdr:col>
      <xdr:colOff>1333500</xdr:colOff>
      <xdr:row>2</xdr:row>
      <xdr:rowOff>9525</xdr:rowOff>
    </xdr:to>
    <xdr:pic>
      <xdr:nvPicPr>
        <xdr:cNvPr id="2" name="Picture 1" descr="logo">
          <a:extLst>
            <a:ext uri="{FF2B5EF4-FFF2-40B4-BE49-F238E27FC236}">
              <a16:creationId xmlns="" xmlns:a16="http://schemas.microsoft.com/office/drawing/2014/main" id="{9ED0EC13-A473-416C-AA90-096701AF61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8400" y="85725"/>
          <a:ext cx="685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609598</xdr:colOff>
      <xdr:row>14</xdr:row>
      <xdr:rowOff>0</xdr:rowOff>
    </xdr:from>
    <xdr:to>
      <xdr:col>24</xdr:col>
      <xdr:colOff>361949</xdr:colOff>
      <xdr:row>47</xdr:row>
      <xdr:rowOff>161925</xdr:rowOff>
    </xdr:to>
    <xdr:pic>
      <xdr:nvPicPr>
        <xdr:cNvPr id="2" name="Picture 1">
          <a:extLst>
            <a:ext uri="{FF2B5EF4-FFF2-40B4-BE49-F238E27FC236}">
              <a16:creationId xmlns=""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7598" y="2667000"/>
          <a:ext cx="11334751" cy="6448425"/>
        </a:xfrm>
        <a:prstGeom prst="rect">
          <a:avLst/>
        </a:prstGeom>
        <a:ln>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20Progress%20Files\Anirban%20Roy\Megafine%20pharma\Nashik\pics\F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lly-01.04.22 TO 31.03.23"/>
      <sheetName val="Schedule - II"/>
      <sheetName val="PIVOT"/>
      <sheetName val="EL&amp;SV"/>
      <sheetName val="WORKING"/>
      <sheetName val="cat.4"/>
      <sheetName val="summary"/>
      <sheetName val="cat.3"/>
      <sheetName val="cat.2"/>
      <sheetName val="cat.1"/>
      <sheetName val="7.Motor Car"/>
      <sheetName val="3.Computers &amp; Printers "/>
      <sheetName val="2.Air Conditioners"/>
      <sheetName val="9.VC Equipments"/>
      <sheetName val="4.Fire Fighting Equip."/>
      <sheetName val="8.R &amp; D"/>
      <sheetName val="6.Lab Equipments"/>
      <sheetName val="11.Chilling Plant"/>
      <sheetName val="12.ETP"/>
      <sheetName val="10.Plant &amp; Machinery"/>
      <sheetName val="13.Electrical Assets"/>
      <sheetName val="17.Labour Shed"/>
      <sheetName val="18.Land"/>
      <sheetName val="15.Factory Building"/>
      <sheetName val="19.Land Development"/>
      <sheetName val="16.Godown Shed"/>
      <sheetName val="14.Erection &amp; Insulation"/>
      <sheetName val="20.Mobile Equipment"/>
      <sheetName val="5.Furniture &amp; Fixture"/>
      <sheetName val="22.Parking Shed"/>
      <sheetName val="23.Pipes &amp; Fitting"/>
      <sheetName val="25.Staff Safety Equipments"/>
      <sheetName val="26.Canteen Building"/>
      <sheetName val="24.Motor Bike"/>
      <sheetName val="21.Office Equipment"/>
      <sheetName val="11.Chilling Plant (Revised)"/>
      <sheetName val="27.Canteen Equipment"/>
    </sheetNames>
    <sheetDataSet>
      <sheetData sheetId="0"/>
      <sheetData sheetId="1"/>
      <sheetData sheetId="2"/>
      <sheetData sheetId="3"/>
      <sheetData sheetId="4">
        <row r="4">
          <cell r="BO4">
            <v>460428011.8829692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0"/>
  <sheetViews>
    <sheetView tabSelected="1" topLeftCell="B29" zoomScale="85" zoomScaleNormal="85" workbookViewId="0">
      <selection activeCell="AD42" sqref="AD42"/>
    </sheetView>
  </sheetViews>
  <sheetFormatPr defaultRowHeight="12"/>
  <cols>
    <col min="1" max="1" width="9.140625" style="99"/>
    <col min="2" max="2" width="4.85546875" style="94" customWidth="1"/>
    <col min="3" max="3" width="11" style="95" customWidth="1"/>
    <col min="4" max="4" width="5.7109375" style="95" bestFit="1" customWidth="1"/>
    <col min="5" max="5" width="13.5703125" style="95" customWidth="1"/>
    <col min="6" max="6" width="14.28515625" style="96" hidden="1" customWidth="1"/>
    <col min="7" max="7" width="10.85546875" style="96" customWidth="1"/>
    <col min="8" max="8" width="9" style="96" hidden="1" customWidth="1"/>
    <col min="9" max="9" width="10.5703125" style="96" hidden="1" customWidth="1"/>
    <col min="10" max="12" width="13.28515625" style="96" hidden="1" customWidth="1"/>
    <col min="13" max="13" width="8.85546875" style="96" hidden="1" customWidth="1"/>
    <col min="14" max="15" width="13.28515625" style="96" hidden="1" customWidth="1"/>
    <col min="16" max="16" width="9.28515625" style="96" hidden="1" customWidth="1"/>
    <col min="17" max="17" width="29.42578125" style="96" bestFit="1" customWidth="1"/>
    <col min="18" max="18" width="12.85546875" style="98" hidden="1" customWidth="1"/>
    <col min="19" max="19" width="13.28515625" style="98" bestFit="1" customWidth="1"/>
    <col min="20" max="20" width="10.7109375" style="99" hidden="1" customWidth="1"/>
    <col min="21" max="21" width="20.140625" style="99" customWidth="1"/>
    <col min="22" max="22" width="15.42578125" style="99" hidden="1" customWidth="1"/>
    <col min="23" max="23" width="14.42578125" style="99" hidden="1" customWidth="1"/>
    <col min="24" max="24" width="12.85546875" style="99" hidden="1" customWidth="1"/>
    <col min="25" max="26" width="11.42578125" style="100" hidden="1" customWidth="1"/>
    <col min="27" max="27" width="11.42578125" style="100" customWidth="1"/>
    <col min="28" max="28" width="15.85546875" style="100" customWidth="1"/>
    <col min="29" max="29" width="17" style="116" hidden="1" customWidth="1"/>
    <col min="30" max="30" width="20.42578125" style="116" customWidth="1"/>
    <col min="31" max="31" width="9.140625" style="99"/>
    <col min="32" max="32" width="46.85546875" style="99" customWidth="1"/>
    <col min="33" max="16384" width="9.140625" style="99"/>
  </cols>
  <sheetData>
    <row r="2" spans="2:32">
      <c r="N2" s="96">
        <f>2023-33</f>
        <v>1990</v>
      </c>
    </row>
    <row r="3" spans="2:32">
      <c r="Y3" s="100" t="s">
        <v>192</v>
      </c>
      <c r="Z3" s="100" t="s">
        <v>192</v>
      </c>
      <c r="AA3" s="100" t="s">
        <v>191</v>
      </c>
      <c r="AB3" s="101">
        <f>SUBTOTAL(9,AB5:AB18)</f>
        <v>323190497.9224</v>
      </c>
      <c r="AC3" s="101">
        <f>SUBTOTAL(9,AC5:AC18)</f>
        <v>87920197.774021998</v>
      </c>
      <c r="AD3" s="101">
        <f>SUBTOTAL(9,AD5:AD18)</f>
        <v>235270300.14837801</v>
      </c>
    </row>
    <row r="4" spans="2:32" ht="60" customHeight="1">
      <c r="B4" s="85" t="s">
        <v>196</v>
      </c>
      <c r="C4" s="85" t="s">
        <v>0</v>
      </c>
      <c r="D4" s="85" t="s">
        <v>96</v>
      </c>
      <c r="E4" s="85" t="s">
        <v>111</v>
      </c>
      <c r="F4" s="85" t="s">
        <v>1</v>
      </c>
      <c r="G4" s="85" t="s">
        <v>171</v>
      </c>
      <c r="H4" s="85" t="s">
        <v>156</v>
      </c>
      <c r="I4" s="85" t="s">
        <v>8</v>
      </c>
      <c r="J4" s="85" t="s">
        <v>126</v>
      </c>
      <c r="K4" s="85" t="s">
        <v>127</v>
      </c>
      <c r="L4" s="85" t="s">
        <v>128</v>
      </c>
      <c r="M4" s="85" t="s">
        <v>170</v>
      </c>
      <c r="N4" s="85" t="s">
        <v>129</v>
      </c>
      <c r="O4" s="85" t="s">
        <v>130</v>
      </c>
      <c r="P4" s="85" t="s">
        <v>2</v>
      </c>
      <c r="Q4" s="85" t="s">
        <v>84</v>
      </c>
      <c r="R4" s="86" t="s">
        <v>168</v>
      </c>
      <c r="S4" s="86" t="s">
        <v>169</v>
      </c>
      <c r="T4" s="85" t="s">
        <v>75</v>
      </c>
      <c r="U4" s="85" t="s">
        <v>76</v>
      </c>
      <c r="V4" s="85" t="s">
        <v>77</v>
      </c>
      <c r="W4" s="85" t="s">
        <v>78</v>
      </c>
      <c r="X4" s="85" t="s">
        <v>79</v>
      </c>
      <c r="Y4" s="102" t="s">
        <v>80</v>
      </c>
      <c r="Z4" s="102" t="s">
        <v>166</v>
      </c>
      <c r="AA4" s="102" t="s">
        <v>172</v>
      </c>
      <c r="AB4" s="102" t="s">
        <v>193</v>
      </c>
      <c r="AC4" s="103" t="s">
        <v>194</v>
      </c>
      <c r="AD4" s="103" t="s">
        <v>195</v>
      </c>
    </row>
    <row r="5" spans="2:32" ht="48">
      <c r="B5" s="87">
        <f>ROWS($C$5:C5)</f>
        <v>1</v>
      </c>
      <c r="C5" s="141" t="s">
        <v>9</v>
      </c>
      <c r="D5" s="141" t="s">
        <v>180</v>
      </c>
      <c r="E5" s="141" t="s">
        <v>112</v>
      </c>
      <c r="F5" s="88">
        <v>2</v>
      </c>
      <c r="G5" s="131" t="s">
        <v>187</v>
      </c>
      <c r="H5" s="88" t="s">
        <v>154</v>
      </c>
      <c r="I5" s="139" t="s">
        <v>26</v>
      </c>
      <c r="J5" s="88">
        <v>177.02</v>
      </c>
      <c r="K5" s="88"/>
      <c r="L5" s="88"/>
      <c r="M5" s="88">
        <f>L5+K5+J5</f>
        <v>177.02</v>
      </c>
      <c r="N5" s="88"/>
      <c r="O5" s="88"/>
      <c r="P5" s="87">
        <v>1996</v>
      </c>
      <c r="Q5" s="133" t="s">
        <v>184</v>
      </c>
      <c r="R5" s="133">
        <v>458.7</v>
      </c>
      <c r="S5" s="89">
        <f t="shared" ref="S5:S19" si="0">10.7642*R5</f>
        <v>4937.5385400000005</v>
      </c>
      <c r="T5" s="87">
        <v>2024</v>
      </c>
      <c r="U5" s="87">
        <f t="shared" ref="U5:U18" si="1">T5-P5</f>
        <v>28</v>
      </c>
      <c r="V5" s="87">
        <v>60</v>
      </c>
      <c r="W5" s="104">
        <v>0.1</v>
      </c>
      <c r="X5" s="87">
        <f>(1-W5)/V5</f>
        <v>1.5000000000000001E-2</v>
      </c>
      <c r="Y5" s="105">
        <v>1200</v>
      </c>
      <c r="Z5" s="105">
        <f>Y5</f>
        <v>1200</v>
      </c>
      <c r="AA5" s="142">
        <f>Z5+100</f>
        <v>1300</v>
      </c>
      <c r="AB5" s="143">
        <f>AA5*S5</f>
        <v>6418800.1020000009</v>
      </c>
      <c r="AC5" s="143">
        <f>AB5*X5*IF(U5&gt;V5,V5,U5)</f>
        <v>2695896.0428400007</v>
      </c>
      <c r="AD5" s="143">
        <f>AB5-AC5</f>
        <v>3722904.0591600002</v>
      </c>
      <c r="AF5" s="99" t="s">
        <v>90</v>
      </c>
    </row>
    <row r="6" spans="2:32" ht="48">
      <c r="B6" s="87">
        <f>ROWS($C$5:C6)</f>
        <v>2</v>
      </c>
      <c r="C6" s="141" t="s">
        <v>10</v>
      </c>
      <c r="D6" s="141" t="s">
        <v>180</v>
      </c>
      <c r="E6" s="141" t="s">
        <v>113</v>
      </c>
      <c r="F6" s="88">
        <v>3</v>
      </c>
      <c r="G6" s="132" t="s">
        <v>188</v>
      </c>
      <c r="H6" s="88" t="s">
        <v>154</v>
      </c>
      <c r="I6" s="139" t="s">
        <v>27</v>
      </c>
      <c r="J6" s="88">
        <v>832.59</v>
      </c>
      <c r="K6" s="88">
        <v>832.59</v>
      </c>
      <c r="L6" s="88">
        <v>513.80999999999995</v>
      </c>
      <c r="M6" s="88">
        <f t="shared" ref="M6:M18" si="2">L6+K6+J6</f>
        <v>2178.9900000000002</v>
      </c>
      <c r="N6" s="88"/>
      <c r="O6" s="88"/>
      <c r="P6" s="87">
        <v>2007</v>
      </c>
      <c r="Q6" s="134" t="s">
        <v>183</v>
      </c>
      <c r="R6" s="134">
        <v>2518.19</v>
      </c>
      <c r="S6" s="89">
        <f t="shared" si="0"/>
        <v>27106.300798000004</v>
      </c>
      <c r="T6" s="87">
        <v>2024</v>
      </c>
      <c r="U6" s="87">
        <f t="shared" si="1"/>
        <v>17</v>
      </c>
      <c r="V6" s="87">
        <v>65</v>
      </c>
      <c r="W6" s="104">
        <v>0.1</v>
      </c>
      <c r="X6" s="87">
        <f t="shared" ref="X6:X18" si="3">(1-W6)/V6</f>
        <v>1.3846153846153847E-2</v>
      </c>
      <c r="Y6" s="105">
        <v>1600</v>
      </c>
      <c r="Z6" s="105">
        <f t="shared" ref="Z6:Z9" si="4">Y6</f>
        <v>1600</v>
      </c>
      <c r="AA6" s="142">
        <v>1600</v>
      </c>
      <c r="AB6" s="143">
        <f t="shared" ref="AB6:AB18" si="5">AA6*S6</f>
        <v>43370081.276800007</v>
      </c>
      <c r="AC6" s="143">
        <f t="shared" ref="AC6:AC18" si="6">AB6*X6*IF(U6&gt;V6,V6,U6)</f>
        <v>10208649.90053908</v>
      </c>
      <c r="AD6" s="143">
        <f t="shared" ref="AD6:AD18" si="7">AB6-AC6</f>
        <v>33161431.376260929</v>
      </c>
    </row>
    <row r="7" spans="2:32" ht="51">
      <c r="B7" s="87">
        <f>ROWS($C$5:C7)</f>
        <v>3</v>
      </c>
      <c r="C7" s="141" t="s">
        <v>11</v>
      </c>
      <c r="D7" s="141" t="s">
        <v>180</v>
      </c>
      <c r="E7" s="141" t="s">
        <v>114</v>
      </c>
      <c r="F7" s="88">
        <v>6</v>
      </c>
      <c r="G7" s="132" t="s">
        <v>189</v>
      </c>
      <c r="H7" s="88" t="s">
        <v>154</v>
      </c>
      <c r="I7" s="139" t="s">
        <v>27</v>
      </c>
      <c r="J7" s="88">
        <v>841</v>
      </c>
      <c r="K7" s="88">
        <v>841</v>
      </c>
      <c r="L7" s="88"/>
      <c r="M7" s="88">
        <f t="shared" si="2"/>
        <v>1682</v>
      </c>
      <c r="N7" s="88"/>
      <c r="O7" s="88"/>
      <c r="P7" s="87">
        <v>2007</v>
      </c>
      <c r="Q7" s="134" t="s">
        <v>183</v>
      </c>
      <c r="R7" s="135">
        <v>6394.3</v>
      </c>
      <c r="S7" s="89">
        <f t="shared" si="0"/>
        <v>68829.524060000011</v>
      </c>
      <c r="T7" s="87">
        <v>2024</v>
      </c>
      <c r="U7" s="87">
        <f t="shared" si="1"/>
        <v>17</v>
      </c>
      <c r="V7" s="87">
        <v>65</v>
      </c>
      <c r="W7" s="104">
        <v>0.1</v>
      </c>
      <c r="X7" s="87">
        <f t="shared" si="3"/>
        <v>1.3846153846153847E-2</v>
      </c>
      <c r="Y7" s="105">
        <v>1600</v>
      </c>
      <c r="Z7" s="105">
        <f t="shared" si="4"/>
        <v>1600</v>
      </c>
      <c r="AA7" s="142">
        <v>1600</v>
      </c>
      <c r="AB7" s="143">
        <f t="shared" si="5"/>
        <v>110127238.49600002</v>
      </c>
      <c r="AC7" s="143">
        <f t="shared" si="6"/>
        <v>25922257.676750775</v>
      </c>
      <c r="AD7" s="143">
        <f t="shared" si="7"/>
        <v>84204980.819249243</v>
      </c>
    </row>
    <row r="8" spans="2:32" ht="48">
      <c r="B8" s="87">
        <f>ROWS($C$5:C8)</f>
        <v>4</v>
      </c>
      <c r="C8" s="141" t="s">
        <v>12</v>
      </c>
      <c r="D8" s="141" t="s">
        <v>180</v>
      </c>
      <c r="E8" s="141" t="s">
        <v>115</v>
      </c>
      <c r="F8" s="88">
        <v>3</v>
      </c>
      <c r="G8" s="132" t="s">
        <v>188</v>
      </c>
      <c r="H8" s="88" t="s">
        <v>154</v>
      </c>
      <c r="I8" s="139" t="s">
        <v>27</v>
      </c>
      <c r="J8" s="88">
        <v>246.5</v>
      </c>
      <c r="K8" s="88">
        <v>209.2</v>
      </c>
      <c r="L8" s="88"/>
      <c r="M8" s="88">
        <f t="shared" si="2"/>
        <v>455.7</v>
      </c>
      <c r="N8" s="88"/>
      <c r="O8" s="88"/>
      <c r="P8" s="87">
        <v>2007</v>
      </c>
      <c r="Q8" s="133" t="s">
        <v>184</v>
      </c>
      <c r="R8" s="134">
        <v>567.15</v>
      </c>
      <c r="S8" s="89">
        <f t="shared" si="0"/>
        <v>6104.9160300000003</v>
      </c>
      <c r="T8" s="87">
        <v>2024</v>
      </c>
      <c r="U8" s="87">
        <f t="shared" si="1"/>
        <v>17</v>
      </c>
      <c r="V8" s="87">
        <v>65</v>
      </c>
      <c r="W8" s="104">
        <v>0.1</v>
      </c>
      <c r="X8" s="87">
        <f t="shared" si="3"/>
        <v>1.3846153846153847E-2</v>
      </c>
      <c r="Y8" s="105">
        <v>1200</v>
      </c>
      <c r="Z8" s="105">
        <f t="shared" si="4"/>
        <v>1200</v>
      </c>
      <c r="AA8" s="142">
        <f t="shared" ref="AA8:AA18" si="8">Z8+100</f>
        <v>1300</v>
      </c>
      <c r="AB8" s="143">
        <f t="shared" si="5"/>
        <v>7936390.8390000006</v>
      </c>
      <c r="AC8" s="143">
        <f t="shared" si="6"/>
        <v>1868104.3051800001</v>
      </c>
      <c r="AD8" s="143">
        <f t="shared" si="7"/>
        <v>6068286.5338200005</v>
      </c>
    </row>
    <row r="9" spans="2:32" ht="48">
      <c r="B9" s="87">
        <f>ROWS($C$5:C9)</f>
        <v>5</v>
      </c>
      <c r="C9" s="141" t="s">
        <v>13</v>
      </c>
      <c r="D9" s="141" t="s">
        <v>180</v>
      </c>
      <c r="E9" s="141" t="s">
        <v>164</v>
      </c>
      <c r="F9" s="88">
        <v>3</v>
      </c>
      <c r="G9" s="132" t="s">
        <v>188</v>
      </c>
      <c r="H9" s="88" t="s">
        <v>154</v>
      </c>
      <c r="I9" s="139" t="s">
        <v>27</v>
      </c>
      <c r="J9" s="88">
        <v>445.47</v>
      </c>
      <c r="K9" s="88">
        <v>445.47</v>
      </c>
      <c r="L9" s="88">
        <v>445.47</v>
      </c>
      <c r="M9" s="88">
        <f t="shared" si="2"/>
        <v>1336.41</v>
      </c>
      <c r="N9" s="88"/>
      <c r="O9" s="88"/>
      <c r="P9" s="87">
        <v>1986</v>
      </c>
      <c r="Q9" s="133" t="s">
        <v>184</v>
      </c>
      <c r="R9" s="134">
        <v>2278.4899999999998</v>
      </c>
      <c r="S9" s="89">
        <f t="shared" si="0"/>
        <v>24526.122058000001</v>
      </c>
      <c r="T9" s="87">
        <v>2024</v>
      </c>
      <c r="U9" s="87">
        <f t="shared" si="1"/>
        <v>38</v>
      </c>
      <c r="V9" s="87">
        <v>65</v>
      </c>
      <c r="W9" s="104">
        <v>0.1</v>
      </c>
      <c r="X9" s="87">
        <f t="shared" si="3"/>
        <v>1.3846153846153847E-2</v>
      </c>
      <c r="Y9" s="105">
        <v>1200</v>
      </c>
      <c r="Z9" s="105">
        <f t="shared" si="4"/>
        <v>1200</v>
      </c>
      <c r="AA9" s="142">
        <f t="shared" si="8"/>
        <v>1300</v>
      </c>
      <c r="AB9" s="143">
        <f t="shared" si="5"/>
        <v>31883958.6754</v>
      </c>
      <c r="AC9" s="143">
        <f t="shared" si="6"/>
        <v>16775867.487672001</v>
      </c>
      <c r="AD9" s="143">
        <f t="shared" si="7"/>
        <v>15108091.187727999</v>
      </c>
    </row>
    <row r="10" spans="2:32" ht="48">
      <c r="B10" s="87">
        <f>ROWS($C$5:C10)</f>
        <v>6</v>
      </c>
      <c r="C10" s="141" t="s">
        <v>14</v>
      </c>
      <c r="D10" s="141" t="s">
        <v>174</v>
      </c>
      <c r="E10" s="141" t="s">
        <v>117</v>
      </c>
      <c r="F10" s="88">
        <v>3</v>
      </c>
      <c r="G10" s="132" t="s">
        <v>188</v>
      </c>
      <c r="H10" s="88" t="s">
        <v>154</v>
      </c>
      <c r="I10" s="139" t="s">
        <v>28</v>
      </c>
      <c r="J10" s="88"/>
      <c r="K10" s="88"/>
      <c r="L10" s="88"/>
      <c r="M10" s="88">
        <f t="shared" si="2"/>
        <v>0</v>
      </c>
      <c r="N10" s="88"/>
      <c r="O10" s="88"/>
      <c r="P10" s="87">
        <v>2007</v>
      </c>
      <c r="Q10" s="134" t="s">
        <v>183</v>
      </c>
      <c r="R10" s="134">
        <v>990.52</v>
      </c>
      <c r="S10" s="89">
        <f t="shared" si="0"/>
        <v>10662.155384</v>
      </c>
      <c r="T10" s="87">
        <v>2024</v>
      </c>
      <c r="U10" s="87">
        <f t="shared" si="1"/>
        <v>17</v>
      </c>
      <c r="V10" s="87">
        <v>65</v>
      </c>
      <c r="W10" s="104">
        <v>0.1</v>
      </c>
      <c r="X10" s="87">
        <f t="shared" si="3"/>
        <v>1.3846153846153847E-2</v>
      </c>
      <c r="Y10" s="105">
        <v>800</v>
      </c>
      <c r="Z10" s="105">
        <v>1600</v>
      </c>
      <c r="AA10" s="142">
        <v>1600</v>
      </c>
      <c r="AB10" s="143">
        <f t="shared" si="5"/>
        <v>17059448.614399999</v>
      </c>
      <c r="AC10" s="143">
        <f t="shared" si="6"/>
        <v>4015531.750774154</v>
      </c>
      <c r="AD10" s="143">
        <f t="shared" si="7"/>
        <v>13043916.863625845</v>
      </c>
    </row>
    <row r="11" spans="2:32" ht="96">
      <c r="B11" s="87">
        <f>ROWS($C$5:C11)</f>
        <v>7</v>
      </c>
      <c r="C11" s="141" t="s">
        <v>15</v>
      </c>
      <c r="D11" s="141" t="s">
        <v>174</v>
      </c>
      <c r="E11" s="141" t="s">
        <v>118</v>
      </c>
      <c r="F11" s="88">
        <v>7</v>
      </c>
      <c r="G11" s="132" t="s">
        <v>190</v>
      </c>
      <c r="H11" s="88" t="s">
        <v>154</v>
      </c>
      <c r="I11" s="139" t="s">
        <v>29</v>
      </c>
      <c r="J11" s="88"/>
      <c r="K11" s="88"/>
      <c r="L11" s="88"/>
      <c r="M11" s="88">
        <f t="shared" si="2"/>
        <v>0</v>
      </c>
      <c r="N11" s="88"/>
      <c r="O11" s="88"/>
      <c r="P11" s="87">
        <v>2007</v>
      </c>
      <c r="Q11" s="134" t="s">
        <v>185</v>
      </c>
      <c r="R11" s="134">
        <v>508.26</v>
      </c>
      <c r="S11" s="89">
        <f t="shared" si="0"/>
        <v>5471.0122920000003</v>
      </c>
      <c r="T11" s="87">
        <v>2024</v>
      </c>
      <c r="U11" s="87">
        <f t="shared" si="1"/>
        <v>17</v>
      </c>
      <c r="V11" s="87">
        <v>60</v>
      </c>
      <c r="W11" s="104">
        <v>0.1</v>
      </c>
      <c r="X11" s="87">
        <f t="shared" si="3"/>
        <v>1.5000000000000001E-2</v>
      </c>
      <c r="Y11" s="138">
        <v>800</v>
      </c>
      <c r="Z11" s="105">
        <v>1200</v>
      </c>
      <c r="AA11" s="142">
        <v>800</v>
      </c>
      <c r="AB11" s="143">
        <f t="shared" si="5"/>
        <v>4376809.8336000005</v>
      </c>
      <c r="AC11" s="143">
        <f t="shared" si="6"/>
        <v>1116086.5075680001</v>
      </c>
      <c r="AD11" s="143">
        <f t="shared" si="7"/>
        <v>3260723.3260320006</v>
      </c>
    </row>
    <row r="12" spans="2:32" ht="84">
      <c r="B12" s="87">
        <f>ROWS($C$5:C12)</f>
        <v>8</v>
      </c>
      <c r="C12" s="141" t="s">
        <v>16</v>
      </c>
      <c r="D12" s="141" t="s">
        <v>174</v>
      </c>
      <c r="E12" s="141" t="s">
        <v>119</v>
      </c>
      <c r="F12" s="139">
        <v>3</v>
      </c>
      <c r="G12" s="132" t="s">
        <v>188</v>
      </c>
      <c r="H12" s="88" t="s">
        <v>154</v>
      </c>
      <c r="I12" s="139" t="s">
        <v>30</v>
      </c>
      <c r="J12" s="88"/>
      <c r="K12" s="88"/>
      <c r="L12" s="88"/>
      <c r="M12" s="88">
        <f t="shared" si="2"/>
        <v>0</v>
      </c>
      <c r="N12" s="88"/>
      <c r="O12" s="88"/>
      <c r="P12" s="87">
        <v>2017</v>
      </c>
      <c r="Q12" s="134" t="s">
        <v>183</v>
      </c>
      <c r="R12" s="134">
        <v>1129.9100000000001</v>
      </c>
      <c r="S12" s="89">
        <f t="shared" si="0"/>
        <v>12162.577222000002</v>
      </c>
      <c r="T12" s="87">
        <v>2024</v>
      </c>
      <c r="U12" s="87">
        <f t="shared" si="1"/>
        <v>7</v>
      </c>
      <c r="V12" s="87">
        <v>60</v>
      </c>
      <c r="W12" s="104">
        <v>0.1</v>
      </c>
      <c r="X12" s="87">
        <f t="shared" si="3"/>
        <v>1.5000000000000001E-2</v>
      </c>
      <c r="Y12" s="105">
        <v>600</v>
      </c>
      <c r="Z12" s="105">
        <v>1200</v>
      </c>
      <c r="AA12" s="142">
        <v>1500</v>
      </c>
      <c r="AB12" s="143">
        <f t="shared" si="5"/>
        <v>18243865.833000004</v>
      </c>
      <c r="AC12" s="143">
        <f t="shared" si="6"/>
        <v>1915605.9124650005</v>
      </c>
      <c r="AD12" s="143">
        <f t="shared" si="7"/>
        <v>16328259.920535004</v>
      </c>
    </row>
    <row r="13" spans="2:32" ht="36">
      <c r="B13" s="87">
        <f>ROWS($C$5:C13)</f>
        <v>9</v>
      </c>
      <c r="C13" s="141" t="s">
        <v>17</v>
      </c>
      <c r="D13" s="141" t="s">
        <v>181</v>
      </c>
      <c r="E13" s="141" t="s">
        <v>120</v>
      </c>
      <c r="F13" s="88" t="s">
        <v>33</v>
      </c>
      <c r="G13" s="132" t="s">
        <v>182</v>
      </c>
      <c r="H13" s="88" t="s">
        <v>154</v>
      </c>
      <c r="I13" s="139" t="s">
        <v>31</v>
      </c>
      <c r="J13" s="88">
        <v>486</v>
      </c>
      <c r="K13" s="88">
        <v>186</v>
      </c>
      <c r="L13" s="88"/>
      <c r="M13" s="88">
        <f t="shared" si="2"/>
        <v>672</v>
      </c>
      <c r="N13" s="88"/>
      <c r="O13" s="88"/>
      <c r="P13" s="87">
        <v>2006</v>
      </c>
      <c r="Q13" s="133" t="s">
        <v>184</v>
      </c>
      <c r="R13" s="136">
        <v>1503.84</v>
      </c>
      <c r="S13" s="89">
        <f t="shared" si="0"/>
        <v>16187.634528000001</v>
      </c>
      <c r="T13" s="87">
        <v>2024</v>
      </c>
      <c r="U13" s="87">
        <f t="shared" si="1"/>
        <v>18</v>
      </c>
      <c r="V13" s="87">
        <v>45</v>
      </c>
      <c r="W13" s="104">
        <v>0.1</v>
      </c>
      <c r="X13" s="87">
        <f t="shared" si="3"/>
        <v>0.02</v>
      </c>
      <c r="Y13" s="105">
        <v>1200</v>
      </c>
      <c r="Z13" s="105">
        <f>Y13</f>
        <v>1200</v>
      </c>
      <c r="AA13" s="142">
        <v>1000</v>
      </c>
      <c r="AB13" s="143">
        <f t="shared" si="5"/>
        <v>16187634.528000001</v>
      </c>
      <c r="AC13" s="143">
        <f t="shared" si="6"/>
        <v>5827548.4300800003</v>
      </c>
      <c r="AD13" s="143">
        <f t="shared" si="7"/>
        <v>10360086.097920001</v>
      </c>
    </row>
    <row r="14" spans="2:32" ht="15.75">
      <c r="B14" s="87">
        <f>ROWS($C$5:C14)</f>
        <v>10</v>
      </c>
      <c r="C14" s="141" t="s">
        <v>18</v>
      </c>
      <c r="D14" s="141" t="s">
        <v>181</v>
      </c>
      <c r="E14" s="141" t="s">
        <v>109</v>
      </c>
      <c r="F14" s="88" t="s">
        <v>33</v>
      </c>
      <c r="G14" s="132" t="s">
        <v>182</v>
      </c>
      <c r="H14" s="88" t="s">
        <v>154</v>
      </c>
      <c r="I14" s="140" t="s">
        <v>31</v>
      </c>
      <c r="J14" s="87">
        <v>180.09</v>
      </c>
      <c r="K14" s="87"/>
      <c r="L14" s="87"/>
      <c r="M14" s="88">
        <f t="shared" si="2"/>
        <v>180.09</v>
      </c>
      <c r="N14" s="87"/>
      <c r="O14" s="87"/>
      <c r="P14" s="87">
        <v>2004</v>
      </c>
      <c r="Q14" s="133" t="s">
        <v>184</v>
      </c>
      <c r="R14" s="134">
        <v>819.25</v>
      </c>
      <c r="S14" s="89">
        <f t="shared" si="0"/>
        <v>8818.5708500000001</v>
      </c>
      <c r="T14" s="87">
        <v>2024</v>
      </c>
      <c r="U14" s="87">
        <f t="shared" si="1"/>
        <v>20</v>
      </c>
      <c r="V14" s="87">
        <v>60</v>
      </c>
      <c r="W14" s="104">
        <v>0.1</v>
      </c>
      <c r="X14" s="87">
        <f t="shared" si="3"/>
        <v>1.5000000000000001E-2</v>
      </c>
      <c r="Y14" s="105">
        <v>1200</v>
      </c>
      <c r="Z14" s="105">
        <f t="shared" ref="Z14:Z17" si="9">Y14</f>
        <v>1200</v>
      </c>
      <c r="AA14" s="142">
        <f t="shared" si="8"/>
        <v>1300</v>
      </c>
      <c r="AB14" s="143">
        <f t="shared" si="5"/>
        <v>11464142.105</v>
      </c>
      <c r="AC14" s="143">
        <f t="shared" si="6"/>
        <v>3439242.6315000001</v>
      </c>
      <c r="AD14" s="143">
        <f t="shared" si="7"/>
        <v>8024899.4735000003</v>
      </c>
    </row>
    <row r="15" spans="2:32" ht="36">
      <c r="B15" s="87">
        <f>ROWS($C$5:C15)</f>
        <v>11</v>
      </c>
      <c r="C15" s="141" t="s">
        <v>20</v>
      </c>
      <c r="D15" s="141" t="s">
        <v>181</v>
      </c>
      <c r="E15" s="141" t="s">
        <v>121</v>
      </c>
      <c r="F15" s="88" t="s">
        <v>33</v>
      </c>
      <c r="G15" s="132" t="s">
        <v>182</v>
      </c>
      <c r="H15" s="88" t="s">
        <v>154</v>
      </c>
      <c r="I15" s="139" t="s">
        <v>31</v>
      </c>
      <c r="J15" s="88">
        <v>519.35</v>
      </c>
      <c r="K15" s="88">
        <v>286.13</v>
      </c>
      <c r="L15" s="88"/>
      <c r="M15" s="88">
        <f t="shared" si="2"/>
        <v>805.48</v>
      </c>
      <c r="N15" s="88"/>
      <c r="O15" s="88"/>
      <c r="P15" s="87">
        <v>2009</v>
      </c>
      <c r="Q15" s="134" t="s">
        <v>186</v>
      </c>
      <c r="R15" s="134">
        <v>1449.75</v>
      </c>
      <c r="S15" s="89">
        <f t="shared" si="0"/>
        <v>15605.398950000001</v>
      </c>
      <c r="T15" s="87">
        <v>2024</v>
      </c>
      <c r="U15" s="87">
        <f t="shared" si="1"/>
        <v>15</v>
      </c>
      <c r="V15" s="87">
        <v>60</v>
      </c>
      <c r="W15" s="104">
        <v>0.1</v>
      </c>
      <c r="X15" s="87">
        <f t="shared" si="3"/>
        <v>1.5000000000000001E-2</v>
      </c>
      <c r="Y15" s="105">
        <v>1300</v>
      </c>
      <c r="Z15" s="105">
        <f t="shared" si="9"/>
        <v>1300</v>
      </c>
      <c r="AA15" s="142">
        <v>1300</v>
      </c>
      <c r="AB15" s="143">
        <f t="shared" si="5"/>
        <v>20287018.635000002</v>
      </c>
      <c r="AC15" s="143">
        <f t="shared" si="6"/>
        <v>4564579.1928750006</v>
      </c>
      <c r="AD15" s="143">
        <f t="shared" si="7"/>
        <v>15722439.442125</v>
      </c>
    </row>
    <row r="16" spans="2:32" ht="48">
      <c r="B16" s="87">
        <f>ROWS($C$5:C16)</f>
        <v>12</v>
      </c>
      <c r="C16" s="141" t="s">
        <v>21</v>
      </c>
      <c r="D16" s="141" t="s">
        <v>181</v>
      </c>
      <c r="E16" s="141" t="s">
        <v>122</v>
      </c>
      <c r="F16" s="88" t="s">
        <v>33</v>
      </c>
      <c r="G16" s="132" t="s">
        <v>182</v>
      </c>
      <c r="H16" s="88" t="s">
        <v>154</v>
      </c>
      <c r="I16" s="139" t="s">
        <v>31</v>
      </c>
      <c r="J16" s="88">
        <v>356</v>
      </c>
      <c r="K16" s="88"/>
      <c r="L16" s="88"/>
      <c r="M16" s="88">
        <f t="shared" si="2"/>
        <v>356</v>
      </c>
      <c r="N16" s="88"/>
      <c r="O16" s="88"/>
      <c r="P16" s="87">
        <v>2009</v>
      </c>
      <c r="Q16" s="134" t="s">
        <v>186</v>
      </c>
      <c r="R16" s="134">
        <v>511.5</v>
      </c>
      <c r="S16" s="89">
        <f t="shared" si="0"/>
        <v>5505.8883000000005</v>
      </c>
      <c r="T16" s="87">
        <v>2024</v>
      </c>
      <c r="U16" s="87">
        <f t="shared" si="1"/>
        <v>15</v>
      </c>
      <c r="V16" s="87">
        <v>60</v>
      </c>
      <c r="W16" s="104">
        <v>0.1</v>
      </c>
      <c r="X16" s="87">
        <f t="shared" si="3"/>
        <v>1.5000000000000001E-2</v>
      </c>
      <c r="Y16" s="105">
        <v>1200</v>
      </c>
      <c r="Z16" s="105">
        <f t="shared" si="9"/>
        <v>1200</v>
      </c>
      <c r="AA16" s="142">
        <f t="shared" si="8"/>
        <v>1300</v>
      </c>
      <c r="AB16" s="143">
        <f>AA16*S16</f>
        <v>7157654.790000001</v>
      </c>
      <c r="AC16" s="143">
        <f t="shared" si="6"/>
        <v>1610472.3277500004</v>
      </c>
      <c r="AD16" s="143">
        <f t="shared" si="7"/>
        <v>5547182.4622500008</v>
      </c>
    </row>
    <row r="17" spans="1:32" ht="48">
      <c r="B17" s="87">
        <f>ROWS($C$5:C17)</f>
        <v>13</v>
      </c>
      <c r="C17" s="141" t="s">
        <v>22</v>
      </c>
      <c r="D17" s="141" t="s">
        <v>181</v>
      </c>
      <c r="E17" s="141" t="s">
        <v>123</v>
      </c>
      <c r="F17" s="88">
        <v>3</v>
      </c>
      <c r="G17" s="132" t="s">
        <v>188</v>
      </c>
      <c r="H17" s="88" t="s">
        <v>154</v>
      </c>
      <c r="I17" s="139" t="s">
        <v>34</v>
      </c>
      <c r="J17" s="88">
        <v>157.82</v>
      </c>
      <c r="K17" s="88">
        <v>157.82</v>
      </c>
      <c r="L17" s="88">
        <v>157.82</v>
      </c>
      <c r="M17" s="88">
        <f t="shared" si="2"/>
        <v>473.46</v>
      </c>
      <c r="N17" s="88"/>
      <c r="O17" s="88"/>
      <c r="P17" s="87">
        <v>2009</v>
      </c>
      <c r="Q17" s="134" t="s">
        <v>186</v>
      </c>
      <c r="R17" s="134">
        <v>964</v>
      </c>
      <c r="S17" s="89">
        <f t="shared" si="0"/>
        <v>10376.6888</v>
      </c>
      <c r="T17" s="87">
        <v>2024</v>
      </c>
      <c r="U17" s="87">
        <f t="shared" si="1"/>
        <v>15</v>
      </c>
      <c r="V17" s="87">
        <v>60</v>
      </c>
      <c r="W17" s="104">
        <v>0.1</v>
      </c>
      <c r="X17" s="87">
        <f t="shared" si="3"/>
        <v>1.5000000000000001E-2</v>
      </c>
      <c r="Y17" s="105">
        <v>1400</v>
      </c>
      <c r="Z17" s="105">
        <f t="shared" si="9"/>
        <v>1400</v>
      </c>
      <c r="AA17" s="142">
        <f t="shared" si="8"/>
        <v>1500</v>
      </c>
      <c r="AB17" s="143">
        <f t="shared" si="5"/>
        <v>15565033.199999999</v>
      </c>
      <c r="AC17" s="143">
        <f t="shared" si="6"/>
        <v>3502132.47</v>
      </c>
      <c r="AD17" s="143">
        <f t="shared" si="7"/>
        <v>12062900.729999999</v>
      </c>
    </row>
    <row r="18" spans="1:32" ht="36">
      <c r="B18" s="87">
        <f>ROWS($C$5:C18)</f>
        <v>14</v>
      </c>
      <c r="C18" s="141" t="s">
        <v>23</v>
      </c>
      <c r="D18" s="141" t="s">
        <v>174</v>
      </c>
      <c r="E18" s="141" t="s">
        <v>124</v>
      </c>
      <c r="F18" s="88" t="s">
        <v>33</v>
      </c>
      <c r="G18" s="132" t="s">
        <v>182</v>
      </c>
      <c r="H18" s="88" t="s">
        <v>154</v>
      </c>
      <c r="I18" s="139" t="s">
        <v>31</v>
      </c>
      <c r="J18" s="88"/>
      <c r="K18" s="88"/>
      <c r="L18" s="88"/>
      <c r="M18" s="88">
        <f t="shared" si="2"/>
        <v>0</v>
      </c>
      <c r="N18" s="88"/>
      <c r="O18" s="88"/>
      <c r="P18" s="87">
        <v>2007</v>
      </c>
      <c r="Q18" s="137" t="s">
        <v>184</v>
      </c>
      <c r="R18" s="137">
        <v>1107.4100000000001</v>
      </c>
      <c r="S18" s="89">
        <f t="shared" si="0"/>
        <v>11920.382722000002</v>
      </c>
      <c r="T18" s="87">
        <v>2024</v>
      </c>
      <c r="U18" s="87">
        <f t="shared" si="1"/>
        <v>17</v>
      </c>
      <c r="V18" s="87">
        <v>45</v>
      </c>
      <c r="W18" s="104">
        <v>0.1</v>
      </c>
      <c r="X18" s="87">
        <f t="shared" si="3"/>
        <v>0.02</v>
      </c>
      <c r="Y18" s="105">
        <v>500</v>
      </c>
      <c r="Z18" s="105">
        <v>1000</v>
      </c>
      <c r="AA18" s="142">
        <f t="shared" si="8"/>
        <v>1100</v>
      </c>
      <c r="AB18" s="143">
        <f t="shared" si="5"/>
        <v>13112420.994200002</v>
      </c>
      <c r="AC18" s="143">
        <f t="shared" si="6"/>
        <v>4458223.1380280005</v>
      </c>
      <c r="AD18" s="143">
        <f t="shared" si="7"/>
        <v>8654197.8561720029</v>
      </c>
    </row>
    <row r="19" spans="1:32" ht="46.5" customHeight="1">
      <c r="B19" s="161" t="s">
        <v>101</v>
      </c>
      <c r="C19" s="162"/>
      <c r="D19" s="162"/>
      <c r="E19" s="162"/>
      <c r="F19" s="162"/>
      <c r="G19" s="162"/>
      <c r="H19" s="162"/>
      <c r="I19" s="162"/>
      <c r="J19" s="162"/>
      <c r="K19" s="162"/>
      <c r="L19" s="162"/>
      <c r="M19" s="162"/>
      <c r="N19" s="162"/>
      <c r="O19" s="162"/>
      <c r="P19" s="162"/>
      <c r="Q19" s="92"/>
      <c r="R19" s="93">
        <f>SUM(R5:R18)</f>
        <v>21201.27</v>
      </c>
      <c r="S19" s="93">
        <f t="shared" si="0"/>
        <v>228214.71053400001</v>
      </c>
      <c r="T19" s="107"/>
      <c r="U19" s="107"/>
      <c r="V19" s="107"/>
      <c r="W19" s="107"/>
      <c r="X19" s="107"/>
      <c r="Y19" s="108"/>
      <c r="Z19" s="108"/>
      <c r="AA19" s="144"/>
      <c r="AB19" s="145">
        <f>SUM(AB5:AB18)</f>
        <v>323190497.9224</v>
      </c>
      <c r="AC19" s="145">
        <f>SUM(AC5:AC18)</f>
        <v>87920197.774021998</v>
      </c>
      <c r="AD19" s="145">
        <f>SUM(AD5:AD18)</f>
        <v>235270300.14837801</v>
      </c>
      <c r="AF19" s="122" t="e">
        <f>#REF!/10.76</f>
        <v>#REF!</v>
      </c>
    </row>
    <row r="20" spans="1:32">
      <c r="B20" s="163" t="s">
        <v>91</v>
      </c>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5"/>
    </row>
    <row r="21" spans="1:32" ht="12" customHeight="1">
      <c r="B21" s="166" t="s">
        <v>102</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8"/>
    </row>
    <row r="22" spans="1:32" ht="12" customHeight="1">
      <c r="B22" s="166" t="s">
        <v>136</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8"/>
    </row>
    <row r="23" spans="1:32" ht="23.25" customHeight="1">
      <c r="B23" s="166" t="s">
        <v>167</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8"/>
    </row>
    <row r="25" spans="1:32" ht="36">
      <c r="P25" s="111" t="s">
        <v>89</v>
      </c>
      <c r="R25" s="112" t="s">
        <v>86</v>
      </c>
      <c r="T25" s="85" t="s">
        <v>75</v>
      </c>
      <c r="U25" s="85" t="s">
        <v>76</v>
      </c>
      <c r="V25" s="85" t="s">
        <v>77</v>
      </c>
      <c r="W25" s="85" t="s">
        <v>78</v>
      </c>
      <c r="X25" s="85" t="s">
        <v>79</v>
      </c>
      <c r="Y25" s="101" t="s">
        <v>88</v>
      </c>
      <c r="Z25" s="101"/>
      <c r="AA25" s="101"/>
      <c r="AB25" s="102" t="s">
        <v>81</v>
      </c>
      <c r="AC25" s="103" t="s">
        <v>82</v>
      </c>
      <c r="AD25" s="103" t="s">
        <v>83</v>
      </c>
    </row>
    <row r="26" spans="1:32" s="96" customFormat="1" ht="24">
      <c r="C26" s="111" t="s">
        <v>85</v>
      </c>
      <c r="D26" s="111"/>
      <c r="E26" s="111"/>
      <c r="P26" s="96">
        <v>2000</v>
      </c>
      <c r="R26" s="98">
        <v>654</v>
      </c>
      <c r="S26" s="98"/>
      <c r="T26" s="96">
        <v>2023</v>
      </c>
      <c r="U26" s="96">
        <f>T26-P26</f>
        <v>23</v>
      </c>
      <c r="V26" s="96">
        <v>45</v>
      </c>
      <c r="W26" s="113">
        <v>0.1</v>
      </c>
      <c r="X26" s="96">
        <f>(1-W26)/V26</f>
        <v>0.02</v>
      </c>
      <c r="Y26" s="114">
        <v>4200</v>
      </c>
      <c r="Z26" s="114"/>
      <c r="AA26" s="114"/>
      <c r="AB26" s="114">
        <f>Y26*R26</f>
        <v>2746800</v>
      </c>
      <c r="AC26" s="115">
        <f>AB26*X26*IF(U26&gt;V26,V26,U26)</f>
        <v>1263528</v>
      </c>
      <c r="AD26" s="115">
        <f>AB26-AC26</f>
        <v>1483272</v>
      </c>
    </row>
    <row r="27" spans="1:32">
      <c r="L27" s="96">
        <f>2500000/4046.86</f>
        <v>617.76290753819012</v>
      </c>
      <c r="N27" s="96">
        <f>1800*4046.86</f>
        <v>7284348</v>
      </c>
      <c r="AD27" s="116">
        <v>1500000</v>
      </c>
    </row>
    <row r="28" spans="1:32">
      <c r="L28" s="96">
        <f>20000</f>
        <v>20000</v>
      </c>
      <c r="R28" s="98">
        <f>12531-R19</f>
        <v>-8670.27</v>
      </c>
    </row>
    <row r="29" spans="1:32">
      <c r="C29" s="95" t="s">
        <v>163</v>
      </c>
      <c r="F29" s="120">
        <f>'Land Calculation'!O16</f>
        <v>49226980.154470526</v>
      </c>
    </row>
    <row r="30" spans="1:32" ht="36">
      <c r="C30" s="111" t="s">
        <v>162</v>
      </c>
      <c r="D30" s="111"/>
      <c r="E30" s="111"/>
      <c r="F30" s="117">
        <f>AD19+AD27+F29</f>
        <v>285997280.30284852</v>
      </c>
      <c r="G30" s="117"/>
      <c r="H30" s="117"/>
    </row>
    <row r="31" spans="1:32" s="116" customFormat="1">
      <c r="A31" s="99"/>
      <c r="B31" s="94"/>
      <c r="C31" s="118" t="s">
        <v>104</v>
      </c>
      <c r="D31" s="118"/>
      <c r="E31" s="118"/>
      <c r="F31" s="119">
        <f>[1]WORKING!$BO$4</f>
        <v>460428011.8829692</v>
      </c>
      <c r="G31" s="119"/>
      <c r="H31" s="119"/>
      <c r="I31" s="96"/>
      <c r="J31" s="96"/>
      <c r="K31" s="96"/>
      <c r="L31" s="96"/>
      <c r="M31" s="96"/>
      <c r="N31" s="96"/>
      <c r="O31" s="96"/>
      <c r="P31" s="96"/>
      <c r="Q31" s="96"/>
      <c r="R31" s="98"/>
      <c r="S31" s="98"/>
      <c r="T31" s="99"/>
      <c r="U31" s="99"/>
      <c r="V31" s="99"/>
      <c r="W31" s="99"/>
      <c r="X31" s="99"/>
      <c r="Y31" s="100"/>
      <c r="Z31" s="100"/>
      <c r="AA31" s="100"/>
      <c r="AB31" s="100"/>
      <c r="AC31" s="125">
        <f>AB19*0.8</f>
        <v>258552398.33792001</v>
      </c>
      <c r="AE31" s="99"/>
      <c r="AF31" s="99"/>
    </row>
    <row r="32" spans="1:32" s="116" customFormat="1">
      <c r="A32" s="99"/>
      <c r="B32" s="94"/>
      <c r="C32" s="95" t="s">
        <v>25</v>
      </c>
      <c r="D32" s="95"/>
      <c r="E32" s="95"/>
      <c r="F32" s="115">
        <f>SUM(F30:F31)</f>
        <v>746425292.18581772</v>
      </c>
      <c r="G32" s="115"/>
      <c r="H32" s="115"/>
      <c r="I32" s="96"/>
      <c r="J32" s="96"/>
      <c r="K32" s="96"/>
      <c r="L32" s="96"/>
      <c r="M32" s="96"/>
      <c r="N32" s="96"/>
      <c r="O32" s="96"/>
      <c r="P32" s="96"/>
      <c r="Q32" s="96"/>
      <c r="R32" s="98"/>
      <c r="S32" s="98">
        <f>3600*1995.5</f>
        <v>7183800</v>
      </c>
      <c r="T32" s="99">
        <f>5896+6085+5680+1000+4800</f>
        <v>23461</v>
      </c>
      <c r="U32" s="99"/>
      <c r="V32" s="99"/>
      <c r="W32" s="99"/>
      <c r="X32" s="99"/>
      <c r="Y32" s="100"/>
      <c r="Z32" s="100"/>
      <c r="AA32" s="100"/>
      <c r="AB32" s="100"/>
      <c r="AE32" s="99"/>
      <c r="AF32" s="99"/>
    </row>
    <row r="33" spans="1:32" s="116" customFormat="1">
      <c r="A33" s="99"/>
      <c r="B33" s="94"/>
      <c r="C33" s="95" t="s">
        <v>105</v>
      </c>
      <c r="D33" s="95"/>
      <c r="E33" s="95"/>
      <c r="F33" s="96">
        <v>620000000</v>
      </c>
      <c r="G33" s="96"/>
      <c r="H33" s="96"/>
      <c r="I33" s="96"/>
      <c r="J33" s="96"/>
      <c r="K33" s="96"/>
      <c r="L33" s="96"/>
      <c r="M33" s="96"/>
      <c r="N33" s="96"/>
      <c r="O33" s="96"/>
      <c r="P33" s="96"/>
      <c r="Q33" s="96"/>
      <c r="R33" s="98">
        <f>1995.5*1800</f>
        <v>3591900</v>
      </c>
      <c r="S33" s="98"/>
      <c r="T33" s="99"/>
      <c r="U33" s="99">
        <f>770*18781</f>
        <v>14461370</v>
      </c>
      <c r="V33" s="99"/>
      <c r="W33" s="99"/>
      <c r="X33" s="99"/>
      <c r="Y33" s="100"/>
      <c r="Z33" s="100"/>
      <c r="AA33" s="100"/>
      <c r="AB33" s="100"/>
      <c r="AE33" s="99"/>
      <c r="AF33" s="99"/>
    </row>
    <row r="34" spans="1:32" s="116" customFormat="1">
      <c r="A34" s="99"/>
      <c r="B34" s="94"/>
      <c r="C34" s="95" t="s">
        <v>106</v>
      </c>
      <c r="D34" s="95"/>
      <c r="E34" s="95"/>
      <c r="F34" s="96">
        <f>0.85*F33</f>
        <v>527000000</v>
      </c>
      <c r="G34" s="96"/>
      <c r="H34" s="96"/>
      <c r="I34" s="96"/>
      <c r="J34" s="96"/>
      <c r="K34" s="96"/>
      <c r="L34" s="96"/>
      <c r="M34" s="96"/>
      <c r="N34" s="96"/>
      <c r="O34" s="96"/>
      <c r="P34" s="96"/>
      <c r="Q34" s="96"/>
      <c r="R34" s="98"/>
      <c r="S34" s="98"/>
      <c r="T34" s="99"/>
      <c r="U34" s="99"/>
      <c r="V34" s="99"/>
      <c r="W34" s="99"/>
      <c r="X34" s="99"/>
      <c r="Y34" s="100"/>
      <c r="Z34" s="100"/>
      <c r="AA34" s="100"/>
      <c r="AB34" s="100">
        <v>123520643.01467426</v>
      </c>
      <c r="AE34" s="99"/>
      <c r="AF34" s="99"/>
    </row>
    <row r="35" spans="1:32" s="116" customFormat="1">
      <c r="A35" s="99"/>
      <c r="B35" s="94"/>
      <c r="C35" s="95" t="s">
        <v>107</v>
      </c>
      <c r="D35" s="95"/>
      <c r="E35" s="95"/>
      <c r="F35" s="96">
        <f>0.75*F33</f>
        <v>465000000</v>
      </c>
      <c r="G35" s="96"/>
      <c r="H35" s="96"/>
      <c r="I35" s="96"/>
      <c r="J35" s="96"/>
      <c r="K35" s="96"/>
      <c r="L35" s="96"/>
      <c r="M35" s="96"/>
      <c r="N35" s="96"/>
      <c r="O35" s="96"/>
      <c r="P35" s="96"/>
      <c r="Q35" s="96"/>
      <c r="R35" s="98"/>
      <c r="S35" s="98"/>
      <c r="T35" s="99"/>
      <c r="U35" s="99"/>
      <c r="V35" s="99"/>
      <c r="W35" s="99"/>
      <c r="X35" s="99"/>
      <c r="Y35" s="100"/>
      <c r="Z35" s="100"/>
      <c r="AA35" s="100"/>
      <c r="AB35" s="100"/>
      <c r="AE35" s="99"/>
      <c r="AF35" s="99"/>
    </row>
    <row r="37" spans="1:32" s="116" customFormat="1" ht="156">
      <c r="A37" s="99"/>
      <c r="B37" s="94"/>
      <c r="C37" s="95" t="s">
        <v>108</v>
      </c>
      <c r="D37" s="95"/>
      <c r="E37" s="95"/>
      <c r="F37" s="120">
        <f>0.8*AD19</f>
        <v>188216240.11870241</v>
      </c>
      <c r="G37" s="120"/>
      <c r="H37" s="120"/>
      <c r="I37" s="96"/>
      <c r="J37" s="96"/>
      <c r="K37" s="96"/>
      <c r="L37" s="96"/>
      <c r="M37" s="96"/>
      <c r="N37" s="96"/>
      <c r="O37" s="96"/>
      <c r="P37" s="96"/>
      <c r="Q37" s="96"/>
      <c r="R37" s="98"/>
      <c r="S37" s="98">
        <f>25000000/12.5</f>
        <v>2000000</v>
      </c>
      <c r="T37" s="99"/>
      <c r="U37" s="99"/>
      <c r="V37" s="88" t="s">
        <v>33</v>
      </c>
      <c r="W37" s="87" t="s">
        <v>31</v>
      </c>
      <c r="X37" s="87">
        <v>2004</v>
      </c>
      <c r="Y37" s="88" t="s">
        <v>24</v>
      </c>
      <c r="Z37" s="97"/>
      <c r="AA37" s="97"/>
      <c r="AB37" s="100"/>
      <c r="AE37" s="99"/>
      <c r="AF37" s="99"/>
    </row>
    <row r="38" spans="1:32" s="116" customFormat="1" ht="12.75">
      <c r="A38" s="99"/>
      <c r="B38" s="94"/>
      <c r="C38" s="95"/>
      <c r="D38" s="95"/>
      <c r="E38" s="95"/>
      <c r="F38" s="96"/>
      <c r="G38" s="96"/>
      <c r="H38" s="96"/>
      <c r="I38" s="96"/>
      <c r="J38" s="96"/>
      <c r="K38" s="96"/>
      <c r="L38" s="96"/>
      <c r="M38" s="96"/>
      <c r="N38" s="96">
        <f>1000000/70000</f>
        <v>14.285714285714286</v>
      </c>
      <c r="O38" s="96"/>
      <c r="P38" s="96"/>
      <c r="Q38" s="96"/>
      <c r="R38" s="98"/>
      <c r="S38" s="98"/>
      <c r="T38" s="99"/>
      <c r="U38" s="99"/>
      <c r="V38" s="99"/>
      <c r="W38" s="99"/>
      <c r="X38" s="99"/>
      <c r="Y38" s="100"/>
      <c r="Z38" s="100"/>
      <c r="AA38" s="100"/>
      <c r="AB38" s="100"/>
      <c r="AD38" s="129">
        <f>'Land Calculation'!O16</f>
        <v>49226980.154470526</v>
      </c>
      <c r="AE38" s="99"/>
      <c r="AF38" s="99"/>
    </row>
    <row r="39" spans="1:32" s="116" customFormat="1" ht="12.75">
      <c r="A39" s="99"/>
      <c r="B39" s="94"/>
      <c r="C39" s="95"/>
      <c r="D39" s="95"/>
      <c r="E39" s="95"/>
      <c r="F39" s="96"/>
      <c r="G39" s="96"/>
      <c r="H39" s="96"/>
      <c r="I39" s="96"/>
      <c r="J39" s="96"/>
      <c r="K39" s="96"/>
      <c r="L39" s="96"/>
      <c r="M39" s="96"/>
      <c r="N39" s="96"/>
      <c r="O39" s="96"/>
      <c r="P39" s="96"/>
      <c r="Q39" s="96"/>
      <c r="R39" s="98">
        <f>21520/10.76</f>
        <v>2000</v>
      </c>
      <c r="S39" s="98"/>
      <c r="T39" s="99"/>
      <c r="U39" s="99"/>
      <c r="V39" s="99"/>
      <c r="W39" s="99"/>
      <c r="X39" s="99"/>
      <c r="Y39" s="100"/>
      <c r="Z39" s="100"/>
      <c r="AA39" s="100"/>
      <c r="AB39" s="100"/>
      <c r="AD39" s="129">
        <v>235270300</v>
      </c>
      <c r="AE39" s="99"/>
      <c r="AF39" s="99"/>
    </row>
    <row r="40" spans="1:32" s="116" customFormat="1" ht="12.75">
      <c r="A40" s="99"/>
      <c r="B40" s="94"/>
      <c r="C40" s="95"/>
      <c r="D40" s="95"/>
      <c r="E40" s="95"/>
      <c r="F40" s="96"/>
      <c r="G40" s="96"/>
      <c r="H40" s="96"/>
      <c r="I40" s="96"/>
      <c r="J40" s="96"/>
      <c r="K40" s="96"/>
      <c r="L40" s="96"/>
      <c r="M40" s="96"/>
      <c r="N40" s="96"/>
      <c r="O40" s="96"/>
      <c r="P40" s="96"/>
      <c r="Q40" s="96"/>
      <c r="R40" s="98">
        <f>2000/4046.86</f>
        <v>0.49421032603055209</v>
      </c>
      <c r="S40" s="98"/>
      <c r="T40" s="99"/>
      <c r="U40" s="99"/>
      <c r="V40" s="99"/>
      <c r="W40" s="99">
        <f>3518.81+223.91</f>
        <v>3742.72</v>
      </c>
      <c r="X40" s="99"/>
      <c r="Y40" s="100"/>
      <c r="Z40" s="100"/>
      <c r="AA40" s="100"/>
      <c r="AB40" s="100"/>
      <c r="AD40" s="129">
        <v>1500000</v>
      </c>
      <c r="AE40" s="99"/>
      <c r="AF40" s="99"/>
    </row>
    <row r="41" spans="1:32" ht="12.75">
      <c r="AD41" s="129">
        <v>396165593</v>
      </c>
    </row>
    <row r="42" spans="1:32">
      <c r="AD42" s="125">
        <f>SUM(AD38:AD41)</f>
        <v>682162873.15447044</v>
      </c>
    </row>
    <row r="44" spans="1:32">
      <c r="AD44" s="125">
        <f>ROUND(AD42,-6)</f>
        <v>682000000</v>
      </c>
    </row>
    <row r="45" spans="1:32">
      <c r="AD45" s="146">
        <f>AD44*0.85</f>
        <v>579700000</v>
      </c>
    </row>
    <row r="46" spans="1:32">
      <c r="AD46" s="146">
        <f>AD44*0.75</f>
        <v>511500000</v>
      </c>
    </row>
    <row r="48" spans="1:32">
      <c r="AD48" s="125">
        <f>AB19*0.8</f>
        <v>258552398.33792001</v>
      </c>
    </row>
    <row r="60" spans="32:32">
      <c r="AF60" s="99">
        <f>3500*10.76*1300</f>
        <v>48958000</v>
      </c>
    </row>
  </sheetData>
  <mergeCells count="5">
    <mergeCell ref="B19:P19"/>
    <mergeCell ref="B20:AD20"/>
    <mergeCell ref="B21:AD21"/>
    <mergeCell ref="B22:AD22"/>
    <mergeCell ref="B23:AD23"/>
  </mergeCells>
  <dataValidations count="2">
    <dataValidation type="list" allowBlank="1" showInputMessage="1" showErrorMessage="1" sqref="Y37:AA37">
      <formula1>$U$4:$U$12</formula1>
    </dataValidation>
    <dataValidation type="list" allowBlank="1" showInputMessage="1" showErrorMessage="1" sqref="Q19">
      <formula1>"Very Good, Good, Average, Poor, Ordinary with wreckages in the structure"</formula1>
    </dataValidation>
  </dataValidations>
  <pageMargins left="3.937007874015748E-2" right="3.937007874015748E-2" top="0" bottom="0"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E17"/>
  <sheetViews>
    <sheetView workbookViewId="0"/>
  </sheetViews>
  <sheetFormatPr defaultRowHeight="15"/>
  <cols>
    <col min="3" max="3" width="39.28515625" bestFit="1" customWidth="1"/>
    <col min="4" max="4" width="34.140625" bestFit="1" customWidth="1"/>
    <col min="5" max="5" width="15.28515625" customWidth="1"/>
  </cols>
  <sheetData>
    <row r="7" spans="2:5">
      <c r="B7" s="9" t="s">
        <v>40</v>
      </c>
      <c r="C7" s="9" t="s">
        <v>37</v>
      </c>
      <c r="D7" s="9" t="s">
        <v>38</v>
      </c>
      <c r="E7" s="9" t="s">
        <v>43</v>
      </c>
    </row>
    <row r="8" spans="2:5">
      <c r="B8" s="10">
        <v>1</v>
      </c>
      <c r="C8" s="10" t="s">
        <v>44</v>
      </c>
      <c r="D8" s="10" t="s">
        <v>45</v>
      </c>
      <c r="E8" s="14">
        <v>18</v>
      </c>
    </row>
    <row r="9" spans="2:5" ht="34.5" customHeight="1">
      <c r="B9" s="10">
        <v>2</v>
      </c>
      <c r="C9" s="11" t="s">
        <v>46</v>
      </c>
      <c r="D9" s="11" t="s">
        <v>47</v>
      </c>
      <c r="E9" s="14">
        <v>47.25</v>
      </c>
    </row>
    <row r="10" spans="2:5">
      <c r="B10" s="10">
        <v>3</v>
      </c>
      <c r="C10" s="10" t="s">
        <v>48</v>
      </c>
      <c r="D10" s="10" t="s">
        <v>49</v>
      </c>
      <c r="E10" s="14">
        <v>46.45</v>
      </c>
    </row>
    <row r="11" spans="2:5">
      <c r="B11" s="10">
        <v>4</v>
      </c>
      <c r="C11" s="10" t="s">
        <v>50</v>
      </c>
      <c r="D11" s="10" t="s">
        <v>51</v>
      </c>
      <c r="E11" s="13" t="s">
        <v>55</v>
      </c>
    </row>
    <row r="12" spans="2:5">
      <c r="B12" s="10">
        <v>5</v>
      </c>
      <c r="C12" s="10" t="s">
        <v>52</v>
      </c>
      <c r="D12" s="10" t="s">
        <v>51</v>
      </c>
      <c r="E12" s="13" t="s">
        <v>55</v>
      </c>
    </row>
    <row r="13" spans="2:5">
      <c r="B13" s="10">
        <v>6</v>
      </c>
      <c r="C13" s="10" t="s">
        <v>53</v>
      </c>
      <c r="D13" s="10" t="s">
        <v>51</v>
      </c>
      <c r="E13" s="13" t="s">
        <v>55</v>
      </c>
    </row>
    <row r="14" spans="2:5">
      <c r="B14" s="10">
        <v>7</v>
      </c>
      <c r="C14" s="10" t="s">
        <v>54</v>
      </c>
      <c r="D14" s="10" t="s">
        <v>49</v>
      </c>
      <c r="E14" s="13" t="s">
        <v>55</v>
      </c>
    </row>
    <row r="15" spans="2:5">
      <c r="B15" s="10"/>
      <c r="C15" s="10"/>
      <c r="D15" s="10"/>
      <c r="E15" s="10"/>
    </row>
    <row r="16" spans="2:5">
      <c r="B16" s="10"/>
      <c r="C16" s="10"/>
      <c r="D16" s="10"/>
      <c r="E16" s="10"/>
    </row>
    <row r="17" spans="2:5">
      <c r="B17" s="10"/>
      <c r="C17" s="10"/>
      <c r="D17" s="10"/>
      <c r="E17"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Z46"/>
  <sheetViews>
    <sheetView topLeftCell="A6" zoomScaleNormal="100" zoomScaleSheetLayoutView="130" workbookViewId="0">
      <selection activeCell="F27" sqref="F27"/>
    </sheetView>
  </sheetViews>
  <sheetFormatPr defaultRowHeight="15"/>
  <cols>
    <col min="1" max="1" width="9.140625" style="21"/>
    <col min="2" max="2" width="6.28515625" style="20" customWidth="1"/>
    <col min="3" max="3" width="8.42578125" style="20" customWidth="1"/>
    <col min="4" max="4" width="16" style="21" customWidth="1"/>
    <col min="5" max="5" width="13" style="20" customWidth="1"/>
    <col min="6" max="6" width="13.42578125" style="20" customWidth="1"/>
    <col min="7" max="7" width="16.140625" style="59" hidden="1" customWidth="1"/>
    <col min="8" max="8" width="10" style="20" hidden="1" customWidth="1"/>
    <col min="9" max="9" width="11.28515625" style="20" hidden="1" customWidth="1"/>
    <col min="10" max="10" width="11.42578125" style="20" customWidth="1"/>
    <col min="11" max="11" width="11.5703125" style="82" hidden="1" customWidth="1"/>
    <col min="12" max="12" width="19.5703125" style="20" customWidth="1"/>
    <col min="14" max="259" width="9.140625" style="21"/>
    <col min="260" max="260" width="4.42578125" style="21" customWidth="1"/>
    <col min="261" max="261" width="8.42578125" style="21" customWidth="1"/>
    <col min="262" max="262" width="16" style="21" customWidth="1"/>
    <col min="263" max="263" width="13" style="21" customWidth="1"/>
    <col min="264" max="264" width="13.42578125" style="21" customWidth="1"/>
    <col min="265" max="265" width="10" style="21" customWidth="1"/>
    <col min="266" max="266" width="9.28515625" style="21" customWidth="1"/>
    <col min="267" max="267" width="9.42578125" style="21" customWidth="1"/>
    <col min="268" max="268" width="30.42578125" style="21" customWidth="1"/>
    <col min="269" max="269" width="16" style="21" customWidth="1"/>
    <col min="270" max="515" width="9.140625" style="21"/>
    <col min="516" max="516" width="4.42578125" style="21" customWidth="1"/>
    <col min="517" max="517" width="8.42578125" style="21" customWidth="1"/>
    <col min="518" max="518" width="16" style="21" customWidth="1"/>
    <col min="519" max="519" width="13" style="21" customWidth="1"/>
    <col min="520" max="520" width="13.42578125" style="21" customWidth="1"/>
    <col min="521" max="521" width="10" style="21" customWidth="1"/>
    <col min="522" max="522" width="9.28515625" style="21" customWidth="1"/>
    <col min="523" max="523" width="9.42578125" style="21" customWidth="1"/>
    <col min="524" max="524" width="30.42578125" style="21" customWidth="1"/>
    <col min="525" max="525" width="16" style="21" customWidth="1"/>
    <col min="526" max="771" width="9.140625" style="21"/>
    <col min="772" max="772" width="4.42578125" style="21" customWidth="1"/>
    <col min="773" max="773" width="8.42578125" style="21" customWidth="1"/>
    <col min="774" max="774" width="16" style="21" customWidth="1"/>
    <col min="775" max="775" width="13" style="21" customWidth="1"/>
    <col min="776" max="776" width="13.42578125" style="21" customWidth="1"/>
    <col min="777" max="777" width="10" style="21" customWidth="1"/>
    <col min="778" max="778" width="9.28515625" style="21" customWidth="1"/>
    <col min="779" max="779" width="9.42578125" style="21" customWidth="1"/>
    <col min="780" max="780" width="30.42578125" style="21" customWidth="1"/>
    <col min="781" max="781" width="16" style="21" customWidth="1"/>
    <col min="782" max="1027" width="9.140625" style="21"/>
    <col min="1028" max="1028" width="4.42578125" style="21" customWidth="1"/>
    <col min="1029" max="1029" width="8.42578125" style="21" customWidth="1"/>
    <col min="1030" max="1030" width="16" style="21" customWidth="1"/>
    <col min="1031" max="1031" width="13" style="21" customWidth="1"/>
    <col min="1032" max="1032" width="13.42578125" style="21" customWidth="1"/>
    <col min="1033" max="1033" width="10" style="21" customWidth="1"/>
    <col min="1034" max="1034" width="9.28515625" style="21" customWidth="1"/>
    <col min="1035" max="1035" width="9.42578125" style="21" customWidth="1"/>
    <col min="1036" max="1036" width="30.42578125" style="21" customWidth="1"/>
    <col min="1037" max="1037" width="16" style="21" customWidth="1"/>
    <col min="1038" max="1283" width="9.140625" style="21"/>
    <col min="1284" max="1284" width="4.42578125" style="21" customWidth="1"/>
    <col min="1285" max="1285" width="8.42578125" style="21" customWidth="1"/>
    <col min="1286" max="1286" width="16" style="21" customWidth="1"/>
    <col min="1287" max="1287" width="13" style="21" customWidth="1"/>
    <col min="1288" max="1288" width="13.42578125" style="21" customWidth="1"/>
    <col min="1289" max="1289" width="10" style="21" customWidth="1"/>
    <col min="1290" max="1290" width="9.28515625" style="21" customWidth="1"/>
    <col min="1291" max="1291" width="9.42578125" style="21" customWidth="1"/>
    <col min="1292" max="1292" width="30.42578125" style="21" customWidth="1"/>
    <col min="1293" max="1293" width="16" style="21" customWidth="1"/>
    <col min="1294" max="1539" width="9.140625" style="21"/>
    <col min="1540" max="1540" width="4.42578125" style="21" customWidth="1"/>
    <col min="1541" max="1541" width="8.42578125" style="21" customWidth="1"/>
    <col min="1542" max="1542" width="16" style="21" customWidth="1"/>
    <col min="1543" max="1543" width="13" style="21" customWidth="1"/>
    <col min="1544" max="1544" width="13.42578125" style="21" customWidth="1"/>
    <col min="1545" max="1545" width="10" style="21" customWidth="1"/>
    <col min="1546" max="1546" width="9.28515625" style="21" customWidth="1"/>
    <col min="1547" max="1547" width="9.42578125" style="21" customWidth="1"/>
    <col min="1548" max="1548" width="30.42578125" style="21" customWidth="1"/>
    <col min="1549" max="1549" width="16" style="21" customWidth="1"/>
    <col min="1550" max="1795" width="9.140625" style="21"/>
    <col min="1796" max="1796" width="4.42578125" style="21" customWidth="1"/>
    <col min="1797" max="1797" width="8.42578125" style="21" customWidth="1"/>
    <col min="1798" max="1798" width="16" style="21" customWidth="1"/>
    <col min="1799" max="1799" width="13" style="21" customWidth="1"/>
    <col min="1800" max="1800" width="13.42578125" style="21" customWidth="1"/>
    <col min="1801" max="1801" width="10" style="21" customWidth="1"/>
    <col min="1802" max="1802" width="9.28515625" style="21" customWidth="1"/>
    <col min="1803" max="1803" width="9.42578125" style="21" customWidth="1"/>
    <col min="1804" max="1804" width="30.42578125" style="21" customWidth="1"/>
    <col min="1805" max="1805" width="16" style="21" customWidth="1"/>
    <col min="1806" max="2051" width="9.140625" style="21"/>
    <col min="2052" max="2052" width="4.42578125" style="21" customWidth="1"/>
    <col min="2053" max="2053" width="8.42578125" style="21" customWidth="1"/>
    <col min="2054" max="2054" width="16" style="21" customWidth="1"/>
    <col min="2055" max="2055" width="13" style="21" customWidth="1"/>
    <col min="2056" max="2056" width="13.42578125" style="21" customWidth="1"/>
    <col min="2057" max="2057" width="10" style="21" customWidth="1"/>
    <col min="2058" max="2058" width="9.28515625" style="21" customWidth="1"/>
    <col min="2059" max="2059" width="9.42578125" style="21" customWidth="1"/>
    <col min="2060" max="2060" width="30.42578125" style="21" customWidth="1"/>
    <col min="2061" max="2061" width="16" style="21" customWidth="1"/>
    <col min="2062" max="2307" width="9.140625" style="21"/>
    <col min="2308" max="2308" width="4.42578125" style="21" customWidth="1"/>
    <col min="2309" max="2309" width="8.42578125" style="21" customWidth="1"/>
    <col min="2310" max="2310" width="16" style="21" customWidth="1"/>
    <col min="2311" max="2311" width="13" style="21" customWidth="1"/>
    <col min="2312" max="2312" width="13.42578125" style="21" customWidth="1"/>
    <col min="2313" max="2313" width="10" style="21" customWidth="1"/>
    <col min="2314" max="2314" width="9.28515625" style="21" customWidth="1"/>
    <col min="2315" max="2315" width="9.42578125" style="21" customWidth="1"/>
    <col min="2316" max="2316" width="30.42578125" style="21" customWidth="1"/>
    <col min="2317" max="2317" width="16" style="21" customWidth="1"/>
    <col min="2318" max="2563" width="9.140625" style="21"/>
    <col min="2564" max="2564" width="4.42578125" style="21" customWidth="1"/>
    <col min="2565" max="2565" width="8.42578125" style="21" customWidth="1"/>
    <col min="2566" max="2566" width="16" style="21" customWidth="1"/>
    <col min="2567" max="2567" width="13" style="21" customWidth="1"/>
    <col min="2568" max="2568" width="13.42578125" style="21" customWidth="1"/>
    <col min="2569" max="2569" width="10" style="21" customWidth="1"/>
    <col min="2570" max="2570" width="9.28515625" style="21" customWidth="1"/>
    <col min="2571" max="2571" width="9.42578125" style="21" customWidth="1"/>
    <col min="2572" max="2572" width="30.42578125" style="21" customWidth="1"/>
    <col min="2573" max="2573" width="16" style="21" customWidth="1"/>
    <col min="2574" max="2819" width="9.140625" style="21"/>
    <col min="2820" max="2820" width="4.42578125" style="21" customWidth="1"/>
    <col min="2821" max="2821" width="8.42578125" style="21" customWidth="1"/>
    <col min="2822" max="2822" width="16" style="21" customWidth="1"/>
    <col min="2823" max="2823" width="13" style="21" customWidth="1"/>
    <col min="2824" max="2824" width="13.42578125" style="21" customWidth="1"/>
    <col min="2825" max="2825" width="10" style="21" customWidth="1"/>
    <col min="2826" max="2826" width="9.28515625" style="21" customWidth="1"/>
    <col min="2827" max="2827" width="9.42578125" style="21" customWidth="1"/>
    <col min="2828" max="2828" width="30.42578125" style="21" customWidth="1"/>
    <col min="2829" max="2829" width="16" style="21" customWidth="1"/>
    <col min="2830" max="3075" width="9.140625" style="21"/>
    <col min="3076" max="3076" width="4.42578125" style="21" customWidth="1"/>
    <col min="3077" max="3077" width="8.42578125" style="21" customWidth="1"/>
    <col min="3078" max="3078" width="16" style="21" customWidth="1"/>
    <col min="3079" max="3079" width="13" style="21" customWidth="1"/>
    <col min="3080" max="3080" width="13.42578125" style="21" customWidth="1"/>
    <col min="3081" max="3081" width="10" style="21" customWidth="1"/>
    <col min="3082" max="3082" width="9.28515625" style="21" customWidth="1"/>
    <col min="3083" max="3083" width="9.42578125" style="21" customWidth="1"/>
    <col min="3084" max="3084" width="30.42578125" style="21" customWidth="1"/>
    <col min="3085" max="3085" width="16" style="21" customWidth="1"/>
    <col min="3086" max="3331" width="9.140625" style="21"/>
    <col min="3332" max="3332" width="4.42578125" style="21" customWidth="1"/>
    <col min="3333" max="3333" width="8.42578125" style="21" customWidth="1"/>
    <col min="3334" max="3334" width="16" style="21" customWidth="1"/>
    <col min="3335" max="3335" width="13" style="21" customWidth="1"/>
    <col min="3336" max="3336" width="13.42578125" style="21" customWidth="1"/>
    <col min="3337" max="3337" width="10" style="21" customWidth="1"/>
    <col min="3338" max="3338" width="9.28515625" style="21" customWidth="1"/>
    <col min="3339" max="3339" width="9.42578125" style="21" customWidth="1"/>
    <col min="3340" max="3340" width="30.42578125" style="21" customWidth="1"/>
    <col min="3341" max="3341" width="16" style="21" customWidth="1"/>
    <col min="3342" max="3587" width="9.140625" style="21"/>
    <col min="3588" max="3588" width="4.42578125" style="21" customWidth="1"/>
    <col min="3589" max="3589" width="8.42578125" style="21" customWidth="1"/>
    <col min="3590" max="3590" width="16" style="21" customWidth="1"/>
    <col min="3591" max="3591" width="13" style="21" customWidth="1"/>
    <col min="3592" max="3592" width="13.42578125" style="21" customWidth="1"/>
    <col min="3593" max="3593" width="10" style="21" customWidth="1"/>
    <col min="3594" max="3594" width="9.28515625" style="21" customWidth="1"/>
    <col min="3595" max="3595" width="9.42578125" style="21" customWidth="1"/>
    <col min="3596" max="3596" width="30.42578125" style="21" customWidth="1"/>
    <col min="3597" max="3597" width="16" style="21" customWidth="1"/>
    <col min="3598" max="3843" width="9.140625" style="21"/>
    <col min="3844" max="3844" width="4.42578125" style="21" customWidth="1"/>
    <col min="3845" max="3845" width="8.42578125" style="21" customWidth="1"/>
    <col min="3846" max="3846" width="16" style="21" customWidth="1"/>
    <col min="3847" max="3847" width="13" style="21" customWidth="1"/>
    <col min="3848" max="3848" width="13.42578125" style="21" customWidth="1"/>
    <col min="3849" max="3849" width="10" style="21" customWidth="1"/>
    <col min="3850" max="3850" width="9.28515625" style="21" customWidth="1"/>
    <col min="3851" max="3851" width="9.42578125" style="21" customWidth="1"/>
    <col min="3852" max="3852" width="30.42578125" style="21" customWidth="1"/>
    <col min="3853" max="3853" width="16" style="21" customWidth="1"/>
    <col min="3854" max="4099" width="9.140625" style="21"/>
    <col min="4100" max="4100" width="4.42578125" style="21" customWidth="1"/>
    <col min="4101" max="4101" width="8.42578125" style="21" customWidth="1"/>
    <col min="4102" max="4102" width="16" style="21" customWidth="1"/>
    <col min="4103" max="4103" width="13" style="21" customWidth="1"/>
    <col min="4104" max="4104" width="13.42578125" style="21" customWidth="1"/>
    <col min="4105" max="4105" width="10" style="21" customWidth="1"/>
    <col min="4106" max="4106" width="9.28515625" style="21" customWidth="1"/>
    <col min="4107" max="4107" width="9.42578125" style="21" customWidth="1"/>
    <col min="4108" max="4108" width="30.42578125" style="21" customWidth="1"/>
    <col min="4109" max="4109" width="16" style="21" customWidth="1"/>
    <col min="4110" max="4355" width="9.140625" style="21"/>
    <col min="4356" max="4356" width="4.42578125" style="21" customWidth="1"/>
    <col min="4357" max="4357" width="8.42578125" style="21" customWidth="1"/>
    <col min="4358" max="4358" width="16" style="21" customWidth="1"/>
    <col min="4359" max="4359" width="13" style="21" customWidth="1"/>
    <col min="4360" max="4360" width="13.42578125" style="21" customWidth="1"/>
    <col min="4361" max="4361" width="10" style="21" customWidth="1"/>
    <col min="4362" max="4362" width="9.28515625" style="21" customWidth="1"/>
    <col min="4363" max="4363" width="9.42578125" style="21" customWidth="1"/>
    <col min="4364" max="4364" width="30.42578125" style="21" customWidth="1"/>
    <col min="4365" max="4365" width="16" style="21" customWidth="1"/>
    <col min="4366" max="4611" width="9.140625" style="21"/>
    <col min="4612" max="4612" width="4.42578125" style="21" customWidth="1"/>
    <col min="4613" max="4613" width="8.42578125" style="21" customWidth="1"/>
    <col min="4614" max="4614" width="16" style="21" customWidth="1"/>
    <col min="4615" max="4615" width="13" style="21" customWidth="1"/>
    <col min="4616" max="4616" width="13.42578125" style="21" customWidth="1"/>
    <col min="4617" max="4617" width="10" style="21" customWidth="1"/>
    <col min="4618" max="4618" width="9.28515625" style="21" customWidth="1"/>
    <col min="4619" max="4619" width="9.42578125" style="21" customWidth="1"/>
    <col min="4620" max="4620" width="30.42578125" style="21" customWidth="1"/>
    <col min="4621" max="4621" width="16" style="21" customWidth="1"/>
    <col min="4622" max="4867" width="9.140625" style="21"/>
    <col min="4868" max="4868" width="4.42578125" style="21" customWidth="1"/>
    <col min="4869" max="4869" width="8.42578125" style="21" customWidth="1"/>
    <col min="4870" max="4870" width="16" style="21" customWidth="1"/>
    <col min="4871" max="4871" width="13" style="21" customWidth="1"/>
    <col min="4872" max="4872" width="13.42578125" style="21" customWidth="1"/>
    <col min="4873" max="4873" width="10" style="21" customWidth="1"/>
    <col min="4874" max="4874" width="9.28515625" style="21" customWidth="1"/>
    <col min="4875" max="4875" width="9.42578125" style="21" customWidth="1"/>
    <col min="4876" max="4876" width="30.42578125" style="21" customWidth="1"/>
    <col min="4877" max="4877" width="16" style="21" customWidth="1"/>
    <col min="4878" max="5123" width="9.140625" style="21"/>
    <col min="5124" max="5124" width="4.42578125" style="21" customWidth="1"/>
    <col min="5125" max="5125" width="8.42578125" style="21" customWidth="1"/>
    <col min="5126" max="5126" width="16" style="21" customWidth="1"/>
    <col min="5127" max="5127" width="13" style="21" customWidth="1"/>
    <col min="5128" max="5128" width="13.42578125" style="21" customWidth="1"/>
    <col min="5129" max="5129" width="10" style="21" customWidth="1"/>
    <col min="5130" max="5130" width="9.28515625" style="21" customWidth="1"/>
    <col min="5131" max="5131" width="9.42578125" style="21" customWidth="1"/>
    <col min="5132" max="5132" width="30.42578125" style="21" customWidth="1"/>
    <col min="5133" max="5133" width="16" style="21" customWidth="1"/>
    <col min="5134" max="5379" width="9.140625" style="21"/>
    <col min="5380" max="5380" width="4.42578125" style="21" customWidth="1"/>
    <col min="5381" max="5381" width="8.42578125" style="21" customWidth="1"/>
    <col min="5382" max="5382" width="16" style="21" customWidth="1"/>
    <col min="5383" max="5383" width="13" style="21" customWidth="1"/>
    <col min="5384" max="5384" width="13.42578125" style="21" customWidth="1"/>
    <col min="5385" max="5385" width="10" style="21" customWidth="1"/>
    <col min="5386" max="5386" width="9.28515625" style="21" customWidth="1"/>
    <col min="5387" max="5387" width="9.42578125" style="21" customWidth="1"/>
    <col min="5388" max="5388" width="30.42578125" style="21" customWidth="1"/>
    <col min="5389" max="5389" width="16" style="21" customWidth="1"/>
    <col min="5390" max="5635" width="9.140625" style="21"/>
    <col min="5636" max="5636" width="4.42578125" style="21" customWidth="1"/>
    <col min="5637" max="5637" width="8.42578125" style="21" customWidth="1"/>
    <col min="5638" max="5638" width="16" style="21" customWidth="1"/>
    <col min="5639" max="5639" width="13" style="21" customWidth="1"/>
    <col min="5640" max="5640" width="13.42578125" style="21" customWidth="1"/>
    <col min="5641" max="5641" width="10" style="21" customWidth="1"/>
    <col min="5642" max="5642" width="9.28515625" style="21" customWidth="1"/>
    <col min="5643" max="5643" width="9.42578125" style="21" customWidth="1"/>
    <col min="5644" max="5644" width="30.42578125" style="21" customWidth="1"/>
    <col min="5645" max="5645" width="16" style="21" customWidth="1"/>
    <col min="5646" max="5891" width="9.140625" style="21"/>
    <col min="5892" max="5892" width="4.42578125" style="21" customWidth="1"/>
    <col min="5893" max="5893" width="8.42578125" style="21" customWidth="1"/>
    <col min="5894" max="5894" width="16" style="21" customWidth="1"/>
    <col min="5895" max="5895" width="13" style="21" customWidth="1"/>
    <col min="5896" max="5896" width="13.42578125" style="21" customWidth="1"/>
    <col min="5897" max="5897" width="10" style="21" customWidth="1"/>
    <col min="5898" max="5898" width="9.28515625" style="21" customWidth="1"/>
    <col min="5899" max="5899" width="9.42578125" style="21" customWidth="1"/>
    <col min="5900" max="5900" width="30.42578125" style="21" customWidth="1"/>
    <col min="5901" max="5901" width="16" style="21" customWidth="1"/>
    <col min="5902" max="6147" width="9.140625" style="21"/>
    <col min="6148" max="6148" width="4.42578125" style="21" customWidth="1"/>
    <col min="6149" max="6149" width="8.42578125" style="21" customWidth="1"/>
    <col min="6150" max="6150" width="16" style="21" customWidth="1"/>
    <col min="6151" max="6151" width="13" style="21" customWidth="1"/>
    <col min="6152" max="6152" width="13.42578125" style="21" customWidth="1"/>
    <col min="6153" max="6153" width="10" style="21" customWidth="1"/>
    <col min="6154" max="6154" width="9.28515625" style="21" customWidth="1"/>
    <col min="6155" max="6155" width="9.42578125" style="21" customWidth="1"/>
    <col min="6156" max="6156" width="30.42578125" style="21" customWidth="1"/>
    <col min="6157" max="6157" width="16" style="21" customWidth="1"/>
    <col min="6158" max="6403" width="9.140625" style="21"/>
    <col min="6404" max="6404" width="4.42578125" style="21" customWidth="1"/>
    <col min="6405" max="6405" width="8.42578125" style="21" customWidth="1"/>
    <col min="6406" max="6406" width="16" style="21" customWidth="1"/>
    <col min="6407" max="6407" width="13" style="21" customWidth="1"/>
    <col min="6408" max="6408" width="13.42578125" style="21" customWidth="1"/>
    <col min="6409" max="6409" width="10" style="21" customWidth="1"/>
    <col min="6410" max="6410" width="9.28515625" style="21" customWidth="1"/>
    <col min="6411" max="6411" width="9.42578125" style="21" customWidth="1"/>
    <col min="6412" max="6412" width="30.42578125" style="21" customWidth="1"/>
    <col min="6413" max="6413" width="16" style="21" customWidth="1"/>
    <col min="6414" max="6659" width="9.140625" style="21"/>
    <col min="6660" max="6660" width="4.42578125" style="21" customWidth="1"/>
    <col min="6661" max="6661" width="8.42578125" style="21" customWidth="1"/>
    <col min="6662" max="6662" width="16" style="21" customWidth="1"/>
    <col min="6663" max="6663" width="13" style="21" customWidth="1"/>
    <col min="6664" max="6664" width="13.42578125" style="21" customWidth="1"/>
    <col min="6665" max="6665" width="10" style="21" customWidth="1"/>
    <col min="6666" max="6666" width="9.28515625" style="21" customWidth="1"/>
    <col min="6667" max="6667" width="9.42578125" style="21" customWidth="1"/>
    <col min="6668" max="6668" width="30.42578125" style="21" customWidth="1"/>
    <col min="6669" max="6669" width="16" style="21" customWidth="1"/>
    <col min="6670" max="6915" width="9.140625" style="21"/>
    <col min="6916" max="6916" width="4.42578125" style="21" customWidth="1"/>
    <col min="6917" max="6917" width="8.42578125" style="21" customWidth="1"/>
    <col min="6918" max="6918" width="16" style="21" customWidth="1"/>
    <col min="6919" max="6919" width="13" style="21" customWidth="1"/>
    <col min="6920" max="6920" width="13.42578125" style="21" customWidth="1"/>
    <col min="6921" max="6921" width="10" style="21" customWidth="1"/>
    <col min="6922" max="6922" width="9.28515625" style="21" customWidth="1"/>
    <col min="6923" max="6923" width="9.42578125" style="21" customWidth="1"/>
    <col min="6924" max="6924" width="30.42578125" style="21" customWidth="1"/>
    <col min="6925" max="6925" width="16" style="21" customWidth="1"/>
    <col min="6926" max="7171" width="9.140625" style="21"/>
    <col min="7172" max="7172" width="4.42578125" style="21" customWidth="1"/>
    <col min="7173" max="7173" width="8.42578125" style="21" customWidth="1"/>
    <col min="7174" max="7174" width="16" style="21" customWidth="1"/>
    <col min="7175" max="7175" width="13" style="21" customWidth="1"/>
    <col min="7176" max="7176" width="13.42578125" style="21" customWidth="1"/>
    <col min="7177" max="7177" width="10" style="21" customWidth="1"/>
    <col min="7178" max="7178" width="9.28515625" style="21" customWidth="1"/>
    <col min="7179" max="7179" width="9.42578125" style="21" customWidth="1"/>
    <col min="7180" max="7180" width="30.42578125" style="21" customWidth="1"/>
    <col min="7181" max="7181" width="16" style="21" customWidth="1"/>
    <col min="7182" max="7427" width="9.140625" style="21"/>
    <col min="7428" max="7428" width="4.42578125" style="21" customWidth="1"/>
    <col min="7429" max="7429" width="8.42578125" style="21" customWidth="1"/>
    <col min="7430" max="7430" width="16" style="21" customWidth="1"/>
    <col min="7431" max="7431" width="13" style="21" customWidth="1"/>
    <col min="7432" max="7432" width="13.42578125" style="21" customWidth="1"/>
    <col min="7433" max="7433" width="10" style="21" customWidth="1"/>
    <col min="7434" max="7434" width="9.28515625" style="21" customWidth="1"/>
    <col min="7435" max="7435" width="9.42578125" style="21" customWidth="1"/>
    <col min="7436" max="7436" width="30.42578125" style="21" customWidth="1"/>
    <col min="7437" max="7437" width="16" style="21" customWidth="1"/>
    <col min="7438" max="7683" width="9.140625" style="21"/>
    <col min="7684" max="7684" width="4.42578125" style="21" customWidth="1"/>
    <col min="7685" max="7685" width="8.42578125" style="21" customWidth="1"/>
    <col min="7686" max="7686" width="16" style="21" customWidth="1"/>
    <col min="7687" max="7687" width="13" style="21" customWidth="1"/>
    <col min="7688" max="7688" width="13.42578125" style="21" customWidth="1"/>
    <col min="7689" max="7689" width="10" style="21" customWidth="1"/>
    <col min="7690" max="7690" width="9.28515625" style="21" customWidth="1"/>
    <col min="7691" max="7691" width="9.42578125" style="21" customWidth="1"/>
    <col min="7692" max="7692" width="30.42578125" style="21" customWidth="1"/>
    <col min="7693" max="7693" width="16" style="21" customWidth="1"/>
    <col min="7694" max="7939" width="9.140625" style="21"/>
    <col min="7940" max="7940" width="4.42578125" style="21" customWidth="1"/>
    <col min="7941" max="7941" width="8.42578125" style="21" customWidth="1"/>
    <col min="7942" max="7942" width="16" style="21" customWidth="1"/>
    <col min="7943" max="7943" width="13" style="21" customWidth="1"/>
    <col min="7944" max="7944" width="13.42578125" style="21" customWidth="1"/>
    <col min="7945" max="7945" width="10" style="21" customWidth="1"/>
    <col min="7946" max="7946" width="9.28515625" style="21" customWidth="1"/>
    <col min="7947" max="7947" width="9.42578125" style="21" customWidth="1"/>
    <col min="7948" max="7948" width="30.42578125" style="21" customWidth="1"/>
    <col min="7949" max="7949" width="16" style="21" customWidth="1"/>
    <col min="7950" max="8195" width="9.140625" style="21"/>
    <col min="8196" max="8196" width="4.42578125" style="21" customWidth="1"/>
    <col min="8197" max="8197" width="8.42578125" style="21" customWidth="1"/>
    <col min="8198" max="8198" width="16" style="21" customWidth="1"/>
    <col min="8199" max="8199" width="13" style="21" customWidth="1"/>
    <col min="8200" max="8200" width="13.42578125" style="21" customWidth="1"/>
    <col min="8201" max="8201" width="10" style="21" customWidth="1"/>
    <col min="8202" max="8202" width="9.28515625" style="21" customWidth="1"/>
    <col min="8203" max="8203" width="9.42578125" style="21" customWidth="1"/>
    <col min="8204" max="8204" width="30.42578125" style="21" customWidth="1"/>
    <col min="8205" max="8205" width="16" style="21" customWidth="1"/>
    <col min="8206" max="8451" width="9.140625" style="21"/>
    <col min="8452" max="8452" width="4.42578125" style="21" customWidth="1"/>
    <col min="8453" max="8453" width="8.42578125" style="21" customWidth="1"/>
    <col min="8454" max="8454" width="16" style="21" customWidth="1"/>
    <col min="8455" max="8455" width="13" style="21" customWidth="1"/>
    <col min="8456" max="8456" width="13.42578125" style="21" customWidth="1"/>
    <col min="8457" max="8457" width="10" style="21" customWidth="1"/>
    <col min="8458" max="8458" width="9.28515625" style="21" customWidth="1"/>
    <col min="8459" max="8459" width="9.42578125" style="21" customWidth="1"/>
    <col min="8460" max="8460" width="30.42578125" style="21" customWidth="1"/>
    <col min="8461" max="8461" width="16" style="21" customWidth="1"/>
    <col min="8462" max="8707" width="9.140625" style="21"/>
    <col min="8708" max="8708" width="4.42578125" style="21" customWidth="1"/>
    <col min="8709" max="8709" width="8.42578125" style="21" customWidth="1"/>
    <col min="8710" max="8710" width="16" style="21" customWidth="1"/>
    <col min="8711" max="8711" width="13" style="21" customWidth="1"/>
    <col min="8712" max="8712" width="13.42578125" style="21" customWidth="1"/>
    <col min="8713" max="8713" width="10" style="21" customWidth="1"/>
    <col min="8714" max="8714" width="9.28515625" style="21" customWidth="1"/>
    <col min="8715" max="8715" width="9.42578125" style="21" customWidth="1"/>
    <col min="8716" max="8716" width="30.42578125" style="21" customWidth="1"/>
    <col min="8717" max="8717" width="16" style="21" customWidth="1"/>
    <col min="8718" max="8963" width="9.140625" style="21"/>
    <col min="8964" max="8964" width="4.42578125" style="21" customWidth="1"/>
    <col min="8965" max="8965" width="8.42578125" style="21" customWidth="1"/>
    <col min="8966" max="8966" width="16" style="21" customWidth="1"/>
    <col min="8967" max="8967" width="13" style="21" customWidth="1"/>
    <col min="8968" max="8968" width="13.42578125" style="21" customWidth="1"/>
    <col min="8969" max="8969" width="10" style="21" customWidth="1"/>
    <col min="8970" max="8970" width="9.28515625" style="21" customWidth="1"/>
    <col min="8971" max="8971" width="9.42578125" style="21" customWidth="1"/>
    <col min="8972" max="8972" width="30.42578125" style="21" customWidth="1"/>
    <col min="8973" max="8973" width="16" style="21" customWidth="1"/>
    <col min="8974" max="9219" width="9.140625" style="21"/>
    <col min="9220" max="9220" width="4.42578125" style="21" customWidth="1"/>
    <col min="9221" max="9221" width="8.42578125" style="21" customWidth="1"/>
    <col min="9222" max="9222" width="16" style="21" customWidth="1"/>
    <col min="9223" max="9223" width="13" style="21" customWidth="1"/>
    <col min="9224" max="9224" width="13.42578125" style="21" customWidth="1"/>
    <col min="9225" max="9225" width="10" style="21" customWidth="1"/>
    <col min="9226" max="9226" width="9.28515625" style="21" customWidth="1"/>
    <col min="9227" max="9227" width="9.42578125" style="21" customWidth="1"/>
    <col min="9228" max="9228" width="30.42578125" style="21" customWidth="1"/>
    <col min="9229" max="9229" width="16" style="21" customWidth="1"/>
    <col min="9230" max="9475" width="9.140625" style="21"/>
    <col min="9476" max="9476" width="4.42578125" style="21" customWidth="1"/>
    <col min="9477" max="9477" width="8.42578125" style="21" customWidth="1"/>
    <col min="9478" max="9478" width="16" style="21" customWidth="1"/>
    <col min="9479" max="9479" width="13" style="21" customWidth="1"/>
    <col min="9480" max="9480" width="13.42578125" style="21" customWidth="1"/>
    <col min="9481" max="9481" width="10" style="21" customWidth="1"/>
    <col min="9482" max="9482" width="9.28515625" style="21" customWidth="1"/>
    <col min="9483" max="9483" width="9.42578125" style="21" customWidth="1"/>
    <col min="9484" max="9484" width="30.42578125" style="21" customWidth="1"/>
    <col min="9485" max="9485" width="16" style="21" customWidth="1"/>
    <col min="9486" max="9731" width="9.140625" style="21"/>
    <col min="9732" max="9732" width="4.42578125" style="21" customWidth="1"/>
    <col min="9733" max="9733" width="8.42578125" style="21" customWidth="1"/>
    <col min="9734" max="9734" width="16" style="21" customWidth="1"/>
    <col min="9735" max="9735" width="13" style="21" customWidth="1"/>
    <col min="9736" max="9736" width="13.42578125" style="21" customWidth="1"/>
    <col min="9737" max="9737" width="10" style="21" customWidth="1"/>
    <col min="9738" max="9738" width="9.28515625" style="21" customWidth="1"/>
    <col min="9739" max="9739" width="9.42578125" style="21" customWidth="1"/>
    <col min="9740" max="9740" width="30.42578125" style="21" customWidth="1"/>
    <col min="9741" max="9741" width="16" style="21" customWidth="1"/>
    <col min="9742" max="9987" width="9.140625" style="21"/>
    <col min="9988" max="9988" width="4.42578125" style="21" customWidth="1"/>
    <col min="9989" max="9989" width="8.42578125" style="21" customWidth="1"/>
    <col min="9990" max="9990" width="16" style="21" customWidth="1"/>
    <col min="9991" max="9991" width="13" style="21" customWidth="1"/>
    <col min="9992" max="9992" width="13.42578125" style="21" customWidth="1"/>
    <col min="9993" max="9993" width="10" style="21" customWidth="1"/>
    <col min="9994" max="9994" width="9.28515625" style="21" customWidth="1"/>
    <col min="9995" max="9995" width="9.42578125" style="21" customWidth="1"/>
    <col min="9996" max="9996" width="30.42578125" style="21" customWidth="1"/>
    <col min="9997" max="9997" width="16" style="21" customWidth="1"/>
    <col min="9998" max="10243" width="9.140625" style="21"/>
    <col min="10244" max="10244" width="4.42578125" style="21" customWidth="1"/>
    <col min="10245" max="10245" width="8.42578125" style="21" customWidth="1"/>
    <col min="10246" max="10246" width="16" style="21" customWidth="1"/>
    <col min="10247" max="10247" width="13" style="21" customWidth="1"/>
    <col min="10248" max="10248" width="13.42578125" style="21" customWidth="1"/>
    <col min="10249" max="10249" width="10" style="21" customWidth="1"/>
    <col min="10250" max="10250" width="9.28515625" style="21" customWidth="1"/>
    <col min="10251" max="10251" width="9.42578125" style="21" customWidth="1"/>
    <col min="10252" max="10252" width="30.42578125" style="21" customWidth="1"/>
    <col min="10253" max="10253" width="16" style="21" customWidth="1"/>
    <col min="10254" max="10499" width="9.140625" style="21"/>
    <col min="10500" max="10500" width="4.42578125" style="21" customWidth="1"/>
    <col min="10501" max="10501" width="8.42578125" style="21" customWidth="1"/>
    <col min="10502" max="10502" width="16" style="21" customWidth="1"/>
    <col min="10503" max="10503" width="13" style="21" customWidth="1"/>
    <col min="10504" max="10504" width="13.42578125" style="21" customWidth="1"/>
    <col min="10505" max="10505" width="10" style="21" customWidth="1"/>
    <col min="10506" max="10506" width="9.28515625" style="21" customWidth="1"/>
    <col min="10507" max="10507" width="9.42578125" style="21" customWidth="1"/>
    <col min="10508" max="10508" width="30.42578125" style="21" customWidth="1"/>
    <col min="10509" max="10509" width="16" style="21" customWidth="1"/>
    <col min="10510" max="10755" width="9.140625" style="21"/>
    <col min="10756" max="10756" width="4.42578125" style="21" customWidth="1"/>
    <col min="10757" max="10757" width="8.42578125" style="21" customWidth="1"/>
    <col min="10758" max="10758" width="16" style="21" customWidth="1"/>
    <col min="10759" max="10759" width="13" style="21" customWidth="1"/>
    <col min="10760" max="10760" width="13.42578125" style="21" customWidth="1"/>
    <col min="10761" max="10761" width="10" style="21" customWidth="1"/>
    <col min="10762" max="10762" width="9.28515625" style="21" customWidth="1"/>
    <col min="10763" max="10763" width="9.42578125" style="21" customWidth="1"/>
    <col min="10764" max="10764" width="30.42578125" style="21" customWidth="1"/>
    <col min="10765" max="10765" width="16" style="21" customWidth="1"/>
    <col min="10766" max="11011" width="9.140625" style="21"/>
    <col min="11012" max="11012" width="4.42578125" style="21" customWidth="1"/>
    <col min="11013" max="11013" width="8.42578125" style="21" customWidth="1"/>
    <col min="11014" max="11014" width="16" style="21" customWidth="1"/>
    <col min="11015" max="11015" width="13" style="21" customWidth="1"/>
    <col min="11016" max="11016" width="13.42578125" style="21" customWidth="1"/>
    <col min="11017" max="11017" width="10" style="21" customWidth="1"/>
    <col min="11018" max="11018" width="9.28515625" style="21" customWidth="1"/>
    <col min="11019" max="11019" width="9.42578125" style="21" customWidth="1"/>
    <col min="11020" max="11020" width="30.42578125" style="21" customWidth="1"/>
    <col min="11021" max="11021" width="16" style="21" customWidth="1"/>
    <col min="11022" max="11267" width="9.140625" style="21"/>
    <col min="11268" max="11268" width="4.42578125" style="21" customWidth="1"/>
    <col min="11269" max="11269" width="8.42578125" style="21" customWidth="1"/>
    <col min="11270" max="11270" width="16" style="21" customWidth="1"/>
    <col min="11271" max="11271" width="13" style="21" customWidth="1"/>
    <col min="11272" max="11272" width="13.42578125" style="21" customWidth="1"/>
    <col min="11273" max="11273" width="10" style="21" customWidth="1"/>
    <col min="11274" max="11274" width="9.28515625" style="21" customWidth="1"/>
    <col min="11275" max="11275" width="9.42578125" style="21" customWidth="1"/>
    <col min="11276" max="11276" width="30.42578125" style="21" customWidth="1"/>
    <col min="11277" max="11277" width="16" style="21" customWidth="1"/>
    <col min="11278" max="11523" width="9.140625" style="21"/>
    <col min="11524" max="11524" width="4.42578125" style="21" customWidth="1"/>
    <col min="11525" max="11525" width="8.42578125" style="21" customWidth="1"/>
    <col min="11526" max="11526" width="16" style="21" customWidth="1"/>
    <col min="11527" max="11527" width="13" style="21" customWidth="1"/>
    <col min="11528" max="11528" width="13.42578125" style="21" customWidth="1"/>
    <col min="11529" max="11529" width="10" style="21" customWidth="1"/>
    <col min="11530" max="11530" width="9.28515625" style="21" customWidth="1"/>
    <col min="11531" max="11531" width="9.42578125" style="21" customWidth="1"/>
    <col min="11532" max="11532" width="30.42578125" style="21" customWidth="1"/>
    <col min="11533" max="11533" width="16" style="21" customWidth="1"/>
    <col min="11534" max="11779" width="9.140625" style="21"/>
    <col min="11780" max="11780" width="4.42578125" style="21" customWidth="1"/>
    <col min="11781" max="11781" width="8.42578125" style="21" customWidth="1"/>
    <col min="11782" max="11782" width="16" style="21" customWidth="1"/>
    <col min="11783" max="11783" width="13" style="21" customWidth="1"/>
    <col min="11784" max="11784" width="13.42578125" style="21" customWidth="1"/>
    <col min="11785" max="11785" width="10" style="21" customWidth="1"/>
    <col min="11786" max="11786" width="9.28515625" style="21" customWidth="1"/>
    <col min="11787" max="11787" width="9.42578125" style="21" customWidth="1"/>
    <col min="11788" max="11788" width="30.42578125" style="21" customWidth="1"/>
    <col min="11789" max="11789" width="16" style="21" customWidth="1"/>
    <col min="11790" max="12035" width="9.140625" style="21"/>
    <col min="12036" max="12036" width="4.42578125" style="21" customWidth="1"/>
    <col min="12037" max="12037" width="8.42578125" style="21" customWidth="1"/>
    <col min="12038" max="12038" width="16" style="21" customWidth="1"/>
    <col min="12039" max="12039" width="13" style="21" customWidth="1"/>
    <col min="12040" max="12040" width="13.42578125" style="21" customWidth="1"/>
    <col min="12041" max="12041" width="10" style="21" customWidth="1"/>
    <col min="12042" max="12042" width="9.28515625" style="21" customWidth="1"/>
    <col min="12043" max="12043" width="9.42578125" style="21" customWidth="1"/>
    <col min="12044" max="12044" width="30.42578125" style="21" customWidth="1"/>
    <col min="12045" max="12045" width="16" style="21" customWidth="1"/>
    <col min="12046" max="12291" width="9.140625" style="21"/>
    <col min="12292" max="12292" width="4.42578125" style="21" customWidth="1"/>
    <col min="12293" max="12293" width="8.42578125" style="21" customWidth="1"/>
    <col min="12294" max="12294" width="16" style="21" customWidth="1"/>
    <col min="12295" max="12295" width="13" style="21" customWidth="1"/>
    <col min="12296" max="12296" width="13.42578125" style="21" customWidth="1"/>
    <col min="12297" max="12297" width="10" style="21" customWidth="1"/>
    <col min="12298" max="12298" width="9.28515625" style="21" customWidth="1"/>
    <col min="12299" max="12299" width="9.42578125" style="21" customWidth="1"/>
    <col min="12300" max="12300" width="30.42578125" style="21" customWidth="1"/>
    <col min="12301" max="12301" width="16" style="21" customWidth="1"/>
    <col min="12302" max="12547" width="9.140625" style="21"/>
    <col min="12548" max="12548" width="4.42578125" style="21" customWidth="1"/>
    <col min="12549" max="12549" width="8.42578125" style="21" customWidth="1"/>
    <col min="12550" max="12550" width="16" style="21" customWidth="1"/>
    <col min="12551" max="12551" width="13" style="21" customWidth="1"/>
    <col min="12552" max="12552" width="13.42578125" style="21" customWidth="1"/>
    <col min="12553" max="12553" width="10" style="21" customWidth="1"/>
    <col min="12554" max="12554" width="9.28515625" style="21" customWidth="1"/>
    <col min="12555" max="12555" width="9.42578125" style="21" customWidth="1"/>
    <col min="12556" max="12556" width="30.42578125" style="21" customWidth="1"/>
    <col min="12557" max="12557" width="16" style="21" customWidth="1"/>
    <col min="12558" max="12803" width="9.140625" style="21"/>
    <col min="12804" max="12804" width="4.42578125" style="21" customWidth="1"/>
    <col min="12805" max="12805" width="8.42578125" style="21" customWidth="1"/>
    <col min="12806" max="12806" width="16" style="21" customWidth="1"/>
    <col min="12807" max="12807" width="13" style="21" customWidth="1"/>
    <col min="12808" max="12808" width="13.42578125" style="21" customWidth="1"/>
    <col min="12809" max="12809" width="10" style="21" customWidth="1"/>
    <col min="12810" max="12810" width="9.28515625" style="21" customWidth="1"/>
    <col min="12811" max="12811" width="9.42578125" style="21" customWidth="1"/>
    <col min="12812" max="12812" width="30.42578125" style="21" customWidth="1"/>
    <col min="12813" max="12813" width="16" style="21" customWidth="1"/>
    <col min="12814" max="13059" width="9.140625" style="21"/>
    <col min="13060" max="13060" width="4.42578125" style="21" customWidth="1"/>
    <col min="13061" max="13061" width="8.42578125" style="21" customWidth="1"/>
    <col min="13062" max="13062" width="16" style="21" customWidth="1"/>
    <col min="13063" max="13063" width="13" style="21" customWidth="1"/>
    <col min="13064" max="13064" width="13.42578125" style="21" customWidth="1"/>
    <col min="13065" max="13065" width="10" style="21" customWidth="1"/>
    <col min="13066" max="13066" width="9.28515625" style="21" customWidth="1"/>
    <col min="13067" max="13067" width="9.42578125" style="21" customWidth="1"/>
    <col min="13068" max="13068" width="30.42578125" style="21" customWidth="1"/>
    <col min="13069" max="13069" width="16" style="21" customWidth="1"/>
    <col min="13070" max="13315" width="9.140625" style="21"/>
    <col min="13316" max="13316" width="4.42578125" style="21" customWidth="1"/>
    <col min="13317" max="13317" width="8.42578125" style="21" customWidth="1"/>
    <col min="13318" max="13318" width="16" style="21" customWidth="1"/>
    <col min="13319" max="13319" width="13" style="21" customWidth="1"/>
    <col min="13320" max="13320" width="13.42578125" style="21" customWidth="1"/>
    <col min="13321" max="13321" width="10" style="21" customWidth="1"/>
    <col min="13322" max="13322" width="9.28515625" style="21" customWidth="1"/>
    <col min="13323" max="13323" width="9.42578125" style="21" customWidth="1"/>
    <col min="13324" max="13324" width="30.42578125" style="21" customWidth="1"/>
    <col min="13325" max="13325" width="16" style="21" customWidth="1"/>
    <col min="13326" max="13571" width="9.140625" style="21"/>
    <col min="13572" max="13572" width="4.42578125" style="21" customWidth="1"/>
    <col min="13573" max="13573" width="8.42578125" style="21" customWidth="1"/>
    <col min="13574" max="13574" width="16" style="21" customWidth="1"/>
    <col min="13575" max="13575" width="13" style="21" customWidth="1"/>
    <col min="13576" max="13576" width="13.42578125" style="21" customWidth="1"/>
    <col min="13577" max="13577" width="10" style="21" customWidth="1"/>
    <col min="13578" max="13578" width="9.28515625" style="21" customWidth="1"/>
    <col min="13579" max="13579" width="9.42578125" style="21" customWidth="1"/>
    <col min="13580" max="13580" width="30.42578125" style="21" customWidth="1"/>
    <col min="13581" max="13581" width="16" style="21" customWidth="1"/>
    <col min="13582" max="13827" width="9.140625" style="21"/>
    <col min="13828" max="13828" width="4.42578125" style="21" customWidth="1"/>
    <col min="13829" max="13829" width="8.42578125" style="21" customWidth="1"/>
    <col min="13830" max="13830" width="16" style="21" customWidth="1"/>
    <col min="13831" max="13831" width="13" style="21" customWidth="1"/>
    <col min="13832" max="13832" width="13.42578125" style="21" customWidth="1"/>
    <col min="13833" max="13833" width="10" style="21" customWidth="1"/>
    <col min="13834" max="13834" width="9.28515625" style="21" customWidth="1"/>
    <col min="13835" max="13835" width="9.42578125" style="21" customWidth="1"/>
    <col min="13836" max="13836" width="30.42578125" style="21" customWidth="1"/>
    <col min="13837" max="13837" width="16" style="21" customWidth="1"/>
    <col min="13838" max="14083" width="9.140625" style="21"/>
    <col min="14084" max="14084" width="4.42578125" style="21" customWidth="1"/>
    <col min="14085" max="14085" width="8.42578125" style="21" customWidth="1"/>
    <col min="14086" max="14086" width="16" style="21" customWidth="1"/>
    <col min="14087" max="14087" width="13" style="21" customWidth="1"/>
    <col min="14088" max="14088" width="13.42578125" style="21" customWidth="1"/>
    <col min="14089" max="14089" width="10" style="21" customWidth="1"/>
    <col min="14090" max="14090" width="9.28515625" style="21" customWidth="1"/>
    <col min="14091" max="14091" width="9.42578125" style="21" customWidth="1"/>
    <col min="14092" max="14092" width="30.42578125" style="21" customWidth="1"/>
    <col min="14093" max="14093" width="16" style="21" customWidth="1"/>
    <col min="14094" max="14339" width="9.140625" style="21"/>
    <col min="14340" max="14340" width="4.42578125" style="21" customWidth="1"/>
    <col min="14341" max="14341" width="8.42578125" style="21" customWidth="1"/>
    <col min="14342" max="14342" width="16" style="21" customWidth="1"/>
    <col min="14343" max="14343" width="13" style="21" customWidth="1"/>
    <col min="14344" max="14344" width="13.42578125" style="21" customWidth="1"/>
    <col min="14345" max="14345" width="10" style="21" customWidth="1"/>
    <col min="14346" max="14346" width="9.28515625" style="21" customWidth="1"/>
    <col min="14347" max="14347" width="9.42578125" style="21" customWidth="1"/>
    <col min="14348" max="14348" width="30.42578125" style="21" customWidth="1"/>
    <col min="14349" max="14349" width="16" style="21" customWidth="1"/>
    <col min="14350" max="14595" width="9.140625" style="21"/>
    <col min="14596" max="14596" width="4.42578125" style="21" customWidth="1"/>
    <col min="14597" max="14597" width="8.42578125" style="21" customWidth="1"/>
    <col min="14598" max="14598" width="16" style="21" customWidth="1"/>
    <col min="14599" max="14599" width="13" style="21" customWidth="1"/>
    <col min="14600" max="14600" width="13.42578125" style="21" customWidth="1"/>
    <col min="14601" max="14601" width="10" style="21" customWidth="1"/>
    <col min="14602" max="14602" width="9.28515625" style="21" customWidth="1"/>
    <col min="14603" max="14603" width="9.42578125" style="21" customWidth="1"/>
    <col min="14604" max="14604" width="30.42578125" style="21" customWidth="1"/>
    <col min="14605" max="14605" width="16" style="21" customWidth="1"/>
    <col min="14606" max="14851" width="9.140625" style="21"/>
    <col min="14852" max="14852" width="4.42578125" style="21" customWidth="1"/>
    <col min="14853" max="14853" width="8.42578125" style="21" customWidth="1"/>
    <col min="14854" max="14854" width="16" style="21" customWidth="1"/>
    <col min="14855" max="14855" width="13" style="21" customWidth="1"/>
    <col min="14856" max="14856" width="13.42578125" style="21" customWidth="1"/>
    <col min="14857" max="14857" width="10" style="21" customWidth="1"/>
    <col min="14858" max="14858" width="9.28515625" style="21" customWidth="1"/>
    <col min="14859" max="14859" width="9.42578125" style="21" customWidth="1"/>
    <col min="14860" max="14860" width="30.42578125" style="21" customWidth="1"/>
    <col min="14861" max="14861" width="16" style="21" customWidth="1"/>
    <col min="14862" max="15107" width="9.140625" style="21"/>
    <col min="15108" max="15108" width="4.42578125" style="21" customWidth="1"/>
    <col min="15109" max="15109" width="8.42578125" style="21" customWidth="1"/>
    <col min="15110" max="15110" width="16" style="21" customWidth="1"/>
    <col min="15111" max="15111" width="13" style="21" customWidth="1"/>
    <col min="15112" max="15112" width="13.42578125" style="21" customWidth="1"/>
    <col min="15113" max="15113" width="10" style="21" customWidth="1"/>
    <col min="15114" max="15114" width="9.28515625" style="21" customWidth="1"/>
    <col min="15115" max="15115" width="9.42578125" style="21" customWidth="1"/>
    <col min="15116" max="15116" width="30.42578125" style="21" customWidth="1"/>
    <col min="15117" max="15117" width="16" style="21" customWidth="1"/>
    <col min="15118" max="15363" width="9.140625" style="21"/>
    <col min="15364" max="15364" width="4.42578125" style="21" customWidth="1"/>
    <col min="15365" max="15365" width="8.42578125" style="21" customWidth="1"/>
    <col min="15366" max="15366" width="16" style="21" customWidth="1"/>
    <col min="15367" max="15367" width="13" style="21" customWidth="1"/>
    <col min="15368" max="15368" width="13.42578125" style="21" customWidth="1"/>
    <col min="15369" max="15369" width="10" style="21" customWidth="1"/>
    <col min="15370" max="15370" width="9.28515625" style="21" customWidth="1"/>
    <col min="15371" max="15371" width="9.42578125" style="21" customWidth="1"/>
    <col min="15372" max="15372" width="30.42578125" style="21" customWidth="1"/>
    <col min="15373" max="15373" width="16" style="21" customWidth="1"/>
    <col min="15374" max="15619" width="9.140625" style="21"/>
    <col min="15620" max="15620" width="4.42578125" style="21" customWidth="1"/>
    <col min="15621" max="15621" width="8.42578125" style="21" customWidth="1"/>
    <col min="15622" max="15622" width="16" style="21" customWidth="1"/>
    <col min="15623" max="15623" width="13" style="21" customWidth="1"/>
    <col min="15624" max="15624" width="13.42578125" style="21" customWidth="1"/>
    <col min="15625" max="15625" width="10" style="21" customWidth="1"/>
    <col min="15626" max="15626" width="9.28515625" style="21" customWidth="1"/>
    <col min="15627" max="15627" width="9.42578125" style="21" customWidth="1"/>
    <col min="15628" max="15628" width="30.42578125" style="21" customWidth="1"/>
    <col min="15629" max="15629" width="16" style="21" customWidth="1"/>
    <col min="15630" max="15875" width="9.140625" style="21"/>
    <col min="15876" max="15876" width="4.42578125" style="21" customWidth="1"/>
    <col min="15877" max="15877" width="8.42578125" style="21" customWidth="1"/>
    <col min="15878" max="15878" width="16" style="21" customWidth="1"/>
    <col min="15879" max="15879" width="13" style="21" customWidth="1"/>
    <col min="15880" max="15880" width="13.42578125" style="21" customWidth="1"/>
    <col min="15881" max="15881" width="10" style="21" customWidth="1"/>
    <col min="15882" max="15882" width="9.28515625" style="21" customWidth="1"/>
    <col min="15883" max="15883" width="9.42578125" style="21" customWidth="1"/>
    <col min="15884" max="15884" width="30.42578125" style="21" customWidth="1"/>
    <col min="15885" max="15885" width="16" style="21" customWidth="1"/>
    <col min="15886" max="16131" width="9.140625" style="21"/>
    <col min="16132" max="16132" width="4.42578125" style="21" customWidth="1"/>
    <col min="16133" max="16133" width="8.42578125" style="21" customWidth="1"/>
    <col min="16134" max="16134" width="16" style="21" customWidth="1"/>
    <col min="16135" max="16135" width="13" style="21" customWidth="1"/>
    <col min="16136" max="16136" width="13.42578125" style="21" customWidth="1"/>
    <col min="16137" max="16137" width="10" style="21" customWidth="1"/>
    <col min="16138" max="16138" width="9.28515625" style="21" customWidth="1"/>
    <col min="16139" max="16139" width="9.42578125" style="21" customWidth="1"/>
    <col min="16140" max="16140" width="30.42578125" style="21" customWidth="1"/>
    <col min="16141" max="16141" width="16" style="21" customWidth="1"/>
    <col min="16142" max="16384" width="9.140625" style="21"/>
  </cols>
  <sheetData>
    <row r="1" spans="2:19" s="16" customFormat="1" ht="12.75">
      <c r="B1" s="15"/>
      <c r="C1" s="15"/>
      <c r="E1" s="15"/>
      <c r="F1" s="15"/>
      <c r="G1" s="57"/>
      <c r="H1" s="15"/>
      <c r="I1" s="15"/>
      <c r="J1" s="15"/>
      <c r="K1" s="78"/>
      <c r="L1" s="15"/>
    </row>
    <row r="2" spans="2:19" s="16" customFormat="1" ht="12.75">
      <c r="B2" s="15"/>
      <c r="C2" s="15"/>
      <c r="E2" s="15"/>
      <c r="F2" s="15"/>
      <c r="G2" s="57"/>
      <c r="H2" s="15"/>
      <c r="I2" s="15"/>
      <c r="J2" s="15"/>
      <c r="K2" s="78"/>
      <c r="L2" s="15"/>
    </row>
    <row r="3" spans="2:19" s="16" customFormat="1" ht="12.75">
      <c r="B3" s="15"/>
      <c r="C3" s="15"/>
      <c r="E3" s="15"/>
      <c r="F3" s="15"/>
      <c r="G3" s="57"/>
      <c r="H3" s="15"/>
      <c r="I3" s="15"/>
      <c r="J3" s="15"/>
      <c r="K3" s="78"/>
      <c r="L3" s="15"/>
    </row>
    <row r="4" spans="2:19" s="16" customFormat="1">
      <c r="B4" s="68" t="s">
        <v>56</v>
      </c>
      <c r="C4" s="69"/>
      <c r="D4" s="69"/>
      <c r="E4" s="69"/>
      <c r="F4" s="69"/>
      <c r="G4" s="69"/>
      <c r="H4" s="69"/>
      <c r="I4" s="73"/>
      <c r="J4" s="17"/>
      <c r="K4" s="79"/>
      <c r="L4" s="70"/>
    </row>
    <row r="5" spans="2:19" s="16" customFormat="1" ht="21.75" customHeight="1">
      <c r="B5" s="15"/>
      <c r="C5" s="15"/>
      <c r="E5" s="15"/>
      <c r="F5" s="15"/>
      <c r="G5" s="57"/>
      <c r="H5" s="15"/>
      <c r="I5" s="15"/>
      <c r="J5" s="15"/>
      <c r="K5" s="78"/>
      <c r="L5" s="18"/>
    </row>
    <row r="6" spans="2:19" s="16" customFormat="1" ht="12.75">
      <c r="B6" s="15"/>
      <c r="C6" s="15"/>
      <c r="E6" s="15"/>
      <c r="F6" s="15"/>
      <c r="G6" s="57"/>
      <c r="H6" s="15"/>
      <c r="I6" s="15"/>
      <c r="J6" s="15"/>
      <c r="K6" s="78"/>
      <c r="L6" s="15"/>
    </row>
    <row r="7" spans="2:19" s="16" customFormat="1" ht="12.75" customHeight="1">
      <c r="B7" s="178" t="s">
        <v>57</v>
      </c>
      <c r="C7" s="178" t="s">
        <v>58</v>
      </c>
      <c r="D7" s="178" t="s">
        <v>59</v>
      </c>
      <c r="E7" s="178" t="s">
        <v>60</v>
      </c>
      <c r="F7" s="177" t="s">
        <v>199</v>
      </c>
      <c r="G7" s="179" t="s">
        <v>200</v>
      </c>
      <c r="H7" s="84" t="s">
        <v>61</v>
      </c>
      <c r="I7" s="178" t="s">
        <v>137</v>
      </c>
      <c r="J7" s="177" t="s">
        <v>150</v>
      </c>
      <c r="K7" s="175" t="s">
        <v>149</v>
      </c>
      <c r="L7" s="172" t="s">
        <v>62</v>
      </c>
    </row>
    <row r="8" spans="2:19" s="16" customFormat="1" ht="12.75">
      <c r="B8" s="178"/>
      <c r="C8" s="178"/>
      <c r="D8" s="178"/>
      <c r="E8" s="178"/>
      <c r="F8" s="178"/>
      <c r="G8" s="180"/>
      <c r="H8" s="84" t="s">
        <v>63</v>
      </c>
      <c r="I8" s="178"/>
      <c r="J8" s="177"/>
      <c r="K8" s="175"/>
      <c r="L8" s="173"/>
    </row>
    <row r="9" spans="2:19" s="16" customFormat="1" ht="27.75" customHeight="1">
      <c r="B9" s="178"/>
      <c r="C9" s="178"/>
      <c r="D9" s="178"/>
      <c r="E9" s="178"/>
      <c r="F9" s="178"/>
      <c r="G9" s="180"/>
      <c r="H9" s="84" t="s">
        <v>64</v>
      </c>
      <c r="I9" s="178"/>
      <c r="J9" s="177"/>
      <c r="K9" s="175"/>
      <c r="L9" s="174"/>
    </row>
    <row r="10" spans="2:19" s="16" customFormat="1" ht="27.75" customHeight="1">
      <c r="B10" s="63">
        <f>ROWS($C$10:C10)</f>
        <v>1</v>
      </c>
      <c r="C10" s="63">
        <v>1</v>
      </c>
      <c r="D10" s="64" t="s">
        <v>197</v>
      </c>
      <c r="E10" s="63" t="s">
        <v>198</v>
      </c>
      <c r="F10" s="181">
        <v>5656</v>
      </c>
      <c r="G10" s="76"/>
      <c r="H10" s="63"/>
      <c r="I10" s="63"/>
      <c r="J10" s="63">
        <v>1740</v>
      </c>
      <c r="K10" s="80"/>
      <c r="L10" s="63"/>
    </row>
    <row r="11" spans="2:19" s="16" customFormat="1" ht="27.75" customHeight="1" thickBot="1">
      <c r="B11" s="63">
        <f>ROWS($C$10:C11)</f>
        <v>2</v>
      </c>
      <c r="C11" s="63">
        <v>2</v>
      </c>
      <c r="D11" s="64" t="s">
        <v>197</v>
      </c>
      <c r="E11" s="63" t="s">
        <v>198</v>
      </c>
      <c r="F11" s="182"/>
      <c r="G11" s="76"/>
      <c r="H11" s="63"/>
      <c r="I11" s="63"/>
      <c r="J11" s="63">
        <v>1000</v>
      </c>
      <c r="K11" s="80"/>
      <c r="L11" s="63"/>
    </row>
    <row r="12" spans="2:19" s="16" customFormat="1" ht="27.75" customHeight="1" thickTop="1" thickBot="1">
      <c r="B12" s="63">
        <f>ROWS($C$10:C12)</f>
        <v>3</v>
      </c>
      <c r="C12" s="63">
        <v>3</v>
      </c>
      <c r="D12" s="64" t="s">
        <v>197</v>
      </c>
      <c r="E12" s="158" t="s">
        <v>210</v>
      </c>
      <c r="F12" s="182"/>
      <c r="G12" s="76"/>
      <c r="H12" s="63"/>
      <c r="I12" s="63"/>
      <c r="J12" s="63">
        <v>1000</v>
      </c>
      <c r="K12" s="80"/>
      <c r="L12" s="63"/>
    </row>
    <row r="13" spans="2:19" s="16" customFormat="1" ht="27.75" customHeight="1" thickTop="1" thickBot="1">
      <c r="B13" s="63">
        <f>ROWS($C$10:C13)</f>
        <v>4</v>
      </c>
      <c r="C13" s="63">
        <v>4</v>
      </c>
      <c r="D13" s="64" t="s">
        <v>197</v>
      </c>
      <c r="E13" s="159" t="s">
        <v>210</v>
      </c>
      <c r="F13" s="182"/>
      <c r="G13" s="147"/>
      <c r="H13" s="147"/>
      <c r="I13" s="147"/>
      <c r="J13" s="63">
        <v>1000</v>
      </c>
      <c r="K13" s="147"/>
      <c r="L13" s="147"/>
    </row>
    <row r="14" spans="2:19" s="16" customFormat="1" ht="18" customHeight="1" thickTop="1">
      <c r="B14" s="63">
        <f>ROWS($C$10:C14)</f>
        <v>5</v>
      </c>
      <c r="C14" s="64">
        <v>5</v>
      </c>
      <c r="D14" s="64" t="s">
        <v>197</v>
      </c>
      <c r="E14" s="64" t="s">
        <v>65</v>
      </c>
      <c r="F14" s="183"/>
      <c r="G14" s="76">
        <f>F10/4046.86</f>
        <v>1.3976268020144011</v>
      </c>
      <c r="H14" s="63">
        <f>SUM(F10:F10)</f>
        <v>5656</v>
      </c>
      <c r="I14" s="63" t="s">
        <v>139</v>
      </c>
      <c r="J14" s="63">
        <v>1000</v>
      </c>
      <c r="K14" s="80">
        <f>J14/4046.86</f>
        <v>0.24710516301527605</v>
      </c>
      <c r="L14" s="83" t="s">
        <v>66</v>
      </c>
      <c r="S14" s="65" t="s">
        <v>139</v>
      </c>
    </row>
    <row r="15" spans="2:19" s="16" customFormat="1" ht="18" customHeight="1">
      <c r="B15" s="63">
        <f>ROWS($C$10:C15)</f>
        <v>6</v>
      </c>
      <c r="C15" s="64">
        <v>31</v>
      </c>
      <c r="D15" s="64" t="s">
        <v>197</v>
      </c>
      <c r="E15" s="64" t="s">
        <v>67</v>
      </c>
      <c r="F15" s="181">
        <v>6085</v>
      </c>
      <c r="G15" s="76">
        <f t="shared" ref="G15:G24" si="0">F15/4046.86</f>
        <v>1.5036349169479546</v>
      </c>
      <c r="H15" s="63"/>
      <c r="I15" s="63" t="s">
        <v>141</v>
      </c>
      <c r="J15" s="63">
        <v>1170</v>
      </c>
      <c r="K15" s="80">
        <f t="shared" ref="K15:K24" si="1">J15/4046.86</f>
        <v>0.28911304072787297</v>
      </c>
      <c r="L15" s="63"/>
      <c r="O15" s="74"/>
      <c r="S15" s="71" t="s">
        <v>141</v>
      </c>
    </row>
    <row r="16" spans="2:19" s="16" customFormat="1" ht="18" customHeight="1">
      <c r="B16" s="63">
        <f>ROWS($C$10:C16)</f>
        <v>7</v>
      </c>
      <c r="C16" s="64">
        <v>32</v>
      </c>
      <c r="D16" s="64" t="s">
        <v>197</v>
      </c>
      <c r="E16" s="64" t="s">
        <v>67</v>
      </c>
      <c r="F16" s="182"/>
      <c r="G16" s="76">
        <f t="shared" si="0"/>
        <v>0</v>
      </c>
      <c r="H16" s="63"/>
      <c r="I16" s="63" t="s">
        <v>142</v>
      </c>
      <c r="J16" s="63">
        <v>1125</v>
      </c>
      <c r="K16" s="80">
        <f t="shared" si="1"/>
        <v>0.27799330839218556</v>
      </c>
      <c r="L16" s="63"/>
      <c r="O16" s="74"/>
      <c r="S16" s="71" t="s">
        <v>142</v>
      </c>
    </row>
    <row r="17" spans="2:26" s="16" customFormat="1" ht="18" customHeight="1">
      <c r="B17" s="63">
        <f>ROWS($C$10:C17)</f>
        <v>8</v>
      </c>
      <c r="C17" s="64">
        <v>33</v>
      </c>
      <c r="D17" s="64" t="s">
        <v>197</v>
      </c>
      <c r="E17" s="64" t="s">
        <v>67</v>
      </c>
      <c r="F17" s="182"/>
      <c r="G17" s="76">
        <f t="shared" si="0"/>
        <v>0</v>
      </c>
      <c r="H17" s="63"/>
      <c r="I17" s="63" t="s">
        <v>143</v>
      </c>
      <c r="J17" s="63">
        <v>1120</v>
      </c>
      <c r="K17" s="80">
        <f t="shared" si="1"/>
        <v>0.27675778257710915</v>
      </c>
      <c r="L17" s="63"/>
      <c r="M17" s="74"/>
      <c r="O17" s="74"/>
      <c r="S17" s="74" t="s">
        <v>143</v>
      </c>
    </row>
    <row r="18" spans="2:26" s="16" customFormat="1" ht="18" customHeight="1">
      <c r="B18" s="63">
        <f>ROWS($C$10:C18)</f>
        <v>9</v>
      </c>
      <c r="C18" s="64">
        <v>34</v>
      </c>
      <c r="D18" s="64" t="s">
        <v>197</v>
      </c>
      <c r="E18" s="64" t="s">
        <v>67</v>
      </c>
      <c r="F18" s="182"/>
      <c r="G18" s="76">
        <f t="shared" si="0"/>
        <v>0</v>
      </c>
      <c r="H18" s="63"/>
      <c r="I18" s="63" t="s">
        <v>144</v>
      </c>
      <c r="J18" s="63">
        <v>1120</v>
      </c>
      <c r="K18" s="80">
        <f t="shared" si="1"/>
        <v>0.27675778257710915</v>
      </c>
      <c r="L18" s="63"/>
      <c r="M18" s="74"/>
      <c r="O18" s="74"/>
      <c r="S18" s="75" t="s">
        <v>144</v>
      </c>
    </row>
    <row r="19" spans="2:26" s="16" customFormat="1" ht="18" customHeight="1">
      <c r="B19" s="63">
        <f>ROWS($C$10:C19)</f>
        <v>10</v>
      </c>
      <c r="C19" s="64">
        <v>35</v>
      </c>
      <c r="D19" s="64" t="s">
        <v>197</v>
      </c>
      <c r="E19" s="64" t="s">
        <v>67</v>
      </c>
      <c r="F19" s="183"/>
      <c r="G19" s="76">
        <f t="shared" si="0"/>
        <v>0</v>
      </c>
      <c r="H19" s="63">
        <f>SUM(F15:F19)</f>
        <v>6085</v>
      </c>
      <c r="I19" s="63" t="s">
        <v>145</v>
      </c>
      <c r="J19" s="63">
        <v>1540</v>
      </c>
      <c r="K19" s="80">
        <f t="shared" si="1"/>
        <v>0.38054195104352512</v>
      </c>
      <c r="L19" s="83" t="s">
        <v>68</v>
      </c>
      <c r="N19" s="16">
        <f>6085/4046.86</f>
        <v>1.5036349169479546</v>
      </c>
      <c r="O19" s="74"/>
      <c r="Q19" s="16">
        <f>18781/4046.86</f>
        <v>4.6408820665898993</v>
      </c>
      <c r="S19" s="75" t="s">
        <v>145</v>
      </c>
    </row>
    <row r="20" spans="2:26" s="16" customFormat="1" ht="18" customHeight="1">
      <c r="B20" s="63">
        <f>ROWS($C$10:C20)</f>
        <v>11</v>
      </c>
      <c r="C20" s="64">
        <v>48</v>
      </c>
      <c r="D20" s="64" t="s">
        <v>197</v>
      </c>
      <c r="E20" s="64" t="s">
        <v>69</v>
      </c>
      <c r="F20" s="181">
        <v>5896</v>
      </c>
      <c r="G20" s="76">
        <f t="shared" si="0"/>
        <v>1.4569320411380675</v>
      </c>
      <c r="H20" s="63"/>
      <c r="I20" s="63">
        <v>285</v>
      </c>
      <c r="J20" s="63">
        <v>1222</v>
      </c>
      <c r="K20" s="80">
        <f t="shared" si="1"/>
        <v>0.30196250920466733</v>
      </c>
      <c r="L20" s="63"/>
      <c r="N20" s="16">
        <f>5896/4046.86</f>
        <v>1.4569320411380675</v>
      </c>
      <c r="S20" s="65">
        <v>285</v>
      </c>
    </row>
    <row r="21" spans="2:26" s="16" customFormat="1" ht="18" customHeight="1">
      <c r="B21" s="63">
        <f>ROWS($C$10:C21)</f>
        <v>12</v>
      </c>
      <c r="C21" s="64">
        <v>49</v>
      </c>
      <c r="D21" s="64" t="s">
        <v>197</v>
      </c>
      <c r="E21" s="64" t="s">
        <v>67</v>
      </c>
      <c r="F21" s="182"/>
      <c r="G21" s="76">
        <f t="shared" si="0"/>
        <v>0</v>
      </c>
      <c r="H21" s="63"/>
      <c r="I21" s="63" t="s">
        <v>147</v>
      </c>
      <c r="J21" s="63">
        <v>1125</v>
      </c>
      <c r="K21" s="80">
        <f t="shared" si="1"/>
        <v>0.27799330839218556</v>
      </c>
      <c r="L21" s="63"/>
      <c r="M21" s="74"/>
      <c r="O21" s="74"/>
      <c r="S21" s="75" t="s">
        <v>147</v>
      </c>
    </row>
    <row r="22" spans="2:26" s="16" customFormat="1" ht="18" customHeight="1">
      <c r="B22" s="63">
        <f>ROWS($C$10:C22)</f>
        <v>13</v>
      </c>
      <c r="C22" s="64">
        <v>50</v>
      </c>
      <c r="D22" s="64" t="s">
        <v>197</v>
      </c>
      <c r="E22" s="64" t="s">
        <v>67</v>
      </c>
      <c r="F22" s="182"/>
      <c r="G22" s="76">
        <f t="shared" si="0"/>
        <v>0</v>
      </c>
      <c r="H22" s="63"/>
      <c r="I22" s="63" t="s">
        <v>148</v>
      </c>
      <c r="J22" s="63">
        <v>1125</v>
      </c>
      <c r="K22" s="80">
        <f t="shared" si="1"/>
        <v>0.27799330839218556</v>
      </c>
      <c r="L22" s="63"/>
      <c r="M22" s="74"/>
      <c r="O22" s="74"/>
      <c r="S22" s="65" t="s">
        <v>148</v>
      </c>
    </row>
    <row r="23" spans="2:26" s="16" customFormat="1" ht="18" customHeight="1">
      <c r="B23" s="63">
        <f>ROWS($C$10:C23)</f>
        <v>14</v>
      </c>
      <c r="C23" s="64">
        <v>51</v>
      </c>
      <c r="D23" s="64" t="s">
        <v>197</v>
      </c>
      <c r="E23" s="64" t="s">
        <v>67</v>
      </c>
      <c r="F23" s="183"/>
      <c r="G23" s="76">
        <f t="shared" si="0"/>
        <v>0</v>
      </c>
      <c r="H23" s="77">
        <f>SUM(F20:F23)</f>
        <v>5896</v>
      </c>
      <c r="I23" s="63" t="s">
        <v>146</v>
      </c>
      <c r="J23" s="63">
        <v>2518</v>
      </c>
      <c r="K23" s="80">
        <f t="shared" si="1"/>
        <v>0.62221080047246502</v>
      </c>
      <c r="L23" s="83" t="s">
        <v>70</v>
      </c>
      <c r="M23" s="74"/>
      <c r="O23" s="74"/>
      <c r="S23" s="66">
        <v>1.734297108673978</v>
      </c>
    </row>
    <row r="24" spans="2:26" s="16" customFormat="1" ht="18" customHeight="1">
      <c r="B24" s="63">
        <f>ROWS($C$10:C24)</f>
        <v>15</v>
      </c>
      <c r="C24" s="63">
        <v>26</v>
      </c>
      <c r="D24" s="64" t="s">
        <v>197</v>
      </c>
      <c r="E24" s="63" t="s">
        <v>65</v>
      </c>
      <c r="F24" s="63">
        <v>1000</v>
      </c>
      <c r="G24" s="76">
        <f t="shared" si="0"/>
        <v>0.24710516301527605</v>
      </c>
      <c r="H24" s="63"/>
      <c r="I24" s="63" t="s">
        <v>140</v>
      </c>
      <c r="J24" s="63">
        <v>1000</v>
      </c>
      <c r="K24" s="80">
        <f t="shared" si="1"/>
        <v>0.24710516301527605</v>
      </c>
      <c r="L24" s="63"/>
      <c r="S24" s="65" t="s">
        <v>140</v>
      </c>
    </row>
    <row r="25" spans="2:26" s="16" customFormat="1" ht="18" customHeight="1">
      <c r="B25" s="63">
        <f>ROWS($C$10:C25)</f>
        <v>16</v>
      </c>
      <c r="C25" s="63" t="s">
        <v>71</v>
      </c>
      <c r="D25" s="64" t="s">
        <v>197</v>
      </c>
      <c r="E25" s="63" t="s">
        <v>65</v>
      </c>
      <c r="F25" s="63">
        <v>4800</v>
      </c>
      <c r="G25" s="76">
        <f>F25/4046.86</f>
        <v>1.1861047824733251</v>
      </c>
      <c r="H25" s="63">
        <f>SUM(F24:F25)</f>
        <v>5800</v>
      </c>
      <c r="I25" s="63" t="s">
        <v>138</v>
      </c>
      <c r="J25" s="63">
        <v>4800</v>
      </c>
      <c r="K25" s="80">
        <f>J25/4046.86</f>
        <v>1.1861047824733251</v>
      </c>
      <c r="L25" s="83" t="s">
        <v>72</v>
      </c>
      <c r="S25" s="65"/>
    </row>
    <row r="26" spans="2:26" s="19" customFormat="1" ht="35.25" customHeight="1">
      <c r="B26" s="176" t="s">
        <v>73</v>
      </c>
      <c r="C26" s="176"/>
      <c r="D26" s="176"/>
      <c r="E26" s="176"/>
      <c r="F26" s="61">
        <f>SUM(F10:F25)</f>
        <v>23437</v>
      </c>
      <c r="G26" s="62">
        <f>SUM(G14:G25)</f>
        <v>5.7914037055890244</v>
      </c>
      <c r="H26" s="61">
        <f>SUM(H14:H25)</f>
        <v>23437</v>
      </c>
      <c r="I26" s="61"/>
      <c r="J26" s="60">
        <f>SUM(J10:J25)</f>
        <v>23605</v>
      </c>
      <c r="K26" s="62">
        <f>SUM(K14:K25)</f>
        <v>4.6616389002831822</v>
      </c>
      <c r="L26" s="60"/>
    </row>
    <row r="27" spans="2:26" s="28" customFormat="1" ht="21.75" customHeight="1">
      <c r="B27" s="22"/>
      <c r="C27" s="23"/>
      <c r="D27" s="24"/>
      <c r="E27" s="25"/>
      <c r="F27" s="72">
        <f>F26/4046.856</f>
        <v>5.7914094299377092</v>
      </c>
      <c r="G27" s="58">
        <f>G26</f>
        <v>5.7914037055890244</v>
      </c>
      <c r="H27" s="26">
        <f>H26</f>
        <v>23437</v>
      </c>
      <c r="I27" s="26"/>
      <c r="J27" s="72">
        <f>J26/4046.856</f>
        <v>5.8329231383572822</v>
      </c>
      <c r="K27" s="81"/>
      <c r="L27" s="27"/>
    </row>
    <row r="29" spans="2:26" ht="15.75" thickBot="1"/>
    <row r="30" spans="2:26" ht="34.5" thickTop="1">
      <c r="Q30" s="169" t="s">
        <v>57</v>
      </c>
      <c r="R30" s="169" t="s">
        <v>201</v>
      </c>
      <c r="S30" s="169" t="s">
        <v>59</v>
      </c>
      <c r="T30" s="169" t="s">
        <v>202</v>
      </c>
      <c r="U30" s="148" t="s">
        <v>203</v>
      </c>
      <c r="V30" s="148" t="s">
        <v>205</v>
      </c>
      <c r="W30" s="169" t="s">
        <v>137</v>
      </c>
      <c r="X30" s="148" t="s">
        <v>207</v>
      </c>
      <c r="Y30" s="148" t="s">
        <v>207</v>
      </c>
      <c r="Z30" s="152"/>
    </row>
    <row r="31" spans="2:26">
      <c r="Q31" s="170"/>
      <c r="R31" s="170"/>
      <c r="S31" s="170"/>
      <c r="T31" s="170"/>
      <c r="U31" s="149" t="s">
        <v>204</v>
      </c>
      <c r="V31" s="151" t="s">
        <v>206</v>
      </c>
      <c r="W31" s="170"/>
      <c r="X31" s="149" t="s">
        <v>208</v>
      </c>
      <c r="Y31" s="151" t="s">
        <v>206</v>
      </c>
      <c r="Z31" s="152"/>
    </row>
    <row r="32" spans="2:26" ht="15.75" thickBot="1">
      <c r="Q32" s="171"/>
      <c r="R32" s="171"/>
      <c r="S32" s="171"/>
      <c r="T32" s="171"/>
      <c r="U32" s="150"/>
      <c r="V32" s="150"/>
      <c r="W32" s="171"/>
      <c r="X32" s="150"/>
      <c r="Y32" s="150"/>
      <c r="Z32" s="152"/>
    </row>
    <row r="33" spans="17:26" ht="16.5" thickTop="1" thickBot="1">
      <c r="Q33" s="153">
        <v>1</v>
      </c>
      <c r="R33" s="154">
        <v>5</v>
      </c>
      <c r="S33" s="154" t="s">
        <v>197</v>
      </c>
      <c r="T33" s="154" t="s">
        <v>65</v>
      </c>
      <c r="U33" s="154">
        <v>1000</v>
      </c>
      <c r="V33" s="155">
        <v>0.2</v>
      </c>
      <c r="W33" s="155" t="s">
        <v>139</v>
      </c>
      <c r="X33" s="155">
        <v>1000</v>
      </c>
      <c r="Y33" s="155">
        <v>0.25</v>
      </c>
      <c r="Z33" s="152"/>
    </row>
    <row r="34" spans="17:26" ht="16.5" thickTop="1" thickBot="1">
      <c r="Q34" s="153">
        <v>2</v>
      </c>
      <c r="R34" s="154">
        <v>31</v>
      </c>
      <c r="S34" s="154" t="s">
        <v>197</v>
      </c>
      <c r="T34" s="154" t="s">
        <v>209</v>
      </c>
      <c r="U34" s="154">
        <v>1170</v>
      </c>
      <c r="V34" s="155">
        <v>0.3</v>
      </c>
      <c r="W34" s="155" t="s">
        <v>141</v>
      </c>
      <c r="X34" s="155">
        <v>1170</v>
      </c>
      <c r="Y34" s="155">
        <v>0.28999999999999998</v>
      </c>
      <c r="Z34" s="152"/>
    </row>
    <row r="35" spans="17:26" ht="16.5" thickTop="1" thickBot="1">
      <c r="Q35" s="153">
        <v>3</v>
      </c>
      <c r="R35" s="154">
        <v>32</v>
      </c>
      <c r="S35" s="154" t="s">
        <v>197</v>
      </c>
      <c r="T35" s="154" t="s">
        <v>67</v>
      </c>
      <c r="U35" s="154">
        <v>1125</v>
      </c>
      <c r="V35" s="155">
        <v>0.3</v>
      </c>
      <c r="W35" s="155" t="s">
        <v>142</v>
      </c>
      <c r="X35" s="155">
        <v>1125</v>
      </c>
      <c r="Y35" s="155">
        <v>0.28000000000000003</v>
      </c>
      <c r="Z35" s="152"/>
    </row>
    <row r="36" spans="17:26" ht="16.5" thickTop="1" thickBot="1">
      <c r="Q36" s="153">
        <v>4</v>
      </c>
      <c r="R36" s="154">
        <v>33</v>
      </c>
      <c r="S36" s="154" t="s">
        <v>197</v>
      </c>
      <c r="T36" s="154" t="s">
        <v>67</v>
      </c>
      <c r="U36" s="154">
        <v>1125</v>
      </c>
      <c r="V36" s="155">
        <v>0.3</v>
      </c>
      <c r="W36" s="155" t="s">
        <v>143</v>
      </c>
      <c r="X36" s="155">
        <v>1120</v>
      </c>
      <c r="Y36" s="155">
        <v>0.28000000000000003</v>
      </c>
      <c r="Z36" s="152"/>
    </row>
    <row r="37" spans="17:26" ht="16.5" thickTop="1" thickBot="1">
      <c r="Q37" s="153">
        <v>5</v>
      </c>
      <c r="R37" s="154">
        <v>34</v>
      </c>
      <c r="S37" s="154" t="s">
        <v>197</v>
      </c>
      <c r="T37" s="154" t="s">
        <v>67</v>
      </c>
      <c r="U37" s="154">
        <v>1125</v>
      </c>
      <c r="V37" s="155">
        <v>0.3</v>
      </c>
      <c r="W37" s="155" t="s">
        <v>144</v>
      </c>
      <c r="X37" s="155">
        <v>1120</v>
      </c>
      <c r="Y37" s="155">
        <v>0.28000000000000003</v>
      </c>
      <c r="Z37" s="152"/>
    </row>
    <row r="38" spans="17:26" ht="16.5" thickTop="1" thickBot="1">
      <c r="Q38" s="153">
        <v>6</v>
      </c>
      <c r="R38" s="154">
        <v>35</v>
      </c>
      <c r="S38" s="154" t="s">
        <v>197</v>
      </c>
      <c r="T38" s="154" t="s">
        <v>67</v>
      </c>
      <c r="U38" s="154">
        <v>1540</v>
      </c>
      <c r="V38" s="155">
        <v>0.4</v>
      </c>
      <c r="W38" s="155" t="s">
        <v>145</v>
      </c>
      <c r="X38" s="155">
        <v>1540</v>
      </c>
      <c r="Y38" s="155">
        <v>0.38</v>
      </c>
      <c r="Z38" s="152"/>
    </row>
    <row r="39" spans="17:26" ht="16.5" thickTop="1" thickBot="1">
      <c r="Q39" s="153">
        <v>7</v>
      </c>
      <c r="R39" s="154">
        <v>48</v>
      </c>
      <c r="S39" s="154" t="s">
        <v>197</v>
      </c>
      <c r="T39" s="154" t="s">
        <v>69</v>
      </c>
      <c r="U39" s="154">
        <v>1222</v>
      </c>
      <c r="V39" s="155">
        <v>0.3</v>
      </c>
      <c r="W39" s="155">
        <v>285</v>
      </c>
      <c r="X39" s="155">
        <v>1220</v>
      </c>
      <c r="Y39" s="155">
        <v>0.3</v>
      </c>
      <c r="Z39" s="152"/>
    </row>
    <row r="40" spans="17:26" ht="16.5" thickTop="1" thickBot="1">
      <c r="Q40" s="153">
        <v>8</v>
      </c>
      <c r="R40" s="154">
        <v>49</v>
      </c>
      <c r="S40" s="154" t="s">
        <v>197</v>
      </c>
      <c r="T40" s="154" t="s">
        <v>209</v>
      </c>
      <c r="U40" s="154">
        <v>1175</v>
      </c>
      <c r="V40" s="155">
        <v>0.3</v>
      </c>
      <c r="W40" s="155" t="s">
        <v>147</v>
      </c>
      <c r="X40" s="155">
        <v>1125</v>
      </c>
      <c r="Y40" s="155">
        <v>0.28000000000000003</v>
      </c>
      <c r="Z40" s="152"/>
    </row>
    <row r="41" spans="17:26" ht="16.5" thickTop="1" thickBot="1">
      <c r="Q41" s="153">
        <v>9</v>
      </c>
      <c r="R41" s="154">
        <v>50</v>
      </c>
      <c r="S41" s="154" t="s">
        <v>197</v>
      </c>
      <c r="T41" s="154" t="s">
        <v>67</v>
      </c>
      <c r="U41" s="154">
        <v>1175</v>
      </c>
      <c r="V41" s="155">
        <v>0.3</v>
      </c>
      <c r="W41" s="155" t="s">
        <v>148</v>
      </c>
      <c r="X41" s="155">
        <v>1125</v>
      </c>
      <c r="Y41" s="155">
        <v>0.28000000000000003</v>
      </c>
      <c r="Z41" s="152"/>
    </row>
    <row r="42" spans="17:26" ht="16.5" thickTop="1" thickBot="1">
      <c r="Q42" s="153">
        <v>10</v>
      </c>
      <c r="R42" s="154">
        <v>51</v>
      </c>
      <c r="S42" s="154" t="s">
        <v>197</v>
      </c>
      <c r="T42" s="154" t="s">
        <v>67</v>
      </c>
      <c r="U42" s="154">
        <v>2326</v>
      </c>
      <c r="V42" s="155">
        <v>0.6</v>
      </c>
      <c r="W42" s="155" t="s">
        <v>146</v>
      </c>
      <c r="X42" s="155">
        <v>2518</v>
      </c>
      <c r="Y42" s="155">
        <v>0.62</v>
      </c>
      <c r="Z42" s="152"/>
    </row>
    <row r="43" spans="17:26" ht="16.5" thickTop="1" thickBot="1">
      <c r="Q43" s="153">
        <v>11</v>
      </c>
      <c r="R43" s="155">
        <v>26</v>
      </c>
      <c r="S43" s="155" t="s">
        <v>197</v>
      </c>
      <c r="T43" s="155" t="s">
        <v>65</v>
      </c>
      <c r="U43" s="155">
        <v>1000</v>
      </c>
      <c r="V43" s="155">
        <v>0.2</v>
      </c>
      <c r="W43" s="155" t="s">
        <v>140</v>
      </c>
      <c r="X43" s="155">
        <v>1000</v>
      </c>
      <c r="Y43" s="155">
        <v>0.25</v>
      </c>
      <c r="Z43" s="152"/>
    </row>
    <row r="44" spans="17:26" ht="16.5" thickTop="1" thickBot="1">
      <c r="Q44" s="153">
        <v>12</v>
      </c>
      <c r="R44" s="155" t="s">
        <v>71</v>
      </c>
      <c r="S44" s="155" t="s">
        <v>197</v>
      </c>
      <c r="T44" s="155" t="s">
        <v>65</v>
      </c>
      <c r="U44" s="155">
        <v>4800</v>
      </c>
      <c r="V44" s="155">
        <v>1.2</v>
      </c>
      <c r="W44" s="155" t="s">
        <v>138</v>
      </c>
      <c r="X44" s="155">
        <v>4800</v>
      </c>
      <c r="Y44" s="155">
        <v>1.19</v>
      </c>
      <c r="Z44" s="152"/>
    </row>
    <row r="45" spans="17:26" ht="16.5" thickTop="1" thickBot="1">
      <c r="Q45" s="184" t="s">
        <v>73</v>
      </c>
      <c r="R45" s="185"/>
      <c r="S45" s="185"/>
      <c r="T45" s="186"/>
      <c r="U45" s="156">
        <v>18783</v>
      </c>
      <c r="V45" s="156">
        <v>4.6399999999999997</v>
      </c>
      <c r="W45" s="157"/>
      <c r="X45" s="156">
        <v>18863</v>
      </c>
      <c r="Y45" s="156">
        <v>4.66</v>
      </c>
      <c r="Z45" s="152"/>
    </row>
    <row r="46" spans="17:26" ht="15.75" thickTop="1"/>
  </sheetData>
  <mergeCells count="20">
    <mergeCell ref="Q45:T45"/>
    <mergeCell ref="Q30:Q32"/>
    <mergeCell ref="R30:R32"/>
    <mergeCell ref="S30:S32"/>
    <mergeCell ref="T30:T32"/>
    <mergeCell ref="W30:W32"/>
    <mergeCell ref="L7:L9"/>
    <mergeCell ref="K7:K9"/>
    <mergeCell ref="B26:E26"/>
    <mergeCell ref="J7:J9"/>
    <mergeCell ref="I7:I9"/>
    <mergeCell ref="G7:G9"/>
    <mergeCell ref="B7:B9"/>
    <mergeCell ref="C7:C9"/>
    <mergeCell ref="D7:D9"/>
    <mergeCell ref="E7:E9"/>
    <mergeCell ref="F7:F9"/>
    <mergeCell ref="F10:F14"/>
    <mergeCell ref="F15:F19"/>
    <mergeCell ref="F20:F23"/>
  </mergeCells>
  <pageMargins left="0.71" right="0.45" top="0.71" bottom="1" header="0.5" footer="0.5"/>
  <pageSetup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Q28"/>
  <sheetViews>
    <sheetView workbookViewId="0">
      <selection activeCell="O16" sqref="O16"/>
    </sheetView>
  </sheetViews>
  <sheetFormatPr defaultRowHeight="15"/>
  <cols>
    <col min="3" max="3" width="6.140625" customWidth="1"/>
    <col min="5" max="5" width="12.5703125" customWidth="1"/>
    <col min="6" max="6" width="11.5703125" style="38" customWidth="1"/>
    <col min="7" max="7" width="15.7109375" style="29" bestFit="1" customWidth="1"/>
    <col min="8" max="8" width="16.42578125" customWidth="1"/>
    <col min="11" max="11" width="15.85546875" bestFit="1" customWidth="1"/>
    <col min="12" max="12" width="15.42578125" bestFit="1" customWidth="1"/>
    <col min="13" max="13" width="10.7109375" bestFit="1" customWidth="1"/>
    <col min="14" max="14" width="15.42578125" bestFit="1" customWidth="1"/>
    <col min="15" max="15" width="15.85546875" bestFit="1" customWidth="1"/>
    <col min="17" max="17" width="10" bestFit="1" customWidth="1"/>
  </cols>
  <sheetData>
    <row r="5" spans="3:17" ht="33.75" customHeight="1">
      <c r="C5" s="45" t="s">
        <v>40</v>
      </c>
      <c r="D5" s="45" t="s">
        <v>96</v>
      </c>
      <c r="E5" s="46" t="s">
        <v>99</v>
      </c>
      <c r="F5" s="47" t="s">
        <v>100</v>
      </c>
      <c r="G5" s="48" t="s">
        <v>94</v>
      </c>
      <c r="H5" s="45" t="s">
        <v>95</v>
      </c>
    </row>
    <row r="6" spans="3:17">
      <c r="C6" s="3">
        <v>1</v>
      </c>
      <c r="D6" s="3">
        <v>5</v>
      </c>
      <c r="E6" s="3">
        <v>1000</v>
      </c>
      <c r="F6" s="14">
        <f>E6/4046.86</f>
        <v>0.24710516301527605</v>
      </c>
      <c r="G6" s="36">
        <v>8500000</v>
      </c>
      <c r="H6" s="37">
        <f>G6*F6</f>
        <v>2100393.8856298462</v>
      </c>
      <c r="Q6">
        <f>1800000/4046.86</f>
        <v>444.78929342749689</v>
      </c>
    </row>
    <row r="7" spans="3:17">
      <c r="C7" s="3">
        <v>2</v>
      </c>
      <c r="D7" s="3">
        <v>31</v>
      </c>
      <c r="E7" s="3">
        <v>1170</v>
      </c>
      <c r="F7" s="14">
        <f t="shared" ref="F7:F16" si="0">E7/4046.86</f>
        <v>0.28911304072787297</v>
      </c>
      <c r="G7" s="36">
        <v>8500000</v>
      </c>
      <c r="H7" s="37">
        <f t="shared" ref="H7:H17" si="1">G7*F7</f>
        <v>2457460.8461869201</v>
      </c>
      <c r="Q7">
        <f>1750*4046.86</f>
        <v>7082005</v>
      </c>
    </row>
    <row r="8" spans="3:17">
      <c r="C8" s="3">
        <v>3</v>
      </c>
      <c r="D8" s="3">
        <v>32</v>
      </c>
      <c r="E8" s="3">
        <v>1125</v>
      </c>
      <c r="F8" s="14">
        <f t="shared" si="0"/>
        <v>0.27799330839218556</v>
      </c>
      <c r="G8" s="36">
        <v>8500000</v>
      </c>
      <c r="H8" s="37">
        <f t="shared" si="1"/>
        <v>2362943.1213335772</v>
      </c>
      <c r="K8" s="32">
        <f>SUBTOTAL(9,G6:G17)</f>
        <v>102000000</v>
      </c>
      <c r="O8">
        <f>1800*4046.86</f>
        <v>7284348</v>
      </c>
      <c r="Q8">
        <f>1750*4046.86</f>
        <v>7082005</v>
      </c>
    </row>
    <row r="9" spans="3:17">
      <c r="C9" s="3">
        <v>4</v>
      </c>
      <c r="D9" s="3">
        <v>33</v>
      </c>
      <c r="E9" s="3">
        <v>1125</v>
      </c>
      <c r="F9" s="14">
        <f t="shared" si="0"/>
        <v>0.27799330839218556</v>
      </c>
      <c r="G9" s="36">
        <v>8500000</v>
      </c>
      <c r="H9" s="37">
        <f t="shared" si="1"/>
        <v>2362943.1213335772</v>
      </c>
      <c r="K9" s="49">
        <f>K8/12</f>
        <v>8500000</v>
      </c>
      <c r="O9">
        <f>4046.86*K16</f>
        <v>23437.023165637718</v>
      </c>
    </row>
    <row r="10" spans="3:17">
      <c r="C10" s="3">
        <v>5</v>
      </c>
      <c r="D10" s="3">
        <v>34</v>
      </c>
      <c r="E10" s="3">
        <v>1125</v>
      </c>
      <c r="F10" s="14">
        <f t="shared" si="0"/>
        <v>0.27799330839218556</v>
      </c>
      <c r="G10" s="36">
        <v>8500000</v>
      </c>
      <c r="H10" s="37">
        <f t="shared" si="1"/>
        <v>2362943.1213335772</v>
      </c>
      <c r="K10" s="49">
        <f>4.64*K9</f>
        <v>39440000</v>
      </c>
    </row>
    <row r="11" spans="3:17">
      <c r="C11" s="3">
        <v>6</v>
      </c>
      <c r="D11" s="3">
        <v>35</v>
      </c>
      <c r="E11" s="3">
        <v>1540</v>
      </c>
      <c r="F11" s="14">
        <f t="shared" si="0"/>
        <v>0.38054195104352512</v>
      </c>
      <c r="G11" s="36">
        <v>8500000</v>
      </c>
      <c r="H11" s="37">
        <f t="shared" si="1"/>
        <v>3234606.5838699634</v>
      </c>
      <c r="K11" s="50">
        <f>1850000*F18</f>
        <v>8585631.8231913131</v>
      </c>
    </row>
    <row r="12" spans="3:17">
      <c r="C12" s="3">
        <v>7</v>
      </c>
      <c r="D12" s="3">
        <v>48</v>
      </c>
      <c r="E12" s="3">
        <v>1220</v>
      </c>
      <c r="F12" s="14">
        <f t="shared" si="0"/>
        <v>0.30146829887863674</v>
      </c>
      <c r="G12" s="36">
        <v>8500000</v>
      </c>
      <c r="H12" s="37">
        <f t="shared" si="1"/>
        <v>2562480.5404684125</v>
      </c>
    </row>
    <row r="13" spans="3:17">
      <c r="C13" s="3">
        <v>8</v>
      </c>
      <c r="D13" s="3">
        <v>49</v>
      </c>
      <c r="E13" s="3">
        <v>1175</v>
      </c>
      <c r="F13" s="14">
        <f t="shared" si="0"/>
        <v>0.29034856654294933</v>
      </c>
      <c r="G13" s="36">
        <v>8500000</v>
      </c>
      <c r="H13" s="37">
        <f t="shared" si="1"/>
        <v>2467962.8156150691</v>
      </c>
    </row>
    <row r="14" spans="3:17">
      <c r="C14" s="3">
        <v>9</v>
      </c>
      <c r="D14" s="3">
        <v>50</v>
      </c>
      <c r="E14" s="3">
        <v>1175</v>
      </c>
      <c r="F14" s="14">
        <f t="shared" si="0"/>
        <v>0.29034856654294933</v>
      </c>
      <c r="G14" s="36">
        <v>8500000</v>
      </c>
      <c r="H14" s="37">
        <f t="shared" si="1"/>
        <v>2467962.8156150691</v>
      </c>
    </row>
    <row r="15" spans="3:17">
      <c r="C15" s="3">
        <v>10</v>
      </c>
      <c r="D15" s="3">
        <v>51</v>
      </c>
      <c r="E15" s="3">
        <v>2326</v>
      </c>
      <c r="F15" s="14">
        <f t="shared" si="0"/>
        <v>0.57476660917353206</v>
      </c>
      <c r="G15" s="36">
        <v>8500000</v>
      </c>
      <c r="H15" s="37">
        <f t="shared" si="1"/>
        <v>4885516.1779750222</v>
      </c>
      <c r="K15" s="12" t="s">
        <v>165</v>
      </c>
      <c r="L15" s="12" t="s">
        <v>160</v>
      </c>
      <c r="M15" s="12" t="s">
        <v>159</v>
      </c>
      <c r="N15" s="12" t="s">
        <v>158</v>
      </c>
      <c r="O15" s="12" t="s">
        <v>161</v>
      </c>
      <c r="Q15">
        <f>0.9*115200000</f>
        <v>103680000</v>
      </c>
    </row>
    <row r="16" spans="3:17">
      <c r="C16" s="3">
        <v>11</v>
      </c>
      <c r="D16" s="3">
        <v>26</v>
      </c>
      <c r="E16" s="3">
        <v>1000</v>
      </c>
      <c r="F16" s="14">
        <f t="shared" si="0"/>
        <v>0.24710516301527605</v>
      </c>
      <c r="G16" s="36">
        <v>8500000</v>
      </c>
      <c r="H16" s="37">
        <f t="shared" si="1"/>
        <v>2100393.8856298462</v>
      </c>
      <c r="K16" s="160">
        <v>5.7914094299377092</v>
      </c>
      <c r="L16">
        <v>8500000</v>
      </c>
      <c r="M16" s="121">
        <v>0.05</v>
      </c>
      <c r="N16" s="49">
        <v>8500000</v>
      </c>
      <c r="O16" s="29">
        <f>L16*K16</f>
        <v>49226980.154470526</v>
      </c>
    </row>
    <row r="17" spans="3:14">
      <c r="C17" s="3">
        <v>12</v>
      </c>
      <c r="D17" s="3" t="s">
        <v>98</v>
      </c>
      <c r="E17" s="3">
        <v>4800</v>
      </c>
      <c r="F17" s="14">
        <f>E17/4046.86</f>
        <v>1.1861047824733251</v>
      </c>
      <c r="G17" s="36">
        <v>8500000</v>
      </c>
      <c r="H17" s="37">
        <f t="shared" si="1"/>
        <v>10081890.651023263</v>
      </c>
      <c r="M17" s="121"/>
    </row>
    <row r="18" spans="3:14" ht="18.75" customHeight="1">
      <c r="C18" s="190" t="s">
        <v>101</v>
      </c>
      <c r="D18" s="190"/>
      <c r="E18" s="40">
        <f t="shared" ref="E18:F18" si="2">SUM(E6:E17)</f>
        <v>18781</v>
      </c>
      <c r="F18" s="41">
        <f t="shared" si="2"/>
        <v>4.6408820665898993</v>
      </c>
      <c r="G18" s="42"/>
      <c r="H18" s="44">
        <f t="shared" ref="H18" si="3">SUM(H6:H17)</f>
        <v>39447497.566014141</v>
      </c>
    </row>
    <row r="19" spans="3:14">
      <c r="C19" s="191" t="s">
        <v>91</v>
      </c>
      <c r="D19" s="192"/>
      <c r="E19" s="192"/>
      <c r="F19" s="192"/>
      <c r="G19" s="192"/>
      <c r="H19" s="193"/>
      <c r="N19" s="49">
        <f>N16/4046.86</f>
        <v>2100.3938856298464</v>
      </c>
    </row>
    <row r="20" spans="3:14" ht="51.75" customHeight="1">
      <c r="C20" s="194" t="s">
        <v>157</v>
      </c>
      <c r="D20" s="195"/>
      <c r="E20" s="195"/>
      <c r="F20" s="195"/>
      <c r="G20" s="195"/>
      <c r="H20" s="196"/>
    </row>
    <row r="21" spans="3:14" ht="21" customHeight="1">
      <c r="C21" s="1"/>
      <c r="D21" s="1"/>
      <c r="E21" s="1"/>
      <c r="F21" s="39"/>
      <c r="G21" s="43"/>
      <c r="H21" s="1"/>
    </row>
    <row r="23" spans="3:14" ht="33" customHeight="1">
      <c r="C23" s="188" t="s">
        <v>97</v>
      </c>
      <c r="D23" s="189"/>
      <c r="E23" t="s">
        <v>92</v>
      </c>
      <c r="F23" s="38" t="s">
        <v>93</v>
      </c>
    </row>
    <row r="24" spans="3:14">
      <c r="E24">
        <v>23461</v>
      </c>
      <c r="F24" s="38">
        <f>E24/4046.86</f>
        <v>5.7973342295013914</v>
      </c>
    </row>
    <row r="26" spans="3:14" ht="27" customHeight="1">
      <c r="C26" s="188" t="s">
        <v>103</v>
      </c>
      <c r="D26" s="189"/>
      <c r="E26">
        <v>23605</v>
      </c>
      <c r="F26" s="38">
        <f>E26/4046.86</f>
        <v>5.832917372975591</v>
      </c>
    </row>
    <row r="27" spans="3:14">
      <c r="G27" s="29" t="s">
        <v>152</v>
      </c>
      <c r="H27" t="s">
        <v>153</v>
      </c>
    </row>
    <row r="28" spans="3:14">
      <c r="D28" s="187" t="s">
        <v>151</v>
      </c>
      <c r="E28" s="187"/>
      <c r="F28" s="187"/>
      <c r="G28" s="29">
        <v>5176.99</v>
      </c>
      <c r="H28" s="50">
        <f>G28/4046.86</f>
        <v>1.2792609578784537</v>
      </c>
    </row>
  </sheetData>
  <mergeCells count="6">
    <mergeCell ref="D28:F28"/>
    <mergeCell ref="C23:D23"/>
    <mergeCell ref="C18:D18"/>
    <mergeCell ref="C19:H19"/>
    <mergeCell ref="C20:H20"/>
    <mergeCell ref="C26:D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62"/>
  <sheetViews>
    <sheetView topLeftCell="L31" zoomScale="85" zoomScaleNormal="85" workbookViewId="0">
      <selection activeCell="AB41" sqref="AB41"/>
    </sheetView>
  </sheetViews>
  <sheetFormatPr defaultRowHeight="12"/>
  <cols>
    <col min="1" max="1" width="9.140625" style="99"/>
    <col min="2" max="2" width="4.85546875" style="94" customWidth="1"/>
    <col min="3" max="3" width="11" style="95" customWidth="1"/>
    <col min="4" max="4" width="5.7109375" style="95" bestFit="1" customWidth="1"/>
    <col min="5" max="5" width="13.5703125" style="95" customWidth="1"/>
    <col min="6" max="6" width="14.28515625" style="96" customWidth="1"/>
    <col min="7" max="7" width="10.85546875" style="96" customWidth="1"/>
    <col min="8" max="8" width="9" style="96" customWidth="1"/>
    <col min="9" max="9" width="10.5703125" style="96" customWidth="1"/>
    <col min="10" max="12" width="13.28515625" style="96" customWidth="1"/>
    <col min="13" max="13" width="8.85546875" style="96" customWidth="1"/>
    <col min="14" max="15" width="13.28515625" style="96" customWidth="1"/>
    <col min="16" max="16" width="9.28515625" style="96" customWidth="1"/>
    <col min="17" max="17" width="20.140625" style="97" customWidth="1"/>
    <col min="18" max="18" width="7.140625" style="96" customWidth="1"/>
    <col min="19" max="19" width="12.85546875" style="98" customWidth="1"/>
    <col min="20" max="20" width="11.42578125" style="98" customWidth="1"/>
    <col min="21" max="21" width="10.7109375" style="99" customWidth="1"/>
    <col min="22" max="22" width="20.140625" style="99" customWidth="1"/>
    <col min="23" max="23" width="15.42578125" style="99" customWidth="1"/>
    <col min="24" max="24" width="14.42578125" style="99" customWidth="1"/>
    <col min="25" max="25" width="12.85546875" style="99" customWidth="1"/>
    <col min="26" max="28" width="11.42578125" style="100" customWidth="1"/>
    <col min="29" max="29" width="15.85546875" style="100" customWidth="1"/>
    <col min="30" max="30" width="17" style="116" customWidth="1"/>
    <col min="31" max="31" width="20.42578125" style="116" customWidth="1"/>
    <col min="32" max="32" width="9.140625" style="99"/>
    <col min="33" max="33" width="46.85546875" style="99" customWidth="1"/>
    <col min="34" max="16384" width="9.140625" style="99"/>
  </cols>
  <sheetData>
    <row r="2" spans="2:33">
      <c r="N2" s="96">
        <f>2023-33</f>
        <v>1990</v>
      </c>
    </row>
    <row r="3" spans="2:33">
      <c r="AC3" s="101">
        <f>SUBTOTAL(9,AC5:AC20)</f>
        <v>194475617.33800003</v>
      </c>
      <c r="AD3" s="101">
        <f t="shared" ref="AD3:AE3" si="0">SUBTOTAL(9,AD5:AD20)</f>
        <v>52465100.584102221</v>
      </c>
      <c r="AE3" s="101">
        <f t="shared" si="0"/>
        <v>142010516.75389779</v>
      </c>
    </row>
    <row r="4" spans="2:33" ht="60" customHeight="1">
      <c r="B4" s="85" t="s">
        <v>173</v>
      </c>
      <c r="C4" s="85" t="s">
        <v>0</v>
      </c>
      <c r="D4" s="85" t="s">
        <v>96</v>
      </c>
      <c r="E4" s="85" t="s">
        <v>111</v>
      </c>
      <c r="F4" s="85" t="s">
        <v>1</v>
      </c>
      <c r="G4" s="85" t="s">
        <v>171</v>
      </c>
      <c r="H4" s="85" t="s">
        <v>156</v>
      </c>
      <c r="I4" s="85" t="s">
        <v>8</v>
      </c>
      <c r="J4" s="85" t="s">
        <v>126</v>
      </c>
      <c r="K4" s="85" t="s">
        <v>127</v>
      </c>
      <c r="L4" s="85" t="s">
        <v>128</v>
      </c>
      <c r="M4" s="85" t="s">
        <v>170</v>
      </c>
      <c r="N4" s="85" t="s">
        <v>129</v>
      </c>
      <c r="O4" s="85" t="s">
        <v>130</v>
      </c>
      <c r="P4" s="85" t="s">
        <v>2</v>
      </c>
      <c r="Q4" s="85" t="s">
        <v>84</v>
      </c>
      <c r="R4" s="85" t="s">
        <v>3</v>
      </c>
      <c r="S4" s="86" t="s">
        <v>168</v>
      </c>
      <c r="T4" s="86" t="s">
        <v>169</v>
      </c>
      <c r="U4" s="85" t="s">
        <v>75</v>
      </c>
      <c r="V4" s="85" t="s">
        <v>76</v>
      </c>
      <c r="W4" s="85" t="s">
        <v>77</v>
      </c>
      <c r="X4" s="85" t="s">
        <v>78</v>
      </c>
      <c r="Y4" s="85" t="s">
        <v>79</v>
      </c>
      <c r="Z4" s="102" t="s">
        <v>80</v>
      </c>
      <c r="AA4" s="102" t="s">
        <v>166</v>
      </c>
      <c r="AB4" s="102" t="s">
        <v>172</v>
      </c>
      <c r="AC4" s="102" t="s">
        <v>81</v>
      </c>
      <c r="AD4" s="103" t="s">
        <v>82</v>
      </c>
      <c r="AE4" s="103" t="s">
        <v>83</v>
      </c>
    </row>
    <row r="5" spans="2:33" ht="96">
      <c r="B5" s="87">
        <v>1</v>
      </c>
      <c r="C5" s="88" t="s">
        <v>9</v>
      </c>
      <c r="D5" s="88" t="s">
        <v>180</v>
      </c>
      <c r="E5" s="88" t="s">
        <v>112</v>
      </c>
      <c r="F5" s="88">
        <v>2</v>
      </c>
      <c r="G5" s="88" t="s">
        <v>135</v>
      </c>
      <c r="H5" s="88" t="s">
        <v>154</v>
      </c>
      <c r="I5" s="88" t="s">
        <v>26</v>
      </c>
      <c r="J5" s="88">
        <v>177.02</v>
      </c>
      <c r="K5" s="88"/>
      <c r="L5" s="88"/>
      <c r="M5" s="88">
        <f>L5+K5+J5</f>
        <v>177.02</v>
      </c>
      <c r="N5" s="88"/>
      <c r="O5" s="88"/>
      <c r="P5" s="87">
        <v>1996</v>
      </c>
      <c r="Q5" s="88" t="s">
        <v>24</v>
      </c>
      <c r="R5" s="87" t="s">
        <v>74</v>
      </c>
      <c r="S5" s="89">
        <v>177.02</v>
      </c>
      <c r="T5" s="89">
        <f>10.7642*S5</f>
        <v>1905.4786840000002</v>
      </c>
      <c r="U5" s="87">
        <v>2024</v>
      </c>
      <c r="V5" s="87">
        <f t="shared" ref="V5:V20" si="1">U5-P5</f>
        <v>28</v>
      </c>
      <c r="W5" s="87">
        <v>60</v>
      </c>
      <c r="X5" s="104">
        <v>0.1</v>
      </c>
      <c r="Y5" s="87">
        <f>(1-X5)/W5</f>
        <v>1.5000000000000001E-2</v>
      </c>
      <c r="Z5" s="105">
        <v>1200</v>
      </c>
      <c r="AA5" s="105">
        <f>Z5</f>
        <v>1200</v>
      </c>
      <c r="AB5" s="105">
        <f>AA5+100</f>
        <v>1300</v>
      </c>
      <c r="AC5" s="105">
        <f>AB5*T5</f>
        <v>2477122.2892</v>
      </c>
      <c r="AD5" s="106">
        <f>AC5*Y5*IF(V5&gt;W5,W5,V5)</f>
        <v>1040391.3614640001</v>
      </c>
      <c r="AE5" s="106">
        <f>AC5-AD5</f>
        <v>1436730.9277359999</v>
      </c>
      <c r="AG5" s="99" t="s">
        <v>90</v>
      </c>
    </row>
    <row r="6" spans="2:33" ht="96">
      <c r="B6" s="87">
        <f>B5+1</f>
        <v>2</v>
      </c>
      <c r="C6" s="88" t="s">
        <v>10</v>
      </c>
      <c r="D6" s="88" t="s">
        <v>180</v>
      </c>
      <c r="E6" s="88" t="s">
        <v>113</v>
      </c>
      <c r="F6" s="88">
        <v>3</v>
      </c>
      <c r="G6" s="88" t="s">
        <v>134</v>
      </c>
      <c r="H6" s="88" t="s">
        <v>154</v>
      </c>
      <c r="I6" s="88" t="s">
        <v>27</v>
      </c>
      <c r="J6" s="88">
        <v>832.59</v>
      </c>
      <c r="K6" s="88">
        <v>832.59</v>
      </c>
      <c r="L6" s="88">
        <v>513.80999999999995</v>
      </c>
      <c r="M6" s="88">
        <f t="shared" ref="M6:M20" si="2">L6+K6+J6</f>
        <v>2178.9900000000002</v>
      </c>
      <c r="N6" s="88"/>
      <c r="O6" s="88"/>
      <c r="P6" s="87">
        <v>2007</v>
      </c>
      <c r="Q6" s="88" t="s">
        <v>24</v>
      </c>
      <c r="R6" s="87" t="s">
        <v>74</v>
      </c>
      <c r="S6" s="89">
        <v>2178.9899999999998</v>
      </c>
      <c r="T6" s="89">
        <f t="shared" ref="T6:T21" si="3">10.7642*S6</f>
        <v>23455.084157999998</v>
      </c>
      <c r="U6" s="87">
        <v>2024</v>
      </c>
      <c r="V6" s="87">
        <f t="shared" si="1"/>
        <v>17</v>
      </c>
      <c r="W6" s="87">
        <v>65</v>
      </c>
      <c r="X6" s="104">
        <v>0.1</v>
      </c>
      <c r="Y6" s="87">
        <f t="shared" ref="Y6:Y20" si="4">(1-X6)/W6</f>
        <v>1.3846153846153847E-2</v>
      </c>
      <c r="Z6" s="105">
        <v>1600</v>
      </c>
      <c r="AA6" s="105">
        <f t="shared" ref="AA6:AA9" si="5">Z6</f>
        <v>1600</v>
      </c>
      <c r="AB6" s="105">
        <f t="shared" ref="AB6:AB20" si="6">AA6+100</f>
        <v>1700</v>
      </c>
      <c r="AC6" s="105">
        <f t="shared" ref="AC6:AC20" si="7">AB6*T6</f>
        <v>39873643.068599999</v>
      </c>
      <c r="AD6" s="106">
        <f t="shared" ref="AD6:AD20" si="8">AC6*Y6*IF(V6&gt;W6,W6,V6)</f>
        <v>9385642.1376858465</v>
      </c>
      <c r="AE6" s="106">
        <f t="shared" ref="AE6:AE20" si="9">AC6-AD6</f>
        <v>30488000.930914152</v>
      </c>
    </row>
    <row r="7" spans="2:33" ht="96">
      <c r="B7" s="87">
        <f t="shared" ref="B7:B20" si="10">B6+1</f>
        <v>3</v>
      </c>
      <c r="C7" s="88" t="s">
        <v>11</v>
      </c>
      <c r="D7" s="88" t="s">
        <v>180</v>
      </c>
      <c r="E7" s="88" t="s">
        <v>114</v>
      </c>
      <c r="F7" s="88">
        <v>6</v>
      </c>
      <c r="G7" s="88" t="s">
        <v>133</v>
      </c>
      <c r="H7" s="88" t="s">
        <v>154</v>
      </c>
      <c r="I7" s="88" t="s">
        <v>27</v>
      </c>
      <c r="J7" s="88">
        <v>841</v>
      </c>
      <c r="K7" s="88">
        <v>841</v>
      </c>
      <c r="L7" s="88"/>
      <c r="M7" s="88">
        <f t="shared" si="2"/>
        <v>1682</v>
      </c>
      <c r="N7" s="88"/>
      <c r="O7" s="88"/>
      <c r="P7" s="87">
        <v>2007</v>
      </c>
      <c r="Q7" s="88" t="s">
        <v>24</v>
      </c>
      <c r="R7" s="87" t="s">
        <v>74</v>
      </c>
      <c r="S7" s="89">
        <v>1682</v>
      </c>
      <c r="T7" s="89">
        <f t="shared" si="3"/>
        <v>18105.384400000003</v>
      </c>
      <c r="U7" s="87">
        <v>2024</v>
      </c>
      <c r="V7" s="87">
        <f t="shared" si="1"/>
        <v>17</v>
      </c>
      <c r="W7" s="87">
        <v>65</v>
      </c>
      <c r="X7" s="104">
        <v>0.1</v>
      </c>
      <c r="Y7" s="87">
        <f t="shared" si="4"/>
        <v>1.3846153846153847E-2</v>
      </c>
      <c r="Z7" s="105">
        <v>1600</v>
      </c>
      <c r="AA7" s="105">
        <f t="shared" si="5"/>
        <v>1600</v>
      </c>
      <c r="AB7" s="105">
        <f t="shared" si="6"/>
        <v>1700</v>
      </c>
      <c r="AC7" s="105">
        <f t="shared" si="7"/>
        <v>30779153.480000004</v>
      </c>
      <c r="AD7" s="106">
        <f t="shared" si="8"/>
        <v>7244939.2037538476</v>
      </c>
      <c r="AE7" s="106">
        <f t="shared" si="9"/>
        <v>23534214.276246157</v>
      </c>
    </row>
    <row r="8" spans="2:33" ht="96">
      <c r="B8" s="87">
        <f t="shared" si="10"/>
        <v>4</v>
      </c>
      <c r="C8" s="88" t="s">
        <v>12</v>
      </c>
      <c r="D8" s="88" t="s">
        <v>180</v>
      </c>
      <c r="E8" s="88" t="s">
        <v>115</v>
      </c>
      <c r="F8" s="88">
        <v>3</v>
      </c>
      <c r="G8" s="88" t="s">
        <v>133</v>
      </c>
      <c r="H8" s="88" t="s">
        <v>154</v>
      </c>
      <c r="I8" s="88" t="s">
        <v>27</v>
      </c>
      <c r="J8" s="88">
        <v>246.5</v>
      </c>
      <c r="K8" s="88">
        <v>209.2</v>
      </c>
      <c r="L8" s="88"/>
      <c r="M8" s="88">
        <f t="shared" si="2"/>
        <v>455.7</v>
      </c>
      <c r="N8" s="88"/>
      <c r="O8" s="88"/>
      <c r="P8" s="87">
        <v>2007</v>
      </c>
      <c r="Q8" s="88" t="s">
        <v>24</v>
      </c>
      <c r="R8" s="87" t="s">
        <v>74</v>
      </c>
      <c r="S8" s="89">
        <v>455.7</v>
      </c>
      <c r="T8" s="89">
        <f t="shared" si="3"/>
        <v>4905.2459399999998</v>
      </c>
      <c r="U8" s="87">
        <v>2024</v>
      </c>
      <c r="V8" s="87">
        <f t="shared" si="1"/>
        <v>17</v>
      </c>
      <c r="W8" s="87">
        <v>65</v>
      </c>
      <c r="X8" s="104">
        <v>0.1</v>
      </c>
      <c r="Y8" s="87">
        <f t="shared" si="4"/>
        <v>1.3846153846153847E-2</v>
      </c>
      <c r="Z8" s="105">
        <v>1200</v>
      </c>
      <c r="AA8" s="105">
        <f t="shared" si="5"/>
        <v>1200</v>
      </c>
      <c r="AB8" s="105">
        <f t="shared" si="6"/>
        <v>1300</v>
      </c>
      <c r="AC8" s="105">
        <f t="shared" si="7"/>
        <v>6376819.7220000001</v>
      </c>
      <c r="AD8" s="106">
        <f t="shared" si="8"/>
        <v>1501005.25764</v>
      </c>
      <c r="AE8" s="106">
        <f t="shared" si="9"/>
        <v>4875814.4643600006</v>
      </c>
    </row>
    <row r="9" spans="2:33" ht="96">
      <c r="B9" s="87">
        <f t="shared" si="10"/>
        <v>5</v>
      </c>
      <c r="C9" s="88" t="s">
        <v>13</v>
      </c>
      <c r="D9" s="88" t="s">
        <v>180</v>
      </c>
      <c r="E9" s="88" t="s">
        <v>164</v>
      </c>
      <c r="F9" s="88">
        <v>3</v>
      </c>
      <c r="G9" s="88" t="s">
        <v>134</v>
      </c>
      <c r="H9" s="88" t="s">
        <v>154</v>
      </c>
      <c r="I9" s="88" t="s">
        <v>27</v>
      </c>
      <c r="J9" s="88">
        <v>445.47</v>
      </c>
      <c r="K9" s="88">
        <v>445.47</v>
      </c>
      <c r="L9" s="88">
        <v>445.47</v>
      </c>
      <c r="M9" s="88">
        <f t="shared" si="2"/>
        <v>1336.41</v>
      </c>
      <c r="N9" s="88"/>
      <c r="O9" s="88"/>
      <c r="P9" s="87">
        <v>1986</v>
      </c>
      <c r="Q9" s="88" t="s">
        <v>24</v>
      </c>
      <c r="R9" s="87" t="s">
        <v>74</v>
      </c>
      <c r="S9" s="89">
        <v>1336.41</v>
      </c>
      <c r="T9" s="89">
        <f t="shared" si="3"/>
        <v>14385.384522000002</v>
      </c>
      <c r="U9" s="87">
        <v>2024</v>
      </c>
      <c r="V9" s="87">
        <f t="shared" si="1"/>
        <v>38</v>
      </c>
      <c r="W9" s="87">
        <v>65</v>
      </c>
      <c r="X9" s="104">
        <v>0.1</v>
      </c>
      <c r="Y9" s="87">
        <f t="shared" si="4"/>
        <v>1.3846153846153847E-2</v>
      </c>
      <c r="Z9" s="105">
        <v>1200</v>
      </c>
      <c r="AA9" s="105">
        <f t="shared" si="5"/>
        <v>1200</v>
      </c>
      <c r="AB9" s="105">
        <f t="shared" si="6"/>
        <v>1300</v>
      </c>
      <c r="AC9" s="105">
        <f t="shared" si="7"/>
        <v>18700999.878600001</v>
      </c>
      <c r="AD9" s="106">
        <f t="shared" si="8"/>
        <v>9839603.0130480006</v>
      </c>
      <c r="AE9" s="106">
        <f t="shared" si="9"/>
        <v>8861396.8655520007</v>
      </c>
    </row>
    <row r="10" spans="2:33" ht="96">
      <c r="B10" s="87">
        <f t="shared" si="10"/>
        <v>6</v>
      </c>
      <c r="C10" s="90" t="s">
        <v>14</v>
      </c>
      <c r="D10" s="90" t="s">
        <v>174</v>
      </c>
      <c r="E10" s="88" t="s">
        <v>117</v>
      </c>
      <c r="F10" s="88">
        <v>3</v>
      </c>
      <c r="G10" s="88"/>
      <c r="H10" s="90" t="s">
        <v>155</v>
      </c>
      <c r="I10" s="88" t="s">
        <v>28</v>
      </c>
      <c r="J10" s="88"/>
      <c r="K10" s="88"/>
      <c r="L10" s="88"/>
      <c r="M10" s="88">
        <f t="shared" si="2"/>
        <v>0</v>
      </c>
      <c r="N10" s="88"/>
      <c r="O10" s="88"/>
      <c r="P10" s="87">
        <v>2007</v>
      </c>
      <c r="Q10" s="88" t="s">
        <v>24</v>
      </c>
      <c r="R10" s="87" t="s">
        <v>74</v>
      </c>
      <c r="S10" s="89">
        <v>917.85</v>
      </c>
      <c r="T10" s="89">
        <f t="shared" si="3"/>
        <v>9879.920970000001</v>
      </c>
      <c r="U10" s="87">
        <v>2024</v>
      </c>
      <c r="V10" s="87">
        <f t="shared" si="1"/>
        <v>17</v>
      </c>
      <c r="W10" s="87">
        <v>65</v>
      </c>
      <c r="X10" s="104">
        <v>0.1</v>
      </c>
      <c r="Y10" s="87">
        <f t="shared" si="4"/>
        <v>1.3846153846153847E-2</v>
      </c>
      <c r="Z10" s="105">
        <v>800</v>
      </c>
      <c r="AA10" s="105">
        <v>1600</v>
      </c>
      <c r="AB10" s="105">
        <f t="shared" si="6"/>
        <v>1700</v>
      </c>
      <c r="AC10" s="105">
        <f t="shared" si="7"/>
        <v>16795865.649</v>
      </c>
      <c r="AD10" s="106">
        <f t="shared" si="8"/>
        <v>3953488.3758415384</v>
      </c>
      <c r="AE10" s="106">
        <f t="shared" si="9"/>
        <v>12842377.273158461</v>
      </c>
    </row>
    <row r="11" spans="2:33" ht="96">
      <c r="B11" s="87">
        <f t="shared" si="10"/>
        <v>7</v>
      </c>
      <c r="C11" s="90" t="s">
        <v>15</v>
      </c>
      <c r="D11" s="90" t="s">
        <v>174</v>
      </c>
      <c r="E11" s="88" t="s">
        <v>118</v>
      </c>
      <c r="F11" s="88">
        <v>7</v>
      </c>
      <c r="G11" s="88"/>
      <c r="H11" s="90" t="s">
        <v>155</v>
      </c>
      <c r="I11" s="88" t="s">
        <v>29</v>
      </c>
      <c r="J11" s="88"/>
      <c r="K11" s="88"/>
      <c r="L11" s="88"/>
      <c r="M11" s="88">
        <f t="shared" si="2"/>
        <v>0</v>
      </c>
      <c r="N11" s="88"/>
      <c r="O11" s="88"/>
      <c r="P11" s="87">
        <v>2007</v>
      </c>
      <c r="Q11" s="88" t="s">
        <v>24</v>
      </c>
      <c r="R11" s="87" t="s">
        <v>74</v>
      </c>
      <c r="S11" s="89">
        <v>363.44</v>
      </c>
      <c r="T11" s="89">
        <f t="shared" si="3"/>
        <v>3912.140848</v>
      </c>
      <c r="U11" s="87">
        <v>2024</v>
      </c>
      <c r="V11" s="87">
        <f t="shared" si="1"/>
        <v>17</v>
      </c>
      <c r="W11" s="87">
        <v>60</v>
      </c>
      <c r="X11" s="104">
        <v>0.1</v>
      </c>
      <c r="Y11" s="87">
        <f t="shared" si="4"/>
        <v>1.5000000000000001E-2</v>
      </c>
      <c r="Z11" s="105">
        <v>600</v>
      </c>
      <c r="AA11" s="105">
        <v>1200</v>
      </c>
      <c r="AB11" s="105">
        <f t="shared" si="6"/>
        <v>1300</v>
      </c>
      <c r="AC11" s="105">
        <f t="shared" si="7"/>
        <v>5085783.1024000002</v>
      </c>
      <c r="AD11" s="106">
        <f t="shared" si="8"/>
        <v>1296874.691112</v>
      </c>
      <c r="AE11" s="106">
        <f t="shared" si="9"/>
        <v>3788908.4112880002</v>
      </c>
    </row>
    <row r="12" spans="2:33" ht="96">
      <c r="B12" s="87">
        <f t="shared" si="10"/>
        <v>8</v>
      </c>
      <c r="C12" s="90" t="s">
        <v>16</v>
      </c>
      <c r="D12" s="90" t="s">
        <v>174</v>
      </c>
      <c r="E12" s="88" t="s">
        <v>119</v>
      </c>
      <c r="F12" s="88">
        <v>4</v>
      </c>
      <c r="G12" s="88"/>
      <c r="H12" s="90" t="s">
        <v>155</v>
      </c>
      <c r="I12" s="88" t="s">
        <v>30</v>
      </c>
      <c r="J12" s="88"/>
      <c r="K12" s="88"/>
      <c r="L12" s="88"/>
      <c r="M12" s="88">
        <f t="shared" si="2"/>
        <v>0</v>
      </c>
      <c r="N12" s="88"/>
      <c r="O12" s="88"/>
      <c r="P12" s="87">
        <v>2017</v>
      </c>
      <c r="Q12" s="88" t="s">
        <v>24</v>
      </c>
      <c r="R12" s="87" t="s">
        <v>74</v>
      </c>
      <c r="S12" s="89">
        <v>1130.1099999999999</v>
      </c>
      <c r="T12" s="89">
        <f t="shared" si="3"/>
        <v>12164.730062000001</v>
      </c>
      <c r="U12" s="87">
        <v>2024</v>
      </c>
      <c r="V12" s="87">
        <f t="shared" si="1"/>
        <v>7</v>
      </c>
      <c r="W12" s="87">
        <v>60</v>
      </c>
      <c r="X12" s="104">
        <v>0.1</v>
      </c>
      <c r="Y12" s="87">
        <f t="shared" si="4"/>
        <v>1.5000000000000001E-2</v>
      </c>
      <c r="Z12" s="105">
        <v>600</v>
      </c>
      <c r="AA12" s="105">
        <v>1200</v>
      </c>
      <c r="AB12" s="105">
        <f t="shared" si="6"/>
        <v>1300</v>
      </c>
      <c r="AC12" s="105">
        <f t="shared" si="7"/>
        <v>15814149.080600001</v>
      </c>
      <c r="AD12" s="106">
        <f t="shared" si="8"/>
        <v>1660485.6534630002</v>
      </c>
      <c r="AE12" s="106">
        <f t="shared" si="9"/>
        <v>14153663.427137</v>
      </c>
    </row>
    <row r="13" spans="2:33" ht="96">
      <c r="B13" s="87">
        <f t="shared" si="10"/>
        <v>9</v>
      </c>
      <c r="C13" s="88" t="s">
        <v>17</v>
      </c>
      <c r="D13" s="88" t="s">
        <v>181</v>
      </c>
      <c r="E13" s="88" t="s">
        <v>120</v>
      </c>
      <c r="F13" s="88" t="s">
        <v>33</v>
      </c>
      <c r="G13" s="88" t="s">
        <v>133</v>
      </c>
      <c r="H13" s="88" t="s">
        <v>154</v>
      </c>
      <c r="I13" s="88" t="s">
        <v>31</v>
      </c>
      <c r="J13" s="88">
        <v>486</v>
      </c>
      <c r="K13" s="88">
        <v>186</v>
      </c>
      <c r="L13" s="88"/>
      <c r="M13" s="88">
        <f t="shared" si="2"/>
        <v>672</v>
      </c>
      <c r="N13" s="88"/>
      <c r="O13" s="88"/>
      <c r="P13" s="87">
        <v>2006</v>
      </c>
      <c r="Q13" s="88" t="s">
        <v>24</v>
      </c>
      <c r="R13" s="87" t="s">
        <v>74</v>
      </c>
      <c r="S13" s="89">
        <v>672</v>
      </c>
      <c r="T13" s="89">
        <f>10.7642*S13</f>
        <v>7233.5424000000003</v>
      </c>
      <c r="U13" s="87">
        <v>2024</v>
      </c>
      <c r="V13" s="87">
        <f t="shared" si="1"/>
        <v>18</v>
      </c>
      <c r="W13" s="87">
        <v>45</v>
      </c>
      <c r="X13" s="104">
        <v>0.1</v>
      </c>
      <c r="Y13" s="87">
        <f t="shared" si="4"/>
        <v>0.02</v>
      </c>
      <c r="Z13" s="105">
        <v>1200</v>
      </c>
      <c r="AA13" s="105">
        <f>Z13</f>
        <v>1200</v>
      </c>
      <c r="AB13" s="105">
        <f t="shared" si="6"/>
        <v>1300</v>
      </c>
      <c r="AC13" s="105">
        <f t="shared" si="7"/>
        <v>9403605.120000001</v>
      </c>
      <c r="AD13" s="106">
        <f t="shared" si="8"/>
        <v>3385297.8432000005</v>
      </c>
      <c r="AE13" s="106">
        <f t="shared" si="9"/>
        <v>6018307.276800001</v>
      </c>
    </row>
    <row r="14" spans="2:33" ht="96">
      <c r="B14" s="87">
        <f t="shared" si="10"/>
        <v>10</v>
      </c>
      <c r="C14" s="88" t="s">
        <v>18</v>
      </c>
      <c r="D14" s="88" t="s">
        <v>181</v>
      </c>
      <c r="E14" s="88" t="s">
        <v>109</v>
      </c>
      <c r="F14" s="88" t="s">
        <v>33</v>
      </c>
      <c r="G14" s="88" t="s">
        <v>135</v>
      </c>
      <c r="H14" s="88" t="s">
        <v>154</v>
      </c>
      <c r="I14" s="87" t="s">
        <v>31</v>
      </c>
      <c r="J14" s="87">
        <v>180.09</v>
      </c>
      <c r="K14" s="87"/>
      <c r="L14" s="87"/>
      <c r="M14" s="88">
        <f t="shared" si="2"/>
        <v>180.09</v>
      </c>
      <c r="N14" s="87"/>
      <c r="O14" s="87"/>
      <c r="P14" s="87">
        <v>2004</v>
      </c>
      <c r="Q14" s="88" t="s">
        <v>24</v>
      </c>
      <c r="R14" s="87" t="s">
        <v>74</v>
      </c>
      <c r="S14" s="91">
        <v>180.09</v>
      </c>
      <c r="T14" s="89">
        <f>10.7642*S14</f>
        <v>1938.5247780000002</v>
      </c>
      <c r="U14" s="87">
        <v>2024</v>
      </c>
      <c r="V14" s="87">
        <f t="shared" si="1"/>
        <v>20</v>
      </c>
      <c r="W14" s="87">
        <v>60</v>
      </c>
      <c r="X14" s="104">
        <v>0.1</v>
      </c>
      <c r="Y14" s="87">
        <f t="shared" si="4"/>
        <v>1.5000000000000001E-2</v>
      </c>
      <c r="Z14" s="105">
        <v>1200</v>
      </c>
      <c r="AA14" s="105">
        <f t="shared" ref="AA14:AA18" si="11">Z14</f>
        <v>1200</v>
      </c>
      <c r="AB14" s="105">
        <f t="shared" si="6"/>
        <v>1300</v>
      </c>
      <c r="AC14" s="105">
        <f t="shared" si="7"/>
        <v>2520082.2114000004</v>
      </c>
      <c r="AD14" s="106">
        <f t="shared" si="8"/>
        <v>756024.66342000011</v>
      </c>
      <c r="AE14" s="106">
        <f t="shared" si="9"/>
        <v>1764057.5479800003</v>
      </c>
    </row>
    <row r="15" spans="2:33" ht="122.25" customHeight="1">
      <c r="B15" s="87">
        <f t="shared" si="10"/>
        <v>11</v>
      </c>
      <c r="C15" s="88" t="s">
        <v>19</v>
      </c>
      <c r="D15" s="88" t="s">
        <v>181</v>
      </c>
      <c r="E15" s="88" t="s">
        <v>110</v>
      </c>
      <c r="F15" s="88" t="s">
        <v>33</v>
      </c>
      <c r="G15" s="88" t="s">
        <v>133</v>
      </c>
      <c r="H15" s="88" t="s">
        <v>154</v>
      </c>
      <c r="I15" s="87" t="s">
        <v>31</v>
      </c>
      <c r="J15" s="87">
        <v>314.55</v>
      </c>
      <c r="K15" s="87">
        <v>157.25</v>
      </c>
      <c r="L15" s="87"/>
      <c r="M15" s="88">
        <f t="shared" si="2"/>
        <v>471.8</v>
      </c>
      <c r="N15" s="87"/>
      <c r="O15" s="87"/>
      <c r="P15" s="87">
        <v>2004</v>
      </c>
      <c r="Q15" s="88" t="s">
        <v>24</v>
      </c>
      <c r="R15" s="87" t="s">
        <v>74</v>
      </c>
      <c r="S15" s="91">
        <v>471.8</v>
      </c>
      <c r="T15" s="89">
        <f>10.7642*S15</f>
        <v>5078.5495600000004</v>
      </c>
      <c r="U15" s="87">
        <v>2024</v>
      </c>
      <c r="V15" s="87">
        <f t="shared" si="1"/>
        <v>20</v>
      </c>
      <c r="W15" s="87">
        <v>60</v>
      </c>
      <c r="X15" s="104">
        <v>0.1</v>
      </c>
      <c r="Y15" s="87">
        <f t="shared" si="4"/>
        <v>1.5000000000000001E-2</v>
      </c>
      <c r="Z15" s="105">
        <v>1200</v>
      </c>
      <c r="AA15" s="105">
        <f t="shared" si="11"/>
        <v>1200</v>
      </c>
      <c r="AB15" s="105">
        <f t="shared" si="6"/>
        <v>1300</v>
      </c>
      <c r="AC15" s="105">
        <f t="shared" si="7"/>
        <v>6602114.4280000003</v>
      </c>
      <c r="AD15" s="106">
        <f t="shared" si="8"/>
        <v>1980634.3284000002</v>
      </c>
      <c r="AE15" s="106">
        <f t="shared" si="9"/>
        <v>4621480.0996000003</v>
      </c>
    </row>
    <row r="16" spans="2:33" ht="96">
      <c r="B16" s="87">
        <f t="shared" si="10"/>
        <v>12</v>
      </c>
      <c r="C16" s="88" t="s">
        <v>20</v>
      </c>
      <c r="D16" s="88" t="s">
        <v>181</v>
      </c>
      <c r="E16" s="88" t="s">
        <v>121</v>
      </c>
      <c r="F16" s="88" t="s">
        <v>33</v>
      </c>
      <c r="G16" s="88" t="s">
        <v>134</v>
      </c>
      <c r="H16" s="88" t="s">
        <v>154</v>
      </c>
      <c r="I16" s="88" t="s">
        <v>31</v>
      </c>
      <c r="J16" s="88">
        <v>519.35</v>
      </c>
      <c r="K16" s="88">
        <v>286.13</v>
      </c>
      <c r="L16" s="88"/>
      <c r="M16" s="88">
        <f t="shared" si="2"/>
        <v>805.48</v>
      </c>
      <c r="N16" s="88"/>
      <c r="O16" s="88"/>
      <c r="P16" s="87">
        <v>2009</v>
      </c>
      <c r="Q16" s="88" t="s">
        <v>24</v>
      </c>
      <c r="R16" s="87" t="s">
        <v>74</v>
      </c>
      <c r="S16" s="89">
        <v>805.48</v>
      </c>
      <c r="T16" s="89">
        <f t="shared" si="3"/>
        <v>8670.3478160000013</v>
      </c>
      <c r="U16" s="87">
        <v>2024</v>
      </c>
      <c r="V16" s="87">
        <f t="shared" si="1"/>
        <v>15</v>
      </c>
      <c r="W16" s="87">
        <v>60</v>
      </c>
      <c r="X16" s="104">
        <v>0.1</v>
      </c>
      <c r="Y16" s="87">
        <f t="shared" si="4"/>
        <v>1.5000000000000001E-2</v>
      </c>
      <c r="Z16" s="105">
        <v>1300</v>
      </c>
      <c r="AA16" s="105">
        <f t="shared" si="11"/>
        <v>1300</v>
      </c>
      <c r="AB16" s="105">
        <f t="shared" si="6"/>
        <v>1400</v>
      </c>
      <c r="AC16" s="105">
        <f t="shared" si="7"/>
        <v>12138486.942400001</v>
      </c>
      <c r="AD16" s="106">
        <f t="shared" si="8"/>
        <v>2731159.5620400002</v>
      </c>
      <c r="AE16" s="106">
        <f t="shared" si="9"/>
        <v>9407327.3803599998</v>
      </c>
    </row>
    <row r="17" spans="2:33" ht="96">
      <c r="B17" s="87">
        <f t="shared" si="10"/>
        <v>13</v>
      </c>
      <c r="C17" s="88" t="s">
        <v>21</v>
      </c>
      <c r="D17" s="88" t="s">
        <v>181</v>
      </c>
      <c r="E17" s="88" t="s">
        <v>122</v>
      </c>
      <c r="F17" s="88" t="s">
        <v>33</v>
      </c>
      <c r="G17" s="88" t="s">
        <v>135</v>
      </c>
      <c r="H17" s="88" t="s">
        <v>154</v>
      </c>
      <c r="I17" s="88" t="s">
        <v>31</v>
      </c>
      <c r="J17" s="88">
        <v>356</v>
      </c>
      <c r="K17" s="88"/>
      <c r="L17" s="88"/>
      <c r="M17" s="88">
        <f t="shared" si="2"/>
        <v>356</v>
      </c>
      <c r="N17" s="88"/>
      <c r="O17" s="88"/>
      <c r="P17" s="87">
        <v>2009</v>
      </c>
      <c r="Q17" s="88" t="s">
        <v>24</v>
      </c>
      <c r="R17" s="87" t="s">
        <v>74</v>
      </c>
      <c r="S17" s="89">
        <v>356</v>
      </c>
      <c r="T17" s="89">
        <f t="shared" si="3"/>
        <v>3832.0552000000002</v>
      </c>
      <c r="U17" s="87">
        <v>2024</v>
      </c>
      <c r="V17" s="87">
        <f t="shared" si="1"/>
        <v>15</v>
      </c>
      <c r="W17" s="87">
        <v>60</v>
      </c>
      <c r="X17" s="104">
        <v>0.1</v>
      </c>
      <c r="Y17" s="87">
        <f t="shared" si="4"/>
        <v>1.5000000000000001E-2</v>
      </c>
      <c r="Z17" s="105">
        <v>1200</v>
      </c>
      <c r="AA17" s="105">
        <f t="shared" si="11"/>
        <v>1200</v>
      </c>
      <c r="AB17" s="105">
        <f t="shared" si="6"/>
        <v>1300</v>
      </c>
      <c r="AC17" s="105">
        <f t="shared" si="7"/>
        <v>4981671.7600000007</v>
      </c>
      <c r="AD17" s="106">
        <f t="shared" si="8"/>
        <v>1120876.1460000002</v>
      </c>
      <c r="AE17" s="106">
        <f t="shared" si="9"/>
        <v>3860795.6140000005</v>
      </c>
    </row>
    <row r="18" spans="2:33" ht="96">
      <c r="B18" s="87">
        <f t="shared" si="10"/>
        <v>14</v>
      </c>
      <c r="C18" s="88" t="s">
        <v>22</v>
      </c>
      <c r="D18" s="88" t="s">
        <v>181</v>
      </c>
      <c r="E18" s="88" t="s">
        <v>123</v>
      </c>
      <c r="F18" s="88">
        <v>3</v>
      </c>
      <c r="G18" s="88" t="s">
        <v>134</v>
      </c>
      <c r="H18" s="88" t="s">
        <v>154</v>
      </c>
      <c r="I18" s="88" t="s">
        <v>34</v>
      </c>
      <c r="J18" s="88">
        <v>157.82</v>
      </c>
      <c r="K18" s="88">
        <v>157.82</v>
      </c>
      <c r="L18" s="88">
        <v>157.82</v>
      </c>
      <c r="M18" s="88">
        <f t="shared" si="2"/>
        <v>473.46</v>
      </c>
      <c r="N18" s="88"/>
      <c r="O18" s="88"/>
      <c r="P18" s="87">
        <v>2009</v>
      </c>
      <c r="Q18" s="88" t="s">
        <v>24</v>
      </c>
      <c r="R18" s="87" t="s">
        <v>74</v>
      </c>
      <c r="S18" s="89">
        <v>473.46</v>
      </c>
      <c r="T18" s="89">
        <f t="shared" si="3"/>
        <v>5096.4181319999998</v>
      </c>
      <c r="U18" s="87">
        <v>2024</v>
      </c>
      <c r="V18" s="87">
        <f t="shared" si="1"/>
        <v>15</v>
      </c>
      <c r="W18" s="87">
        <v>60</v>
      </c>
      <c r="X18" s="104">
        <v>0.1</v>
      </c>
      <c r="Y18" s="87">
        <f t="shared" si="4"/>
        <v>1.5000000000000001E-2</v>
      </c>
      <c r="Z18" s="105">
        <v>1400</v>
      </c>
      <c r="AA18" s="105">
        <f t="shared" si="11"/>
        <v>1400</v>
      </c>
      <c r="AB18" s="105">
        <f t="shared" si="6"/>
        <v>1500</v>
      </c>
      <c r="AC18" s="105">
        <f t="shared" si="7"/>
        <v>7644627.1979999999</v>
      </c>
      <c r="AD18" s="106">
        <f t="shared" si="8"/>
        <v>1720041.1195499999</v>
      </c>
      <c r="AE18" s="106">
        <f t="shared" si="9"/>
        <v>5924586.0784499999</v>
      </c>
    </row>
    <row r="19" spans="2:33" ht="96">
      <c r="B19" s="87">
        <f t="shared" si="10"/>
        <v>15</v>
      </c>
      <c r="C19" s="90" t="s">
        <v>23</v>
      </c>
      <c r="D19" s="90" t="s">
        <v>174</v>
      </c>
      <c r="E19" s="88" t="s">
        <v>124</v>
      </c>
      <c r="F19" s="88" t="s">
        <v>33</v>
      </c>
      <c r="G19" s="88"/>
      <c r="H19" s="90" t="s">
        <v>155</v>
      </c>
      <c r="I19" s="88" t="s">
        <v>31</v>
      </c>
      <c r="J19" s="88"/>
      <c r="K19" s="88"/>
      <c r="L19" s="88"/>
      <c r="M19" s="88">
        <f t="shared" si="2"/>
        <v>0</v>
      </c>
      <c r="N19" s="88"/>
      <c r="O19" s="88"/>
      <c r="P19" s="87">
        <v>2007</v>
      </c>
      <c r="Q19" s="88" t="s">
        <v>24</v>
      </c>
      <c r="R19" s="87" t="s">
        <v>74</v>
      </c>
      <c r="S19" s="89">
        <v>1107.4000000000001</v>
      </c>
      <c r="T19" s="89">
        <f t="shared" si="3"/>
        <v>11920.275080000001</v>
      </c>
      <c r="U19" s="87">
        <v>2024</v>
      </c>
      <c r="V19" s="87">
        <f t="shared" si="1"/>
        <v>17</v>
      </c>
      <c r="W19" s="87">
        <v>45</v>
      </c>
      <c r="X19" s="104">
        <v>0.1</v>
      </c>
      <c r="Y19" s="87">
        <f t="shared" si="4"/>
        <v>0.02</v>
      </c>
      <c r="Z19" s="105">
        <v>500</v>
      </c>
      <c r="AA19" s="105">
        <v>1000</v>
      </c>
      <c r="AB19" s="105">
        <f t="shared" si="6"/>
        <v>1100</v>
      </c>
      <c r="AC19" s="105">
        <f t="shared" si="7"/>
        <v>13112302.588000001</v>
      </c>
      <c r="AD19" s="106">
        <f t="shared" si="8"/>
        <v>4458182.8799200011</v>
      </c>
      <c r="AE19" s="106">
        <f t="shared" si="9"/>
        <v>8654119.7080800012</v>
      </c>
    </row>
    <row r="20" spans="2:33" ht="36">
      <c r="B20" s="87">
        <f t="shared" si="10"/>
        <v>16</v>
      </c>
      <c r="C20" s="90"/>
      <c r="D20" s="90">
        <v>26</v>
      </c>
      <c r="E20" s="88" t="s">
        <v>125</v>
      </c>
      <c r="F20" s="88" t="s">
        <v>33</v>
      </c>
      <c r="G20" s="88"/>
      <c r="H20" s="90" t="s">
        <v>155</v>
      </c>
      <c r="I20" s="88" t="s">
        <v>32</v>
      </c>
      <c r="J20" s="88"/>
      <c r="K20" s="88"/>
      <c r="L20" s="88"/>
      <c r="M20" s="88">
        <f t="shared" si="2"/>
        <v>0</v>
      </c>
      <c r="N20" s="88"/>
      <c r="O20" s="88"/>
      <c r="P20" s="87">
        <v>2015</v>
      </c>
      <c r="Q20" s="88" t="s">
        <v>4</v>
      </c>
      <c r="R20" s="87" t="s">
        <v>74</v>
      </c>
      <c r="S20" s="89">
        <v>223.91</v>
      </c>
      <c r="T20" s="89">
        <f t="shared" si="3"/>
        <v>2410.2120220000002</v>
      </c>
      <c r="U20" s="87">
        <v>2024</v>
      </c>
      <c r="V20" s="87">
        <f t="shared" si="1"/>
        <v>9</v>
      </c>
      <c r="W20" s="87">
        <v>45</v>
      </c>
      <c r="X20" s="104">
        <v>0.1</v>
      </c>
      <c r="Y20" s="87">
        <f t="shared" si="4"/>
        <v>0.02</v>
      </c>
      <c r="Z20" s="105">
        <v>400</v>
      </c>
      <c r="AA20" s="105">
        <v>800</v>
      </c>
      <c r="AB20" s="105">
        <f t="shared" si="6"/>
        <v>900</v>
      </c>
      <c r="AC20" s="105">
        <f t="shared" si="7"/>
        <v>2169190.8198000002</v>
      </c>
      <c r="AD20" s="106">
        <f t="shared" si="8"/>
        <v>390454.347564</v>
      </c>
      <c r="AE20" s="106">
        <f t="shared" si="9"/>
        <v>1778736.4722360002</v>
      </c>
      <c r="AG20" s="122">
        <f>T20+T19+T10+T11+T12</f>
        <v>40287.278982000003</v>
      </c>
    </row>
    <row r="21" spans="2:33" ht="46.5" customHeight="1">
      <c r="B21" s="161" t="s">
        <v>101</v>
      </c>
      <c r="C21" s="162"/>
      <c r="D21" s="162"/>
      <c r="E21" s="162"/>
      <c r="F21" s="162"/>
      <c r="G21" s="162"/>
      <c r="H21" s="162"/>
      <c r="I21" s="162"/>
      <c r="J21" s="162"/>
      <c r="K21" s="162"/>
      <c r="L21" s="162"/>
      <c r="M21" s="162"/>
      <c r="N21" s="162"/>
      <c r="O21" s="162"/>
      <c r="P21" s="162"/>
      <c r="Q21" s="197"/>
      <c r="R21" s="92"/>
      <c r="S21" s="93">
        <f>SUM(S5:S20)</f>
        <v>12531.659999999998</v>
      </c>
      <c r="T21" s="93">
        <f t="shared" si="3"/>
        <v>134893.29457199998</v>
      </c>
      <c r="U21" s="107"/>
      <c r="V21" s="107"/>
      <c r="W21" s="107"/>
      <c r="X21" s="107"/>
      <c r="Y21" s="107"/>
      <c r="Z21" s="108"/>
      <c r="AA21" s="108"/>
      <c r="AB21" s="108"/>
      <c r="AC21" s="109">
        <f t="shared" ref="AC21:AE21" si="12">SUM(AC5:AC20)</f>
        <v>194475617.33800003</v>
      </c>
      <c r="AD21" s="110">
        <f t="shared" si="12"/>
        <v>52465100.584102221</v>
      </c>
      <c r="AE21" s="110">
        <f t="shared" si="12"/>
        <v>142010516.75389779</v>
      </c>
      <c r="AG21" s="122">
        <f>AG20/10.76</f>
        <v>3744.1709091078069</v>
      </c>
    </row>
    <row r="22" spans="2:33">
      <c r="B22" s="163" t="s">
        <v>91</v>
      </c>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5"/>
    </row>
    <row r="23" spans="2:33" ht="12" customHeight="1">
      <c r="B23" s="166" t="s">
        <v>102</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8"/>
    </row>
    <row r="24" spans="2:33" ht="12" customHeight="1">
      <c r="B24" s="166" t="s">
        <v>136</v>
      </c>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8"/>
    </row>
    <row r="25" spans="2:33" ht="23.25" customHeight="1">
      <c r="B25" s="166" t="s">
        <v>167</v>
      </c>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8"/>
    </row>
    <row r="27" spans="2:33" ht="36">
      <c r="P27" s="111" t="s">
        <v>89</v>
      </c>
      <c r="S27" s="112" t="s">
        <v>86</v>
      </c>
      <c r="U27" s="85" t="s">
        <v>75</v>
      </c>
      <c r="V27" s="85" t="s">
        <v>76</v>
      </c>
      <c r="W27" s="85" t="s">
        <v>77</v>
      </c>
      <c r="X27" s="85" t="s">
        <v>78</v>
      </c>
      <c r="Y27" s="85" t="s">
        <v>79</v>
      </c>
      <c r="Z27" s="101" t="s">
        <v>88</v>
      </c>
      <c r="AA27" s="101"/>
      <c r="AB27" s="101"/>
      <c r="AC27" s="102" t="s">
        <v>81</v>
      </c>
      <c r="AD27" s="103" t="s">
        <v>82</v>
      </c>
      <c r="AE27" s="103" t="s">
        <v>83</v>
      </c>
    </row>
    <row r="28" spans="2:33" s="96" customFormat="1" ht="24">
      <c r="C28" s="111" t="s">
        <v>85</v>
      </c>
      <c r="D28" s="111"/>
      <c r="E28" s="111"/>
      <c r="P28" s="96">
        <v>2000</v>
      </c>
      <c r="Q28" s="97" t="s">
        <v>87</v>
      </c>
      <c r="S28" s="98">
        <v>654</v>
      </c>
      <c r="T28" s="98"/>
      <c r="U28" s="96">
        <v>2023</v>
      </c>
      <c r="V28" s="96">
        <f>U28-P28</f>
        <v>23</v>
      </c>
      <c r="W28" s="96">
        <v>45</v>
      </c>
      <c r="X28" s="113">
        <v>0.1</v>
      </c>
      <c r="Y28" s="96">
        <f>(1-X28)/W28</f>
        <v>0.02</v>
      </c>
      <c r="Z28" s="114">
        <v>4200</v>
      </c>
      <c r="AA28" s="114"/>
      <c r="AB28" s="114"/>
      <c r="AC28" s="114">
        <f>Z28*S28</f>
        <v>2746800</v>
      </c>
      <c r="AD28" s="115">
        <f>AC28*Y28*IF(V28&gt;W28,W28,V28)</f>
        <v>1263528</v>
      </c>
      <c r="AE28" s="115">
        <f>AC28-AD28</f>
        <v>1483272</v>
      </c>
    </row>
    <row r="29" spans="2:33">
      <c r="L29" s="96">
        <f>2500000/4046.86</f>
        <v>617.76290753819012</v>
      </c>
      <c r="N29" s="96">
        <f>1800*4046.86</f>
        <v>7284348</v>
      </c>
      <c r="AE29" s="116">
        <v>1500000</v>
      </c>
    </row>
    <row r="30" spans="2:33">
      <c r="L30" s="96">
        <f>20000</f>
        <v>20000</v>
      </c>
      <c r="S30" s="98">
        <f>12531-S21</f>
        <v>-0.65999999999803549</v>
      </c>
    </row>
    <row r="31" spans="2:33">
      <c r="C31" s="95" t="s">
        <v>163</v>
      </c>
      <c r="F31" s="120">
        <f>'Land Calculation'!O16</f>
        <v>49226980.154470526</v>
      </c>
    </row>
    <row r="32" spans="2:33" ht="36">
      <c r="C32" s="111" t="s">
        <v>162</v>
      </c>
      <c r="D32" s="111"/>
      <c r="E32" s="111"/>
      <c r="F32" s="117">
        <f>AE21+AE29+F31</f>
        <v>192737496.90836832</v>
      </c>
      <c r="G32" s="117"/>
      <c r="H32" s="117"/>
    </row>
    <row r="33" spans="3:30">
      <c r="C33" s="118" t="s">
        <v>104</v>
      </c>
      <c r="D33" s="118"/>
      <c r="E33" s="118"/>
      <c r="F33" s="119">
        <f>[1]WORKING!$BO$4</f>
        <v>460428011.8829692</v>
      </c>
      <c r="G33" s="119"/>
      <c r="H33" s="119"/>
      <c r="AD33" s="125">
        <f>AC21*0.8</f>
        <v>155580493.87040004</v>
      </c>
    </row>
    <row r="34" spans="3:30">
      <c r="C34" s="95" t="s">
        <v>25</v>
      </c>
      <c r="F34" s="115">
        <f>SUM(F32:F33)</f>
        <v>653165508.79133749</v>
      </c>
      <c r="G34" s="115"/>
      <c r="H34" s="115"/>
      <c r="T34" s="98">
        <f>3600*1995.5</f>
        <v>7183800</v>
      </c>
      <c r="U34" s="99">
        <f>5896+6085+5680+1000+4800</f>
        <v>23461</v>
      </c>
    </row>
    <row r="35" spans="3:30">
      <c r="C35" s="95" t="s">
        <v>105</v>
      </c>
      <c r="F35" s="96">
        <v>620000000</v>
      </c>
      <c r="S35" s="98">
        <f>1995.5*1800</f>
        <v>3591900</v>
      </c>
      <c r="V35" s="99">
        <f>770*18781</f>
        <v>14461370</v>
      </c>
    </row>
    <row r="36" spans="3:30">
      <c r="C36" s="95" t="s">
        <v>106</v>
      </c>
      <c r="F36" s="96">
        <f>0.85*F35</f>
        <v>527000000</v>
      </c>
      <c r="AC36" s="100">
        <v>123520643.01467426</v>
      </c>
    </row>
    <row r="37" spans="3:30">
      <c r="C37" s="95" t="s">
        <v>107</v>
      </c>
      <c r="F37" s="96">
        <f>0.75*F35</f>
        <v>465000000</v>
      </c>
    </row>
    <row r="39" spans="3:30" ht="156">
      <c r="C39" s="95" t="s">
        <v>108</v>
      </c>
      <c r="F39" s="120">
        <f>0.8*AE21</f>
        <v>113608413.40311824</v>
      </c>
      <c r="G39" s="120"/>
      <c r="H39" s="120"/>
      <c r="T39" s="98">
        <f>25000000/12.5</f>
        <v>2000000</v>
      </c>
      <c r="W39" s="88" t="s">
        <v>33</v>
      </c>
      <c r="X39" s="87" t="s">
        <v>31</v>
      </c>
      <c r="Y39" s="87">
        <v>2004</v>
      </c>
      <c r="Z39" s="88" t="s">
        <v>24</v>
      </c>
      <c r="AA39" s="97"/>
      <c r="AB39" s="97"/>
    </row>
    <row r="40" spans="3:30">
      <c r="N40" s="96">
        <f>1000000/70000</f>
        <v>14.285714285714286</v>
      </c>
    </row>
    <row r="41" spans="3:30">
      <c r="S41" s="98">
        <f>21520/10.76</f>
        <v>2000</v>
      </c>
    </row>
    <row r="42" spans="3:30">
      <c r="S42" s="98">
        <f>2000/4046.86</f>
        <v>0.49421032603055209</v>
      </c>
      <c r="X42" s="99">
        <f>3518.81+223.91</f>
        <v>3742.72</v>
      </c>
    </row>
    <row r="62" spans="33:33">
      <c r="AG62" s="99">
        <f>3500*10.76*1300</f>
        <v>48958000</v>
      </c>
    </row>
  </sheetData>
  <mergeCells count="5">
    <mergeCell ref="B22:AE22"/>
    <mergeCell ref="B23:AE23"/>
    <mergeCell ref="B24:AE24"/>
    <mergeCell ref="B25:AE25"/>
    <mergeCell ref="B21:Q21"/>
  </mergeCells>
  <dataValidations count="2">
    <dataValidation type="list" allowBlank="1" showInputMessage="1" showErrorMessage="1" sqref="Q1048554:Q1048576 Z39:AB39 Q5:Q20">
      <formula1>$V$4:$V$12</formula1>
    </dataValidation>
    <dataValidation type="list" allowBlank="1" showInputMessage="1" showErrorMessage="1" sqref="R5:R21">
      <formula1>"Very Good, Good, Average, Poor, Ordinary with wreckages in the structure"</formula1>
    </dataValidation>
  </dataValidations>
  <pageMargins left="3.937007874015748E-2" right="3.937007874015748E-2" top="0" bottom="0"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2:O13"/>
  <sheetViews>
    <sheetView workbookViewId="0">
      <selection activeCell="M13" sqref="M13"/>
    </sheetView>
  </sheetViews>
  <sheetFormatPr defaultRowHeight="15"/>
  <cols>
    <col min="13" max="13" width="15.28515625" bestFit="1" customWidth="1"/>
    <col min="14" max="15" width="14.28515625" bestFit="1" customWidth="1"/>
  </cols>
  <sheetData>
    <row r="2" spans="13:15" ht="15.75" thickBot="1"/>
    <row r="3" spans="13:15" ht="15.75" thickBot="1">
      <c r="M3" s="126">
        <v>396165593</v>
      </c>
      <c r="N3" s="124">
        <f>M3*0.85</f>
        <v>336740754.05000001</v>
      </c>
      <c r="O3" s="124">
        <f>M3*0.75</f>
        <v>297124194.75</v>
      </c>
    </row>
    <row r="4" spans="13:15">
      <c r="M4" s="29">
        <v>39610000</v>
      </c>
      <c r="N4" s="124">
        <f t="shared" ref="N4:N5" si="0">M4*0.85</f>
        <v>33668500</v>
      </c>
      <c r="O4" s="124">
        <f t="shared" ref="O4:O5" si="1">M4*0.75</f>
        <v>29707500</v>
      </c>
    </row>
    <row r="5" spans="13:15">
      <c r="M5" s="29">
        <v>142010516.75389779</v>
      </c>
      <c r="N5" s="124">
        <f t="shared" si="0"/>
        <v>120708939.24081312</v>
      </c>
      <c r="O5" s="124">
        <f t="shared" si="1"/>
        <v>106507887.56542334</v>
      </c>
    </row>
    <row r="6" spans="13:15">
      <c r="M6" s="124">
        <f>SUM(M3:M5)</f>
        <v>577786109.75389779</v>
      </c>
      <c r="N6" s="124">
        <f t="shared" ref="N6:O6" si="2">SUM(N3:N5)</f>
        <v>491118193.29081315</v>
      </c>
      <c r="O6" s="124">
        <f t="shared" si="2"/>
        <v>433339582.31542337</v>
      </c>
    </row>
    <row r="7" spans="13:15">
      <c r="M7" s="124">
        <v>1500000</v>
      </c>
    </row>
    <row r="8" spans="13:15">
      <c r="M8" s="124">
        <f>SUM(M6:M7)</f>
        <v>579286109.75389779</v>
      </c>
    </row>
    <row r="10" spans="13:15" ht="15.75" thickBot="1">
      <c r="O10" s="127">
        <v>1086803730</v>
      </c>
    </row>
    <row r="11" spans="13:15" ht="15.75" thickBot="1">
      <c r="M11" s="124">
        <f>ROUND(M8,-7)</f>
        <v>580000000</v>
      </c>
      <c r="O11" s="127">
        <v>26966265</v>
      </c>
    </row>
    <row r="12" spans="13:15" ht="15.75" thickBot="1">
      <c r="M12" s="124">
        <f>M11*0.85</f>
        <v>493000000</v>
      </c>
      <c r="O12" s="127">
        <v>308801702</v>
      </c>
    </row>
    <row r="13" spans="13:15">
      <c r="M13" s="124">
        <f>M11*0.75</f>
        <v>435000000</v>
      </c>
      <c r="O13" s="123">
        <f>SUM(O10:O12)</f>
        <v>1422571697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5"/>
  <sheetViews>
    <sheetView topLeftCell="A19" workbookViewId="0">
      <selection activeCell="G15" sqref="G15"/>
    </sheetView>
  </sheetViews>
  <sheetFormatPr defaultRowHeight="15"/>
  <sheetData>
    <row r="5" spans="11:11">
      <c r="K5">
        <f>1560+200+1000+701+170+300+450+420+1572+246+1500+40+3000</f>
        <v>11159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AL44"/>
  <sheetViews>
    <sheetView topLeftCell="A4" zoomScale="70" zoomScaleNormal="70" workbookViewId="0">
      <selection activeCell="N7" sqref="N7"/>
    </sheetView>
  </sheetViews>
  <sheetFormatPr defaultRowHeight="15"/>
  <cols>
    <col min="6" max="6" width="13" customWidth="1"/>
    <col min="7" max="7" width="12.42578125" customWidth="1"/>
    <col min="8" max="8" width="14.28515625" customWidth="1"/>
    <col min="9" max="9" width="11.5703125" customWidth="1"/>
    <col min="10" max="10" width="11" customWidth="1"/>
    <col min="11" max="11" width="13.42578125" customWidth="1"/>
    <col min="12" max="12" width="13.140625" customWidth="1"/>
    <col min="13" max="13" width="13.28515625" customWidth="1"/>
    <col min="14" max="14" width="15.42578125" customWidth="1"/>
    <col min="15" max="15" width="12.42578125" customWidth="1"/>
    <col min="16" max="16" width="13.42578125" customWidth="1"/>
    <col min="17" max="17" width="12.42578125" customWidth="1"/>
    <col min="18" max="18" width="30.28515625" customWidth="1"/>
    <col min="19" max="19" width="11.5703125" customWidth="1"/>
    <col min="20" max="20" width="12.140625" customWidth="1"/>
    <col min="21" max="21" width="15.28515625" customWidth="1"/>
    <col min="22" max="22" width="12.85546875" customWidth="1"/>
    <col min="23" max="23" width="15.5703125" customWidth="1"/>
    <col min="24" max="24" width="14.140625" customWidth="1"/>
    <col min="25" max="25" width="13.42578125" customWidth="1"/>
    <col min="26" max="26" width="15.28515625" customWidth="1"/>
    <col min="27" max="27" width="14.42578125" customWidth="1"/>
    <col min="28" max="28" width="17.140625" customWidth="1"/>
    <col min="29" max="29" width="17.28515625" customWidth="1"/>
    <col min="30" max="30" width="20.28515625" customWidth="1"/>
    <col min="33" max="33" width="15.28515625" bestFit="1" customWidth="1"/>
    <col min="34" max="34" width="11.7109375" bestFit="1" customWidth="1"/>
    <col min="38" max="38" width="10.42578125" customWidth="1"/>
  </cols>
  <sheetData>
    <row r="5" spans="3:30">
      <c r="C5" s="2"/>
      <c r="D5" s="6"/>
      <c r="E5" s="6"/>
      <c r="F5" s="6"/>
      <c r="G5" s="1"/>
      <c r="H5" s="1"/>
      <c r="I5" s="1"/>
      <c r="J5" s="1"/>
      <c r="K5" s="1"/>
      <c r="L5" s="1"/>
      <c r="M5" s="1"/>
      <c r="N5" s="1"/>
      <c r="O5" s="1"/>
      <c r="P5" s="1"/>
      <c r="Q5" s="1"/>
      <c r="R5" s="5"/>
      <c r="S5" s="1"/>
      <c r="T5" s="1"/>
      <c r="U5" s="1"/>
      <c r="AA5" s="30"/>
      <c r="AB5" s="34">
        <f>SUBTOTAL(9,AB7:AB22)</f>
        <v>167871224.29739997</v>
      </c>
      <c r="AC5" s="34">
        <f t="shared" ref="AC5:AD5" si="0">SUBTOTAL(9,AC7:AC22)</f>
        <v>45636741.791483693</v>
      </c>
      <c r="AD5" s="34">
        <f t="shared" si="0"/>
        <v>122234482.5059163</v>
      </c>
    </row>
    <row r="6" spans="3:30" ht="45">
      <c r="C6" s="7" t="s">
        <v>5</v>
      </c>
      <c r="D6" s="7" t="s">
        <v>0</v>
      </c>
      <c r="E6" s="7" t="s">
        <v>96</v>
      </c>
      <c r="F6" s="7" t="s">
        <v>111</v>
      </c>
      <c r="G6" s="7" t="s">
        <v>1</v>
      </c>
      <c r="H6" s="7" t="s">
        <v>132</v>
      </c>
      <c r="I6" s="7" t="s">
        <v>156</v>
      </c>
      <c r="J6" s="7" t="s">
        <v>8</v>
      </c>
      <c r="K6" s="7" t="s">
        <v>126</v>
      </c>
      <c r="L6" s="7" t="s">
        <v>127</v>
      </c>
      <c r="M6" s="7" t="s">
        <v>128</v>
      </c>
      <c r="N6" s="7" t="s">
        <v>131</v>
      </c>
      <c r="O6" s="7" t="s">
        <v>129</v>
      </c>
      <c r="P6" s="7" t="s">
        <v>130</v>
      </c>
      <c r="Q6" s="7" t="s">
        <v>2</v>
      </c>
      <c r="R6" s="7" t="s">
        <v>84</v>
      </c>
      <c r="S6" s="7" t="s">
        <v>3</v>
      </c>
      <c r="T6" s="7" t="s">
        <v>6</v>
      </c>
      <c r="U6" s="7" t="s">
        <v>7</v>
      </c>
      <c r="V6" s="7" t="s">
        <v>75</v>
      </c>
      <c r="W6" s="7" t="s">
        <v>76</v>
      </c>
      <c r="X6" s="7" t="s">
        <v>77</v>
      </c>
      <c r="Y6" s="7" t="s">
        <v>78</v>
      </c>
      <c r="Z6" s="7" t="s">
        <v>79</v>
      </c>
      <c r="AA6" s="31" t="s">
        <v>80</v>
      </c>
      <c r="AB6" s="31" t="s">
        <v>81</v>
      </c>
      <c r="AC6" s="33" t="s">
        <v>82</v>
      </c>
      <c r="AD6" s="33" t="s">
        <v>83</v>
      </c>
    </row>
    <row r="7" spans="3:30" ht="84.75" customHeight="1">
      <c r="C7" s="3">
        <v>1</v>
      </c>
      <c r="D7" s="4" t="s">
        <v>9</v>
      </c>
      <c r="E7" s="4">
        <v>51</v>
      </c>
      <c r="F7" s="4" t="s">
        <v>112</v>
      </c>
      <c r="G7" s="4">
        <v>2</v>
      </c>
      <c r="H7" s="4" t="s">
        <v>135</v>
      </c>
      <c r="I7" s="4" t="s">
        <v>154</v>
      </c>
      <c r="J7" s="4" t="s">
        <v>26</v>
      </c>
      <c r="K7" s="4">
        <v>177.02</v>
      </c>
      <c r="L7" s="4"/>
      <c r="M7" s="4"/>
      <c r="N7" s="4">
        <f>M7+L7+K7</f>
        <v>177.02</v>
      </c>
      <c r="O7" s="4"/>
      <c r="P7" s="4"/>
      <c r="Q7" s="3">
        <v>1996</v>
      </c>
      <c r="R7" s="4" t="s">
        <v>24</v>
      </c>
      <c r="S7" s="3" t="s">
        <v>74</v>
      </c>
      <c r="T7" s="8">
        <f>U7/10.7639</f>
        <v>177.02493371361683</v>
      </c>
      <c r="U7" s="14">
        <v>1905.4786840000002</v>
      </c>
      <c r="V7" s="3">
        <v>2024</v>
      </c>
      <c r="W7" s="3">
        <f t="shared" ref="W7:W22" si="1">V7-Q7</f>
        <v>28</v>
      </c>
      <c r="X7" s="3">
        <v>60</v>
      </c>
      <c r="Y7" s="35">
        <v>0.1</v>
      </c>
      <c r="Z7" s="3">
        <f>(1-Y7)/X7</f>
        <v>1.5000000000000001E-2</v>
      </c>
      <c r="AA7" s="36">
        <v>1200</v>
      </c>
      <c r="AB7" s="36">
        <f t="shared" ref="AB7:AB22" si="2">AA7*U7</f>
        <v>2286574.4208</v>
      </c>
      <c r="AC7" s="37">
        <f>AB7*Z7*IF(W7&gt;X7,X7,W7)</f>
        <v>960361.25673600018</v>
      </c>
      <c r="AD7" s="37">
        <f>AB7-AC7</f>
        <v>1326213.1640639999</v>
      </c>
    </row>
    <row r="8" spans="3:30" ht="72" customHeight="1">
      <c r="C8" s="3">
        <f>C7+1</f>
        <v>2</v>
      </c>
      <c r="D8" s="4" t="s">
        <v>10</v>
      </c>
      <c r="E8" s="4">
        <v>51</v>
      </c>
      <c r="F8" s="4" t="s">
        <v>113</v>
      </c>
      <c r="G8" s="4">
        <v>3</v>
      </c>
      <c r="H8" s="4" t="s">
        <v>134</v>
      </c>
      <c r="I8" s="4" t="s">
        <v>154</v>
      </c>
      <c r="J8" s="4" t="s">
        <v>27</v>
      </c>
      <c r="K8" s="4">
        <v>832.59</v>
      </c>
      <c r="L8" s="4">
        <v>832.59</v>
      </c>
      <c r="M8" s="4">
        <v>513.80999999999995</v>
      </c>
      <c r="N8" s="4">
        <f t="shared" ref="N8:N22" si="3">M8+L8+K8</f>
        <v>2178.9900000000002</v>
      </c>
      <c r="O8" s="4"/>
      <c r="P8" s="4"/>
      <c r="Q8" s="3">
        <v>2007</v>
      </c>
      <c r="R8" s="4" t="s">
        <v>24</v>
      </c>
      <c r="S8" s="3" t="s">
        <v>74</v>
      </c>
      <c r="T8" s="8">
        <f t="shared" ref="T8:T22" si="4">U8/10.7639</f>
        <v>2179.0507304973103</v>
      </c>
      <c r="U8" s="14">
        <v>23455.084157999998</v>
      </c>
      <c r="V8" s="3">
        <v>2024</v>
      </c>
      <c r="W8" s="3">
        <f t="shared" si="1"/>
        <v>17</v>
      </c>
      <c r="X8" s="3">
        <v>65</v>
      </c>
      <c r="Y8" s="35">
        <v>0.1</v>
      </c>
      <c r="Z8" s="3">
        <f t="shared" ref="Z8:Z22" si="5">(1-Y8)/X8</f>
        <v>1.3846153846153847E-2</v>
      </c>
      <c r="AA8" s="36">
        <v>1400</v>
      </c>
      <c r="AB8" s="36">
        <f t="shared" si="2"/>
        <v>32837117.821199998</v>
      </c>
      <c r="AC8" s="37">
        <f t="shared" ref="AC8:AC22" si="6">AB8*Z8*IF(W8&gt;X8,X8,W8)</f>
        <v>7729352.3486824613</v>
      </c>
      <c r="AD8" s="37">
        <f t="shared" ref="AD8:AD22" si="7">AB8-AC8</f>
        <v>25107765.472517535</v>
      </c>
    </row>
    <row r="9" spans="3:30" ht="91.5" customHeight="1">
      <c r="C9" s="3">
        <f t="shared" ref="C9:C22" si="8">C8+1</f>
        <v>3</v>
      </c>
      <c r="D9" s="4" t="s">
        <v>11</v>
      </c>
      <c r="E9" s="4">
        <v>50</v>
      </c>
      <c r="F9" s="4" t="s">
        <v>114</v>
      </c>
      <c r="G9" s="4">
        <v>6</v>
      </c>
      <c r="H9" s="4" t="s">
        <v>133</v>
      </c>
      <c r="I9" s="4" t="s">
        <v>154</v>
      </c>
      <c r="J9" s="4" t="s">
        <v>27</v>
      </c>
      <c r="K9" s="4">
        <v>841</v>
      </c>
      <c r="L9" s="4">
        <v>841</v>
      </c>
      <c r="M9" s="4"/>
      <c r="N9" s="4">
        <f t="shared" si="3"/>
        <v>1682</v>
      </c>
      <c r="O9" s="4"/>
      <c r="P9" s="4"/>
      <c r="Q9" s="3">
        <v>2007</v>
      </c>
      <c r="R9" s="4" t="s">
        <v>24</v>
      </c>
      <c r="S9" s="3" t="s">
        <v>74</v>
      </c>
      <c r="T9" s="8">
        <f t="shared" si="4"/>
        <v>1682.046878919351</v>
      </c>
      <c r="U9" s="14">
        <v>18105.384400000003</v>
      </c>
      <c r="V9" s="3">
        <v>2024</v>
      </c>
      <c r="W9" s="3">
        <f t="shared" si="1"/>
        <v>17</v>
      </c>
      <c r="X9" s="3">
        <v>65</v>
      </c>
      <c r="Y9" s="35">
        <v>0.1</v>
      </c>
      <c r="Z9" s="3">
        <f t="shared" si="5"/>
        <v>1.3846153846153847E-2</v>
      </c>
      <c r="AA9" s="36">
        <v>1400</v>
      </c>
      <c r="AB9" s="36">
        <f t="shared" si="2"/>
        <v>25347538.160000004</v>
      </c>
      <c r="AC9" s="37">
        <f t="shared" si="6"/>
        <v>5966420.520738462</v>
      </c>
      <c r="AD9" s="37">
        <f t="shared" si="7"/>
        <v>19381117.639261544</v>
      </c>
    </row>
    <row r="10" spans="3:30" ht="72.75" customHeight="1">
      <c r="C10" s="3">
        <f t="shared" si="8"/>
        <v>4</v>
      </c>
      <c r="D10" s="4" t="s">
        <v>12</v>
      </c>
      <c r="E10" s="4">
        <v>49</v>
      </c>
      <c r="F10" s="4" t="s">
        <v>115</v>
      </c>
      <c r="G10" s="4">
        <v>3</v>
      </c>
      <c r="H10" s="4" t="s">
        <v>133</v>
      </c>
      <c r="I10" s="4" t="s">
        <v>154</v>
      </c>
      <c r="J10" s="4" t="s">
        <v>27</v>
      </c>
      <c r="K10" s="4">
        <v>246.5</v>
      </c>
      <c r="L10" s="4">
        <v>209.2</v>
      </c>
      <c r="M10" s="4"/>
      <c r="N10" s="4">
        <f t="shared" si="3"/>
        <v>455.7</v>
      </c>
      <c r="O10" s="4"/>
      <c r="P10" s="4"/>
      <c r="Q10" s="3">
        <v>2007</v>
      </c>
      <c r="R10" s="4" t="s">
        <v>24</v>
      </c>
      <c r="S10" s="3" t="s">
        <v>74</v>
      </c>
      <c r="T10" s="8">
        <f t="shared" si="4"/>
        <v>455.71270078688951</v>
      </c>
      <c r="U10" s="14">
        <v>4905.2459399999998</v>
      </c>
      <c r="V10" s="3">
        <v>2024</v>
      </c>
      <c r="W10" s="3">
        <f t="shared" si="1"/>
        <v>17</v>
      </c>
      <c r="X10" s="3">
        <v>65</v>
      </c>
      <c r="Y10" s="35">
        <v>0.1</v>
      </c>
      <c r="Z10" s="3">
        <f t="shared" si="5"/>
        <v>1.3846153846153847E-2</v>
      </c>
      <c r="AA10" s="36">
        <v>1200</v>
      </c>
      <c r="AB10" s="36">
        <f t="shared" si="2"/>
        <v>5886295.1279999996</v>
      </c>
      <c r="AC10" s="37">
        <f t="shared" si="6"/>
        <v>1385543.3147446152</v>
      </c>
      <c r="AD10" s="37">
        <f t="shared" si="7"/>
        <v>4500751.8132553846</v>
      </c>
    </row>
    <row r="11" spans="3:30" ht="87.75" customHeight="1">
      <c r="C11" s="3">
        <f t="shared" si="8"/>
        <v>5</v>
      </c>
      <c r="D11" s="4" t="s">
        <v>13</v>
      </c>
      <c r="E11" s="4">
        <v>48</v>
      </c>
      <c r="F11" s="4" t="s">
        <v>116</v>
      </c>
      <c r="G11" s="4">
        <v>3</v>
      </c>
      <c r="H11" s="4" t="s">
        <v>134</v>
      </c>
      <c r="I11" s="4" t="s">
        <v>154</v>
      </c>
      <c r="J11" s="4" t="s">
        <v>27</v>
      </c>
      <c r="K11" s="4">
        <v>445.47</v>
      </c>
      <c r="L11" s="4">
        <v>445.47</v>
      </c>
      <c r="M11" s="4">
        <v>445.47</v>
      </c>
      <c r="N11" s="4">
        <f t="shared" si="3"/>
        <v>1336.41</v>
      </c>
      <c r="O11" s="4"/>
      <c r="P11" s="4"/>
      <c r="Q11" s="3">
        <v>1986</v>
      </c>
      <c r="R11" s="4" t="s">
        <v>24</v>
      </c>
      <c r="S11" s="3" t="s">
        <v>74</v>
      </c>
      <c r="T11" s="8">
        <f t="shared" si="4"/>
        <v>1336.4472470015517</v>
      </c>
      <c r="U11" s="14">
        <v>14385.384522000002</v>
      </c>
      <c r="V11" s="3">
        <v>2024</v>
      </c>
      <c r="W11" s="3">
        <f t="shared" si="1"/>
        <v>38</v>
      </c>
      <c r="X11" s="3">
        <v>65</v>
      </c>
      <c r="Y11" s="35">
        <v>0.1</v>
      </c>
      <c r="Z11" s="3">
        <f t="shared" si="5"/>
        <v>1.3846153846153847E-2</v>
      </c>
      <c r="AA11" s="36">
        <v>1200</v>
      </c>
      <c r="AB11" s="36">
        <f t="shared" si="2"/>
        <v>17262461.426400002</v>
      </c>
      <c r="AC11" s="37">
        <f t="shared" si="6"/>
        <v>9082710.4735827707</v>
      </c>
      <c r="AD11" s="37">
        <f t="shared" si="7"/>
        <v>8179750.9528172314</v>
      </c>
    </row>
    <row r="12" spans="3:30" ht="87" customHeight="1">
      <c r="C12" s="3">
        <f t="shared" si="8"/>
        <v>6</v>
      </c>
      <c r="D12" s="67" t="s">
        <v>14</v>
      </c>
      <c r="E12" s="67" t="s">
        <v>98</v>
      </c>
      <c r="F12" s="4" t="s">
        <v>117</v>
      </c>
      <c r="G12" s="4">
        <v>3</v>
      </c>
      <c r="H12" s="4"/>
      <c r="I12" s="67" t="s">
        <v>155</v>
      </c>
      <c r="J12" s="4" t="s">
        <v>28</v>
      </c>
      <c r="K12" s="4"/>
      <c r="L12" s="4"/>
      <c r="M12" s="4"/>
      <c r="N12" s="4">
        <f t="shared" si="3"/>
        <v>0</v>
      </c>
      <c r="O12" s="4"/>
      <c r="P12" s="4"/>
      <c r="Q12" s="3">
        <v>2007</v>
      </c>
      <c r="R12" s="4" t="s">
        <v>24</v>
      </c>
      <c r="S12" s="3" t="s">
        <v>74</v>
      </c>
      <c r="T12" s="8">
        <f t="shared" si="4"/>
        <v>917.87558134133553</v>
      </c>
      <c r="U12" s="14">
        <v>9879.920970000001</v>
      </c>
      <c r="V12" s="3">
        <v>2024</v>
      </c>
      <c r="W12" s="3">
        <f t="shared" si="1"/>
        <v>17</v>
      </c>
      <c r="X12" s="3">
        <v>65</v>
      </c>
      <c r="Y12" s="35">
        <v>0.1</v>
      </c>
      <c r="Z12" s="3">
        <f t="shared" si="5"/>
        <v>1.3846153846153847E-2</v>
      </c>
      <c r="AA12" s="36">
        <v>1400</v>
      </c>
      <c r="AB12" s="36">
        <f t="shared" si="2"/>
        <v>13831889.358000001</v>
      </c>
      <c r="AC12" s="37">
        <f t="shared" si="6"/>
        <v>3255813.9565753848</v>
      </c>
      <c r="AD12" s="37">
        <f t="shared" si="7"/>
        <v>10576075.401424617</v>
      </c>
    </row>
    <row r="13" spans="3:30" ht="87.75" customHeight="1">
      <c r="C13" s="3">
        <f t="shared" si="8"/>
        <v>7</v>
      </c>
      <c r="D13" s="67" t="s">
        <v>15</v>
      </c>
      <c r="E13" s="67" t="s">
        <v>98</v>
      </c>
      <c r="F13" s="4" t="s">
        <v>118</v>
      </c>
      <c r="G13" s="4">
        <v>7</v>
      </c>
      <c r="H13" s="4"/>
      <c r="I13" s="67" t="s">
        <v>155</v>
      </c>
      <c r="J13" s="4" t="s">
        <v>29</v>
      </c>
      <c r="K13" s="4"/>
      <c r="L13" s="4"/>
      <c r="M13" s="4"/>
      <c r="N13" s="4">
        <f t="shared" si="3"/>
        <v>0</v>
      </c>
      <c r="O13" s="4"/>
      <c r="P13" s="4"/>
      <c r="Q13" s="3">
        <v>2007</v>
      </c>
      <c r="R13" s="4" t="s">
        <v>24</v>
      </c>
      <c r="S13" s="3" t="s">
        <v>74</v>
      </c>
      <c r="T13" s="8">
        <f t="shared" si="4"/>
        <v>363.45012941405997</v>
      </c>
      <c r="U13" s="14">
        <v>3912.140848</v>
      </c>
      <c r="V13" s="3">
        <v>2024</v>
      </c>
      <c r="W13" s="3">
        <f t="shared" si="1"/>
        <v>17</v>
      </c>
      <c r="X13" s="3">
        <v>60</v>
      </c>
      <c r="Y13" s="35">
        <v>0.1</v>
      </c>
      <c r="Z13" s="3">
        <f t="shared" si="5"/>
        <v>1.5000000000000001E-2</v>
      </c>
      <c r="AA13" s="36">
        <v>1100</v>
      </c>
      <c r="AB13" s="36">
        <f t="shared" si="2"/>
        <v>4303354.9327999996</v>
      </c>
      <c r="AC13" s="37">
        <f t="shared" si="6"/>
        <v>1097355.507864</v>
      </c>
      <c r="AD13" s="37">
        <f t="shared" si="7"/>
        <v>3205999.4249359993</v>
      </c>
    </row>
    <row r="14" spans="3:30" ht="95.25" customHeight="1">
      <c r="C14" s="3">
        <f t="shared" si="8"/>
        <v>8</v>
      </c>
      <c r="D14" s="67" t="s">
        <v>16</v>
      </c>
      <c r="E14" s="67" t="s">
        <v>98</v>
      </c>
      <c r="F14" s="4" t="s">
        <v>119</v>
      </c>
      <c r="G14" s="4">
        <v>4</v>
      </c>
      <c r="H14" s="4"/>
      <c r="I14" s="67" t="s">
        <v>155</v>
      </c>
      <c r="J14" s="4" t="s">
        <v>30</v>
      </c>
      <c r="K14" s="4"/>
      <c r="L14" s="4"/>
      <c r="M14" s="4"/>
      <c r="N14" s="4">
        <f t="shared" si="3"/>
        <v>0</v>
      </c>
      <c r="O14" s="4"/>
      <c r="P14" s="4"/>
      <c r="Q14" s="3">
        <v>2017</v>
      </c>
      <c r="R14" s="4" t="s">
        <v>24</v>
      </c>
      <c r="S14" s="3" t="s">
        <v>74</v>
      </c>
      <c r="T14" s="8">
        <f t="shared" si="4"/>
        <v>1130.1414972268417</v>
      </c>
      <c r="U14" s="14">
        <v>12164.730062000001</v>
      </c>
      <c r="V14" s="3">
        <v>2024</v>
      </c>
      <c r="W14" s="3">
        <f t="shared" si="1"/>
        <v>7</v>
      </c>
      <c r="X14" s="3">
        <v>60</v>
      </c>
      <c r="Y14" s="35">
        <v>0.1</v>
      </c>
      <c r="Z14" s="3">
        <f t="shared" si="5"/>
        <v>1.5000000000000001E-2</v>
      </c>
      <c r="AA14" s="36">
        <v>1200</v>
      </c>
      <c r="AB14" s="36">
        <f t="shared" si="2"/>
        <v>14597676.0744</v>
      </c>
      <c r="AC14" s="37">
        <f t="shared" si="6"/>
        <v>1532755.9878120001</v>
      </c>
      <c r="AD14" s="37">
        <f t="shared" si="7"/>
        <v>13064920.086588001</v>
      </c>
    </row>
    <row r="15" spans="3:30" ht="79.5" customHeight="1">
      <c r="C15" s="3">
        <f t="shared" si="8"/>
        <v>9</v>
      </c>
      <c r="D15" s="4" t="s">
        <v>17</v>
      </c>
      <c r="E15" s="4">
        <v>31</v>
      </c>
      <c r="F15" s="4" t="s">
        <v>120</v>
      </c>
      <c r="G15" s="4" t="s">
        <v>33</v>
      </c>
      <c r="H15" s="4" t="s">
        <v>133</v>
      </c>
      <c r="I15" s="4" t="s">
        <v>154</v>
      </c>
      <c r="J15" s="4" t="s">
        <v>31</v>
      </c>
      <c r="K15" s="4">
        <v>486</v>
      </c>
      <c r="L15" s="4">
        <v>186</v>
      </c>
      <c r="M15" s="4"/>
      <c r="N15" s="4">
        <f t="shared" si="3"/>
        <v>672</v>
      </c>
      <c r="O15" s="4"/>
      <c r="P15" s="4"/>
      <c r="Q15" s="3">
        <v>2006</v>
      </c>
      <c r="R15" s="4" t="s">
        <v>24</v>
      </c>
      <c r="S15" s="3" t="s">
        <v>74</v>
      </c>
      <c r="T15" s="8">
        <f t="shared" si="4"/>
        <v>672.01872927098918</v>
      </c>
      <c r="U15" s="14">
        <v>7233.5424000000003</v>
      </c>
      <c r="V15" s="3">
        <v>2024</v>
      </c>
      <c r="W15" s="3">
        <f t="shared" si="1"/>
        <v>18</v>
      </c>
      <c r="X15" s="3">
        <v>45</v>
      </c>
      <c r="Y15" s="35">
        <v>0.1</v>
      </c>
      <c r="Z15" s="3">
        <f t="shared" si="5"/>
        <v>0.02</v>
      </c>
      <c r="AA15" s="36">
        <v>1200</v>
      </c>
      <c r="AB15" s="36">
        <f t="shared" si="2"/>
        <v>8680250.8800000008</v>
      </c>
      <c r="AC15" s="37">
        <f t="shared" si="6"/>
        <v>3124890.3168000001</v>
      </c>
      <c r="AD15" s="37">
        <f t="shared" si="7"/>
        <v>5555360.5632000007</v>
      </c>
    </row>
    <row r="16" spans="3:30" ht="76.5" customHeight="1">
      <c r="C16" s="3">
        <f t="shared" si="8"/>
        <v>10</v>
      </c>
      <c r="D16" s="4" t="s">
        <v>18</v>
      </c>
      <c r="E16" s="4">
        <v>32</v>
      </c>
      <c r="F16" s="4" t="s">
        <v>109</v>
      </c>
      <c r="G16" s="4" t="s">
        <v>33</v>
      </c>
      <c r="H16" s="4" t="s">
        <v>135</v>
      </c>
      <c r="I16" s="4" t="s">
        <v>154</v>
      </c>
      <c r="J16" s="3" t="s">
        <v>31</v>
      </c>
      <c r="K16" s="3">
        <v>180.09</v>
      </c>
      <c r="L16" s="3"/>
      <c r="M16" s="3"/>
      <c r="N16" s="4">
        <f t="shared" si="3"/>
        <v>180.09</v>
      </c>
      <c r="O16" s="3"/>
      <c r="P16" s="3"/>
      <c r="Q16" s="3">
        <v>2004</v>
      </c>
      <c r="R16" s="4" t="s">
        <v>24</v>
      </c>
      <c r="S16" s="3" t="s">
        <v>74</v>
      </c>
      <c r="T16" s="8">
        <f t="shared" si="4"/>
        <v>180.09501927739947</v>
      </c>
      <c r="U16" s="14">
        <v>1938.5247780000002</v>
      </c>
      <c r="V16" s="3">
        <v>2024</v>
      </c>
      <c r="W16" s="3">
        <f t="shared" si="1"/>
        <v>20</v>
      </c>
      <c r="X16" s="3">
        <v>60</v>
      </c>
      <c r="Y16" s="35">
        <v>0.1</v>
      </c>
      <c r="Z16" s="3">
        <f t="shared" si="5"/>
        <v>1.5000000000000001E-2</v>
      </c>
      <c r="AA16" s="36">
        <v>1100</v>
      </c>
      <c r="AB16" s="36">
        <f t="shared" si="2"/>
        <v>2132377.2558000004</v>
      </c>
      <c r="AC16" s="37">
        <f t="shared" si="6"/>
        <v>639713.17674000026</v>
      </c>
      <c r="AD16" s="37">
        <f t="shared" si="7"/>
        <v>1492664.0790600001</v>
      </c>
    </row>
    <row r="17" spans="3:38" ht="75.75" customHeight="1">
      <c r="C17" s="3">
        <f t="shared" si="8"/>
        <v>11</v>
      </c>
      <c r="D17" s="4" t="s">
        <v>19</v>
      </c>
      <c r="E17" s="4">
        <v>33</v>
      </c>
      <c r="F17" s="4" t="s">
        <v>110</v>
      </c>
      <c r="G17" s="4" t="s">
        <v>33</v>
      </c>
      <c r="H17" s="4" t="s">
        <v>133</v>
      </c>
      <c r="I17" s="4" t="s">
        <v>154</v>
      </c>
      <c r="J17" s="3" t="s">
        <v>31</v>
      </c>
      <c r="K17" s="3">
        <v>314.55</v>
      </c>
      <c r="L17" s="3">
        <v>157.25</v>
      </c>
      <c r="M17" s="3"/>
      <c r="N17" s="4">
        <f t="shared" si="3"/>
        <v>471.8</v>
      </c>
      <c r="O17" s="3"/>
      <c r="P17" s="3"/>
      <c r="Q17" s="3">
        <v>2004</v>
      </c>
      <c r="R17" s="4" t="s">
        <v>24</v>
      </c>
      <c r="S17" s="3" t="s">
        <v>74</v>
      </c>
      <c r="T17" s="8">
        <f t="shared" si="4"/>
        <v>471.81319038638418</v>
      </c>
      <c r="U17" s="14">
        <v>5078.55</v>
      </c>
      <c r="V17" s="3">
        <v>2024</v>
      </c>
      <c r="W17" s="3">
        <f t="shared" si="1"/>
        <v>20</v>
      </c>
      <c r="X17" s="3">
        <v>60</v>
      </c>
      <c r="Y17" s="35">
        <v>0.1</v>
      </c>
      <c r="Z17" s="3">
        <f t="shared" si="5"/>
        <v>1.5000000000000001E-2</v>
      </c>
      <c r="AA17" s="36">
        <v>1100</v>
      </c>
      <c r="AB17" s="36">
        <f t="shared" si="2"/>
        <v>5586405</v>
      </c>
      <c r="AC17" s="37">
        <f t="shared" si="6"/>
        <v>1675921.5000000002</v>
      </c>
      <c r="AD17" s="37">
        <f t="shared" si="7"/>
        <v>3910483.5</v>
      </c>
    </row>
    <row r="18" spans="3:38" ht="111" customHeight="1">
      <c r="C18" s="3">
        <f t="shared" si="8"/>
        <v>12</v>
      </c>
      <c r="D18" s="4" t="s">
        <v>20</v>
      </c>
      <c r="E18" s="4">
        <v>34</v>
      </c>
      <c r="F18" s="4" t="s">
        <v>121</v>
      </c>
      <c r="G18" s="4" t="s">
        <v>33</v>
      </c>
      <c r="H18" s="4" t="s">
        <v>134</v>
      </c>
      <c r="I18" s="4" t="s">
        <v>154</v>
      </c>
      <c r="J18" s="4" t="s">
        <v>31</v>
      </c>
      <c r="K18" s="4">
        <v>519.35</v>
      </c>
      <c r="L18" s="4">
        <v>286.13</v>
      </c>
      <c r="M18" s="4"/>
      <c r="N18" s="4">
        <f t="shared" si="3"/>
        <v>805.48</v>
      </c>
      <c r="O18" s="4"/>
      <c r="P18" s="4"/>
      <c r="Q18" s="3">
        <v>2009</v>
      </c>
      <c r="R18" s="4" t="s">
        <v>24</v>
      </c>
      <c r="S18" s="3" t="s">
        <v>74</v>
      </c>
      <c r="T18" s="8">
        <f t="shared" si="4"/>
        <v>805.50244948392321</v>
      </c>
      <c r="U18" s="14">
        <v>8670.3478160000013</v>
      </c>
      <c r="V18" s="3">
        <v>2024</v>
      </c>
      <c r="W18" s="3">
        <f t="shared" si="1"/>
        <v>15</v>
      </c>
      <c r="X18" s="3">
        <v>60</v>
      </c>
      <c r="Y18" s="35">
        <v>0.1</v>
      </c>
      <c r="Z18" s="3">
        <f t="shared" si="5"/>
        <v>1.5000000000000001E-2</v>
      </c>
      <c r="AA18" s="36">
        <v>1100</v>
      </c>
      <c r="AB18" s="36">
        <f t="shared" si="2"/>
        <v>9537382.5976000018</v>
      </c>
      <c r="AC18" s="37">
        <f t="shared" si="6"/>
        <v>2145911.0844600005</v>
      </c>
      <c r="AD18" s="37">
        <f t="shared" si="7"/>
        <v>7391471.5131400013</v>
      </c>
    </row>
    <row r="19" spans="3:38" ht="80.25" customHeight="1">
      <c r="C19" s="3">
        <f t="shared" si="8"/>
        <v>13</v>
      </c>
      <c r="D19" s="4" t="s">
        <v>21</v>
      </c>
      <c r="E19" s="4">
        <v>35</v>
      </c>
      <c r="F19" s="4" t="s">
        <v>122</v>
      </c>
      <c r="G19" s="4" t="s">
        <v>33</v>
      </c>
      <c r="H19" s="4" t="s">
        <v>135</v>
      </c>
      <c r="I19" s="4" t="s">
        <v>154</v>
      </c>
      <c r="J19" s="4" t="s">
        <v>31</v>
      </c>
      <c r="K19" s="4">
        <v>356</v>
      </c>
      <c r="L19" s="4"/>
      <c r="M19" s="4"/>
      <c r="N19" s="4">
        <f t="shared" si="3"/>
        <v>356</v>
      </c>
      <c r="O19" s="4"/>
      <c r="P19" s="4"/>
      <c r="Q19" s="3">
        <v>2009</v>
      </c>
      <c r="R19" s="4" t="s">
        <v>24</v>
      </c>
      <c r="S19" s="3" t="s">
        <v>74</v>
      </c>
      <c r="T19" s="8">
        <f t="shared" si="4"/>
        <v>356.00992205427406</v>
      </c>
      <c r="U19" s="14">
        <v>3832.0552000000002</v>
      </c>
      <c r="V19" s="3">
        <v>2024</v>
      </c>
      <c r="W19" s="3">
        <f t="shared" si="1"/>
        <v>15</v>
      </c>
      <c r="X19" s="3">
        <v>60</v>
      </c>
      <c r="Y19" s="35">
        <v>0.1</v>
      </c>
      <c r="Z19" s="3">
        <f t="shared" si="5"/>
        <v>1.5000000000000001E-2</v>
      </c>
      <c r="AA19" s="36">
        <v>1200</v>
      </c>
      <c r="AB19" s="36">
        <f t="shared" si="2"/>
        <v>4598466.24</v>
      </c>
      <c r="AC19" s="37">
        <f t="shared" si="6"/>
        <v>1034654.904</v>
      </c>
      <c r="AD19" s="37">
        <f t="shared" si="7"/>
        <v>3563811.3360000001</v>
      </c>
    </row>
    <row r="20" spans="3:38" ht="99" customHeight="1">
      <c r="C20" s="3">
        <f t="shared" si="8"/>
        <v>14</v>
      </c>
      <c r="D20" s="4" t="s">
        <v>22</v>
      </c>
      <c r="E20" s="4">
        <v>35</v>
      </c>
      <c r="F20" s="4" t="s">
        <v>123</v>
      </c>
      <c r="G20" s="4">
        <v>3</v>
      </c>
      <c r="H20" s="4" t="s">
        <v>134</v>
      </c>
      <c r="I20" s="4" t="s">
        <v>154</v>
      </c>
      <c r="J20" s="4" t="s">
        <v>34</v>
      </c>
      <c r="K20" s="4">
        <v>157.82</v>
      </c>
      <c r="L20" s="4">
        <v>157.82</v>
      </c>
      <c r="M20" s="4">
        <v>157.82</v>
      </c>
      <c r="N20" s="4">
        <f t="shared" si="3"/>
        <v>473.46</v>
      </c>
      <c r="O20" s="4"/>
      <c r="P20" s="4"/>
      <c r="Q20" s="3">
        <v>2009</v>
      </c>
      <c r="R20" s="4" t="s">
        <v>24</v>
      </c>
      <c r="S20" s="3" t="s">
        <v>74</v>
      </c>
      <c r="T20" s="8">
        <f t="shared" si="4"/>
        <v>473.47319577476566</v>
      </c>
      <c r="U20" s="14">
        <v>5096.4181319999998</v>
      </c>
      <c r="V20" s="3">
        <v>2024</v>
      </c>
      <c r="W20" s="3">
        <f t="shared" si="1"/>
        <v>15</v>
      </c>
      <c r="X20" s="3">
        <v>60</v>
      </c>
      <c r="Y20" s="35">
        <v>0.1</v>
      </c>
      <c r="Z20" s="3">
        <f t="shared" si="5"/>
        <v>1.5000000000000001E-2</v>
      </c>
      <c r="AA20" s="36">
        <v>1400</v>
      </c>
      <c r="AB20" s="36">
        <f t="shared" si="2"/>
        <v>7134985.3848000001</v>
      </c>
      <c r="AC20" s="37">
        <f t="shared" si="6"/>
        <v>1605371.7115800001</v>
      </c>
      <c r="AD20" s="37">
        <f t="shared" si="7"/>
        <v>5529613.6732200002</v>
      </c>
    </row>
    <row r="21" spans="3:38" ht="87" customHeight="1">
      <c r="C21" s="3">
        <f t="shared" si="8"/>
        <v>15</v>
      </c>
      <c r="D21" s="67" t="s">
        <v>23</v>
      </c>
      <c r="E21" s="67" t="s">
        <v>98</v>
      </c>
      <c r="F21" s="4" t="s">
        <v>124</v>
      </c>
      <c r="G21" s="4" t="s">
        <v>33</v>
      </c>
      <c r="H21" s="4"/>
      <c r="I21" s="67" t="s">
        <v>155</v>
      </c>
      <c r="J21" s="4" t="s">
        <v>31</v>
      </c>
      <c r="K21" s="4"/>
      <c r="L21" s="4"/>
      <c r="M21" s="4"/>
      <c r="N21" s="4">
        <f t="shared" si="3"/>
        <v>0</v>
      </c>
      <c r="O21" s="4"/>
      <c r="P21" s="4"/>
      <c r="Q21" s="3">
        <v>2007</v>
      </c>
      <c r="R21" s="4" t="s">
        <v>24</v>
      </c>
      <c r="S21" s="3" t="s">
        <v>74</v>
      </c>
      <c r="T21" s="8">
        <f t="shared" si="4"/>
        <v>1107.4313213612168</v>
      </c>
      <c r="U21" s="14">
        <v>11920.28</v>
      </c>
      <c r="V21" s="3">
        <v>2024</v>
      </c>
      <c r="W21" s="3">
        <f t="shared" si="1"/>
        <v>17</v>
      </c>
      <c r="X21" s="3">
        <v>45</v>
      </c>
      <c r="Y21" s="35">
        <v>0.1</v>
      </c>
      <c r="Z21" s="3">
        <f t="shared" si="5"/>
        <v>0.02</v>
      </c>
      <c r="AA21" s="36">
        <v>1000</v>
      </c>
      <c r="AB21" s="36">
        <f t="shared" si="2"/>
        <v>11920280</v>
      </c>
      <c r="AC21" s="37">
        <f t="shared" si="6"/>
        <v>4052895.2</v>
      </c>
      <c r="AD21" s="37">
        <f t="shared" si="7"/>
        <v>7867384.7999999998</v>
      </c>
    </row>
    <row r="22" spans="3:38" ht="42.75" customHeight="1">
      <c r="C22" s="3">
        <f t="shared" si="8"/>
        <v>16</v>
      </c>
      <c r="D22" s="67"/>
      <c r="E22" s="67">
        <v>26</v>
      </c>
      <c r="F22" s="4" t="s">
        <v>125</v>
      </c>
      <c r="G22" s="4" t="s">
        <v>33</v>
      </c>
      <c r="H22" s="4"/>
      <c r="I22" s="4"/>
      <c r="J22" s="4" t="s">
        <v>32</v>
      </c>
      <c r="K22" s="4"/>
      <c r="L22" s="4"/>
      <c r="M22" s="4"/>
      <c r="N22" s="4">
        <f t="shared" si="3"/>
        <v>0</v>
      </c>
      <c r="O22" s="4"/>
      <c r="P22" s="4"/>
      <c r="Q22" s="3">
        <v>2015</v>
      </c>
      <c r="R22" s="4" t="s">
        <v>4</v>
      </c>
      <c r="S22" s="3" t="s">
        <v>74</v>
      </c>
      <c r="T22" s="8">
        <f t="shared" si="4"/>
        <v>223.91624058194523</v>
      </c>
      <c r="U22" s="14">
        <v>2410.2120220000002</v>
      </c>
      <c r="V22" s="3">
        <v>2024</v>
      </c>
      <c r="W22" s="3">
        <f t="shared" si="1"/>
        <v>9</v>
      </c>
      <c r="X22" s="3">
        <v>45</v>
      </c>
      <c r="Y22" s="35">
        <v>0.1</v>
      </c>
      <c r="Z22" s="3">
        <f t="shared" si="5"/>
        <v>0.02</v>
      </c>
      <c r="AA22" s="36">
        <v>800</v>
      </c>
      <c r="AB22" s="36">
        <f t="shared" si="2"/>
        <v>1928169.6176000002</v>
      </c>
      <c r="AC22" s="37">
        <f t="shared" si="6"/>
        <v>347070.53116800002</v>
      </c>
      <c r="AD22" s="37">
        <f t="shared" si="7"/>
        <v>1581099.0864320002</v>
      </c>
    </row>
    <row r="23" spans="3:38">
      <c r="C23" s="51"/>
      <c r="D23" s="51"/>
      <c r="E23" s="51"/>
      <c r="F23" s="51"/>
      <c r="G23" s="51"/>
      <c r="H23" s="51"/>
      <c r="I23" s="51"/>
      <c r="J23" s="51"/>
      <c r="K23" s="51">
        <f>SUBTOTAL(9,K7:K22)</f>
        <v>4556.3899999999994</v>
      </c>
      <c r="L23" s="51">
        <f t="shared" ref="L23:M23" si="9">SUBTOTAL(9,L7:L22)</f>
        <v>3115.4600000000005</v>
      </c>
      <c r="M23" s="51">
        <f t="shared" si="9"/>
        <v>1117.0999999999999</v>
      </c>
      <c r="N23" s="51">
        <f>SUM(N7:N22)</f>
        <v>8788.9499999999989</v>
      </c>
      <c r="O23" s="51"/>
      <c r="P23" s="51"/>
      <c r="Q23" s="51"/>
      <c r="R23" s="51"/>
      <c r="S23" s="51"/>
      <c r="T23" s="52">
        <f>SUM(T7:T22)</f>
        <v>12532.009767091857</v>
      </c>
      <c r="U23" s="52">
        <f>SUM(U7:U22)</f>
        <v>134893.29993200002</v>
      </c>
      <c r="V23" s="53"/>
      <c r="W23" s="53"/>
      <c r="X23" s="53"/>
      <c r="Y23" s="53"/>
      <c r="Z23" s="53"/>
      <c r="AA23" s="54"/>
      <c r="AB23" s="55">
        <f t="shared" ref="AB23:AD23" si="10">SUM(AB7:AB22)</f>
        <v>167871224.29739997</v>
      </c>
      <c r="AC23" s="56">
        <f t="shared" si="10"/>
        <v>45636741.791483693</v>
      </c>
      <c r="AD23" s="56">
        <f t="shared" si="10"/>
        <v>122234482.5059163</v>
      </c>
    </row>
    <row r="26" spans="3:38" ht="15.75" thickBot="1">
      <c r="AG26" s="127">
        <v>1039070171</v>
      </c>
      <c r="AH26" s="127">
        <v>260735212</v>
      </c>
    </row>
    <row r="27" spans="3:38" ht="15.75" thickBot="1">
      <c r="AG27" s="127">
        <v>32515027</v>
      </c>
      <c r="AH27" s="127">
        <v>32515027</v>
      </c>
    </row>
    <row r="28" spans="3:38" ht="15.75" thickBot="1">
      <c r="AG28" s="127">
        <v>324614324</v>
      </c>
      <c r="AH28" s="127">
        <v>116346997</v>
      </c>
    </row>
    <row r="29" spans="3:38">
      <c r="AG29" s="123">
        <f>SUM(AG26:AG28)</f>
        <v>1396199522</v>
      </c>
      <c r="AH29" s="123">
        <f>SUM(AH26:AH28)</f>
        <v>409597236</v>
      </c>
    </row>
    <row r="31" spans="3:38">
      <c r="AK31" t="s">
        <v>174</v>
      </c>
      <c r="AL31" s="29">
        <v>5680</v>
      </c>
    </row>
    <row r="32" spans="3:38">
      <c r="AG32">
        <f>28000</f>
        <v>28000</v>
      </c>
      <c r="AK32">
        <v>26</v>
      </c>
      <c r="AL32" s="29">
        <v>1000</v>
      </c>
    </row>
    <row r="33" spans="33:38">
      <c r="AG33">
        <f>AG32*0.9</f>
        <v>25200</v>
      </c>
      <c r="AK33" t="s">
        <v>175</v>
      </c>
      <c r="AL33" s="29">
        <v>6085</v>
      </c>
    </row>
    <row r="34" spans="33:38">
      <c r="AG34">
        <v>3012</v>
      </c>
      <c r="AK34" t="s">
        <v>176</v>
      </c>
      <c r="AL34" s="29">
        <v>5896</v>
      </c>
    </row>
    <row r="35" spans="33:38">
      <c r="AK35" t="s">
        <v>177</v>
      </c>
      <c r="AL35" s="29">
        <v>4800</v>
      </c>
    </row>
    <row r="36" spans="33:38">
      <c r="AG36" s="128">
        <f>AG34*AG33</f>
        <v>75902400</v>
      </c>
      <c r="AK36" t="s">
        <v>178</v>
      </c>
      <c r="AL36" s="128"/>
    </row>
    <row r="37" spans="33:38">
      <c r="AG37" s="129">
        <v>57781561</v>
      </c>
      <c r="AK37" t="s">
        <v>179</v>
      </c>
      <c r="AL37" s="128"/>
    </row>
    <row r="38" spans="33:38">
      <c r="AG38" s="129">
        <v>425095</v>
      </c>
      <c r="AL38" s="130">
        <f>SUM(AL31:AL37)</f>
        <v>23461</v>
      </c>
    </row>
    <row r="39" spans="33:38">
      <c r="AG39" s="129">
        <v>152953823</v>
      </c>
    </row>
    <row r="40" spans="33:38">
      <c r="AG40" s="124">
        <f>SUM(AG36:AG39)</f>
        <v>287062879</v>
      </c>
    </row>
    <row r="42" spans="33:38">
      <c r="AG42" s="124">
        <f>ROUND(AG40,-6)</f>
        <v>287000000</v>
      </c>
    </row>
    <row r="43" spans="33:38">
      <c r="AG43" s="124">
        <f>AG42*0.85</f>
        <v>243950000</v>
      </c>
    </row>
    <row r="44" spans="33:38">
      <c r="AG44" s="124">
        <f>AG42*0.75</f>
        <v>215250000</v>
      </c>
    </row>
  </sheetData>
  <dataValidations disablePrompts="1" count="2">
    <dataValidation type="list" allowBlank="1" showInputMessage="1" showErrorMessage="1" sqref="S7:S23">
      <formula1>"Very Good, Good, Average, Poor, Ordinary with wreckages in the structure"</formula1>
    </dataValidation>
    <dataValidation type="list" allowBlank="1" showInputMessage="1" showErrorMessage="1" sqref="R7:R22">
      <formula1>$V$3:$V$11</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8"/>
  <sheetViews>
    <sheetView workbookViewId="0">
      <selection activeCell="C7" sqref="C7"/>
    </sheetView>
  </sheetViews>
  <sheetFormatPr defaultRowHeight="15"/>
  <cols>
    <col min="3" max="3" width="27.85546875" bestFit="1" customWidth="1"/>
    <col min="4" max="4" width="24.5703125" bestFit="1" customWidth="1"/>
    <col min="5" max="5" width="21.28515625" customWidth="1"/>
  </cols>
  <sheetData>
    <row r="6" spans="2:5" s="12" customFormat="1">
      <c r="B6" s="9" t="s">
        <v>40</v>
      </c>
      <c r="C6" s="9" t="s">
        <v>37</v>
      </c>
      <c r="D6" s="9" t="s">
        <v>38</v>
      </c>
      <c r="E6" s="9" t="s">
        <v>39</v>
      </c>
    </row>
    <row r="7" spans="2:5">
      <c r="B7" s="10">
        <v>1</v>
      </c>
      <c r="C7" s="10" t="s">
        <v>35</v>
      </c>
      <c r="D7" s="10" t="s">
        <v>36</v>
      </c>
      <c r="E7" s="10">
        <v>1080</v>
      </c>
    </row>
    <row r="8" spans="2:5">
      <c r="B8" s="10"/>
      <c r="C8" s="10"/>
      <c r="D8" s="10"/>
      <c r="E8" s="1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E9"/>
  <sheetViews>
    <sheetView workbookViewId="0">
      <selection activeCell="E18" sqref="E18"/>
    </sheetView>
  </sheetViews>
  <sheetFormatPr defaultRowHeight="15"/>
  <cols>
    <col min="3" max="3" width="30" customWidth="1"/>
    <col min="4" max="4" width="27.5703125" customWidth="1"/>
    <col min="5" max="5" width="20.140625" customWidth="1"/>
  </cols>
  <sheetData>
    <row r="7" spans="2:5">
      <c r="B7" s="9" t="s">
        <v>40</v>
      </c>
      <c r="C7" s="9" t="s">
        <v>37</v>
      </c>
      <c r="D7" s="9" t="s">
        <v>38</v>
      </c>
      <c r="E7" s="9" t="s">
        <v>43</v>
      </c>
    </row>
    <row r="8" spans="2:5">
      <c r="B8" s="10">
        <v>1</v>
      </c>
      <c r="C8" s="10" t="s">
        <v>41</v>
      </c>
      <c r="D8" s="10" t="s">
        <v>42</v>
      </c>
      <c r="E8" s="10">
        <v>5250</v>
      </c>
    </row>
    <row r="9" spans="2:5">
      <c r="B9" s="10"/>
      <c r="C9" s="10"/>
      <c r="D9" s="10"/>
      <c r="E9" s="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Building Sheet (2)</vt:lpstr>
      <vt:lpstr>Plot wise Area</vt:lpstr>
      <vt:lpstr>Land Calculation</vt:lpstr>
      <vt:lpstr>Building Sheet</vt:lpstr>
      <vt:lpstr>Sheet3</vt:lpstr>
      <vt:lpstr>Sheet2</vt:lpstr>
      <vt:lpstr>Sheet1</vt:lpstr>
      <vt:lpstr>Boundary Wall Length</vt:lpstr>
      <vt:lpstr>Lenght or Area of Road</vt:lpstr>
      <vt:lpstr>Drainage length</vt:lpstr>
      <vt:lpstr>'Plot wise Area'!_GoBack</vt:lpstr>
      <vt:lpstr>'Building Sheet'!Print_Area</vt:lpstr>
      <vt:lpstr>'Building Sheet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Mahesh Joshi</cp:lastModifiedBy>
  <cp:lastPrinted>2023-09-21T06:58:21Z</cp:lastPrinted>
  <dcterms:created xsi:type="dcterms:W3CDTF">2016-02-17T05:50:56Z</dcterms:created>
  <dcterms:modified xsi:type="dcterms:W3CDTF">2025-02-07T13:27:54Z</dcterms:modified>
</cp:coreProperties>
</file>