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Files For Review\Yash Bhatnagar\Reviwed Files\Megafine Pharma\VApi\"/>
    </mc:Choice>
  </mc:AlternateContent>
  <bookViews>
    <workbookView xWindow="0" yWindow="0" windowWidth="21600" windowHeight="9735"/>
  </bookViews>
  <sheets>
    <sheet name="Building Working" sheetId="8" r:id="rId1"/>
    <sheet name="Land working" sheetId="9" r:id="rId2"/>
    <sheet name="reference screenshot" sheetId="12" r:id="rId3"/>
    <sheet name="GIDC allotment rate" sheetId="11" r:id="rId4"/>
    <sheet name="Lease deed, Trns.det.,asgn.deed" sheetId="10" r:id="rId5"/>
    <sheet name="client shared" sheetId="6" r:id="rId6"/>
    <sheet name="Boundary Wall Length" sheetId="2" r:id="rId7"/>
    <sheet name="Lenght or Area of Road" sheetId="3" r:id="rId8"/>
    <sheet name="Drainage length" sheetId="4" r:id="rId9"/>
  </sheets>
  <externalReferences>
    <externalReference r:id="rId10"/>
  </externalReferences>
  <definedNames>
    <definedName name="_xlnm._FilterDatabase" localSheetId="0" hidden="1">'Building Working'!$B$5:$T$18</definedName>
  </definedNames>
  <calcPr calcId="152511"/>
</workbook>
</file>

<file path=xl/calcChain.xml><?xml version="1.0" encoding="utf-8"?>
<calcChain xmlns="http://schemas.openxmlformats.org/spreadsheetml/2006/main">
  <c r="T38" i="8" l="1"/>
  <c r="T35" i="8"/>
  <c r="T39" i="8" l="1"/>
  <c r="T40" i="8"/>
  <c r="J20" i="8"/>
  <c r="R10" i="8"/>
  <c r="S10" i="8" s="1"/>
  <c r="T10" i="8" s="1"/>
  <c r="P10" i="8"/>
  <c r="M10" i="8"/>
  <c r="P9" i="8"/>
  <c r="M9" i="8"/>
  <c r="R8" i="8"/>
  <c r="P8" i="8"/>
  <c r="M8" i="8"/>
  <c r="R19" i="8"/>
  <c r="S19" i="8" s="1"/>
  <c r="T19" i="8" s="1"/>
  <c r="P19" i="8"/>
  <c r="M19" i="8"/>
  <c r="K7" i="8"/>
  <c r="K8" i="8"/>
  <c r="K9" i="8"/>
  <c r="K20" i="8" s="1"/>
  <c r="K10" i="8"/>
  <c r="K11" i="8"/>
  <c r="K12" i="8"/>
  <c r="K13" i="8"/>
  <c r="K14" i="8"/>
  <c r="K15" i="8"/>
  <c r="K16" i="8"/>
  <c r="K17" i="8"/>
  <c r="K18" i="8"/>
  <c r="K19" i="8"/>
  <c r="K6" i="8"/>
  <c r="B8" i="8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R9" i="8" l="1"/>
  <c r="S9" i="8" s="1"/>
  <c r="T9" i="8" s="1"/>
  <c r="S8" i="8"/>
  <c r="T8" i="8" s="1"/>
  <c r="AH8" i="9" l="1"/>
  <c r="AI8" i="9"/>
  <c r="AL5" i="9"/>
  <c r="AL4" i="9"/>
  <c r="AK5" i="9" l="1"/>
  <c r="AN16" i="9"/>
  <c r="AN15" i="9"/>
  <c r="AN14" i="9"/>
  <c r="AM16" i="9"/>
  <c r="AM15" i="9"/>
  <c r="AM14" i="9"/>
  <c r="AJ5" i="9"/>
  <c r="I27" i="8"/>
  <c r="R27" i="8" l="1"/>
  <c r="P27" i="8"/>
  <c r="M27" i="8"/>
  <c r="K27" i="8"/>
  <c r="L12" i="9"/>
  <c r="M12" i="9" l="1"/>
  <c r="K17" i="9"/>
  <c r="K20" i="9" s="1"/>
  <c r="W22" i="9" s="1"/>
  <c r="S27" i="8"/>
  <c r="T27" i="8" s="1"/>
  <c r="AJ7" i="9" s="1"/>
  <c r="I20" i="8"/>
  <c r="U15" i="9"/>
  <c r="U11" i="9"/>
  <c r="U12" i="9" s="1"/>
  <c r="U9" i="9"/>
  <c r="U7" i="9"/>
  <c r="U8" i="9" s="1"/>
  <c r="M11" i="9"/>
  <c r="AL7" i="9" l="1"/>
  <c r="AK7" i="9"/>
  <c r="K11" i="9"/>
  <c r="K11" i="10"/>
  <c r="V10" i="10"/>
  <c r="V9" i="10"/>
  <c r="J11" i="9"/>
  <c r="I11" i="9"/>
  <c r="O9" i="9"/>
  <c r="R18" i="8" l="1"/>
  <c r="R17" i="8"/>
  <c r="R16" i="8"/>
  <c r="R15" i="8"/>
  <c r="R14" i="8"/>
  <c r="R13" i="8"/>
  <c r="R12" i="8"/>
  <c r="R11" i="8"/>
  <c r="R7" i="8"/>
  <c r="P18" i="8"/>
  <c r="P17" i="8"/>
  <c r="P16" i="8"/>
  <c r="P15" i="8"/>
  <c r="P14" i="8"/>
  <c r="P13" i="8"/>
  <c r="P12" i="8"/>
  <c r="P11" i="8"/>
  <c r="P7" i="8"/>
  <c r="P6" i="8"/>
  <c r="M18" i="8"/>
  <c r="M17" i="8"/>
  <c r="M16" i="8"/>
  <c r="M15" i="8"/>
  <c r="M14" i="8"/>
  <c r="M13" i="8"/>
  <c r="M12" i="8"/>
  <c r="M11" i="8"/>
  <c r="M7" i="8"/>
  <c r="M6" i="8"/>
  <c r="B7" i="8"/>
  <c r="S14" i="8" l="1"/>
  <c r="T14" i="8" s="1"/>
  <c r="R6" i="8"/>
  <c r="R20" i="8" s="1"/>
  <c r="S13" i="8"/>
  <c r="S17" i="8"/>
  <c r="T17" i="8" s="1"/>
  <c r="S11" i="8"/>
  <c r="T11" i="8" s="1"/>
  <c r="S15" i="8"/>
  <c r="T15" i="8" s="1"/>
  <c r="S7" i="8"/>
  <c r="T7" i="8" s="1"/>
  <c r="S12" i="8"/>
  <c r="T12" i="8" s="1"/>
  <c r="S16" i="8"/>
  <c r="T16" i="8" s="1"/>
  <c r="S18" i="8"/>
  <c r="T18" i="8" s="1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S6" i="8" l="1"/>
  <c r="T6" i="8" s="1"/>
  <c r="R4" i="8"/>
  <c r="T13" i="8"/>
  <c r="T20" i="8" s="1"/>
  <c r="F29" i="8" s="1"/>
  <c r="S4" i="8"/>
  <c r="S20" i="8" l="1"/>
  <c r="T4" i="8"/>
  <c r="AJ6" i="9" s="1"/>
  <c r="AL6" i="9" l="1"/>
  <c r="AL8" i="9" s="1"/>
  <c r="AK6" i="9"/>
  <c r="AK8" i="9" s="1"/>
  <c r="AJ4" i="9"/>
  <c r="AJ8" i="9" l="1"/>
  <c r="AJ9" i="9" s="1"/>
  <c r="AK4" i="9"/>
  <c r="AJ11" i="9" l="1"/>
  <c r="AJ10" i="9"/>
</calcChain>
</file>

<file path=xl/sharedStrings.xml><?xml version="1.0" encoding="utf-8"?>
<sst xmlns="http://schemas.openxmlformats.org/spreadsheetml/2006/main" count="436" uniqueCount="182">
  <si>
    <t>Megafine Pharma Pvt Ltd</t>
  </si>
  <si>
    <t>Working-Factory Building</t>
  </si>
  <si>
    <t>Sr.</t>
  </si>
  <si>
    <t>Location</t>
  </si>
  <si>
    <t>Plot No.</t>
  </si>
  <si>
    <t>Name of Owner</t>
  </si>
  <si>
    <t>Wing</t>
  </si>
  <si>
    <t>Description of Property</t>
  </si>
  <si>
    <t>Structure Type</t>
  </si>
  <si>
    <t>No.of Floors</t>
  </si>
  <si>
    <t>Plinth Height</t>
  </si>
  <si>
    <t>Walls</t>
  </si>
  <si>
    <t>Floor to Floor Height</t>
  </si>
  <si>
    <t>Mezzanine</t>
  </si>
  <si>
    <t>Roofing</t>
  </si>
  <si>
    <t>Flooring</t>
  </si>
  <si>
    <t>Flooring &amp; Dado for Toilets</t>
  </si>
  <si>
    <t>Doors</t>
  </si>
  <si>
    <t>Windows</t>
  </si>
  <si>
    <t>Painting</t>
  </si>
  <si>
    <t>Electrification</t>
  </si>
  <si>
    <t>Year of Construction</t>
  </si>
  <si>
    <t>Total Built Up Area
Sq.Mt</t>
  </si>
  <si>
    <t>Vapi</t>
  </si>
  <si>
    <t>Megafine</t>
  </si>
  <si>
    <t>PB-A</t>
  </si>
  <si>
    <t>RCC Frammed, Slab + Internal External Plaster
&amp; Steel Structure with GI Colour Coated Sheet Roofing.</t>
  </si>
  <si>
    <t>GF + 01 floor</t>
  </si>
  <si>
    <t>0.8 Ft from GL</t>
  </si>
  <si>
    <t>230 Thk brick Wall</t>
  </si>
  <si>
    <t>4 Mt height</t>
  </si>
  <si>
    <t>NA</t>
  </si>
  <si>
    <t>GI Colour Coated Sheet roofing</t>
  </si>
  <si>
    <t>Vitrified acid proof tiles</t>
  </si>
  <si>
    <t xml:space="preserve">Glazed Tiles </t>
  </si>
  <si>
    <t>Flush door</t>
  </si>
  <si>
    <t>Glass window</t>
  </si>
  <si>
    <t>Oil paint on steel structures and PU paint on walls.</t>
  </si>
  <si>
    <t>Electric Wiring</t>
  </si>
  <si>
    <t>PB-B</t>
  </si>
  <si>
    <t>GF + 04 floor</t>
  </si>
  <si>
    <t>Vitrified acid proof tiles and MS chequered plates.</t>
  </si>
  <si>
    <t>RM store</t>
  </si>
  <si>
    <t>RCC structure</t>
  </si>
  <si>
    <t>01 floor</t>
  </si>
  <si>
    <t>1.2 Ft from GL</t>
  </si>
  <si>
    <t>3 Mt height</t>
  </si>
  <si>
    <t>RCC slab</t>
  </si>
  <si>
    <t>Kota stone flooring</t>
  </si>
  <si>
    <t>Sliding windows</t>
  </si>
  <si>
    <t>PU paint on walls.</t>
  </si>
  <si>
    <t>WIP store office place and change rooms</t>
  </si>
  <si>
    <t>10 feet</t>
  </si>
  <si>
    <t>Mandana + Vitrified tiles + kota</t>
  </si>
  <si>
    <t>1st floor (PB-C &amp; D)</t>
  </si>
  <si>
    <t>5 Mt height</t>
  </si>
  <si>
    <t>RCC slab and false ceiling</t>
  </si>
  <si>
    <t>Mandana + epoxy flooring</t>
  </si>
  <si>
    <t>2nd floor (PB-C, QC)</t>
  </si>
  <si>
    <t>3rd floor (PB-C, PB-E, MB &amp; QA)</t>
  </si>
  <si>
    <t>PB-E (1st mezannine)</t>
  </si>
  <si>
    <t>PB-E (2nd mezannine)</t>
  </si>
  <si>
    <t>RCC + MS structure</t>
  </si>
  <si>
    <t>230 Thk brick Wall + 65 mm partition wall</t>
  </si>
  <si>
    <t>Partition door</t>
  </si>
  <si>
    <t>Training hall (Terrace)</t>
  </si>
  <si>
    <t>GI Colour Coated Sheet roofing and false ceiling</t>
  </si>
  <si>
    <t>Vitrified tiles</t>
  </si>
  <si>
    <t>Warehouse</t>
  </si>
  <si>
    <t>MS structure</t>
  </si>
  <si>
    <t>GF + mezannine</t>
  </si>
  <si>
    <t>Intermediate staging area</t>
  </si>
  <si>
    <t>PCC + epoxy flooring</t>
  </si>
  <si>
    <t>Partition door and shutter</t>
  </si>
  <si>
    <t>Canteen</t>
  </si>
  <si>
    <t>230 Thk brick Wall + partition wall</t>
  </si>
  <si>
    <t>3.35 Mt height</t>
  </si>
  <si>
    <t>GI Colour Coated Sheet roofing + false ceiling</t>
  </si>
  <si>
    <t>Scrap yard</t>
  </si>
  <si>
    <t>GI Colour Coated Sheet partition</t>
  </si>
  <si>
    <t xml:space="preserve">GI Colour Coated Sheet roofing </t>
  </si>
  <si>
    <t>PCC  flooring</t>
  </si>
  <si>
    <t>Open area</t>
  </si>
  <si>
    <t>Depreciation</t>
  </si>
  <si>
    <t>Depreciation Rate</t>
  </si>
  <si>
    <t>Salvage Value</t>
  </si>
  <si>
    <t>Total Economic Life (in Yrs.)</t>
  </si>
  <si>
    <t>Plinth Area Rate  (in Sq.Ft.)</t>
  </si>
  <si>
    <t>Total Consumed Life (in Yrs.)</t>
  </si>
  <si>
    <t xml:space="preserve">Year of Valuation </t>
  </si>
  <si>
    <t>Total Built Up Area
(Sq.Ft.)</t>
  </si>
  <si>
    <t>Total Built Up Area
(Sq.Mt)</t>
  </si>
  <si>
    <t>Lease Deed Details</t>
  </si>
  <si>
    <t>Transfer Details</t>
  </si>
  <si>
    <t>S.No.</t>
  </si>
  <si>
    <t>Deed No.</t>
  </si>
  <si>
    <t xml:space="preserve">Date </t>
  </si>
  <si>
    <t>Lessor</t>
  </si>
  <si>
    <t>Lessee</t>
  </si>
  <si>
    <r>
      <t xml:space="preserve">Lease Period 
</t>
    </r>
    <r>
      <rPr>
        <b/>
        <i/>
        <sz val="11"/>
        <color theme="0"/>
        <rFont val="Calibri"/>
        <family val="2"/>
        <scheme val="minor"/>
      </rPr>
      <t>(in Yrs.)</t>
    </r>
  </si>
  <si>
    <r>
      <t xml:space="preserve">Area
 </t>
    </r>
    <r>
      <rPr>
        <b/>
        <i/>
        <sz val="11"/>
        <color theme="0"/>
        <rFont val="Calibri"/>
        <family val="2"/>
        <scheme val="minor"/>
      </rPr>
      <t>(in sq.mt.)</t>
    </r>
  </si>
  <si>
    <t>Doc.No.</t>
  </si>
  <si>
    <t>Authority</t>
  </si>
  <si>
    <t>Transfered
from</t>
  </si>
  <si>
    <t>I-738</t>
  </si>
  <si>
    <t>GIDC</t>
  </si>
  <si>
    <t>Fine Chemicals</t>
  </si>
  <si>
    <t>99 (computed from 17-01-1980)</t>
  </si>
  <si>
    <t>GIDC/DM/VPI/PLT/PTP/2848</t>
  </si>
  <si>
    <t>Super fine
 Laboratories Pvt. Ltd.</t>
  </si>
  <si>
    <t>Megafine Pharma Pvt.Ltd.</t>
  </si>
  <si>
    <t>Remaining period of 99 Yrs of Lease Deed dated-23-06-1980</t>
  </si>
  <si>
    <t>I-1146</t>
  </si>
  <si>
    <t>Vaid Dye Casting Pvt.Ltd.</t>
  </si>
  <si>
    <t>GIDC/DM/VPI/PLT/PTO/517</t>
  </si>
  <si>
    <t>Vaid Dye Casting
Pvt.Ltd.</t>
  </si>
  <si>
    <t>Remaining period of 99 Yrs of Lease Deed dated-22-07-1986</t>
  </si>
  <si>
    <t>Deed of Assignment</t>
  </si>
  <si>
    <t>Assignor</t>
  </si>
  <si>
    <t>Assignee</t>
  </si>
  <si>
    <t>I-1585</t>
  </si>
  <si>
    <t>Fine 
Chemicals</t>
  </si>
  <si>
    <t>Fine Chemicals Div.super
fine laboratories (p)ltd.</t>
  </si>
  <si>
    <t>I-5176</t>
  </si>
  <si>
    <t>Area (in sq.mt.)</t>
  </si>
  <si>
    <t>Area (in acre)</t>
  </si>
  <si>
    <t>Area(in s.ft.)</t>
  </si>
  <si>
    <t>Area(sq.yrd.)</t>
  </si>
  <si>
    <t>TOTAL</t>
  </si>
  <si>
    <t>99 (computed from 08-02-1986)</t>
  </si>
  <si>
    <t>Transferred 
to</t>
  </si>
  <si>
    <t>Plot 
No.</t>
  </si>
  <si>
    <r>
      <t xml:space="preserve">Remaining
Period </t>
    </r>
    <r>
      <rPr>
        <b/>
        <i/>
        <sz val="11"/>
        <color theme="0"/>
        <rFont val="Calibri"/>
        <family val="2"/>
        <scheme val="minor"/>
      </rPr>
      <t>(in years)</t>
    </r>
  </si>
  <si>
    <t>https://gidc.gujarat.gov.in/allotmentprice</t>
  </si>
  <si>
    <t>Rate/sq.mt.</t>
  </si>
  <si>
    <t>Value</t>
  </si>
  <si>
    <t>https://www.realestateindia.com/property-detail/industrial-land-plot-for-sale-in-char-rasta-gidc-vapi-65000-sq-ft-5-50-cr-1162931.htm</t>
  </si>
  <si>
    <t>https://www.realestateindia.com/vapi-property/industrial-lands-for-sale.htm</t>
  </si>
  <si>
    <t>Total</t>
  </si>
  <si>
    <t>Notes:</t>
  </si>
  <si>
    <t>1. The value of buildings/structures has been calculated by Depreciated Replacement method.</t>
  </si>
  <si>
    <t>2. We have only considered the buildings/structures situated on plot nos. 911 &amp; 912. from the building sheet shared from client's end.</t>
  </si>
  <si>
    <t>Brick &amp; Plaster wall</t>
  </si>
  <si>
    <t>Height(in ft.)</t>
  </si>
  <si>
    <t>Length(in mt.)</t>
  </si>
  <si>
    <t>Length(in ft.)</t>
  </si>
  <si>
    <t>Year of valuation</t>
  </si>
  <si>
    <t>Year of construction</t>
  </si>
  <si>
    <t>Economic Life
(in yrs.)</t>
  </si>
  <si>
    <t>Life consumed
 (in yrs.)</t>
  </si>
  <si>
    <t>Salvage 
value</t>
  </si>
  <si>
    <t>Depr. Factor</t>
  </si>
  <si>
    <t>Rate / running mt.</t>
  </si>
  <si>
    <t>Gross replacement value</t>
  </si>
  <si>
    <t xml:space="preserve">Depreciation </t>
  </si>
  <si>
    <t>Depreciated Replacement
value</t>
  </si>
  <si>
    <t xml:space="preserve">Boundary wall </t>
  </si>
  <si>
    <t>Insurance Value</t>
  </si>
  <si>
    <t>Land</t>
  </si>
  <si>
    <t>Building</t>
  </si>
  <si>
    <t>Boundary wall</t>
  </si>
  <si>
    <t>P&amp;M</t>
  </si>
  <si>
    <t>GB</t>
  </si>
  <si>
    <t>NB</t>
  </si>
  <si>
    <t>FMV</t>
  </si>
  <si>
    <t>Asthetic</t>
  </si>
  <si>
    <t>RV</t>
  </si>
  <si>
    <t>DV</t>
  </si>
  <si>
    <t>ETP</t>
  </si>
  <si>
    <t>RCC Structure</t>
  </si>
  <si>
    <t>Boiler Area</t>
  </si>
  <si>
    <t xml:space="preserve">Brick wall + Internal External Plaster &amp; Steel Structure with GI Colour coated sheet Roofing </t>
  </si>
  <si>
    <t>Utility Plateform</t>
  </si>
  <si>
    <t xml:space="preserve">Steel Structure  </t>
  </si>
  <si>
    <t>R&amp;D and office</t>
  </si>
  <si>
    <t>GF</t>
  </si>
  <si>
    <t>Height 9Mt</t>
  </si>
  <si>
    <t>GF + 01Floor</t>
  </si>
  <si>
    <t>GF to FF 4.5 Mt           FF to SF 4.5Mt</t>
  </si>
  <si>
    <t>3 Mt Height</t>
  </si>
  <si>
    <t>Gross Replacement Value
(INR)</t>
  </si>
  <si>
    <t>Depreciated Replacement Value 
(INR)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</si>
</sst>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2"/>
      <color rgb="FFFF0000"/>
      <name val="Cambria"/>
      <family val="1"/>
    </font>
    <font>
      <b/>
      <sz val="12"/>
      <color theme="0"/>
      <name val="Cambria"/>
      <family val="1"/>
    </font>
    <font>
      <sz val="12"/>
      <color theme="1"/>
      <name val="Cambria"/>
      <family val="1"/>
    </font>
    <font>
      <sz val="12"/>
      <name val="Cambria"/>
      <family val="1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theme="1"/>
      <name val="Cambria"/>
      <family val="1"/>
      <scheme val="major"/>
    </font>
    <font>
      <b/>
      <i/>
      <sz val="12"/>
      <color theme="1"/>
      <name val="Cambria"/>
      <family val="1"/>
      <scheme val="major"/>
    </font>
    <font>
      <sz val="8"/>
      <color theme="1"/>
      <name val="Calibri Light"/>
      <family val="2"/>
    </font>
    <font>
      <b/>
      <sz val="8"/>
      <color rgb="FF000000"/>
      <name val="Calibri Light"/>
      <family val="2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3" fontId="8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7" fillId="2" borderId="1" xfId="1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5" borderId="0" xfId="0" applyFill="1"/>
    <xf numFmtId="43" fontId="0" fillId="0" borderId="0" xfId="2" applyFont="1"/>
    <xf numFmtId="44" fontId="0" fillId="0" borderId="0" xfId="2" applyNumberFormat="1" applyFont="1"/>
    <xf numFmtId="44" fontId="1" fillId="0" borderId="0" xfId="2" applyNumberFormat="1" applyFont="1"/>
    <xf numFmtId="0" fontId="10" fillId="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/>
    <xf numFmtId="164" fontId="1" fillId="0" borderId="0" xfId="2" applyNumberFormat="1" applyFont="1"/>
    <xf numFmtId="1" fontId="0" fillId="0" borderId="0" xfId="0" applyNumberFormat="1"/>
    <xf numFmtId="1" fontId="3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44" fontId="9" fillId="0" borderId="1" xfId="2" applyNumberFormat="1" applyFont="1" applyBorder="1" applyAlignment="1">
      <alignment horizontal="center" vertical="center"/>
    </xf>
    <xf numFmtId="164" fontId="9" fillId="0" borderId="1" xfId="2" applyNumberFormat="1" applyFont="1" applyBorder="1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43" fontId="9" fillId="0" borderId="1" xfId="2" applyFont="1" applyBorder="1" applyAlignment="1">
      <alignment horizontal="center" vertical="center"/>
    </xf>
    <xf numFmtId="164" fontId="0" fillId="0" borderId="0" xfId="2" applyNumberFormat="1" applyFont="1" applyAlignment="1">
      <alignment horizontal="center" wrapText="1"/>
    </xf>
    <xf numFmtId="9" fontId="0" fillId="0" borderId="0" xfId="0" applyNumberFormat="1"/>
    <xf numFmtId="43" fontId="0" fillId="0" borderId="0" xfId="0" applyNumberFormat="1"/>
    <xf numFmtId="164" fontId="0" fillId="0" borderId="0" xfId="2" applyNumberFormat="1" applyFont="1" applyAlignment="1">
      <alignment horizontal="right" vertical="center"/>
    </xf>
    <xf numFmtId="3" fontId="15" fillId="0" borderId="9" xfId="0" applyNumberFormat="1" applyFont="1" applyBorder="1" applyAlignment="1">
      <alignment horizontal="center" vertical="center"/>
    </xf>
    <xf numFmtId="164" fontId="1" fillId="0" borderId="0" xfId="2" applyNumberFormat="1" applyFont="1" applyAlignment="1">
      <alignment horizontal="center" vertical="center"/>
    </xf>
    <xf numFmtId="164" fontId="0" fillId="0" borderId="0" xfId="2" applyNumberFormat="1" applyFont="1" applyAlignment="1">
      <alignment horizont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right" vertical="center"/>
    </xf>
    <xf numFmtId="164" fontId="1" fillId="0" borderId="0" xfId="2" applyNumberFormat="1" applyFont="1" applyAlignment="1">
      <alignment horizontal="center"/>
    </xf>
    <xf numFmtId="3" fontId="16" fillId="9" borderId="9" xfId="0" applyNumberFormat="1" applyFont="1" applyFill="1" applyBorder="1" applyAlignment="1">
      <alignment horizontal="center" vertical="center"/>
    </xf>
    <xf numFmtId="0" fontId="18" fillId="5" borderId="1" xfId="1" applyFont="1" applyFill="1" applyBorder="1" applyAlignment="1">
      <alignment horizontal="center" vertical="center" wrapText="1"/>
    </xf>
    <xf numFmtId="1" fontId="18" fillId="5" borderId="1" xfId="1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9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3" fontId="18" fillId="5" borderId="1" xfId="2" applyFont="1" applyFill="1" applyBorder="1" applyAlignment="1">
      <alignment horizontal="center" vertical="center" wrapText="1"/>
    </xf>
    <xf numFmtId="44" fontId="18" fillId="5" borderId="1" xfId="2" applyNumberFormat="1" applyFont="1" applyFill="1" applyBorder="1" applyAlignment="1">
      <alignment horizontal="center" vertical="center" wrapText="1"/>
    </xf>
    <xf numFmtId="164" fontId="18" fillId="5" borderId="1" xfId="2" applyNumberFormat="1" applyFont="1" applyFill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7" fillId="10" borderId="5" xfId="0" applyFont="1" applyFill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43" fontId="17" fillId="10" borderId="1" xfId="2" applyFont="1" applyFill="1" applyBorder="1" applyAlignment="1">
      <alignment horizontal="center" vertical="center"/>
    </xf>
    <xf numFmtId="164" fontId="17" fillId="10" borderId="1" xfId="2" applyNumberFormat="1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43" fontId="8" fillId="10" borderId="1" xfId="2" applyFont="1" applyFill="1" applyBorder="1" applyAlignment="1">
      <alignment horizontal="center" vertical="center"/>
    </xf>
    <xf numFmtId="44" fontId="8" fillId="10" borderId="8" xfId="2" applyNumberFormat="1" applyFont="1" applyFill="1" applyBorder="1" applyAlignment="1">
      <alignment horizontal="center" vertical="center"/>
    </xf>
    <xf numFmtId="44" fontId="1" fillId="10" borderId="1" xfId="2" applyNumberFormat="1" applyFont="1" applyFill="1" applyBorder="1" applyAlignment="1">
      <alignment horizontal="center" vertical="center"/>
    </xf>
    <xf numFmtId="164" fontId="1" fillId="10" borderId="8" xfId="2" applyNumberFormat="1" applyFont="1" applyFill="1" applyBorder="1" applyAlignment="1">
      <alignment horizontal="center" vertical="center"/>
    </xf>
    <xf numFmtId="164" fontId="1" fillId="10" borderId="1" xfId="2" applyNumberFormat="1" applyFont="1" applyFill="1" applyBorder="1" applyAlignment="1">
      <alignment horizontal="center" vertical="center"/>
    </xf>
    <xf numFmtId="3" fontId="20" fillId="0" borderId="0" xfId="0" applyNumberFormat="1" applyFont="1"/>
    <xf numFmtId="3" fontId="21" fillId="0" borderId="0" xfId="0" applyNumberFormat="1" applyFont="1"/>
  </cellXfs>
  <cellStyles count="3">
    <cellStyle name="Comma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104776</xdr:rowOff>
    </xdr:from>
    <xdr:to>
      <xdr:col>12</xdr:col>
      <xdr:colOff>284850</xdr:colOff>
      <xdr:row>13</xdr:row>
      <xdr:rowOff>116545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4776"/>
          <a:ext cx="7200000" cy="24882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381000</xdr:colOff>
      <xdr:row>0</xdr:row>
      <xdr:rowOff>0</xdr:rowOff>
    </xdr:from>
    <xdr:to>
      <xdr:col>24</xdr:col>
      <xdr:colOff>150600</xdr:colOff>
      <xdr:row>39</xdr:row>
      <xdr:rowOff>53750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0"/>
          <a:ext cx="14400000" cy="7483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38100</xdr:rowOff>
    </xdr:from>
    <xdr:to>
      <xdr:col>11</xdr:col>
      <xdr:colOff>551550</xdr:colOff>
      <xdr:row>22</xdr:row>
      <xdr:rowOff>116761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9600"/>
          <a:ext cx="7200000" cy="36981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76200</xdr:colOff>
      <xdr:row>3</xdr:row>
      <xdr:rowOff>47625</xdr:rowOff>
    </xdr:from>
    <xdr:to>
      <xdr:col>23</xdr:col>
      <xdr:colOff>570600</xdr:colOff>
      <xdr:row>21</xdr:row>
      <xdr:rowOff>68245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619125"/>
          <a:ext cx="7200000" cy="34496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bhinav%20Chaturvedi\Megafine%20Pharma%202025\Working_Vap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 shot"/>
      <sheetName val="Fixed Assets-Tally"/>
      <sheetName val="Schedule - II"/>
      <sheetName val="Sheet4"/>
      <sheetName val="working"/>
      <sheetName val="EL&amp;SV"/>
      <sheetName val="cat 2"/>
      <sheetName val="cat 3"/>
      <sheetName val="Cat 4"/>
      <sheetName val="Note 2 (8)"/>
      <sheetName val="Summary"/>
      <sheetName val="From Tally"/>
      <sheetName val="1.A R &amp; D Equipment"/>
      <sheetName val="Sheet3"/>
      <sheetName val="Sheet1"/>
      <sheetName val="Sheet2"/>
      <sheetName val="cat 1"/>
      <sheetName val="11.GIDC (Lig Quaters)"/>
      <sheetName val="22.Type Writer"/>
    </sheetNames>
    <sheetDataSet>
      <sheetData sheetId="0"/>
      <sheetData sheetId="1"/>
      <sheetData sheetId="2"/>
      <sheetData sheetId="3"/>
      <sheetData sheetId="4">
        <row r="2">
          <cell r="BK2">
            <v>152953823.41275203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U40"/>
  <sheetViews>
    <sheetView tabSelected="1" topLeftCell="B24" zoomScale="89" zoomScaleNormal="89" workbookViewId="0">
      <selection activeCell="T40" sqref="T40"/>
    </sheetView>
  </sheetViews>
  <sheetFormatPr defaultColWidth="19.5703125" defaultRowHeight="15" x14ac:dyDescent="0.25"/>
  <cols>
    <col min="2" max="2" width="5.140625" customWidth="1"/>
    <col min="3" max="3" width="6.42578125" customWidth="1"/>
    <col min="4" max="4" width="26" customWidth="1"/>
    <col min="5" max="5" width="31.5703125" customWidth="1"/>
    <col min="6" max="6" width="15.42578125" bestFit="1" customWidth="1"/>
    <col min="7" max="7" width="12.85546875" customWidth="1"/>
    <col min="8" max="8" width="12.7109375" hidden="1" customWidth="1"/>
    <col min="9" max="9" width="10.7109375" hidden="1" customWidth="1"/>
    <col min="10" max="10" width="12.28515625" hidden="1" customWidth="1"/>
    <col min="11" max="11" width="13.7109375" style="37" customWidth="1"/>
    <col min="12" max="12" width="10.28515625" hidden="1" customWidth="1"/>
    <col min="13" max="13" width="12.42578125" customWidth="1"/>
    <col min="14" max="14" width="13.7109375" customWidth="1"/>
    <col min="15" max="15" width="13.28515625" hidden="1" customWidth="1"/>
    <col min="16" max="16" width="21.140625" style="19" hidden="1" customWidth="1"/>
    <col min="17" max="17" width="12.7109375" style="20" customWidth="1"/>
    <col min="18" max="18" width="20.7109375" style="20" customWidth="1"/>
    <col min="19" max="19" width="18" style="20" hidden="1" customWidth="1"/>
    <col min="20" max="20" width="17.28515625" style="35" customWidth="1"/>
  </cols>
  <sheetData>
    <row r="2" spans="2:21" ht="15.75" x14ac:dyDescent="0.25">
      <c r="B2" s="1"/>
      <c r="C2" s="2"/>
      <c r="D2" s="1"/>
      <c r="E2" s="1"/>
      <c r="F2" s="3"/>
      <c r="G2" s="1"/>
      <c r="H2" s="1"/>
      <c r="I2" s="1"/>
      <c r="J2" s="1"/>
      <c r="K2" s="38"/>
    </row>
    <row r="3" spans="2:21" ht="15.75" x14ac:dyDescent="0.25">
      <c r="B3" s="15"/>
      <c r="C3" s="16"/>
      <c r="D3" s="17"/>
      <c r="E3" s="1"/>
      <c r="F3" s="3"/>
      <c r="G3" s="1"/>
      <c r="H3" s="1"/>
      <c r="I3" s="1"/>
      <c r="J3" s="1"/>
      <c r="K3" s="38"/>
    </row>
    <row r="4" spans="2:21" ht="15.75" x14ac:dyDescent="0.25">
      <c r="B4" s="1"/>
      <c r="C4" s="2"/>
      <c r="D4" s="1"/>
      <c r="E4" s="1"/>
      <c r="F4" s="3"/>
      <c r="G4" s="1"/>
      <c r="H4" s="1"/>
      <c r="I4" s="1"/>
      <c r="J4" s="1"/>
      <c r="K4" s="38"/>
      <c r="R4" s="21">
        <f>SUBTOTAL(9,R6:R18)</f>
        <v>92025351.920000002</v>
      </c>
      <c r="S4" s="21">
        <f>SUBTOTAL(9,S6:S18)</f>
        <v>25915262.294104617</v>
      </c>
      <c r="T4" s="36">
        <f>SUBTOTAL(9,T6:T18)</f>
        <v>66110089.625895381</v>
      </c>
    </row>
    <row r="5" spans="2:21" s="18" customFormat="1" ht="51.75" customHeight="1" x14ac:dyDescent="0.25">
      <c r="B5" s="58" t="s">
        <v>2</v>
      </c>
      <c r="C5" s="58" t="s">
        <v>4</v>
      </c>
      <c r="D5" s="58" t="s">
        <v>7</v>
      </c>
      <c r="E5" s="58" t="s">
        <v>8</v>
      </c>
      <c r="F5" s="58" t="s">
        <v>9</v>
      </c>
      <c r="G5" s="58" t="s">
        <v>12</v>
      </c>
      <c r="H5" s="58" t="s">
        <v>21</v>
      </c>
      <c r="I5" s="58" t="s">
        <v>91</v>
      </c>
      <c r="J5" s="58" t="s">
        <v>91</v>
      </c>
      <c r="K5" s="59" t="s">
        <v>90</v>
      </c>
      <c r="L5" s="58" t="s">
        <v>89</v>
      </c>
      <c r="M5" s="58" t="s">
        <v>88</v>
      </c>
      <c r="N5" s="58" t="s">
        <v>86</v>
      </c>
      <c r="O5" s="58" t="s">
        <v>85</v>
      </c>
      <c r="P5" s="66" t="s">
        <v>84</v>
      </c>
      <c r="Q5" s="67" t="s">
        <v>87</v>
      </c>
      <c r="R5" s="67" t="s">
        <v>180</v>
      </c>
      <c r="S5" s="67" t="s">
        <v>83</v>
      </c>
      <c r="T5" s="68" t="s">
        <v>181</v>
      </c>
    </row>
    <row r="6" spans="2:21" ht="63" x14ac:dyDescent="0.25">
      <c r="B6" s="44">
        <v>1</v>
      </c>
      <c r="C6" s="44">
        <v>911</v>
      </c>
      <c r="D6" s="60" t="s">
        <v>25</v>
      </c>
      <c r="E6" s="61" t="s">
        <v>26</v>
      </c>
      <c r="F6" s="62" t="s">
        <v>27</v>
      </c>
      <c r="G6" s="44" t="s">
        <v>30</v>
      </c>
      <c r="H6" s="44">
        <v>1995</v>
      </c>
      <c r="I6" s="44">
        <v>878</v>
      </c>
      <c r="J6" s="69">
        <v>839.89</v>
      </c>
      <c r="K6" s="42">
        <f>10.76*J6</f>
        <v>9037.2163999999993</v>
      </c>
      <c r="L6" s="44">
        <v>2024</v>
      </c>
      <c r="M6" s="44">
        <f>L6-H6</f>
        <v>29</v>
      </c>
      <c r="N6" s="44">
        <v>50</v>
      </c>
      <c r="O6" s="45">
        <v>0.1</v>
      </c>
      <c r="P6" s="46">
        <f>(1-O6)/N6</f>
        <v>1.8000000000000002E-2</v>
      </c>
      <c r="Q6" s="42">
        <v>1400</v>
      </c>
      <c r="R6" s="42">
        <f>Q6*K6</f>
        <v>12652102.959999999</v>
      </c>
      <c r="S6" s="41">
        <f>R6*(1-O6)/N6*IF(M6&lt;N6,M6,N6)</f>
        <v>6604397.7451199992</v>
      </c>
      <c r="T6" s="42">
        <f>R6-S6</f>
        <v>6047705.2148799999</v>
      </c>
      <c r="U6" s="50">
        <v>6091606.1440000003</v>
      </c>
    </row>
    <row r="7" spans="2:21" ht="63" x14ac:dyDescent="0.25">
      <c r="B7" s="44">
        <f>B6+1</f>
        <v>2</v>
      </c>
      <c r="C7" s="44">
        <v>911</v>
      </c>
      <c r="D7" s="60" t="s">
        <v>39</v>
      </c>
      <c r="E7" s="62" t="s">
        <v>26</v>
      </c>
      <c r="F7" s="62" t="s">
        <v>40</v>
      </c>
      <c r="G7" s="44" t="s">
        <v>30</v>
      </c>
      <c r="H7" s="44">
        <v>1995</v>
      </c>
      <c r="I7" s="44">
        <v>277</v>
      </c>
      <c r="J7" s="69">
        <v>857.76</v>
      </c>
      <c r="K7" s="42">
        <f t="shared" ref="K7:K19" si="0">10.76*J7</f>
        <v>9229.4976000000006</v>
      </c>
      <c r="L7" s="44">
        <v>2024</v>
      </c>
      <c r="M7" s="44">
        <f t="shared" ref="M7:M18" si="1">L7-H7</f>
        <v>29</v>
      </c>
      <c r="N7" s="44">
        <v>50</v>
      </c>
      <c r="O7" s="45">
        <v>0.1</v>
      </c>
      <c r="P7" s="46">
        <f t="shared" ref="P7:P18" si="2">(1-O7)/N7</f>
        <v>1.8000000000000002E-2</v>
      </c>
      <c r="Q7" s="42">
        <v>1400</v>
      </c>
      <c r="R7" s="42">
        <f t="shared" ref="R7:R18" si="3">Q7*K7</f>
        <v>12921296.640000001</v>
      </c>
      <c r="S7" s="41">
        <f t="shared" ref="S7:S18" si="4">R7*(1-O7)/N7*IF(M7&lt;N7,M7,N7)</f>
        <v>6744916.8460800014</v>
      </c>
      <c r="T7" s="42">
        <f t="shared" ref="T7:T18" si="5">R7-S7</f>
        <v>6176379.7939199992</v>
      </c>
      <c r="U7" s="50">
        <v>1921839.2959999999</v>
      </c>
    </row>
    <row r="8" spans="2:21" ht="15.75" x14ac:dyDescent="0.25">
      <c r="B8" s="44">
        <f t="shared" ref="B8:B19" si="6">B7+1</f>
        <v>3</v>
      </c>
      <c r="C8" s="44">
        <v>912</v>
      </c>
      <c r="D8" s="60" t="s">
        <v>168</v>
      </c>
      <c r="E8" s="44" t="s">
        <v>169</v>
      </c>
      <c r="F8" s="44" t="s">
        <v>175</v>
      </c>
      <c r="G8" s="44" t="s">
        <v>31</v>
      </c>
      <c r="H8" s="44">
        <v>1995</v>
      </c>
      <c r="I8" s="44"/>
      <c r="J8" s="69">
        <v>136.75</v>
      </c>
      <c r="K8" s="42">
        <f t="shared" si="0"/>
        <v>1471.43</v>
      </c>
      <c r="L8" s="44">
        <v>2024</v>
      </c>
      <c r="M8" s="44">
        <f t="shared" ref="M8:M10" si="7">L8-H8</f>
        <v>29</v>
      </c>
      <c r="N8" s="44">
        <v>50</v>
      </c>
      <c r="O8" s="45">
        <v>0.1</v>
      </c>
      <c r="P8" s="46">
        <f t="shared" ref="P8:P10" si="8">(1-O8)/N8</f>
        <v>1.8000000000000002E-2</v>
      </c>
      <c r="Q8" s="42">
        <v>800</v>
      </c>
      <c r="R8" s="42">
        <f t="shared" ref="R8:R10" si="9">Q8*K8</f>
        <v>1177144</v>
      </c>
      <c r="S8" s="41">
        <f t="shared" ref="S8:S10" si="10">R8*(1-O8)/N8*IF(M8&lt;N8,M8,N8)</f>
        <v>614469.16800000006</v>
      </c>
      <c r="T8" s="42">
        <f t="shared" ref="T8:T10" si="11">R8-S8</f>
        <v>562674.83199999994</v>
      </c>
      <c r="U8" s="50"/>
    </row>
    <row r="9" spans="2:21" ht="47.25" x14ac:dyDescent="0.25">
      <c r="B9" s="44">
        <f t="shared" si="6"/>
        <v>4</v>
      </c>
      <c r="C9" s="44">
        <v>912</v>
      </c>
      <c r="D9" s="60" t="s">
        <v>170</v>
      </c>
      <c r="E9" s="62" t="s">
        <v>171</v>
      </c>
      <c r="F9" s="44" t="s">
        <v>175</v>
      </c>
      <c r="G9" s="62" t="s">
        <v>176</v>
      </c>
      <c r="H9" s="44">
        <v>1995</v>
      </c>
      <c r="I9" s="44"/>
      <c r="J9" s="69">
        <v>80.25</v>
      </c>
      <c r="K9" s="42">
        <f t="shared" si="0"/>
        <v>863.49</v>
      </c>
      <c r="L9" s="44">
        <v>2024</v>
      </c>
      <c r="M9" s="44">
        <f t="shared" si="7"/>
        <v>29</v>
      </c>
      <c r="N9" s="44">
        <v>50</v>
      </c>
      <c r="O9" s="45">
        <v>0.1</v>
      </c>
      <c r="P9" s="46">
        <f t="shared" si="8"/>
        <v>1.8000000000000002E-2</v>
      </c>
      <c r="Q9" s="42">
        <v>1100</v>
      </c>
      <c r="R9" s="42">
        <f t="shared" si="9"/>
        <v>949839</v>
      </c>
      <c r="S9" s="41">
        <f t="shared" si="10"/>
        <v>495815.95799999998</v>
      </c>
      <c r="T9" s="42">
        <f t="shared" si="11"/>
        <v>454023.04200000002</v>
      </c>
      <c r="U9" s="50"/>
    </row>
    <row r="10" spans="2:21" ht="47.25" x14ac:dyDescent="0.25">
      <c r="B10" s="44">
        <f t="shared" si="6"/>
        <v>5</v>
      </c>
      <c r="C10" s="44">
        <v>912</v>
      </c>
      <c r="D10" s="60" t="s">
        <v>172</v>
      </c>
      <c r="E10" s="62" t="s">
        <v>173</v>
      </c>
      <c r="F10" s="44" t="s">
        <v>177</v>
      </c>
      <c r="G10" s="62" t="s">
        <v>178</v>
      </c>
      <c r="H10" s="44">
        <v>2023</v>
      </c>
      <c r="I10" s="44"/>
      <c r="J10" s="69">
        <v>69.239999999999995</v>
      </c>
      <c r="K10" s="42">
        <f t="shared" si="0"/>
        <v>745.02239999999995</v>
      </c>
      <c r="L10" s="44">
        <v>2024</v>
      </c>
      <c r="M10" s="44">
        <f t="shared" si="7"/>
        <v>1</v>
      </c>
      <c r="N10" s="44">
        <v>50</v>
      </c>
      <c r="O10" s="45">
        <v>0.1</v>
      </c>
      <c r="P10" s="46">
        <f t="shared" si="8"/>
        <v>1.8000000000000002E-2</v>
      </c>
      <c r="Q10" s="42">
        <v>1100</v>
      </c>
      <c r="R10" s="42">
        <f t="shared" si="9"/>
        <v>819524.6399999999</v>
      </c>
      <c r="S10" s="41">
        <f t="shared" si="10"/>
        <v>14751.443519999999</v>
      </c>
      <c r="T10" s="42">
        <f t="shared" si="11"/>
        <v>804773.19647999993</v>
      </c>
      <c r="U10" s="50"/>
    </row>
    <row r="11" spans="2:21" ht="15.75" x14ac:dyDescent="0.25">
      <c r="B11" s="44">
        <f t="shared" si="6"/>
        <v>6</v>
      </c>
      <c r="C11" s="44">
        <v>912</v>
      </c>
      <c r="D11" s="60" t="s">
        <v>42</v>
      </c>
      <c r="E11" s="44" t="s">
        <v>43</v>
      </c>
      <c r="F11" s="62" t="s">
        <v>44</v>
      </c>
      <c r="G11" s="44" t="s">
        <v>46</v>
      </c>
      <c r="H11" s="44">
        <v>2014</v>
      </c>
      <c r="I11" s="44">
        <v>624</v>
      </c>
      <c r="J11" s="69">
        <v>623.34</v>
      </c>
      <c r="K11" s="42">
        <f t="shared" si="0"/>
        <v>6707.1383999999998</v>
      </c>
      <c r="L11" s="44">
        <v>2024</v>
      </c>
      <c r="M11" s="44">
        <f t="shared" si="1"/>
        <v>10</v>
      </c>
      <c r="N11" s="44">
        <v>65</v>
      </c>
      <c r="O11" s="45">
        <v>0.1</v>
      </c>
      <c r="P11" s="46">
        <f t="shared" si="2"/>
        <v>1.3846153846153847E-2</v>
      </c>
      <c r="Q11" s="42">
        <v>1550</v>
      </c>
      <c r="R11" s="42">
        <f t="shared" si="3"/>
        <v>10396064.52</v>
      </c>
      <c r="S11" s="41">
        <f t="shared" si="4"/>
        <v>1439455.0873846153</v>
      </c>
      <c r="T11" s="42">
        <f t="shared" si="5"/>
        <v>8956609.4326153845</v>
      </c>
      <c r="U11" s="50">
        <v>8816313.5999999996</v>
      </c>
    </row>
    <row r="12" spans="2:21" ht="31.5" x14ac:dyDescent="0.25">
      <c r="B12" s="44">
        <f t="shared" si="6"/>
        <v>7</v>
      </c>
      <c r="C12" s="44">
        <v>912</v>
      </c>
      <c r="D12" s="63" t="s">
        <v>51</v>
      </c>
      <c r="E12" s="44" t="s">
        <v>43</v>
      </c>
      <c r="F12" s="62" t="s">
        <v>31</v>
      </c>
      <c r="G12" s="44" t="s">
        <v>31</v>
      </c>
      <c r="H12" s="44">
        <v>2014</v>
      </c>
      <c r="I12" s="44">
        <v>624</v>
      </c>
      <c r="J12" s="69">
        <v>689.36</v>
      </c>
      <c r="K12" s="42">
        <f t="shared" si="0"/>
        <v>7417.5136000000002</v>
      </c>
      <c r="L12" s="44">
        <v>2024</v>
      </c>
      <c r="M12" s="44">
        <f t="shared" si="1"/>
        <v>10</v>
      </c>
      <c r="N12" s="44">
        <v>65</v>
      </c>
      <c r="O12" s="45">
        <v>0.1</v>
      </c>
      <c r="P12" s="46">
        <f t="shared" si="2"/>
        <v>1.3846153846153847E-2</v>
      </c>
      <c r="Q12" s="42">
        <v>1550</v>
      </c>
      <c r="R12" s="42">
        <f t="shared" si="3"/>
        <v>11497146.08</v>
      </c>
      <c r="S12" s="41">
        <f t="shared" si="4"/>
        <v>1591912.5341538461</v>
      </c>
      <c r="T12" s="42">
        <f t="shared" si="5"/>
        <v>9905233.5458461531</v>
      </c>
      <c r="U12" s="50">
        <v>8816313.5999999996</v>
      </c>
    </row>
    <row r="13" spans="2:21" ht="15.75" x14ac:dyDescent="0.25">
      <c r="B13" s="44">
        <f t="shared" si="6"/>
        <v>8</v>
      </c>
      <c r="C13" s="44">
        <v>912</v>
      </c>
      <c r="D13" s="60" t="s">
        <v>54</v>
      </c>
      <c r="E13" s="44" t="s">
        <v>43</v>
      </c>
      <c r="F13" s="62" t="s">
        <v>44</v>
      </c>
      <c r="G13" s="44" t="s">
        <v>55</v>
      </c>
      <c r="H13" s="44">
        <v>1999</v>
      </c>
      <c r="I13" s="44">
        <v>624</v>
      </c>
      <c r="J13" s="69">
        <v>731.49</v>
      </c>
      <c r="K13" s="42">
        <f t="shared" si="0"/>
        <v>7870.8324000000002</v>
      </c>
      <c r="L13" s="44">
        <v>2024</v>
      </c>
      <c r="M13" s="44">
        <f t="shared" si="1"/>
        <v>25</v>
      </c>
      <c r="N13" s="44">
        <v>65</v>
      </c>
      <c r="O13" s="45">
        <v>0.1</v>
      </c>
      <c r="P13" s="46">
        <f t="shared" si="2"/>
        <v>1.3846153846153847E-2</v>
      </c>
      <c r="Q13" s="42">
        <v>1550</v>
      </c>
      <c r="R13" s="42">
        <f t="shared" si="3"/>
        <v>12199790.220000001</v>
      </c>
      <c r="S13" s="41">
        <f t="shared" si="4"/>
        <v>4223004.3069230774</v>
      </c>
      <c r="T13" s="42">
        <f t="shared" si="5"/>
        <v>7976785.9130769232</v>
      </c>
      <c r="U13" s="50">
        <v>6724569.5999999996</v>
      </c>
    </row>
    <row r="14" spans="2:21" ht="15.75" x14ac:dyDescent="0.25">
      <c r="B14" s="44">
        <f t="shared" si="6"/>
        <v>9</v>
      </c>
      <c r="C14" s="44">
        <v>912</v>
      </c>
      <c r="D14" s="60" t="s">
        <v>58</v>
      </c>
      <c r="E14" s="44" t="s">
        <v>43</v>
      </c>
      <c r="F14" s="62" t="s">
        <v>44</v>
      </c>
      <c r="G14" s="44" t="s">
        <v>55</v>
      </c>
      <c r="H14" s="44">
        <v>2014</v>
      </c>
      <c r="I14" s="44">
        <v>624</v>
      </c>
      <c r="J14" s="69">
        <v>731.6</v>
      </c>
      <c r="K14" s="42">
        <f t="shared" si="0"/>
        <v>7872.0160000000005</v>
      </c>
      <c r="L14" s="44">
        <v>2024</v>
      </c>
      <c r="M14" s="44">
        <f t="shared" si="1"/>
        <v>10</v>
      </c>
      <c r="N14" s="44">
        <v>65</v>
      </c>
      <c r="O14" s="45">
        <v>0.1</v>
      </c>
      <c r="P14" s="46">
        <f t="shared" si="2"/>
        <v>1.3846153846153847E-2</v>
      </c>
      <c r="Q14" s="42">
        <v>1550</v>
      </c>
      <c r="R14" s="42">
        <f t="shared" si="3"/>
        <v>12201624.800000001</v>
      </c>
      <c r="S14" s="41">
        <f t="shared" si="4"/>
        <v>1689455.7415384615</v>
      </c>
      <c r="T14" s="42">
        <f t="shared" si="5"/>
        <v>10512169.058461539</v>
      </c>
      <c r="U14" s="50">
        <v>8816313.5999999996</v>
      </c>
    </row>
    <row r="15" spans="2:21" ht="31.5" x14ac:dyDescent="0.25">
      <c r="B15" s="44">
        <f t="shared" si="6"/>
        <v>10</v>
      </c>
      <c r="C15" s="44">
        <v>912</v>
      </c>
      <c r="D15" s="63" t="s">
        <v>59</v>
      </c>
      <c r="E15" s="44" t="s">
        <v>43</v>
      </c>
      <c r="F15" s="62" t="s">
        <v>44</v>
      </c>
      <c r="G15" s="44" t="s">
        <v>55</v>
      </c>
      <c r="H15" s="44">
        <v>2014</v>
      </c>
      <c r="I15" s="44">
        <v>624</v>
      </c>
      <c r="J15" s="69">
        <v>731.57</v>
      </c>
      <c r="K15" s="42">
        <f t="shared" si="0"/>
        <v>7871.6932000000006</v>
      </c>
      <c r="L15" s="44">
        <v>2024</v>
      </c>
      <c r="M15" s="44">
        <f t="shared" si="1"/>
        <v>10</v>
      </c>
      <c r="N15" s="44">
        <v>65</v>
      </c>
      <c r="O15" s="45">
        <v>0.1</v>
      </c>
      <c r="P15" s="46">
        <f t="shared" si="2"/>
        <v>1.3846153846153847E-2</v>
      </c>
      <c r="Q15" s="42">
        <v>1550</v>
      </c>
      <c r="R15" s="42">
        <f t="shared" si="3"/>
        <v>12201124.460000001</v>
      </c>
      <c r="S15" s="41">
        <f t="shared" si="4"/>
        <v>1689386.4636923079</v>
      </c>
      <c r="T15" s="42">
        <f t="shared" si="5"/>
        <v>10511737.996307693</v>
      </c>
      <c r="U15" s="50">
        <v>8816313.5999999996</v>
      </c>
    </row>
    <row r="16" spans="2:21" ht="15.75" x14ac:dyDescent="0.25">
      <c r="B16" s="44">
        <f t="shared" si="6"/>
        <v>11</v>
      </c>
      <c r="C16" s="44">
        <v>912</v>
      </c>
      <c r="D16" s="60" t="s">
        <v>60</v>
      </c>
      <c r="E16" s="44" t="s">
        <v>43</v>
      </c>
      <c r="F16" s="62" t="s">
        <v>31</v>
      </c>
      <c r="G16" s="44" t="s">
        <v>31</v>
      </c>
      <c r="H16" s="44">
        <v>2014</v>
      </c>
      <c r="I16" s="44">
        <v>140</v>
      </c>
      <c r="J16" s="69">
        <v>150.30000000000001</v>
      </c>
      <c r="K16" s="42">
        <f t="shared" si="0"/>
        <v>1617.2280000000001</v>
      </c>
      <c r="L16" s="44">
        <v>2024</v>
      </c>
      <c r="M16" s="44">
        <f t="shared" si="1"/>
        <v>10</v>
      </c>
      <c r="N16" s="44">
        <v>65</v>
      </c>
      <c r="O16" s="45">
        <v>0.1</v>
      </c>
      <c r="P16" s="46">
        <f t="shared" si="2"/>
        <v>1.3846153846153847E-2</v>
      </c>
      <c r="Q16" s="42">
        <v>1400</v>
      </c>
      <c r="R16" s="42">
        <f t="shared" si="3"/>
        <v>2264119.2000000002</v>
      </c>
      <c r="S16" s="41">
        <f t="shared" si="4"/>
        <v>313493.42769230774</v>
      </c>
      <c r="T16" s="42">
        <f t="shared" si="5"/>
        <v>1950625.7723076926</v>
      </c>
      <c r="U16" s="50">
        <v>1714283.1999999997</v>
      </c>
    </row>
    <row r="17" spans="2:21" ht="15.75" x14ac:dyDescent="0.25">
      <c r="B17" s="44">
        <f t="shared" si="6"/>
        <v>12</v>
      </c>
      <c r="C17" s="44">
        <v>912</v>
      </c>
      <c r="D17" s="60" t="s">
        <v>61</v>
      </c>
      <c r="E17" s="44" t="s">
        <v>62</v>
      </c>
      <c r="F17" s="62" t="s">
        <v>31</v>
      </c>
      <c r="G17" s="44" t="s">
        <v>31</v>
      </c>
      <c r="H17" s="44">
        <v>2014</v>
      </c>
      <c r="I17" s="44">
        <v>352</v>
      </c>
      <c r="J17" s="69">
        <v>79.010000000000005</v>
      </c>
      <c r="K17" s="42">
        <f t="shared" si="0"/>
        <v>850.14760000000001</v>
      </c>
      <c r="L17" s="44">
        <v>2024</v>
      </c>
      <c r="M17" s="44">
        <f t="shared" si="1"/>
        <v>10</v>
      </c>
      <c r="N17" s="44">
        <v>50</v>
      </c>
      <c r="O17" s="45">
        <v>0.1</v>
      </c>
      <c r="P17" s="46">
        <f t="shared" si="2"/>
        <v>1.8000000000000002E-2</v>
      </c>
      <c r="Q17" s="42">
        <v>1400</v>
      </c>
      <c r="R17" s="42">
        <f t="shared" si="3"/>
        <v>1190206.6400000001</v>
      </c>
      <c r="S17" s="41">
        <f t="shared" si="4"/>
        <v>214237.19520000007</v>
      </c>
      <c r="T17" s="42">
        <f t="shared" si="5"/>
        <v>975969.44480000006</v>
      </c>
      <c r="U17" s="50">
        <v>4126124.2879999997</v>
      </c>
    </row>
    <row r="18" spans="2:21" ht="15.75" x14ac:dyDescent="0.25">
      <c r="B18" s="44">
        <f t="shared" si="6"/>
        <v>13</v>
      </c>
      <c r="C18" s="44">
        <v>912</v>
      </c>
      <c r="D18" s="60" t="s">
        <v>65</v>
      </c>
      <c r="E18" s="44" t="s">
        <v>62</v>
      </c>
      <c r="F18" s="62" t="s">
        <v>31</v>
      </c>
      <c r="G18" s="44" t="s">
        <v>46</v>
      </c>
      <c r="H18" s="44">
        <v>2014</v>
      </c>
      <c r="I18" s="44">
        <v>65</v>
      </c>
      <c r="J18" s="69">
        <v>131.41</v>
      </c>
      <c r="K18" s="42">
        <f t="shared" si="0"/>
        <v>1413.9715999999999</v>
      </c>
      <c r="L18" s="44">
        <v>2024</v>
      </c>
      <c r="M18" s="44">
        <f t="shared" si="1"/>
        <v>10</v>
      </c>
      <c r="N18" s="44">
        <v>50</v>
      </c>
      <c r="O18" s="45">
        <v>0.1</v>
      </c>
      <c r="P18" s="46">
        <f t="shared" si="2"/>
        <v>1.8000000000000002E-2</v>
      </c>
      <c r="Q18" s="42">
        <v>1100</v>
      </c>
      <c r="R18" s="42">
        <f t="shared" si="3"/>
        <v>1555368.7599999998</v>
      </c>
      <c r="S18" s="41">
        <f t="shared" si="4"/>
        <v>279966.37679999997</v>
      </c>
      <c r="T18" s="42">
        <f t="shared" si="5"/>
        <v>1275402.3831999998</v>
      </c>
      <c r="U18" s="50">
        <v>586097.19999999995</v>
      </c>
    </row>
    <row r="19" spans="2:21" ht="15.75" x14ac:dyDescent="0.25">
      <c r="B19" s="44">
        <f t="shared" si="6"/>
        <v>14</v>
      </c>
      <c r="C19" s="44">
        <v>911</v>
      </c>
      <c r="D19" s="64" t="s">
        <v>174</v>
      </c>
      <c r="E19" s="65" t="s">
        <v>169</v>
      </c>
      <c r="F19" s="44" t="s">
        <v>44</v>
      </c>
      <c r="G19" s="44" t="s">
        <v>179</v>
      </c>
      <c r="H19" s="44">
        <v>1995</v>
      </c>
      <c r="I19" s="44"/>
      <c r="J19" s="70">
        <v>402.75</v>
      </c>
      <c r="K19" s="42">
        <f t="shared" si="0"/>
        <v>4333.59</v>
      </c>
      <c r="L19" s="44">
        <v>2024</v>
      </c>
      <c r="M19" s="44">
        <f t="shared" ref="M19" si="12">L19-H19</f>
        <v>29</v>
      </c>
      <c r="N19" s="44">
        <v>65</v>
      </c>
      <c r="O19" s="45">
        <v>0.1</v>
      </c>
      <c r="P19" s="46">
        <f t="shared" ref="P19" si="13">(1-O19)/N19</f>
        <v>1.3846153846153847E-2</v>
      </c>
      <c r="Q19" s="42">
        <v>1400</v>
      </c>
      <c r="R19" s="42">
        <f t="shared" ref="R19" si="14">Q19*K19</f>
        <v>6067026</v>
      </c>
      <c r="S19" s="41">
        <f t="shared" ref="S19" si="15">R19*(1-O19)/N19*IF(M19&lt;N19,M19,N19)</f>
        <v>2436144.2861538464</v>
      </c>
      <c r="T19" s="42">
        <f t="shared" ref="T19" si="16">R19-S19</f>
        <v>3630881.7138461536</v>
      </c>
      <c r="U19" s="50"/>
    </row>
    <row r="20" spans="2:21" ht="26.25" customHeight="1" x14ac:dyDescent="0.25">
      <c r="B20" s="85" t="s">
        <v>138</v>
      </c>
      <c r="C20" s="86"/>
      <c r="D20" s="86"/>
      <c r="E20" s="86"/>
      <c r="F20" s="87"/>
      <c r="G20" s="86"/>
      <c r="H20" s="88"/>
      <c r="I20" s="89">
        <f>SUBTOTAL(9,I6:I18)</f>
        <v>4832</v>
      </c>
      <c r="J20" s="90">
        <f>SUM(J6:J19)</f>
        <v>6254.72</v>
      </c>
      <c r="K20" s="91">
        <f>SUM(K6:K19)</f>
        <v>67300.787200000006</v>
      </c>
      <c r="L20" s="92"/>
      <c r="M20" s="92"/>
      <c r="N20" s="92"/>
      <c r="O20" s="92"/>
      <c r="P20" s="93"/>
      <c r="Q20" s="94"/>
      <c r="R20" s="97">
        <f>SUBTOTAL(9,R6:R18)</f>
        <v>92025351.920000002</v>
      </c>
      <c r="S20" s="95">
        <f>SUBTOTAL(9,S6:S18)</f>
        <v>25915262.294104617</v>
      </c>
      <c r="T20" s="96">
        <f>SUBTOTAL(9,T6:T18)</f>
        <v>66110089.625895381</v>
      </c>
      <c r="U20" s="50">
        <v>56429774.128000014</v>
      </c>
    </row>
    <row r="21" spans="2:21" ht="15.75" x14ac:dyDescent="0.25">
      <c r="B21" s="71" t="s">
        <v>139</v>
      </c>
      <c r="C21" s="71"/>
      <c r="D21" s="72"/>
      <c r="E21" s="73"/>
      <c r="F21" s="74"/>
      <c r="G21" s="71"/>
      <c r="H21" s="71"/>
      <c r="I21" s="74"/>
      <c r="J21" s="74"/>
      <c r="K21" s="71"/>
      <c r="L21" s="74"/>
      <c r="M21" s="74"/>
      <c r="N21" s="74"/>
      <c r="O21" s="74"/>
      <c r="P21" s="74"/>
      <c r="Q21" s="71"/>
      <c r="R21" s="74"/>
      <c r="S21" s="74"/>
      <c r="T21" s="71"/>
    </row>
    <row r="22" spans="2:21" ht="15.75" x14ac:dyDescent="0.25">
      <c r="B22" s="75" t="s">
        <v>140</v>
      </c>
      <c r="C22" s="75"/>
      <c r="D22" s="76"/>
      <c r="E22" s="77"/>
      <c r="F22" s="78"/>
      <c r="G22" s="75"/>
      <c r="H22" s="75"/>
      <c r="I22" s="78"/>
      <c r="J22" s="78"/>
      <c r="K22" s="75"/>
      <c r="L22" s="78"/>
      <c r="M22" s="78"/>
      <c r="N22" s="78"/>
      <c r="O22" s="78"/>
      <c r="P22" s="78"/>
      <c r="Q22" s="75"/>
      <c r="R22" s="78"/>
      <c r="S22" s="78"/>
      <c r="T22" s="75"/>
    </row>
    <row r="23" spans="2:21" ht="15.75" x14ac:dyDescent="0.25">
      <c r="B23" s="75" t="s">
        <v>141</v>
      </c>
      <c r="C23" s="75"/>
      <c r="D23" s="76"/>
      <c r="E23" s="77"/>
      <c r="F23" s="78"/>
      <c r="G23" s="75"/>
      <c r="H23" s="75"/>
      <c r="I23" s="78"/>
      <c r="J23" s="78"/>
      <c r="K23" s="75"/>
      <c r="L23" s="78"/>
      <c r="M23" s="78"/>
      <c r="N23" s="78"/>
      <c r="O23" s="78"/>
      <c r="P23" s="78"/>
      <c r="Q23" s="75"/>
      <c r="R23" s="78"/>
      <c r="S23" s="78"/>
      <c r="T23" s="75"/>
    </row>
    <row r="26" spans="2:21" ht="45" x14ac:dyDescent="0.25">
      <c r="E26" t="s">
        <v>156</v>
      </c>
      <c r="G26" t="s">
        <v>143</v>
      </c>
      <c r="H26" t="s">
        <v>147</v>
      </c>
      <c r="I26" s="37" t="s">
        <v>144</v>
      </c>
      <c r="J26" s="37"/>
      <c r="K26" s="37" t="s">
        <v>145</v>
      </c>
      <c r="L26" t="s">
        <v>146</v>
      </c>
      <c r="M26" s="33" t="s">
        <v>149</v>
      </c>
      <c r="N26" s="33" t="s">
        <v>148</v>
      </c>
      <c r="O26" s="33" t="s">
        <v>150</v>
      </c>
      <c r="P26" s="19" t="s">
        <v>151</v>
      </c>
      <c r="Q26" s="20" t="s">
        <v>152</v>
      </c>
      <c r="R26" s="20" t="s">
        <v>153</v>
      </c>
      <c r="S26" s="20" t="s">
        <v>154</v>
      </c>
      <c r="T26" s="47" t="s">
        <v>155</v>
      </c>
    </row>
    <row r="27" spans="2:21" x14ac:dyDescent="0.25">
      <c r="E27" t="s">
        <v>142</v>
      </c>
      <c r="G27">
        <v>9</v>
      </c>
      <c r="H27">
        <v>1995</v>
      </c>
      <c r="I27">
        <f>69.85+69</f>
        <v>138.85</v>
      </c>
      <c r="K27" s="37">
        <f>3.26*I27</f>
        <v>452.65099999999995</v>
      </c>
      <c r="L27">
        <v>2023</v>
      </c>
      <c r="M27">
        <f>L27-H27</f>
        <v>28</v>
      </c>
      <c r="N27">
        <v>65</v>
      </c>
      <c r="O27" s="48">
        <v>0.1</v>
      </c>
      <c r="P27" s="19">
        <f>(1-O27)/N27</f>
        <v>1.3846153846153847E-2</v>
      </c>
      <c r="Q27" s="20">
        <v>5000</v>
      </c>
      <c r="R27" s="20">
        <f>Q27*I27</f>
        <v>694250</v>
      </c>
      <c r="S27" s="20">
        <f>R27*P27*IF(M27&gt;N27,N27,M27)</f>
        <v>269155.38461538462</v>
      </c>
      <c r="T27" s="20">
        <f>R27-S27</f>
        <v>425094.61538461538</v>
      </c>
    </row>
    <row r="29" spans="2:21" x14ac:dyDescent="0.25">
      <c r="E29" t="s">
        <v>157</v>
      </c>
      <c r="F29" s="49">
        <f>0.8*T20</f>
        <v>52888071.700716309</v>
      </c>
    </row>
    <row r="31" spans="2:21" x14ac:dyDescent="0.25">
      <c r="T31" s="99">
        <v>75902400</v>
      </c>
    </row>
    <row r="32" spans="2:21" x14ac:dyDescent="0.25">
      <c r="T32" s="98">
        <v>66110090</v>
      </c>
    </row>
    <row r="33" spans="20:20" x14ac:dyDescent="0.25">
      <c r="T33" s="99">
        <v>425095</v>
      </c>
    </row>
    <row r="34" spans="20:20" x14ac:dyDescent="0.25">
      <c r="T34" s="98">
        <v>152953823</v>
      </c>
    </row>
    <row r="35" spans="20:20" x14ac:dyDescent="0.25">
      <c r="T35" s="35">
        <f>SUM(T31:T34)</f>
        <v>295391408</v>
      </c>
    </row>
    <row r="38" spans="20:20" x14ac:dyDescent="0.25">
      <c r="T38" s="35">
        <f>ROUND(T35,-6)</f>
        <v>295000000</v>
      </c>
    </row>
    <row r="39" spans="20:20" x14ac:dyDescent="0.25">
      <c r="T39" s="35">
        <f>T38*0.85</f>
        <v>250750000</v>
      </c>
    </row>
    <row r="40" spans="20:20" x14ac:dyDescent="0.25">
      <c r="T40" s="35">
        <f>T38*0.75</f>
        <v>221250000</v>
      </c>
    </row>
  </sheetData>
  <mergeCells count="4">
    <mergeCell ref="B20:H20"/>
    <mergeCell ref="B21:T21"/>
    <mergeCell ref="B22:T22"/>
    <mergeCell ref="B23:T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AN22"/>
  <sheetViews>
    <sheetView topLeftCell="D1" zoomScale="95" zoomScaleNormal="95" workbookViewId="0">
      <selection activeCell="AF10" sqref="AF10"/>
    </sheetView>
  </sheetViews>
  <sheetFormatPr defaultRowHeight="15" x14ac:dyDescent="0.25"/>
  <cols>
    <col min="8" max="8" width="14.85546875" bestFit="1" customWidth="1"/>
    <col min="9" max="9" width="12.85546875" hidden="1" customWidth="1"/>
    <col min="10" max="10" width="12.140625" style="54" bestFit="1" customWidth="1"/>
    <col min="11" max="11" width="16.140625" style="35" bestFit="1" customWidth="1"/>
    <col min="12" max="12" width="11.42578125" bestFit="1" customWidth="1"/>
    <col min="13" max="20" width="0" hidden="1" customWidth="1"/>
    <col min="22" max="22" width="9.140625" hidden="1" customWidth="1"/>
    <col min="23" max="23" width="10.5703125" style="37" bestFit="1" customWidth="1"/>
    <col min="24" max="28" width="9.140625" hidden="1" customWidth="1"/>
    <col min="30" max="31" width="0" hidden="1" customWidth="1"/>
    <col min="32" max="32" width="9.140625" style="35"/>
    <col min="34" max="36" width="16.140625" style="35" bestFit="1" customWidth="1"/>
    <col min="37" max="38" width="16.140625" bestFit="1" customWidth="1"/>
  </cols>
  <sheetData>
    <row r="3" spans="2:40" x14ac:dyDescent="0.25">
      <c r="AH3" s="52" t="s">
        <v>162</v>
      </c>
      <c r="AI3" s="52" t="s">
        <v>163</v>
      </c>
      <c r="AJ3" s="52" t="s">
        <v>164</v>
      </c>
      <c r="AK3" s="52" t="s">
        <v>166</v>
      </c>
      <c r="AL3" s="52" t="s">
        <v>167</v>
      </c>
    </row>
    <row r="4" spans="2:40" x14ac:dyDescent="0.25">
      <c r="AG4" t="s">
        <v>161</v>
      </c>
      <c r="AH4" s="35">
        <v>379454937</v>
      </c>
      <c r="AI4" s="35">
        <v>109134495</v>
      </c>
      <c r="AJ4" s="35">
        <f>[1]working!$BK$2</f>
        <v>152953823.41275203</v>
      </c>
      <c r="AK4" s="35">
        <f>AJ4*0.85</f>
        <v>130010749.90083922</v>
      </c>
      <c r="AL4" s="35">
        <f>AJ4*0.75</f>
        <v>114715367.55956402</v>
      </c>
    </row>
    <row r="5" spans="2:40" x14ac:dyDescent="0.25">
      <c r="B5" s="34"/>
      <c r="D5" s="34"/>
      <c r="G5" s="34"/>
      <c r="H5" s="34"/>
      <c r="L5" s="34"/>
      <c r="U5" s="34"/>
      <c r="W5" s="39"/>
      <c r="AC5" s="34"/>
      <c r="AF5" s="43"/>
      <c r="AG5" t="s">
        <v>158</v>
      </c>
      <c r="AH5" s="35">
        <v>12351600</v>
      </c>
      <c r="AI5" s="35">
        <v>12351600</v>
      </c>
      <c r="AJ5" s="35">
        <f>K17</f>
        <v>59637600</v>
      </c>
      <c r="AK5" s="35">
        <f t="shared" ref="AK5:AK7" si="0">AJ5*0.85</f>
        <v>50691960</v>
      </c>
      <c r="AL5" s="35">
        <f t="shared" ref="AL5:AL7" si="1">AJ5*0.75</f>
        <v>44728200</v>
      </c>
    </row>
    <row r="6" spans="2:40" x14ac:dyDescent="0.25">
      <c r="B6" s="34"/>
      <c r="D6" s="34"/>
      <c r="G6" s="34"/>
      <c r="H6" s="34"/>
      <c r="L6" s="34"/>
      <c r="U6" s="34"/>
      <c r="W6" s="39"/>
      <c r="AC6" s="34"/>
      <c r="AF6" s="43"/>
      <c r="AG6" t="s">
        <v>159</v>
      </c>
      <c r="AH6" s="35">
        <v>120267733</v>
      </c>
      <c r="AI6" s="35">
        <v>56471833</v>
      </c>
      <c r="AJ6" s="35">
        <f>'Building Working'!T4</f>
        <v>66110089.625895381</v>
      </c>
      <c r="AK6" s="35">
        <f t="shared" si="0"/>
        <v>56193576.182011075</v>
      </c>
      <c r="AL6" s="35">
        <f t="shared" si="1"/>
        <v>49582567.219421536</v>
      </c>
    </row>
    <row r="7" spans="2:40" x14ac:dyDescent="0.25">
      <c r="B7" s="34"/>
      <c r="D7" s="34"/>
      <c r="G7" s="34"/>
      <c r="H7" s="34"/>
      <c r="L7" s="34"/>
      <c r="U7" s="34">
        <f>55000000/65000</f>
        <v>846.15384615384619</v>
      </c>
      <c r="W7" s="39"/>
      <c r="AC7" s="34"/>
      <c r="AF7" s="43"/>
      <c r="AG7" t="s">
        <v>165</v>
      </c>
      <c r="AJ7" s="35">
        <f>'Building Working'!T27</f>
        <v>425094.61538461538</v>
      </c>
      <c r="AK7" s="35">
        <f t="shared" si="0"/>
        <v>361330.42307692306</v>
      </c>
      <c r="AL7" s="35">
        <f t="shared" si="1"/>
        <v>318820.9615384615</v>
      </c>
    </row>
    <row r="8" spans="2:40" x14ac:dyDescent="0.25">
      <c r="B8" s="34"/>
      <c r="D8" s="34"/>
      <c r="G8" s="34"/>
      <c r="H8" s="34"/>
      <c r="L8" s="34"/>
      <c r="U8" s="34">
        <f>10.76*U7</f>
        <v>9104.6153846153848</v>
      </c>
      <c r="W8" s="39"/>
      <c r="AC8" s="34"/>
      <c r="AF8" s="43"/>
      <c r="AH8" s="36">
        <f>SUM(AH4:AH7)</f>
        <v>512074270</v>
      </c>
      <c r="AI8" s="36">
        <f>SUM(AI4:AI7)</f>
        <v>177957928</v>
      </c>
      <c r="AJ8" s="36">
        <f>SUM(AJ4:AJ7)</f>
        <v>279126607.65403205</v>
      </c>
      <c r="AK8" s="36">
        <f t="shared" ref="AK8:AL8" si="2">SUM(AK4:AK7)</f>
        <v>237257616.50592721</v>
      </c>
      <c r="AL8" s="36">
        <f t="shared" si="2"/>
        <v>209344955.74052402</v>
      </c>
    </row>
    <row r="9" spans="2:40" x14ac:dyDescent="0.25">
      <c r="B9" s="34"/>
      <c r="D9" s="34"/>
      <c r="G9" s="43"/>
      <c r="H9" s="34"/>
      <c r="L9" s="34"/>
      <c r="O9">
        <f>1612+1401</f>
        <v>3013</v>
      </c>
      <c r="U9" s="34">
        <f>400000000/872600</f>
        <v>458.40018336007336</v>
      </c>
      <c r="W9" s="39"/>
      <c r="AC9" s="34"/>
      <c r="AF9" s="43"/>
      <c r="AJ9" s="35">
        <f>ROUND(AJ8,-7)</f>
        <v>280000000</v>
      </c>
    </row>
    <row r="10" spans="2:40" x14ac:dyDescent="0.25">
      <c r="B10" s="34"/>
      <c r="D10" s="34"/>
      <c r="G10" s="43"/>
      <c r="H10" s="34" t="s">
        <v>124</v>
      </c>
      <c r="I10" t="s">
        <v>125</v>
      </c>
      <c r="J10" s="54" t="s">
        <v>126</v>
      </c>
      <c r="K10" s="35" t="s">
        <v>127</v>
      </c>
      <c r="L10" s="34" t="s">
        <v>134</v>
      </c>
      <c r="M10" t="s">
        <v>135</v>
      </c>
      <c r="U10" s="34"/>
      <c r="W10" s="39"/>
      <c r="AC10" s="34"/>
      <c r="AF10" s="43"/>
      <c r="AJ10" s="35">
        <f>AJ9*0.85</f>
        <v>238000000</v>
      </c>
    </row>
    <row r="11" spans="2:40" x14ac:dyDescent="0.25">
      <c r="B11" s="34"/>
      <c r="D11" s="34"/>
      <c r="G11" s="43"/>
      <c r="H11" s="34">
        <v>3012</v>
      </c>
      <c r="I11">
        <f>H11/4046.86</f>
        <v>0.74428075100201141</v>
      </c>
      <c r="J11" s="54">
        <f>H11*10.76</f>
        <v>32409.119999999999</v>
      </c>
      <c r="K11" s="35">
        <f>1.195*H11</f>
        <v>3599.34</v>
      </c>
      <c r="L11" s="34">
        <v>22000</v>
      </c>
      <c r="M11">
        <f>L11*H11</f>
        <v>66264000</v>
      </c>
      <c r="U11" s="34">
        <f>34900000/43560</f>
        <v>801.19375573921025</v>
      </c>
      <c r="W11" s="39"/>
      <c r="AC11" s="34"/>
      <c r="AF11" s="43"/>
      <c r="AJ11" s="35">
        <f>AJ9*0.75</f>
        <v>210000000</v>
      </c>
    </row>
    <row r="12" spans="2:40" x14ac:dyDescent="0.25">
      <c r="B12" s="34"/>
      <c r="D12" s="34"/>
      <c r="G12" s="43"/>
      <c r="H12" s="34"/>
      <c r="L12" s="34">
        <f>0.9*L11</f>
        <v>19800</v>
      </c>
      <c r="M12">
        <f>L12*H11</f>
        <v>59637600</v>
      </c>
      <c r="U12" s="34">
        <f>10.76*U11</f>
        <v>8620.8448117539028</v>
      </c>
      <c r="W12" s="39"/>
      <c r="AC12" s="34"/>
      <c r="AF12" s="43"/>
    </row>
    <row r="13" spans="2:40" x14ac:dyDescent="0.25">
      <c r="B13" s="34"/>
      <c r="D13" s="34"/>
      <c r="G13" s="34"/>
      <c r="H13" s="34"/>
      <c r="L13" s="34"/>
      <c r="U13" s="34"/>
      <c r="W13" s="39"/>
      <c r="AC13" s="34"/>
      <c r="AF13" s="43"/>
    </row>
    <row r="14" spans="2:40" ht="15.75" thickBot="1" x14ac:dyDescent="0.3">
      <c r="B14" s="34"/>
      <c r="D14" s="34"/>
      <c r="G14" s="34"/>
      <c r="H14" s="34"/>
      <c r="L14" s="34"/>
      <c r="U14" s="34"/>
      <c r="W14" s="39"/>
      <c r="AC14" s="34"/>
      <c r="AF14" s="43"/>
      <c r="AJ14" s="51">
        <v>169523774</v>
      </c>
      <c r="AK14" s="51">
        <v>144095208</v>
      </c>
      <c r="AL14" s="51">
        <v>127142831</v>
      </c>
      <c r="AM14">
        <f>AK14/AJ14</f>
        <v>0.85000000058988778</v>
      </c>
      <c r="AN14">
        <f>AL14/AJ14</f>
        <v>0.7500000029494388</v>
      </c>
    </row>
    <row r="15" spans="2:40" ht="15.75" thickBot="1" x14ac:dyDescent="0.3">
      <c r="B15" s="34"/>
      <c r="D15" s="34"/>
      <c r="G15" s="34"/>
      <c r="H15" s="34"/>
      <c r="L15" s="34"/>
      <c r="U15" s="34">
        <f>65000000/304920</f>
        <v>213.17066771612227</v>
      </c>
      <c r="W15" s="39"/>
      <c r="AC15" s="34"/>
      <c r="AF15" s="43"/>
      <c r="AJ15" s="51">
        <v>59637600</v>
      </c>
      <c r="AK15" s="51">
        <v>50691960</v>
      </c>
      <c r="AL15" s="51">
        <v>44728200</v>
      </c>
      <c r="AM15">
        <f t="shared" ref="AM15:AM16" si="3">AK15/AJ15</f>
        <v>0.85</v>
      </c>
      <c r="AN15">
        <f t="shared" ref="AN15:AN16" si="4">AL15/AJ15</f>
        <v>0.75</v>
      </c>
    </row>
    <row r="16" spans="2:40" ht="15.75" thickBot="1" x14ac:dyDescent="0.3">
      <c r="C16" s="34"/>
      <c r="E16" s="34"/>
      <c r="F16" s="34"/>
      <c r="I16" s="34"/>
      <c r="K16" s="43"/>
      <c r="M16" s="34"/>
      <c r="N16" s="34"/>
      <c r="O16" s="34"/>
      <c r="P16" s="34"/>
      <c r="Q16" s="34"/>
      <c r="R16" s="34"/>
      <c r="S16" s="34"/>
      <c r="T16" s="34"/>
      <c r="AJ16" s="51">
        <v>56429774</v>
      </c>
      <c r="AK16" s="51">
        <v>47965308</v>
      </c>
      <c r="AL16" s="51">
        <v>42322331</v>
      </c>
      <c r="AM16">
        <f t="shared" si="3"/>
        <v>0.8500000017721141</v>
      </c>
      <c r="AN16">
        <f t="shared" si="4"/>
        <v>0.75000000886057061</v>
      </c>
    </row>
    <row r="17" spans="3:38" ht="15.75" thickBot="1" x14ac:dyDescent="0.3">
      <c r="C17" s="40"/>
      <c r="E17" s="40"/>
      <c r="F17" s="40"/>
      <c r="I17" s="40"/>
      <c r="J17" s="54" t="s">
        <v>158</v>
      </c>
      <c r="K17" s="53">
        <f>L12*H11</f>
        <v>59637600</v>
      </c>
      <c r="M17" s="40"/>
      <c r="N17" s="40"/>
      <c r="O17" s="40"/>
      <c r="P17" s="40"/>
      <c r="Q17" s="40"/>
      <c r="R17" s="40"/>
      <c r="S17" s="40"/>
      <c r="T17" s="40"/>
      <c r="V17" s="40"/>
      <c r="X17" s="40"/>
      <c r="Y17" s="40"/>
      <c r="Z17" s="40"/>
      <c r="AA17" s="40"/>
      <c r="AB17" s="40"/>
      <c r="AD17" s="40"/>
      <c r="AE17" s="40"/>
      <c r="AJ17" s="57">
        <v>285591148</v>
      </c>
      <c r="AK17" s="57">
        <v>242752476</v>
      </c>
      <c r="AL17" s="57">
        <v>214193361</v>
      </c>
    </row>
    <row r="18" spans="3:38" x14ac:dyDescent="0.25">
      <c r="C18" s="40"/>
      <c r="E18" s="40"/>
      <c r="F18" s="40"/>
      <c r="I18" s="40"/>
      <c r="J18" s="54" t="s">
        <v>159</v>
      </c>
      <c r="K18" s="53">
        <v>56429774</v>
      </c>
      <c r="M18" s="40"/>
      <c r="N18" s="40"/>
      <c r="O18" s="40"/>
      <c r="P18" s="40"/>
      <c r="Q18" s="40"/>
      <c r="R18" s="40"/>
      <c r="S18" s="40"/>
      <c r="T18" s="40"/>
      <c r="V18" s="40"/>
      <c r="X18" s="40"/>
      <c r="Y18" s="40"/>
      <c r="Z18" s="40"/>
      <c r="AA18" s="40"/>
      <c r="AB18" s="40"/>
      <c r="AD18" s="40"/>
      <c r="AE18" s="40"/>
    </row>
    <row r="19" spans="3:38" x14ac:dyDescent="0.25">
      <c r="C19" s="40"/>
      <c r="E19" s="40"/>
      <c r="F19" s="40"/>
      <c r="I19" s="40"/>
      <c r="J19" s="54" t="s">
        <v>160</v>
      </c>
      <c r="K19" s="35">
        <v>420000</v>
      </c>
      <c r="M19" s="40"/>
      <c r="N19" s="40"/>
      <c r="O19" s="40"/>
      <c r="P19" s="40"/>
      <c r="Q19" s="40"/>
      <c r="R19" s="40"/>
      <c r="S19" s="40"/>
      <c r="T19" s="40"/>
      <c r="V19" s="40"/>
      <c r="X19" s="40"/>
      <c r="Y19" s="40"/>
      <c r="Z19" s="40"/>
      <c r="AA19" s="40"/>
      <c r="AB19" s="40"/>
      <c r="AD19" s="40"/>
      <c r="AE19" s="40"/>
    </row>
    <row r="20" spans="3:38" x14ac:dyDescent="0.25">
      <c r="J20" s="55" t="s">
        <v>138</v>
      </c>
      <c r="K20" s="56">
        <f>SUM(K17:K19)</f>
        <v>116487374</v>
      </c>
    </row>
    <row r="21" spans="3:38" x14ac:dyDescent="0.25">
      <c r="W21" s="37">
        <v>263404297</v>
      </c>
    </row>
    <row r="22" spans="3:38" x14ac:dyDescent="0.25">
      <c r="W22" s="37">
        <f>W21+K20</f>
        <v>379891671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6:R22"/>
  <sheetViews>
    <sheetView workbookViewId="0">
      <selection activeCell="S30" sqref="S30"/>
    </sheetView>
  </sheetViews>
  <sheetFormatPr defaultRowHeight="15" x14ac:dyDescent="0.25"/>
  <sheetData>
    <row r="16" spans="3:3" x14ac:dyDescent="0.25">
      <c r="C16" t="s">
        <v>137</v>
      </c>
    </row>
    <row r="22" spans="18:18" x14ac:dyDescent="0.25">
      <c r="R22" t="s">
        <v>136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"/>
  <sheetViews>
    <sheetView topLeftCell="A7" workbookViewId="0">
      <selection activeCell="P24" sqref="P24"/>
    </sheetView>
  </sheetViews>
  <sheetFormatPr defaultRowHeight="15" x14ac:dyDescent="0.25"/>
  <sheetData>
    <row r="2" spans="5:5" x14ac:dyDescent="0.25">
      <c r="E2" t="s">
        <v>133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D7:V18"/>
  <sheetViews>
    <sheetView topLeftCell="C10" workbookViewId="0">
      <selection activeCell="S16" sqref="S16"/>
    </sheetView>
  </sheetViews>
  <sheetFormatPr defaultRowHeight="15" x14ac:dyDescent="0.25"/>
  <cols>
    <col min="6" max="6" width="10.42578125" bestFit="1" customWidth="1"/>
    <col min="8" max="8" width="11" customWidth="1"/>
    <col min="9" max="9" width="15.28515625" customWidth="1"/>
    <col min="10" max="10" width="13.28515625" customWidth="1"/>
    <col min="13" max="13" width="6.42578125" customWidth="1"/>
    <col min="14" max="14" width="19" style="33" customWidth="1"/>
    <col min="15" max="15" width="5.42578125" customWidth="1"/>
    <col min="16" max="16" width="10.42578125" bestFit="1" customWidth="1"/>
    <col min="18" max="18" width="12.5703125" customWidth="1"/>
    <col min="19" max="19" width="11.85546875" customWidth="1"/>
    <col min="20" max="20" width="19.28515625" customWidth="1"/>
    <col min="22" max="22" width="10.85546875" bestFit="1" customWidth="1"/>
  </cols>
  <sheetData>
    <row r="7" spans="4:22" x14ac:dyDescent="0.25">
      <c r="D7" s="82" t="s">
        <v>92</v>
      </c>
      <c r="E7" s="83"/>
      <c r="F7" s="83"/>
      <c r="G7" s="83"/>
      <c r="H7" s="83"/>
      <c r="I7" s="83"/>
      <c r="J7" s="83"/>
      <c r="K7" s="84"/>
      <c r="M7" s="82" t="s">
        <v>93</v>
      </c>
      <c r="N7" s="83"/>
      <c r="O7" s="83"/>
      <c r="P7" s="83"/>
      <c r="Q7" s="83"/>
      <c r="R7" s="83"/>
      <c r="S7" s="83"/>
      <c r="T7" s="83"/>
      <c r="U7" s="83"/>
      <c r="V7" s="83"/>
    </row>
    <row r="8" spans="4:22" ht="45" x14ac:dyDescent="0.25">
      <c r="D8" s="22" t="s">
        <v>94</v>
      </c>
      <c r="E8" s="22" t="s">
        <v>95</v>
      </c>
      <c r="F8" s="22" t="s">
        <v>96</v>
      </c>
      <c r="G8" s="22" t="s">
        <v>4</v>
      </c>
      <c r="H8" s="22" t="s">
        <v>97</v>
      </c>
      <c r="I8" s="22" t="s">
        <v>98</v>
      </c>
      <c r="J8" s="23" t="s">
        <v>99</v>
      </c>
      <c r="K8" s="23" t="s">
        <v>100</v>
      </c>
      <c r="M8" s="22" t="s">
        <v>94</v>
      </c>
      <c r="N8" s="23" t="s">
        <v>101</v>
      </c>
      <c r="O8" s="23" t="s">
        <v>131</v>
      </c>
      <c r="P8" s="22" t="s">
        <v>96</v>
      </c>
      <c r="Q8" s="22" t="s">
        <v>102</v>
      </c>
      <c r="R8" s="23" t="s">
        <v>103</v>
      </c>
      <c r="S8" s="23" t="s">
        <v>130</v>
      </c>
      <c r="T8" s="23" t="s">
        <v>99</v>
      </c>
      <c r="U8" s="23" t="s">
        <v>100</v>
      </c>
      <c r="V8" s="23" t="s">
        <v>132</v>
      </c>
    </row>
    <row r="9" spans="4:22" ht="55.5" customHeight="1" x14ac:dyDescent="0.25">
      <c r="D9" s="24">
        <v>1</v>
      </c>
      <c r="E9" s="24" t="s">
        <v>104</v>
      </c>
      <c r="F9" s="25">
        <v>29395</v>
      </c>
      <c r="G9" s="24">
        <v>911</v>
      </c>
      <c r="H9" s="24" t="s">
        <v>105</v>
      </c>
      <c r="I9" s="26" t="s">
        <v>106</v>
      </c>
      <c r="J9" s="26" t="s">
        <v>107</v>
      </c>
      <c r="K9" s="26">
        <v>1401</v>
      </c>
      <c r="M9" s="24">
        <v>1</v>
      </c>
      <c r="N9" s="26" t="s">
        <v>108</v>
      </c>
      <c r="O9" s="24">
        <v>911</v>
      </c>
      <c r="P9" s="25">
        <v>38919</v>
      </c>
      <c r="Q9" s="25" t="s">
        <v>105</v>
      </c>
      <c r="R9" s="26" t="s">
        <v>109</v>
      </c>
      <c r="S9" s="26" t="s">
        <v>110</v>
      </c>
      <c r="T9" s="26" t="s">
        <v>111</v>
      </c>
      <c r="U9" s="24">
        <v>1401</v>
      </c>
      <c r="V9" s="24">
        <f>99-(2023-1980)</f>
        <v>56</v>
      </c>
    </row>
    <row r="10" spans="4:22" ht="56.25" customHeight="1" x14ac:dyDescent="0.25">
      <c r="D10" s="24">
        <v>2</v>
      </c>
      <c r="E10" s="24" t="s">
        <v>112</v>
      </c>
      <c r="F10" s="25">
        <v>31615</v>
      </c>
      <c r="G10" s="24">
        <v>912</v>
      </c>
      <c r="H10" s="24" t="s">
        <v>105</v>
      </c>
      <c r="I10" s="26" t="s">
        <v>113</v>
      </c>
      <c r="J10" s="26" t="s">
        <v>129</v>
      </c>
      <c r="K10" s="26">
        <v>1611</v>
      </c>
      <c r="M10" s="24">
        <v>2</v>
      </c>
      <c r="N10" s="26" t="s">
        <v>114</v>
      </c>
      <c r="O10" s="24">
        <v>912</v>
      </c>
      <c r="P10" s="25">
        <v>41034</v>
      </c>
      <c r="Q10" s="25" t="s">
        <v>105</v>
      </c>
      <c r="R10" s="26" t="s">
        <v>115</v>
      </c>
      <c r="S10" s="26" t="s">
        <v>110</v>
      </c>
      <c r="T10" s="26" t="s">
        <v>116</v>
      </c>
      <c r="U10" s="26">
        <v>1611</v>
      </c>
      <c r="V10" s="24">
        <f>99-(2023-1986)</f>
        <v>62</v>
      </c>
    </row>
    <row r="11" spans="4:22" x14ac:dyDescent="0.25">
      <c r="D11" s="79" t="s">
        <v>128</v>
      </c>
      <c r="E11" s="80"/>
      <c r="F11" s="80"/>
      <c r="G11" s="80"/>
      <c r="H11" s="80"/>
      <c r="I11" s="80"/>
      <c r="J11" s="81"/>
      <c r="K11" s="28">
        <f>SUM(K9:K10)</f>
        <v>3012</v>
      </c>
      <c r="M11" s="29"/>
      <c r="N11" s="32"/>
      <c r="O11" s="29"/>
      <c r="P11" s="29"/>
      <c r="Q11" s="29"/>
      <c r="R11" s="29"/>
      <c r="S11" s="29"/>
      <c r="T11" s="30"/>
      <c r="U11" s="31"/>
    </row>
    <row r="14" spans="4:22" x14ac:dyDescent="0.25">
      <c r="D14" s="82" t="s">
        <v>117</v>
      </c>
      <c r="E14" s="83"/>
      <c r="F14" s="83"/>
      <c r="G14" s="83"/>
      <c r="H14" s="83"/>
      <c r="I14" s="83"/>
      <c r="J14" s="83"/>
      <c r="K14" s="84"/>
    </row>
    <row r="15" spans="4:22" ht="45" x14ac:dyDescent="0.25">
      <c r="D15" s="22" t="s">
        <v>94</v>
      </c>
      <c r="E15" s="22" t="s">
        <v>95</v>
      </c>
      <c r="F15" s="22" t="s">
        <v>96</v>
      </c>
      <c r="G15" s="22" t="s">
        <v>4</v>
      </c>
      <c r="H15" s="22" t="s">
        <v>118</v>
      </c>
      <c r="I15" s="22" t="s">
        <v>119</v>
      </c>
      <c r="J15" s="23" t="s">
        <v>99</v>
      </c>
      <c r="K15" s="23" t="s">
        <v>100</v>
      </c>
      <c r="Q15" s="33"/>
    </row>
    <row r="16" spans="4:22" ht="88.5" customHeight="1" x14ac:dyDescent="0.25">
      <c r="D16" s="24">
        <v>1</v>
      </c>
      <c r="E16" s="24" t="s">
        <v>120</v>
      </c>
      <c r="F16" s="25">
        <v>34884</v>
      </c>
      <c r="G16" s="24">
        <v>911</v>
      </c>
      <c r="H16" s="26" t="s">
        <v>121</v>
      </c>
      <c r="I16" s="26" t="s">
        <v>122</v>
      </c>
      <c r="J16" s="26" t="s">
        <v>111</v>
      </c>
      <c r="K16" s="26">
        <v>1401</v>
      </c>
    </row>
    <row r="17" spans="4:11" ht="78" customHeight="1" x14ac:dyDescent="0.25">
      <c r="D17" s="24">
        <v>2</v>
      </c>
      <c r="E17" s="24" t="s">
        <v>123</v>
      </c>
      <c r="F17" s="25">
        <v>41065</v>
      </c>
      <c r="G17" s="24">
        <v>912</v>
      </c>
      <c r="H17" s="26" t="s">
        <v>115</v>
      </c>
      <c r="I17" s="26" t="s">
        <v>110</v>
      </c>
      <c r="J17" s="26" t="s">
        <v>116</v>
      </c>
      <c r="K17" s="26">
        <v>1611</v>
      </c>
    </row>
    <row r="18" spans="4:11" x14ac:dyDescent="0.25">
      <c r="D18" s="79"/>
      <c r="E18" s="80"/>
      <c r="F18" s="80"/>
      <c r="G18" s="80"/>
      <c r="H18" s="80"/>
      <c r="I18" s="81"/>
      <c r="J18" s="27"/>
      <c r="K18" s="28"/>
    </row>
  </sheetData>
  <mergeCells count="5">
    <mergeCell ref="D18:I18"/>
    <mergeCell ref="D7:K7"/>
    <mergeCell ref="D14:K14"/>
    <mergeCell ref="M7:V7"/>
    <mergeCell ref="D11:J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U20"/>
  <sheetViews>
    <sheetView topLeftCell="A7" zoomScaleNormal="100" workbookViewId="0">
      <selection activeCell="H23" sqref="H23"/>
    </sheetView>
  </sheetViews>
  <sheetFormatPr defaultColWidth="19.5703125" defaultRowHeight="15" x14ac:dyDescent="0.25"/>
  <cols>
    <col min="1" max="1" width="7.5703125" customWidth="1"/>
    <col min="2" max="2" width="10.140625" customWidth="1"/>
    <col min="3" max="3" width="7.5703125" customWidth="1"/>
    <col min="4" max="4" width="9.85546875" customWidth="1"/>
    <col min="5" max="5" width="9" customWidth="1"/>
    <col min="6" max="6" width="26" customWidth="1"/>
    <col min="7" max="7" width="31.5703125" customWidth="1"/>
    <col min="8" max="8" width="17.28515625" customWidth="1"/>
    <col min="9" max="9" width="15.85546875" customWidth="1"/>
    <col min="11" max="11" width="15.140625" customWidth="1"/>
    <col min="12" max="12" width="13.28515625" customWidth="1"/>
    <col min="13" max="13" width="19.5703125" customWidth="1"/>
    <col min="15" max="15" width="14.5703125" customWidth="1"/>
    <col min="16" max="16" width="15.42578125" customWidth="1"/>
    <col min="17" max="17" width="13.85546875" customWidth="1"/>
    <col min="19" max="19" width="17.28515625" customWidth="1"/>
    <col min="20" max="20" width="14.5703125" customWidth="1"/>
    <col min="21" max="21" width="11.85546875" customWidth="1"/>
  </cols>
  <sheetData>
    <row r="2" spans="1:21" ht="15.75" x14ac:dyDescent="0.25">
      <c r="A2" s="1"/>
      <c r="B2" s="1"/>
      <c r="C2" s="2"/>
      <c r="D2" s="2"/>
      <c r="E2" s="2"/>
      <c r="F2" s="1"/>
      <c r="G2" s="1"/>
      <c r="H2" s="3"/>
      <c r="I2" s="2"/>
      <c r="J2" s="3"/>
      <c r="K2" s="1"/>
      <c r="L2" s="1"/>
      <c r="M2" s="3"/>
      <c r="N2" s="3"/>
      <c r="O2" s="1"/>
      <c r="P2" s="3"/>
      <c r="Q2" s="3"/>
      <c r="R2" s="3"/>
      <c r="S2" s="2"/>
      <c r="T2" s="1"/>
      <c r="U2" s="1"/>
    </row>
    <row r="3" spans="1:21" ht="15.75" x14ac:dyDescent="0.25">
      <c r="A3" s="4" t="s">
        <v>0</v>
      </c>
      <c r="B3" s="4"/>
      <c r="C3" s="5"/>
      <c r="D3" s="5"/>
      <c r="E3" s="5"/>
      <c r="F3" s="6" t="s">
        <v>1</v>
      </c>
      <c r="G3" s="1"/>
      <c r="H3" s="3"/>
      <c r="I3" s="2"/>
      <c r="J3" s="3"/>
      <c r="K3" s="1"/>
      <c r="L3" s="1"/>
      <c r="M3" s="3"/>
      <c r="N3" s="3"/>
      <c r="O3" s="1"/>
      <c r="P3" s="3"/>
      <c r="Q3" s="3"/>
      <c r="R3" s="3"/>
      <c r="S3" s="2"/>
      <c r="T3" s="1"/>
      <c r="U3" s="1"/>
    </row>
    <row r="4" spans="1:21" ht="15.75" x14ac:dyDescent="0.25">
      <c r="A4" s="1"/>
      <c r="B4" s="1"/>
      <c r="C4" s="2"/>
      <c r="D4" s="2"/>
      <c r="E4" s="2"/>
      <c r="F4" s="1"/>
      <c r="G4" s="1"/>
      <c r="H4" s="3"/>
      <c r="I4" s="2"/>
      <c r="J4" s="3"/>
      <c r="K4" s="1"/>
      <c r="L4" s="1"/>
      <c r="M4" s="3"/>
      <c r="N4" s="3"/>
      <c r="O4" s="1"/>
      <c r="P4" s="3"/>
      <c r="Q4" s="3"/>
      <c r="R4" s="3"/>
      <c r="S4" s="2"/>
      <c r="T4" s="1"/>
      <c r="U4" s="1"/>
    </row>
    <row r="5" spans="1:21" ht="63" x14ac:dyDescent="0.25">
      <c r="A5" s="7" t="s">
        <v>2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11</v>
      </c>
      <c r="K5" s="7" t="s">
        <v>12</v>
      </c>
      <c r="L5" s="7" t="s">
        <v>13</v>
      </c>
      <c r="M5" s="7" t="s">
        <v>14</v>
      </c>
      <c r="N5" s="7" t="s">
        <v>15</v>
      </c>
      <c r="O5" s="7" t="s">
        <v>16</v>
      </c>
      <c r="P5" s="7" t="s">
        <v>17</v>
      </c>
      <c r="Q5" s="7" t="s">
        <v>18</v>
      </c>
      <c r="R5" s="7" t="s">
        <v>19</v>
      </c>
      <c r="S5" s="7" t="s">
        <v>20</v>
      </c>
      <c r="T5" s="7" t="s">
        <v>21</v>
      </c>
      <c r="U5" s="7" t="s">
        <v>22</v>
      </c>
    </row>
    <row r="6" spans="1:21" ht="63" x14ac:dyDescent="0.25">
      <c r="A6" s="8">
        <v>1</v>
      </c>
      <c r="B6" s="8" t="s">
        <v>23</v>
      </c>
      <c r="C6" s="8">
        <v>911</v>
      </c>
      <c r="D6" s="8" t="s">
        <v>24</v>
      </c>
      <c r="E6" s="8"/>
      <c r="F6" s="8" t="s">
        <v>25</v>
      </c>
      <c r="G6" s="9" t="s">
        <v>26</v>
      </c>
      <c r="H6" s="10" t="s">
        <v>27</v>
      </c>
      <c r="I6" s="10" t="s">
        <v>28</v>
      </c>
      <c r="J6" s="9" t="s">
        <v>29</v>
      </c>
      <c r="K6" s="8" t="s">
        <v>30</v>
      </c>
      <c r="L6" s="8" t="s">
        <v>31</v>
      </c>
      <c r="M6" s="9" t="s">
        <v>32</v>
      </c>
      <c r="N6" s="10" t="s">
        <v>33</v>
      </c>
      <c r="O6" s="11" t="s">
        <v>34</v>
      </c>
      <c r="P6" s="10" t="s">
        <v>35</v>
      </c>
      <c r="Q6" s="10" t="s">
        <v>36</v>
      </c>
      <c r="R6" s="10" t="s">
        <v>37</v>
      </c>
      <c r="S6" s="9" t="s">
        <v>38</v>
      </c>
      <c r="T6" s="8"/>
      <c r="U6" s="8">
        <v>878</v>
      </c>
    </row>
    <row r="7" spans="1:21" ht="63" x14ac:dyDescent="0.25">
      <c r="A7" s="8">
        <f>A6+1</f>
        <v>2</v>
      </c>
      <c r="B7" s="8" t="s">
        <v>23</v>
      </c>
      <c r="C7" s="8">
        <v>911</v>
      </c>
      <c r="D7" s="8" t="s">
        <v>24</v>
      </c>
      <c r="E7" s="8"/>
      <c r="F7" s="8" t="s">
        <v>39</v>
      </c>
      <c r="G7" s="10" t="s">
        <v>26</v>
      </c>
      <c r="H7" s="10" t="s">
        <v>40</v>
      </c>
      <c r="I7" s="10" t="s">
        <v>28</v>
      </c>
      <c r="J7" s="9" t="s">
        <v>29</v>
      </c>
      <c r="K7" s="8" t="s">
        <v>30</v>
      </c>
      <c r="L7" s="8" t="s">
        <v>31</v>
      </c>
      <c r="M7" s="9" t="s">
        <v>32</v>
      </c>
      <c r="N7" s="10" t="s">
        <v>41</v>
      </c>
      <c r="O7" s="8" t="s">
        <v>31</v>
      </c>
      <c r="P7" s="10" t="s">
        <v>31</v>
      </c>
      <c r="Q7" s="10" t="s">
        <v>31</v>
      </c>
      <c r="R7" s="10" t="s">
        <v>37</v>
      </c>
      <c r="S7" s="9" t="s">
        <v>38</v>
      </c>
      <c r="T7" s="8"/>
      <c r="U7" s="8">
        <v>277</v>
      </c>
    </row>
    <row r="8" spans="1:21" ht="31.5" x14ac:dyDescent="0.25">
      <c r="A8" s="8">
        <f t="shared" ref="A8:A20" si="0">A7+1</f>
        <v>3</v>
      </c>
      <c r="B8" s="8" t="s">
        <v>23</v>
      </c>
      <c r="C8" s="8">
        <v>912</v>
      </c>
      <c r="D8" s="8" t="s">
        <v>24</v>
      </c>
      <c r="E8" s="8"/>
      <c r="F8" s="8" t="s">
        <v>42</v>
      </c>
      <c r="G8" s="8" t="s">
        <v>43</v>
      </c>
      <c r="H8" s="10" t="s">
        <v>44</v>
      </c>
      <c r="I8" s="10" t="s">
        <v>45</v>
      </c>
      <c r="J8" s="9" t="s">
        <v>29</v>
      </c>
      <c r="K8" s="8" t="s">
        <v>46</v>
      </c>
      <c r="L8" s="8" t="s">
        <v>31</v>
      </c>
      <c r="M8" s="10" t="s">
        <v>47</v>
      </c>
      <c r="N8" s="10" t="s">
        <v>48</v>
      </c>
      <c r="O8" s="8" t="s">
        <v>31</v>
      </c>
      <c r="P8" s="10" t="s">
        <v>35</v>
      </c>
      <c r="Q8" s="10" t="s">
        <v>49</v>
      </c>
      <c r="R8" s="10" t="s">
        <v>50</v>
      </c>
      <c r="S8" s="9" t="s">
        <v>38</v>
      </c>
      <c r="T8" s="8">
        <v>2014</v>
      </c>
      <c r="U8" s="8">
        <v>624</v>
      </c>
    </row>
    <row r="9" spans="1:21" ht="47.25" x14ac:dyDescent="0.25">
      <c r="A9" s="8">
        <f t="shared" si="0"/>
        <v>4</v>
      </c>
      <c r="B9" s="8" t="s">
        <v>23</v>
      </c>
      <c r="C9" s="8">
        <v>912</v>
      </c>
      <c r="D9" s="8" t="s">
        <v>24</v>
      </c>
      <c r="E9" s="8"/>
      <c r="F9" s="10" t="s">
        <v>51</v>
      </c>
      <c r="G9" s="8" t="s">
        <v>43</v>
      </c>
      <c r="H9" s="10" t="s">
        <v>31</v>
      </c>
      <c r="I9" s="8" t="s">
        <v>31</v>
      </c>
      <c r="J9" s="9" t="s">
        <v>29</v>
      </c>
      <c r="K9" s="8" t="s">
        <v>31</v>
      </c>
      <c r="L9" s="8" t="s">
        <v>52</v>
      </c>
      <c r="M9" s="10" t="s">
        <v>47</v>
      </c>
      <c r="N9" s="10" t="s">
        <v>53</v>
      </c>
      <c r="O9" s="11" t="s">
        <v>34</v>
      </c>
      <c r="P9" s="10" t="s">
        <v>35</v>
      </c>
      <c r="Q9" s="10" t="s">
        <v>49</v>
      </c>
      <c r="R9" s="10" t="s">
        <v>50</v>
      </c>
      <c r="S9" s="9" t="s">
        <v>38</v>
      </c>
      <c r="T9" s="8">
        <v>2014</v>
      </c>
      <c r="U9" s="8">
        <v>624</v>
      </c>
    </row>
    <row r="10" spans="1:21" ht="31.5" x14ac:dyDescent="0.25">
      <c r="A10" s="8">
        <f t="shared" si="0"/>
        <v>5</v>
      </c>
      <c r="B10" s="8" t="s">
        <v>23</v>
      </c>
      <c r="C10" s="8">
        <v>912</v>
      </c>
      <c r="D10" s="8" t="s">
        <v>24</v>
      </c>
      <c r="E10" s="8"/>
      <c r="F10" s="8" t="s">
        <v>54</v>
      </c>
      <c r="G10" s="8" t="s">
        <v>43</v>
      </c>
      <c r="H10" s="10" t="s">
        <v>44</v>
      </c>
      <c r="I10" s="8" t="s">
        <v>31</v>
      </c>
      <c r="J10" s="9" t="s">
        <v>29</v>
      </c>
      <c r="K10" s="8" t="s">
        <v>55</v>
      </c>
      <c r="L10" s="8" t="s">
        <v>31</v>
      </c>
      <c r="M10" s="10" t="s">
        <v>56</v>
      </c>
      <c r="N10" s="10" t="s">
        <v>57</v>
      </c>
      <c r="O10" s="8" t="s">
        <v>31</v>
      </c>
      <c r="P10" s="12" t="s">
        <v>35</v>
      </c>
      <c r="Q10" s="10" t="s">
        <v>49</v>
      </c>
      <c r="R10" s="12" t="s">
        <v>50</v>
      </c>
      <c r="S10" s="13" t="s">
        <v>38</v>
      </c>
      <c r="T10" s="8">
        <v>2014</v>
      </c>
      <c r="U10" s="8">
        <v>624</v>
      </c>
    </row>
    <row r="11" spans="1:21" ht="31.5" x14ac:dyDescent="0.25">
      <c r="A11" s="8">
        <f t="shared" si="0"/>
        <v>6</v>
      </c>
      <c r="B11" s="8" t="s">
        <v>23</v>
      </c>
      <c r="C11" s="8">
        <v>912</v>
      </c>
      <c r="D11" s="8" t="s">
        <v>24</v>
      </c>
      <c r="E11" s="8"/>
      <c r="F11" s="8" t="s">
        <v>58</v>
      </c>
      <c r="G11" s="8" t="s">
        <v>43</v>
      </c>
      <c r="H11" s="10" t="s">
        <v>44</v>
      </c>
      <c r="I11" s="8" t="s">
        <v>31</v>
      </c>
      <c r="J11" s="9" t="s">
        <v>29</v>
      </c>
      <c r="K11" s="8" t="s">
        <v>55</v>
      </c>
      <c r="L11" s="8" t="s">
        <v>31</v>
      </c>
      <c r="M11" s="10" t="s">
        <v>56</v>
      </c>
      <c r="N11" s="10" t="s">
        <v>33</v>
      </c>
      <c r="O11" s="11" t="s">
        <v>34</v>
      </c>
      <c r="P11" s="12" t="s">
        <v>35</v>
      </c>
      <c r="Q11" s="10" t="s">
        <v>49</v>
      </c>
      <c r="R11" s="12" t="s">
        <v>50</v>
      </c>
      <c r="S11" s="13" t="s">
        <v>38</v>
      </c>
      <c r="T11" s="8">
        <v>2014</v>
      </c>
      <c r="U11" s="8">
        <v>624</v>
      </c>
    </row>
    <row r="12" spans="1:21" ht="31.5" x14ac:dyDescent="0.25">
      <c r="A12" s="8">
        <f t="shared" si="0"/>
        <v>7</v>
      </c>
      <c r="B12" s="8" t="s">
        <v>23</v>
      </c>
      <c r="C12" s="8">
        <v>912</v>
      </c>
      <c r="D12" s="8" t="s">
        <v>24</v>
      </c>
      <c r="E12" s="8"/>
      <c r="F12" s="10" t="s">
        <v>59</v>
      </c>
      <c r="G12" s="8" t="s">
        <v>43</v>
      </c>
      <c r="H12" s="10" t="s">
        <v>44</v>
      </c>
      <c r="I12" s="8" t="s">
        <v>31</v>
      </c>
      <c r="J12" s="9" t="s">
        <v>29</v>
      </c>
      <c r="K12" s="8" t="s">
        <v>55</v>
      </c>
      <c r="L12" s="8" t="s">
        <v>31</v>
      </c>
      <c r="M12" s="10" t="s">
        <v>56</v>
      </c>
      <c r="N12" s="10" t="s">
        <v>33</v>
      </c>
      <c r="O12" s="11" t="s">
        <v>34</v>
      </c>
      <c r="P12" s="12" t="s">
        <v>35</v>
      </c>
      <c r="Q12" s="10" t="s">
        <v>49</v>
      </c>
      <c r="R12" s="12" t="s">
        <v>50</v>
      </c>
      <c r="S12" s="13" t="s">
        <v>38</v>
      </c>
      <c r="T12" s="8">
        <v>2014</v>
      </c>
      <c r="U12" s="8">
        <v>624</v>
      </c>
    </row>
    <row r="13" spans="1:21" ht="31.5" x14ac:dyDescent="0.25">
      <c r="A13" s="8">
        <f t="shared" si="0"/>
        <v>8</v>
      </c>
      <c r="B13" s="8" t="s">
        <v>23</v>
      </c>
      <c r="C13" s="8">
        <v>912</v>
      </c>
      <c r="D13" s="8" t="s">
        <v>24</v>
      </c>
      <c r="E13" s="8"/>
      <c r="F13" s="8" t="s">
        <v>60</v>
      </c>
      <c r="G13" s="8" t="s">
        <v>43</v>
      </c>
      <c r="H13" s="10" t="s">
        <v>31</v>
      </c>
      <c r="I13" s="8" t="s">
        <v>31</v>
      </c>
      <c r="J13" s="9" t="s">
        <v>29</v>
      </c>
      <c r="K13" s="8" t="s">
        <v>31</v>
      </c>
      <c r="L13" s="8" t="s">
        <v>46</v>
      </c>
      <c r="M13" s="10" t="s">
        <v>56</v>
      </c>
      <c r="N13" s="10" t="s">
        <v>33</v>
      </c>
      <c r="O13" s="8" t="s">
        <v>31</v>
      </c>
      <c r="P13" s="10" t="s">
        <v>31</v>
      </c>
      <c r="Q13" s="10" t="s">
        <v>49</v>
      </c>
      <c r="R13" s="10" t="s">
        <v>50</v>
      </c>
      <c r="S13" s="9" t="s">
        <v>38</v>
      </c>
      <c r="T13" s="8">
        <v>2014</v>
      </c>
      <c r="U13" s="8">
        <v>140</v>
      </c>
    </row>
    <row r="14" spans="1:21" ht="47.25" x14ac:dyDescent="0.25">
      <c r="A14" s="8">
        <f t="shared" si="0"/>
        <v>9</v>
      </c>
      <c r="B14" s="8" t="s">
        <v>23</v>
      </c>
      <c r="C14" s="8">
        <v>912</v>
      </c>
      <c r="D14" s="8" t="s">
        <v>24</v>
      </c>
      <c r="E14" s="8"/>
      <c r="F14" s="8" t="s">
        <v>61</v>
      </c>
      <c r="G14" s="8" t="s">
        <v>62</v>
      </c>
      <c r="H14" s="10" t="s">
        <v>31</v>
      </c>
      <c r="I14" s="8" t="s">
        <v>31</v>
      </c>
      <c r="J14" s="9" t="s">
        <v>63</v>
      </c>
      <c r="K14" s="8" t="s">
        <v>31</v>
      </c>
      <c r="L14" s="14" t="s">
        <v>55</v>
      </c>
      <c r="M14" s="9" t="s">
        <v>32</v>
      </c>
      <c r="N14" s="10" t="s">
        <v>33</v>
      </c>
      <c r="O14" s="8" t="s">
        <v>31</v>
      </c>
      <c r="P14" s="10" t="s">
        <v>64</v>
      </c>
      <c r="Q14" s="10" t="s">
        <v>49</v>
      </c>
      <c r="R14" s="10" t="s">
        <v>50</v>
      </c>
      <c r="S14" s="9" t="s">
        <v>38</v>
      </c>
      <c r="T14" s="8">
        <v>2014</v>
      </c>
      <c r="U14" s="8">
        <v>352</v>
      </c>
    </row>
    <row r="15" spans="1:21" ht="47.25" x14ac:dyDescent="0.25">
      <c r="A15" s="8">
        <f t="shared" si="0"/>
        <v>10</v>
      </c>
      <c r="B15" s="8" t="s">
        <v>23</v>
      </c>
      <c r="C15" s="8">
        <v>912</v>
      </c>
      <c r="D15" s="8" t="s">
        <v>24</v>
      </c>
      <c r="E15" s="8"/>
      <c r="F15" s="8" t="s">
        <v>65</v>
      </c>
      <c r="G15" s="8" t="s">
        <v>62</v>
      </c>
      <c r="H15" s="10" t="s">
        <v>31</v>
      </c>
      <c r="I15" s="8" t="s">
        <v>31</v>
      </c>
      <c r="J15" s="9" t="s">
        <v>29</v>
      </c>
      <c r="K15" s="8" t="s">
        <v>46</v>
      </c>
      <c r="L15" s="8" t="s">
        <v>31</v>
      </c>
      <c r="M15" s="9" t="s">
        <v>66</v>
      </c>
      <c r="N15" s="10" t="s">
        <v>67</v>
      </c>
      <c r="O15" s="11" t="s">
        <v>34</v>
      </c>
      <c r="P15" s="10" t="s">
        <v>64</v>
      </c>
      <c r="Q15" s="10" t="s">
        <v>49</v>
      </c>
      <c r="R15" s="10" t="s">
        <v>50</v>
      </c>
      <c r="S15" s="9" t="s">
        <v>38</v>
      </c>
      <c r="T15" s="8">
        <v>2014</v>
      </c>
      <c r="U15" s="8">
        <v>65</v>
      </c>
    </row>
    <row r="16" spans="1:21" ht="31.5" x14ac:dyDescent="0.25">
      <c r="A16" s="8">
        <f t="shared" si="0"/>
        <v>11</v>
      </c>
      <c r="B16" s="8" t="s">
        <v>23</v>
      </c>
      <c r="C16" s="8">
        <v>922</v>
      </c>
      <c r="D16" s="8" t="s">
        <v>24</v>
      </c>
      <c r="E16" s="8"/>
      <c r="F16" s="8" t="s">
        <v>68</v>
      </c>
      <c r="G16" s="8" t="s">
        <v>69</v>
      </c>
      <c r="H16" s="10" t="s">
        <v>70</v>
      </c>
      <c r="I16" s="10" t="s">
        <v>28</v>
      </c>
      <c r="J16" s="9" t="s">
        <v>29</v>
      </c>
      <c r="K16" s="8" t="s">
        <v>30</v>
      </c>
      <c r="L16" s="8" t="s">
        <v>46</v>
      </c>
      <c r="M16" s="9" t="s">
        <v>32</v>
      </c>
      <c r="N16" s="10" t="s">
        <v>48</v>
      </c>
      <c r="O16" s="8" t="s">
        <v>31</v>
      </c>
      <c r="P16" s="10" t="s">
        <v>64</v>
      </c>
      <c r="Q16" s="10" t="s">
        <v>31</v>
      </c>
      <c r="R16" s="10" t="s">
        <v>50</v>
      </c>
      <c r="S16" s="9" t="s">
        <v>38</v>
      </c>
      <c r="T16" s="8">
        <v>2014</v>
      </c>
      <c r="U16" s="8">
        <v>500</v>
      </c>
    </row>
    <row r="17" spans="1:21" ht="31.5" x14ac:dyDescent="0.25">
      <c r="A17" s="8">
        <f t="shared" si="0"/>
        <v>12</v>
      </c>
      <c r="B17" s="8" t="s">
        <v>23</v>
      </c>
      <c r="C17" s="8">
        <v>913</v>
      </c>
      <c r="D17" s="8" t="s">
        <v>24</v>
      </c>
      <c r="E17" s="8"/>
      <c r="F17" s="8" t="s">
        <v>71</v>
      </c>
      <c r="G17" s="8" t="s">
        <v>43</v>
      </c>
      <c r="H17" s="10" t="s">
        <v>31</v>
      </c>
      <c r="I17" s="10" t="s">
        <v>45</v>
      </c>
      <c r="J17" s="9" t="s">
        <v>29</v>
      </c>
      <c r="K17" s="8" t="s">
        <v>46</v>
      </c>
      <c r="L17" s="8" t="s">
        <v>31</v>
      </c>
      <c r="M17" s="10" t="s">
        <v>47</v>
      </c>
      <c r="N17" s="10" t="s">
        <v>72</v>
      </c>
      <c r="O17" s="8" t="s">
        <v>31</v>
      </c>
      <c r="P17" s="10" t="s">
        <v>73</v>
      </c>
      <c r="Q17" s="10" t="s">
        <v>49</v>
      </c>
      <c r="R17" s="10" t="s">
        <v>50</v>
      </c>
      <c r="S17" s="9" t="s">
        <v>38</v>
      </c>
      <c r="T17" s="8">
        <v>2019</v>
      </c>
      <c r="U17" s="8">
        <v>220</v>
      </c>
    </row>
    <row r="18" spans="1:21" ht="47.25" x14ac:dyDescent="0.25">
      <c r="A18" s="8">
        <f t="shared" si="0"/>
        <v>13</v>
      </c>
      <c r="B18" s="8" t="s">
        <v>23</v>
      </c>
      <c r="C18" s="8">
        <v>913</v>
      </c>
      <c r="D18" s="8" t="s">
        <v>24</v>
      </c>
      <c r="E18" s="8"/>
      <c r="F18" s="8" t="s">
        <v>74</v>
      </c>
      <c r="G18" s="8" t="s">
        <v>62</v>
      </c>
      <c r="H18" s="10" t="s">
        <v>44</v>
      </c>
      <c r="I18" s="10" t="s">
        <v>45</v>
      </c>
      <c r="J18" s="9" t="s">
        <v>75</v>
      </c>
      <c r="K18" s="8" t="s">
        <v>76</v>
      </c>
      <c r="L18" s="8" t="s">
        <v>31</v>
      </c>
      <c r="M18" s="9" t="s">
        <v>77</v>
      </c>
      <c r="N18" s="10" t="s">
        <v>67</v>
      </c>
      <c r="O18" s="8" t="s">
        <v>31</v>
      </c>
      <c r="P18" s="10" t="s">
        <v>64</v>
      </c>
      <c r="Q18" s="10" t="s">
        <v>31</v>
      </c>
      <c r="R18" s="10" t="s">
        <v>50</v>
      </c>
      <c r="S18" s="9" t="s">
        <v>38</v>
      </c>
      <c r="T18" s="8">
        <v>2019</v>
      </c>
      <c r="U18" s="8">
        <v>200</v>
      </c>
    </row>
    <row r="19" spans="1:21" ht="31.5" x14ac:dyDescent="0.25">
      <c r="A19" s="8">
        <f t="shared" si="0"/>
        <v>14</v>
      </c>
      <c r="B19" s="8" t="s">
        <v>23</v>
      </c>
      <c r="C19" s="8">
        <v>913</v>
      </c>
      <c r="D19" s="8" t="s">
        <v>24</v>
      </c>
      <c r="E19" s="8"/>
      <c r="F19" s="8" t="s">
        <v>78</v>
      </c>
      <c r="G19" s="8" t="s">
        <v>69</v>
      </c>
      <c r="H19" s="10" t="s">
        <v>31</v>
      </c>
      <c r="I19" s="10" t="s">
        <v>45</v>
      </c>
      <c r="J19" s="10" t="s">
        <v>79</v>
      </c>
      <c r="K19" s="8" t="s">
        <v>46</v>
      </c>
      <c r="L19" s="8" t="s">
        <v>31</v>
      </c>
      <c r="M19" s="9" t="s">
        <v>80</v>
      </c>
      <c r="N19" s="10" t="s">
        <v>81</v>
      </c>
      <c r="O19" s="8" t="s">
        <v>31</v>
      </c>
      <c r="P19" s="10" t="s">
        <v>64</v>
      </c>
      <c r="Q19" s="10" t="s">
        <v>31</v>
      </c>
      <c r="R19" s="10" t="s">
        <v>31</v>
      </c>
      <c r="S19" s="9" t="s">
        <v>38</v>
      </c>
      <c r="T19" s="8">
        <v>2019</v>
      </c>
      <c r="U19" s="8">
        <v>250</v>
      </c>
    </row>
    <row r="20" spans="1:21" ht="15.75" x14ac:dyDescent="0.25">
      <c r="A20" s="8">
        <f t="shared" si="0"/>
        <v>15</v>
      </c>
      <c r="B20" s="8" t="s">
        <v>23</v>
      </c>
      <c r="C20" s="8">
        <v>913</v>
      </c>
      <c r="D20" s="8" t="s">
        <v>24</v>
      </c>
      <c r="E20" s="8"/>
      <c r="F20" s="8" t="s">
        <v>82</v>
      </c>
      <c r="G20" s="8" t="s">
        <v>31</v>
      </c>
      <c r="H20" s="10" t="s">
        <v>31</v>
      </c>
      <c r="I20" s="10" t="s">
        <v>45</v>
      </c>
      <c r="J20" s="10" t="s">
        <v>31</v>
      </c>
      <c r="K20" s="10" t="s">
        <v>31</v>
      </c>
      <c r="L20" s="10" t="s">
        <v>31</v>
      </c>
      <c r="M20" s="10" t="s">
        <v>31</v>
      </c>
      <c r="N20" s="10" t="s">
        <v>81</v>
      </c>
      <c r="O20" s="8" t="s">
        <v>31</v>
      </c>
      <c r="P20" s="8" t="s">
        <v>31</v>
      </c>
      <c r="Q20" s="8" t="s">
        <v>31</v>
      </c>
      <c r="R20" s="8" t="s">
        <v>31</v>
      </c>
      <c r="S20" s="8" t="s">
        <v>31</v>
      </c>
      <c r="T20" s="8">
        <v>2019</v>
      </c>
      <c r="U20" s="8">
        <v>900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>
      <selection activeCell="E8" sqref="E8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Building Working</vt:lpstr>
      <vt:lpstr>Land working</vt:lpstr>
      <vt:lpstr>reference screenshot</vt:lpstr>
      <vt:lpstr>GIDC allotment rate</vt:lpstr>
      <vt:lpstr>Lease deed, Trns.det.,asgn.deed</vt:lpstr>
      <vt:lpstr>client shared</vt:lpstr>
      <vt:lpstr>Boundary Wall Length</vt:lpstr>
      <vt:lpstr>Lenght or Area of Road</vt:lpstr>
      <vt:lpstr>Drainage length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Mohit Agarwal</dc:creator>
  <cp:lastModifiedBy>Mahesh Joshi</cp:lastModifiedBy>
  <dcterms:created xsi:type="dcterms:W3CDTF">2016-02-17T05:50:56Z</dcterms:created>
  <dcterms:modified xsi:type="dcterms:W3CDTF">2025-02-03T06:19:05Z</dcterms:modified>
</cp:coreProperties>
</file>