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achit Gupta\VIS(2024-25)-PL683-614-853_GTL Infra\RK Working Jan 25\"/>
    </mc:Choice>
  </mc:AlternateContent>
  <bookViews>
    <workbookView xWindow="0" yWindow="0" windowWidth="20490" windowHeight="7755" activeTab="1"/>
  </bookViews>
  <sheets>
    <sheet name="P&amp;L" sheetId="1" r:id="rId1"/>
    <sheet name="Enterprise Valuation" sheetId="8" r:id="rId2"/>
    <sheet name="Depreciation" sheetId="9" r:id="rId3"/>
    <sheet name="Model" sheetId="4" state="hidden" r:id="rId4"/>
    <sheet name="Notes" sheetId="3" r:id="rId5"/>
    <sheet name="working &amp; assumptions" sheetId="5" state="hidden" r:id="rId6"/>
    <sheet name="Tenancy Movement" sheetId="6" state="hidden" r:id="rId7"/>
  </sheets>
  <externalReferences>
    <externalReference r:id="rId8"/>
    <externalReference r:id="rId9"/>
  </externalReferences>
  <definedNames>
    <definedName name="_apr15">'[1]Balance Sheet - IND (AS)'!#REF!</definedName>
    <definedName name="_jun16">'[1]Balance Sheet - IND (AS)'!#REF!</definedName>
    <definedName name="_mar16">'[1]Balance Sheet - IND (AS)'!#REF!</definedName>
    <definedName name="Chang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BNAME1">[2]CRITERIA1!$B$11</definedName>
    <definedName name="ESC">#REF!</definedName>
    <definedName name="Impairment">#REF!</definedName>
    <definedName name="SOBNAME1">#REF!</definedName>
    <definedName name="TEST1">#REF!</definedName>
    <definedName name="TESTHKEY">#REF!</definedName>
    <definedName name="TESTKEYS">#REF!</definedName>
    <definedName name="TESTVKE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8" l="1"/>
  <c r="K8" i="1" l="1"/>
  <c r="L8" i="1" s="1"/>
  <c r="M8" i="1" s="1"/>
  <c r="N8" i="1" s="1"/>
  <c r="O8" i="1" s="1"/>
  <c r="P8" i="1" s="1"/>
  <c r="Q8" i="1" s="1"/>
  <c r="P4" i="9"/>
  <c r="Q4" i="9" s="1"/>
  <c r="P5" i="9"/>
  <c r="P6" i="9"/>
  <c r="K9" i="8" s="1"/>
  <c r="K16" i="8"/>
  <c r="L16" i="8"/>
  <c r="K3" i="8"/>
  <c r="L3" i="8" s="1"/>
  <c r="K4" i="8"/>
  <c r="L4" i="8"/>
  <c r="K6" i="8"/>
  <c r="L6" i="8"/>
  <c r="L7" i="8" s="1"/>
  <c r="K7" i="8"/>
  <c r="K10" i="8"/>
  <c r="L10" i="8"/>
  <c r="R6" i="3"/>
  <c r="R27" i="3"/>
  <c r="R28" i="3"/>
  <c r="R29" i="3"/>
  <c r="R30" i="3"/>
  <c r="R31" i="3"/>
  <c r="R32" i="3"/>
  <c r="R33" i="3"/>
  <c r="R14" i="1" s="1"/>
  <c r="Q6" i="3"/>
  <c r="Q27" i="3"/>
  <c r="Q33" i="3" s="1"/>
  <c r="Q14" i="1" s="1"/>
  <c r="Q28" i="3"/>
  <c r="Q29" i="3"/>
  <c r="Q30" i="3"/>
  <c r="Q31" i="3"/>
  <c r="Q32" i="3"/>
  <c r="Q15" i="1"/>
  <c r="R15" i="1" s="1"/>
  <c r="Q10" i="1"/>
  <c r="R10" i="1" s="1"/>
  <c r="Q6" i="1"/>
  <c r="R6" i="1" s="1"/>
  <c r="R8" i="1" l="1"/>
  <c r="Q11" i="1"/>
  <c r="Q12" i="1" s="1"/>
  <c r="Q33" i="1"/>
  <c r="Q16" i="1"/>
  <c r="Q19" i="1" s="1"/>
  <c r="Q18" i="1"/>
  <c r="Q5" i="9"/>
  <c r="Q6" i="9" s="1"/>
  <c r="Q21" i="1"/>
  <c r="D33" i="1"/>
  <c r="E33" i="1"/>
  <c r="F33" i="1"/>
  <c r="G33" i="1"/>
  <c r="G29" i="3"/>
  <c r="G30" i="3"/>
  <c r="D50" i="3"/>
  <c r="E50" i="3"/>
  <c r="F50" i="3"/>
  <c r="G50" i="3"/>
  <c r="C50" i="3"/>
  <c r="C38" i="8"/>
  <c r="C37" i="8"/>
  <c r="C36" i="8"/>
  <c r="C35" i="8"/>
  <c r="C34" i="8"/>
  <c r="D10" i="8"/>
  <c r="E10" i="8"/>
  <c r="F10" i="8"/>
  <c r="G10" i="8"/>
  <c r="H10" i="8"/>
  <c r="I10" i="8"/>
  <c r="J10" i="8"/>
  <c r="C10" i="8"/>
  <c r="D37" i="1"/>
  <c r="E37" i="1"/>
  <c r="F37" i="1"/>
  <c r="G37" i="1"/>
  <c r="C37" i="1"/>
  <c r="D36" i="1"/>
  <c r="E36" i="1"/>
  <c r="F36" i="1"/>
  <c r="G36" i="1"/>
  <c r="C36" i="1"/>
  <c r="D18" i="1"/>
  <c r="D17" i="1"/>
  <c r="D16" i="1"/>
  <c r="D15" i="1"/>
  <c r="D14" i="1"/>
  <c r="D11" i="1"/>
  <c r="C18" i="1"/>
  <c r="C17" i="1"/>
  <c r="C16" i="1"/>
  <c r="C15" i="1"/>
  <c r="C11" i="1"/>
  <c r="G25" i="1"/>
  <c r="G21" i="1"/>
  <c r="G18" i="1"/>
  <c r="G17" i="1"/>
  <c r="G16" i="1"/>
  <c r="G15" i="1"/>
  <c r="G11" i="1"/>
  <c r="F17" i="1"/>
  <c r="F16" i="1"/>
  <c r="F15" i="1"/>
  <c r="E18" i="1"/>
  <c r="E17" i="1"/>
  <c r="E16" i="1"/>
  <c r="E15" i="1"/>
  <c r="F11" i="1"/>
  <c r="E11" i="1"/>
  <c r="F18" i="1"/>
  <c r="G14" i="1"/>
  <c r="F14" i="1"/>
  <c r="E14" i="1"/>
  <c r="C14" i="1"/>
  <c r="F25" i="1"/>
  <c r="E25" i="1"/>
  <c r="D25" i="1"/>
  <c r="C25" i="1"/>
  <c r="C21" i="1"/>
  <c r="D21" i="1"/>
  <c r="E21" i="1"/>
  <c r="F21" i="1"/>
  <c r="G23" i="1"/>
  <c r="F23" i="1"/>
  <c r="E23" i="1"/>
  <c r="D23" i="1"/>
  <c r="C23" i="1"/>
  <c r="H5" i="9"/>
  <c r="G5" i="9"/>
  <c r="F5" i="9"/>
  <c r="E5" i="9"/>
  <c r="D5" i="9"/>
  <c r="E37" i="3"/>
  <c r="E36" i="3"/>
  <c r="F37" i="3"/>
  <c r="F36" i="3"/>
  <c r="G36" i="3"/>
  <c r="G37" i="3"/>
  <c r="G40" i="3"/>
  <c r="G39" i="3"/>
  <c r="F39" i="3"/>
  <c r="F40" i="3"/>
  <c r="E40" i="3"/>
  <c r="E39" i="3"/>
  <c r="D39" i="3"/>
  <c r="D37" i="3"/>
  <c r="D36" i="3"/>
  <c r="D40" i="3"/>
  <c r="C40" i="3"/>
  <c r="C38" i="3"/>
  <c r="C37" i="3"/>
  <c r="C36" i="3"/>
  <c r="E27" i="3"/>
  <c r="E28" i="3"/>
  <c r="E30" i="3"/>
  <c r="E31" i="3"/>
  <c r="E32" i="3"/>
  <c r="D32" i="3"/>
  <c r="D31" i="3"/>
  <c r="D30" i="3"/>
  <c r="D28" i="3"/>
  <c r="D27" i="3"/>
  <c r="C32" i="3"/>
  <c r="C31" i="3"/>
  <c r="C30" i="3"/>
  <c r="C28" i="3"/>
  <c r="C27" i="3"/>
  <c r="F27" i="3"/>
  <c r="F28" i="3"/>
  <c r="F30" i="3"/>
  <c r="F31" i="3"/>
  <c r="F32" i="3"/>
  <c r="G32" i="3"/>
  <c r="G31" i="3"/>
  <c r="G28" i="3"/>
  <c r="G27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2" i="3"/>
  <c r="E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21" i="3"/>
  <c r="D22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G10" i="1"/>
  <c r="D10" i="1"/>
  <c r="E10" i="1"/>
  <c r="F10" i="1"/>
  <c r="C10" i="1"/>
  <c r="I9" i="1"/>
  <c r="G8" i="1"/>
  <c r="F8" i="1"/>
  <c r="E8" i="1"/>
  <c r="D8" i="1"/>
  <c r="C8" i="1"/>
  <c r="G33" i="8"/>
  <c r="G34" i="8" s="1"/>
  <c r="G31" i="8"/>
  <c r="G30" i="8" s="1"/>
  <c r="K29" i="8"/>
  <c r="L29" i="8" s="1"/>
  <c r="I29" i="8"/>
  <c r="H29" i="8" s="1"/>
  <c r="C14" i="8"/>
  <c r="Q20" i="1" l="1"/>
  <c r="Q31" i="1" s="1"/>
  <c r="R18" i="1"/>
  <c r="R33" i="1"/>
  <c r="R16" i="1"/>
  <c r="R19" i="1" s="1"/>
  <c r="R11" i="1"/>
  <c r="R12" i="1" s="1"/>
  <c r="Q22" i="1"/>
  <c r="L9" i="8"/>
  <c r="R21" i="1"/>
  <c r="H50" i="3"/>
  <c r="C39" i="8"/>
  <c r="I27" i="3"/>
  <c r="A6" i="8"/>
  <c r="D6" i="8" s="1"/>
  <c r="D7" i="8" s="1"/>
  <c r="C13" i="8"/>
  <c r="E4" i="8"/>
  <c r="F4" i="8" s="1"/>
  <c r="G4" i="8" s="1"/>
  <c r="H4" i="8" s="1"/>
  <c r="I4" i="8" s="1"/>
  <c r="J4" i="8" s="1"/>
  <c r="R20" i="1" l="1"/>
  <c r="R31" i="1" s="1"/>
  <c r="K5" i="8"/>
  <c r="K8" i="8" s="1"/>
  <c r="K11" i="8" s="1"/>
  <c r="K12" i="8" s="1"/>
  <c r="Q32" i="1"/>
  <c r="K17" i="8"/>
  <c r="L17" i="8"/>
  <c r="C40" i="8"/>
  <c r="C46" i="8" s="1"/>
  <c r="I6" i="8"/>
  <c r="H6" i="8"/>
  <c r="C6" i="8"/>
  <c r="C7" i="8" s="1"/>
  <c r="G6" i="8"/>
  <c r="J6" i="8"/>
  <c r="F6" i="8"/>
  <c r="F7" i="8" s="1"/>
  <c r="E6" i="8"/>
  <c r="E7" i="8"/>
  <c r="R22" i="1" l="1"/>
  <c r="K20" i="8"/>
  <c r="K19" i="8"/>
  <c r="I7" i="8"/>
  <c r="G7" i="8"/>
  <c r="J7" i="8"/>
  <c r="H7" i="8"/>
  <c r="L5" i="8" l="1"/>
  <c r="L8" i="8" s="1"/>
  <c r="L11" i="8" s="1"/>
  <c r="L12" i="8" s="1"/>
  <c r="R32" i="1"/>
  <c r="K21" i="8"/>
  <c r="C16" i="8"/>
  <c r="B3" i="8"/>
  <c r="C3" i="8"/>
  <c r="D3" i="8" s="1"/>
  <c r="E3" i="8" s="1"/>
  <c r="F3" i="8" s="1"/>
  <c r="G3" i="8" s="1"/>
  <c r="H3" i="8" s="1"/>
  <c r="I3" i="8" s="1"/>
  <c r="J3" i="8" s="1"/>
  <c r="D6" i="9"/>
  <c r="D7" i="9" s="1"/>
  <c r="E6" i="9"/>
  <c r="E7" i="9" s="1"/>
  <c r="F6" i="9"/>
  <c r="F7" i="9" s="1"/>
  <c r="G6" i="9"/>
  <c r="G7" i="9" s="1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L18" i="8" l="1"/>
  <c r="L20" i="8" s="1"/>
  <c r="L19" i="8"/>
  <c r="D16" i="8"/>
  <c r="C17" i="8"/>
  <c r="E9" i="9"/>
  <c r="H6" i="9" s="1"/>
  <c r="L21" i="8" l="1"/>
  <c r="I5" i="9"/>
  <c r="I6" i="9" s="1"/>
  <c r="C9" i="8"/>
  <c r="D41" i="4"/>
  <c r="E16" i="8"/>
  <c r="D17" i="8"/>
  <c r="I21" i="1"/>
  <c r="J21" i="1" l="1"/>
  <c r="D9" i="8"/>
  <c r="E41" i="4"/>
  <c r="F16" i="8"/>
  <c r="E17" i="8"/>
  <c r="J5" i="9"/>
  <c r="J6" i="9" s="1"/>
  <c r="K21" i="1" l="1"/>
  <c r="F41" i="4"/>
  <c r="E9" i="8"/>
  <c r="G16" i="8"/>
  <c r="F17" i="8"/>
  <c r="K5" i="9"/>
  <c r="H16" i="8" l="1"/>
  <c r="G17" i="8"/>
  <c r="K6" i="9"/>
  <c r="L5" i="9" s="1"/>
  <c r="L6" i="9" s="1"/>
  <c r="H41" i="4" l="1"/>
  <c r="G9" i="8"/>
  <c r="L21" i="1"/>
  <c r="F9" i="8"/>
  <c r="G41" i="4"/>
  <c r="I16" i="8"/>
  <c r="H17" i="8"/>
  <c r="M5" i="9"/>
  <c r="M6" i="9" s="1"/>
  <c r="M21" i="1"/>
  <c r="H9" i="8" l="1"/>
  <c r="I41" i="4"/>
  <c r="J16" i="8"/>
  <c r="J17" i="8" s="1"/>
  <c r="I17" i="8"/>
  <c r="N5" i="9"/>
  <c r="N21" i="1"/>
  <c r="N6" i="9" l="1"/>
  <c r="O21" i="1" l="1"/>
  <c r="J41" i="4"/>
  <c r="I9" i="8"/>
  <c r="O5" i="9"/>
  <c r="O6" i="9" s="1"/>
  <c r="P21" i="1" l="1"/>
  <c r="K41" i="4"/>
  <c r="J9" i="8"/>
  <c r="I31" i="3"/>
  <c r="J31" i="3" s="1"/>
  <c r="J32" i="3"/>
  <c r="K32" i="3" s="1"/>
  <c r="L32" i="3" s="1"/>
  <c r="I32" i="3"/>
  <c r="I30" i="3"/>
  <c r="J30" i="3" s="1"/>
  <c r="K30" i="3" s="1"/>
  <c r="L30" i="3" s="1"/>
  <c r="M30" i="3" s="1"/>
  <c r="N30" i="3" s="1"/>
  <c r="O30" i="3" s="1"/>
  <c r="P30" i="3" s="1"/>
  <c r="I29" i="3"/>
  <c r="J29" i="3" s="1"/>
  <c r="K29" i="3" s="1"/>
  <c r="L29" i="3" s="1"/>
  <c r="M29" i="3" s="1"/>
  <c r="N29" i="3" s="1"/>
  <c r="O29" i="3" s="1"/>
  <c r="P29" i="3" s="1"/>
  <c r="I28" i="3"/>
  <c r="J28" i="3" s="1"/>
  <c r="K28" i="3" s="1"/>
  <c r="L28" i="3" s="1"/>
  <c r="M28" i="3" s="1"/>
  <c r="N28" i="3" s="1"/>
  <c r="O28" i="3" s="1"/>
  <c r="P28" i="3" s="1"/>
  <c r="J27" i="3"/>
  <c r="K27" i="3" s="1"/>
  <c r="L27" i="3" s="1"/>
  <c r="M27" i="3" s="1"/>
  <c r="N27" i="3" s="1"/>
  <c r="O27" i="3" s="1"/>
  <c r="P27" i="3" s="1"/>
  <c r="I15" i="1"/>
  <c r="J15" i="1" s="1"/>
  <c r="K15" i="1" s="1"/>
  <c r="L15" i="1" s="1"/>
  <c r="M15" i="1" s="1"/>
  <c r="N15" i="1" s="1"/>
  <c r="O15" i="1" s="1"/>
  <c r="D43" i="3"/>
  <c r="D44" i="3" s="1"/>
  <c r="E43" i="3"/>
  <c r="E44" i="3" s="1"/>
  <c r="F43" i="3"/>
  <c r="F44" i="3" s="1"/>
  <c r="G43" i="3"/>
  <c r="G44" i="3" s="1"/>
  <c r="C43" i="3"/>
  <c r="C44" i="3" s="1"/>
  <c r="I10" i="1"/>
  <c r="I8" i="1"/>
  <c r="D11" i="6"/>
  <c r="C11" i="6"/>
  <c r="E10" i="6"/>
  <c r="E9" i="6"/>
  <c r="F8" i="6"/>
  <c r="E8" i="6"/>
  <c r="E11" i="6" s="1"/>
  <c r="F11" i="6" s="1"/>
  <c r="E7" i="6"/>
  <c r="E6" i="6"/>
  <c r="F5" i="6"/>
  <c r="E5" i="6"/>
  <c r="E4" i="6"/>
  <c r="E3" i="6"/>
  <c r="D35" i="4"/>
  <c r="C30" i="4"/>
  <c r="C29" i="4"/>
  <c r="D27" i="4"/>
  <c r="C27" i="4"/>
  <c r="C37" i="4" s="1"/>
  <c r="F25" i="4"/>
  <c r="G25" i="4" s="1"/>
  <c r="H25" i="4" s="1"/>
  <c r="I25" i="4" s="1"/>
  <c r="J25" i="4" s="1"/>
  <c r="K25" i="4" s="1"/>
  <c r="L25" i="4" s="1"/>
  <c r="M25" i="4" s="1"/>
  <c r="E25" i="4"/>
  <c r="G24" i="4"/>
  <c r="H24" i="4" s="1"/>
  <c r="I24" i="4" s="1"/>
  <c r="J24" i="4" s="1"/>
  <c r="K24" i="4" s="1"/>
  <c r="L24" i="4" s="1"/>
  <c r="M24" i="4" s="1"/>
  <c r="F24" i="4"/>
  <c r="E24" i="4"/>
  <c r="E23" i="4"/>
  <c r="F23" i="4" s="1"/>
  <c r="G23" i="4" s="1"/>
  <c r="H23" i="4" s="1"/>
  <c r="I23" i="4" s="1"/>
  <c r="J23" i="4" s="1"/>
  <c r="K23" i="4" s="1"/>
  <c r="L23" i="4" s="1"/>
  <c r="M23" i="4" s="1"/>
  <c r="E22" i="4"/>
  <c r="F22" i="4" s="1"/>
  <c r="G22" i="4" s="1"/>
  <c r="H22" i="4" s="1"/>
  <c r="I22" i="4" s="1"/>
  <c r="J22" i="4" s="1"/>
  <c r="K22" i="4" s="1"/>
  <c r="L22" i="4" s="1"/>
  <c r="M22" i="4" s="1"/>
  <c r="F21" i="4"/>
  <c r="G21" i="4" s="1"/>
  <c r="H21" i="4" s="1"/>
  <c r="I21" i="4" s="1"/>
  <c r="J21" i="4" s="1"/>
  <c r="K21" i="4" s="1"/>
  <c r="L21" i="4" s="1"/>
  <c r="M21" i="4" s="1"/>
  <c r="E21" i="4"/>
  <c r="G20" i="4"/>
  <c r="H20" i="4" s="1"/>
  <c r="I20" i="4" s="1"/>
  <c r="J20" i="4" s="1"/>
  <c r="K20" i="4" s="1"/>
  <c r="L20" i="4" s="1"/>
  <c r="M20" i="4" s="1"/>
  <c r="F20" i="4"/>
  <c r="E20" i="4"/>
  <c r="E18" i="4"/>
  <c r="D11" i="4"/>
  <c r="D37" i="4" s="1"/>
  <c r="C11" i="4"/>
  <c r="E8" i="4"/>
  <c r="F8" i="4" s="1"/>
  <c r="G8" i="4" s="1"/>
  <c r="H8" i="4" s="1"/>
  <c r="I8" i="4" s="1"/>
  <c r="J8" i="4" s="1"/>
  <c r="K8" i="4" s="1"/>
  <c r="L8" i="4" s="1"/>
  <c r="M8" i="4" s="1"/>
  <c r="E7" i="4"/>
  <c r="F7" i="4" s="1"/>
  <c r="D5" i="4"/>
  <c r="E5" i="4" s="1"/>
  <c r="F5" i="4" s="1"/>
  <c r="G5" i="4" s="1"/>
  <c r="H5" i="4" s="1"/>
  <c r="I5" i="4" s="1"/>
  <c r="J5" i="4" s="1"/>
  <c r="K5" i="4" s="1"/>
  <c r="L5" i="4" s="1"/>
  <c r="M5" i="4" s="1"/>
  <c r="E23" i="3"/>
  <c r="E46" i="3" s="1"/>
  <c r="E47" i="3" s="1"/>
  <c r="D23" i="3"/>
  <c r="D46" i="3" s="1"/>
  <c r="D47" i="3" s="1"/>
  <c r="C23" i="3"/>
  <c r="C46" i="3" s="1"/>
  <c r="C47" i="3" s="1"/>
  <c r="E33" i="3"/>
  <c r="D33" i="3"/>
  <c r="C33" i="3"/>
  <c r="E41" i="3"/>
  <c r="D41" i="3"/>
  <c r="C41" i="3"/>
  <c r="G41" i="3"/>
  <c r="F41" i="3"/>
  <c r="G33" i="3"/>
  <c r="F33" i="3"/>
  <c r="F23" i="3"/>
  <c r="F46" i="3" s="1"/>
  <c r="F47" i="3" s="1"/>
  <c r="G23" i="3"/>
  <c r="G46" i="3" s="1"/>
  <c r="G47" i="3" s="1"/>
  <c r="D6" i="3"/>
  <c r="E6" i="3" s="1"/>
  <c r="F6" i="3" s="1"/>
  <c r="G6" i="3" s="1"/>
  <c r="I6" i="3" s="1"/>
  <c r="H36" i="1"/>
  <c r="H37" i="1"/>
  <c r="I33" i="1"/>
  <c r="H33" i="1"/>
  <c r="H19" i="1"/>
  <c r="H12" i="1"/>
  <c r="D19" i="1"/>
  <c r="E19" i="1"/>
  <c r="F19" i="1"/>
  <c r="G19" i="1"/>
  <c r="C19" i="1"/>
  <c r="J10" i="1" l="1"/>
  <c r="K10" i="1" s="1"/>
  <c r="L10" i="1" s="1"/>
  <c r="M10" i="1" s="1"/>
  <c r="N10" i="1" s="1"/>
  <c r="O10" i="1" s="1"/>
  <c r="P10" i="1" s="1"/>
  <c r="I16" i="1"/>
  <c r="I33" i="3"/>
  <c r="I14" i="1" s="1"/>
  <c r="J33" i="3"/>
  <c r="J14" i="1" s="1"/>
  <c r="K31" i="3"/>
  <c r="M32" i="3"/>
  <c r="H47" i="3"/>
  <c r="I18" i="1" s="1"/>
  <c r="J6" i="3"/>
  <c r="K6" i="3" s="1"/>
  <c r="L6" i="3" s="1"/>
  <c r="M6" i="3" s="1"/>
  <c r="N6" i="3" s="1"/>
  <c r="O6" i="3" s="1"/>
  <c r="P6" i="3" s="1"/>
  <c r="H44" i="3"/>
  <c r="I11" i="1" s="1"/>
  <c r="J8" i="1"/>
  <c r="J16" i="1" s="1"/>
  <c r="P15" i="1"/>
  <c r="H20" i="1"/>
  <c r="F11" i="4"/>
  <c r="G7" i="4"/>
  <c r="F18" i="4"/>
  <c r="C35" i="4"/>
  <c r="E11" i="4"/>
  <c r="J11" i="1" l="1"/>
  <c r="L31" i="3"/>
  <c r="K33" i="3"/>
  <c r="K14" i="1" s="1"/>
  <c r="N32" i="3"/>
  <c r="I19" i="1"/>
  <c r="J18" i="1"/>
  <c r="J33" i="1"/>
  <c r="H22" i="1"/>
  <c r="H31" i="1"/>
  <c r="H7" i="4"/>
  <c r="G11" i="4"/>
  <c r="G18" i="4"/>
  <c r="F35" i="4"/>
  <c r="F37" i="4" s="1"/>
  <c r="E26" i="4"/>
  <c r="F26" i="4"/>
  <c r="F27" i="4" s="1"/>
  <c r="K11" i="1" l="1"/>
  <c r="K16" i="1"/>
  <c r="J19" i="1"/>
  <c r="M31" i="3"/>
  <c r="L33" i="3"/>
  <c r="L14" i="1" s="1"/>
  <c r="O32" i="3"/>
  <c r="K18" i="1"/>
  <c r="K33" i="1"/>
  <c r="H24" i="1"/>
  <c r="H26" i="1" s="1"/>
  <c r="H28" i="1" s="1"/>
  <c r="H32" i="1"/>
  <c r="E35" i="4"/>
  <c r="E37" i="4" s="1"/>
  <c r="E27" i="4"/>
  <c r="H18" i="4"/>
  <c r="G27" i="4"/>
  <c r="G26" i="4"/>
  <c r="G35" i="4" s="1"/>
  <c r="G37" i="4" s="1"/>
  <c r="H11" i="4"/>
  <c r="I7" i="4"/>
  <c r="L11" i="1" l="1"/>
  <c r="L16" i="1"/>
  <c r="M16" i="1"/>
  <c r="N31" i="3"/>
  <c r="M33" i="3"/>
  <c r="M14" i="1" s="1"/>
  <c r="P32" i="3"/>
  <c r="L33" i="1"/>
  <c r="L18" i="1"/>
  <c r="K19" i="1"/>
  <c r="I18" i="4"/>
  <c r="H26" i="4"/>
  <c r="H35" i="4" s="1"/>
  <c r="H37" i="4" s="1"/>
  <c r="J7" i="4"/>
  <c r="I11" i="4"/>
  <c r="O16" i="1" l="1"/>
  <c r="N16" i="1"/>
  <c r="N18" i="1"/>
  <c r="N33" i="1"/>
  <c r="M11" i="1"/>
  <c r="M12" i="1" s="1"/>
  <c r="M18" i="1"/>
  <c r="M19" i="1" s="1"/>
  <c r="M33" i="1"/>
  <c r="O11" i="1"/>
  <c r="O12" i="1" s="1"/>
  <c r="N11" i="1"/>
  <c r="N12" i="1" s="1"/>
  <c r="O31" i="3"/>
  <c r="N33" i="3"/>
  <c r="N14" i="1" s="1"/>
  <c r="L19" i="1"/>
  <c r="O18" i="1"/>
  <c r="O33" i="1"/>
  <c r="P16" i="1"/>
  <c r="I26" i="4"/>
  <c r="H27" i="4"/>
  <c r="J11" i="4"/>
  <c r="K7" i="4"/>
  <c r="I35" i="4"/>
  <c r="I37" i="4" s="1"/>
  <c r="I27" i="4"/>
  <c r="J18" i="4"/>
  <c r="N19" i="1" l="1"/>
  <c r="N20" i="1" s="1"/>
  <c r="N22" i="1" s="1"/>
  <c r="H5" i="8" s="1"/>
  <c r="H8" i="8" s="1"/>
  <c r="H11" i="8" s="1"/>
  <c r="H12" i="8" s="1"/>
  <c r="H19" i="8" s="1"/>
  <c r="H21" i="8" s="1"/>
  <c r="M20" i="1"/>
  <c r="M22" i="1" s="1"/>
  <c r="G5" i="8" s="1"/>
  <c r="G8" i="8" s="1"/>
  <c r="G11" i="8" s="1"/>
  <c r="G12" i="8" s="1"/>
  <c r="G19" i="8" s="1"/>
  <c r="G21" i="8" s="1"/>
  <c r="P11" i="1"/>
  <c r="P12" i="1" s="1"/>
  <c r="P31" i="3"/>
  <c r="P33" i="3" s="1"/>
  <c r="P14" i="1" s="1"/>
  <c r="O33" i="3"/>
  <c r="O14" i="1" s="1"/>
  <c r="O19" i="1" s="1"/>
  <c r="O20" i="1" s="1"/>
  <c r="P18" i="1"/>
  <c r="P33" i="1"/>
  <c r="J26" i="4"/>
  <c r="K18" i="4"/>
  <c r="J35" i="4"/>
  <c r="J37" i="4" s="1"/>
  <c r="J27" i="4"/>
  <c r="L7" i="4"/>
  <c r="K11" i="4"/>
  <c r="M31" i="1" l="1"/>
  <c r="N32" i="1"/>
  <c r="N31" i="1"/>
  <c r="P19" i="1"/>
  <c r="P20" i="1" s="1"/>
  <c r="P22" i="1" s="1"/>
  <c r="J5" i="8" s="1"/>
  <c r="J8" i="8" s="1"/>
  <c r="J11" i="8" s="1"/>
  <c r="J12" i="8" s="1"/>
  <c r="O31" i="1"/>
  <c r="O22" i="1"/>
  <c r="M32" i="1"/>
  <c r="L18" i="4"/>
  <c r="K26" i="4"/>
  <c r="K27" i="4" s="1"/>
  <c r="L11" i="4"/>
  <c r="M7" i="4"/>
  <c r="M11" i="4" s="1"/>
  <c r="J19" i="8" l="1"/>
  <c r="J20" i="8"/>
  <c r="O32" i="1"/>
  <c r="I5" i="8"/>
  <c r="I8" i="8" s="1"/>
  <c r="I11" i="8" s="1"/>
  <c r="I12" i="8" s="1"/>
  <c r="I19" i="8" s="1"/>
  <c r="I21" i="8" s="1"/>
  <c r="P31" i="1"/>
  <c r="P32" i="1"/>
  <c r="K35" i="4"/>
  <c r="K37" i="4" s="1"/>
  <c r="M26" i="4"/>
  <c r="L26" i="4"/>
  <c r="L35" i="4" s="1"/>
  <c r="L37" i="4" s="1"/>
  <c r="M18" i="4"/>
  <c r="J21" i="8" l="1"/>
  <c r="L27" i="4"/>
  <c r="M35" i="4"/>
  <c r="M37" i="4" s="1"/>
  <c r="M27" i="4"/>
  <c r="D12" i="1" l="1"/>
  <c r="D20" i="1" s="1"/>
  <c r="D31" i="1" s="1"/>
  <c r="E12" i="1"/>
  <c r="E20" i="1" s="1"/>
  <c r="E31" i="1" s="1"/>
  <c r="F12" i="1"/>
  <c r="F20" i="1" s="1"/>
  <c r="F31" i="1" s="1"/>
  <c r="G12" i="1"/>
  <c r="G20" i="1" s="1"/>
  <c r="G31" i="1" s="1"/>
  <c r="I12" i="1"/>
  <c r="I20" i="1" s="1"/>
  <c r="J12" i="1"/>
  <c r="J20" i="1" s="1"/>
  <c r="K12" i="1"/>
  <c r="K20" i="1" s="1"/>
  <c r="L12" i="1"/>
  <c r="L20" i="1" s="1"/>
  <c r="C12" i="1"/>
  <c r="C20" i="1" s="1"/>
  <c r="C31" i="1" s="1"/>
  <c r="D6" i="1"/>
  <c r="E6" i="1" s="1"/>
  <c r="F6" i="1" s="1"/>
  <c r="G22" i="1" l="1"/>
  <c r="G32" i="1" s="1"/>
  <c r="K22" i="1"/>
  <c r="E5" i="8" s="1"/>
  <c r="E8" i="8" s="1"/>
  <c r="E11" i="8" s="1"/>
  <c r="E12" i="8" s="1"/>
  <c r="E19" i="8" s="1"/>
  <c r="E21" i="8" s="1"/>
  <c r="K31" i="1"/>
  <c r="F22" i="1"/>
  <c r="F32" i="1" s="1"/>
  <c r="L22" i="1"/>
  <c r="F5" i="8" s="1"/>
  <c r="F8" i="8" s="1"/>
  <c r="F11" i="8" s="1"/>
  <c r="F12" i="8" s="1"/>
  <c r="F19" i="8" s="1"/>
  <c r="F21" i="8" s="1"/>
  <c r="L31" i="1"/>
  <c r="E22" i="1"/>
  <c r="E32" i="1" s="1"/>
  <c r="J22" i="1"/>
  <c r="D5" i="8" s="1"/>
  <c r="D8" i="8" s="1"/>
  <c r="D11" i="8" s="1"/>
  <c r="D12" i="8" s="1"/>
  <c r="D19" i="8" s="1"/>
  <c r="D21" i="8" s="1"/>
  <c r="J31" i="1"/>
  <c r="C22" i="1"/>
  <c r="C32" i="1" s="1"/>
  <c r="I22" i="1"/>
  <c r="C5" i="8" s="1"/>
  <c r="C8" i="8" s="1"/>
  <c r="C11" i="8" s="1"/>
  <c r="C12" i="8" s="1"/>
  <c r="C19" i="8" s="1"/>
  <c r="C21" i="8" s="1"/>
  <c r="I31" i="1"/>
  <c r="D22" i="1"/>
  <c r="D32" i="1" s="1"/>
  <c r="G6" i="1"/>
  <c r="H6" i="1" s="1"/>
  <c r="I6" i="1" s="1"/>
  <c r="J6" i="1" s="1"/>
  <c r="K6" i="1" s="1"/>
  <c r="L6" i="1" s="1"/>
  <c r="M6" i="1" s="1"/>
  <c r="N6" i="1" s="1"/>
  <c r="O6" i="1" s="1"/>
  <c r="P6" i="1" s="1"/>
  <c r="C22" i="8" l="1"/>
  <c r="I32" i="1"/>
  <c r="J32" i="1"/>
  <c r="L32" i="1"/>
  <c r="K32" i="1"/>
  <c r="D24" i="1"/>
  <c r="D26" i="1" s="1"/>
  <c r="D28" i="1" s="1"/>
  <c r="C24" i="1"/>
  <c r="C26" i="1" s="1"/>
  <c r="C28" i="1" s="1"/>
  <c r="E24" i="1"/>
  <c r="E26" i="1" s="1"/>
  <c r="E28" i="1" s="1"/>
  <c r="F24" i="1"/>
  <c r="F26" i="1" s="1"/>
  <c r="F28" i="1" s="1"/>
  <c r="G24" i="1"/>
  <c r="G26" i="1" s="1"/>
  <c r="G28" i="1" s="1"/>
  <c r="C45" i="8" l="1"/>
  <c r="C47" i="8" s="1"/>
  <c r="G29" i="8" s="1"/>
</calcChain>
</file>

<file path=xl/sharedStrings.xml><?xml version="1.0" encoding="utf-8"?>
<sst xmlns="http://schemas.openxmlformats.org/spreadsheetml/2006/main" count="221" uniqueCount="174">
  <si>
    <t>GTL Infrastructure Limited</t>
  </si>
  <si>
    <t>Profit &amp; Loss Account</t>
  </si>
  <si>
    <t>Particulars</t>
  </si>
  <si>
    <t>Income:</t>
  </si>
  <si>
    <t>Revenue from Operations</t>
  </si>
  <si>
    <t>Other Income</t>
  </si>
  <si>
    <t>Total Revenue</t>
  </si>
  <si>
    <t>Expenses:</t>
  </si>
  <si>
    <t>Infrastructure O&amp;M Cost</t>
  </si>
  <si>
    <t>Employee Benefit Cost</t>
  </si>
  <si>
    <t xml:space="preserve">Bad Debts &amp; Prov. </t>
  </si>
  <si>
    <t>Exchange Differences (Net)</t>
  </si>
  <si>
    <t>Other Expenses</t>
  </si>
  <si>
    <t>Total Operating Expenses</t>
  </si>
  <si>
    <t>EBITDA</t>
  </si>
  <si>
    <t>Less: Depreciation</t>
  </si>
  <si>
    <t>EBIT</t>
  </si>
  <si>
    <t>Less: Finance Costs</t>
  </si>
  <si>
    <t>Profit before exceptional items &amp; tax</t>
  </si>
  <si>
    <t>Less: Exceptional Items</t>
  </si>
  <si>
    <t>PBT</t>
  </si>
  <si>
    <t>Less: Taxes</t>
  </si>
  <si>
    <t>PAT</t>
  </si>
  <si>
    <t>EBITDA Margin</t>
  </si>
  <si>
    <t>EBIT Margin</t>
  </si>
  <si>
    <t>Revenue Growth Rate</t>
  </si>
  <si>
    <t>O&amp;M % of Revenue</t>
  </si>
  <si>
    <t>Short-term Lease</t>
  </si>
  <si>
    <t>Property Taxes</t>
  </si>
  <si>
    <t>Electricity</t>
  </si>
  <si>
    <t>R&amp;M - Office Equipments</t>
  </si>
  <si>
    <t>Insurance</t>
  </si>
  <si>
    <t>Communication Cost</t>
  </si>
  <si>
    <t>Travel &amp; Conveyance</t>
  </si>
  <si>
    <t>Legal &amp; Professional Charges</t>
  </si>
  <si>
    <t>Payment to Auditors</t>
  </si>
  <si>
    <t>Office Expenses</t>
  </si>
  <si>
    <t>Printing &amp; Stationary</t>
  </si>
  <si>
    <t>Directors Fees</t>
  </si>
  <si>
    <t>Advertisement</t>
  </si>
  <si>
    <t>Loss on Sale of Asset</t>
  </si>
  <si>
    <t>Misc. Expense</t>
  </si>
  <si>
    <t>Total</t>
  </si>
  <si>
    <t>Infrastructure O&amp;M</t>
  </si>
  <si>
    <t>Short-term Lease - Site Rentals</t>
  </si>
  <si>
    <t>Power, Fuel &amp; Maintenance Charges</t>
  </si>
  <si>
    <t>R&amp;M - PE</t>
  </si>
  <si>
    <t>Stores &amp; Spares</t>
  </si>
  <si>
    <t>Other Operating Expense</t>
  </si>
  <si>
    <t>Interest Income</t>
  </si>
  <si>
    <t>Misc. Income</t>
  </si>
  <si>
    <t>Extinguishment of Liab.</t>
  </si>
  <si>
    <t>Diff. on measurement of financial instruments at FV through P&amp;L</t>
  </si>
  <si>
    <t>Profit on Sale of Investments</t>
  </si>
  <si>
    <t>GTL INFRASTRUCTURE LIMITED</t>
  </si>
  <si>
    <t>Rs. in Crores</t>
  </si>
  <si>
    <t>Revenue</t>
  </si>
  <si>
    <t xml:space="preserve">IPF </t>
  </si>
  <si>
    <t>Energy &amp; Reimbursements</t>
  </si>
  <si>
    <t>IndAS revenue</t>
  </si>
  <si>
    <t>MSA renegotiation one time</t>
  </si>
  <si>
    <t>Exceptional Revenue/Ind As</t>
  </si>
  <si>
    <t>Operating Expenses</t>
  </si>
  <si>
    <t>Infrastructure O &amp; M Costs</t>
  </si>
  <si>
    <t>Rentals</t>
  </si>
  <si>
    <t>Power, Fuel &amp; Maintenance</t>
  </si>
  <si>
    <t>Power &amp; fuel etc</t>
  </si>
  <si>
    <t>Ome</t>
  </si>
  <si>
    <t>Repairs &amp; Maintenance</t>
  </si>
  <si>
    <t>Other Operating Expenditure</t>
  </si>
  <si>
    <t>Employee Benefits Expenses</t>
  </si>
  <si>
    <t>Admin Expenses</t>
  </si>
  <si>
    <t>Provisions and Balances w/off</t>
  </si>
  <si>
    <t>IndAS adjustment- Rou &amp; Lease Liability</t>
  </si>
  <si>
    <t>Non operating/one time expenses</t>
  </si>
  <si>
    <t>Finance Costs</t>
  </si>
  <si>
    <t>Depreciation</t>
  </si>
  <si>
    <t>Exchange Differences (net)</t>
  </si>
  <si>
    <t>Total Expenses</t>
  </si>
  <si>
    <t>Capex</t>
  </si>
  <si>
    <t>Working Assumptions</t>
  </si>
  <si>
    <t>Notes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</si>
  <si>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</si>
  <si>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</si>
  <si>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</si>
  <si>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</si>
  <si>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</si>
  <si>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</si>
  <si>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</si>
  <si>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</si>
  <si>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</si>
  <si>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IPF</t>
  </si>
  <si>
    <t>Refer tenancy movement sheet</t>
  </si>
  <si>
    <t>Energy</t>
  </si>
  <si>
    <t>Pass through</t>
  </si>
  <si>
    <t>Escalation as per agreement</t>
  </si>
  <si>
    <t>Estimated Inflation in costs</t>
  </si>
  <si>
    <t xml:space="preserve">Other operating </t>
  </si>
  <si>
    <t>Site Rent</t>
  </si>
  <si>
    <t>Employees cost</t>
  </si>
  <si>
    <t>Current cost- Rs in Cr per month</t>
  </si>
  <si>
    <t>Increment %</t>
  </si>
  <si>
    <t>Incentives no. of months CTC</t>
  </si>
  <si>
    <t>Average increase post 2526</t>
  </si>
  <si>
    <t xml:space="preserve">Estimated provisions </t>
  </si>
  <si>
    <t>Year</t>
  </si>
  <si>
    <t>Movement</t>
  </si>
  <si>
    <t>FPT</t>
  </si>
  <si>
    <t>EQ</t>
  </si>
  <si>
    <t>Net</t>
  </si>
  <si>
    <t>Mar'21</t>
  </si>
  <si>
    <t>Closing</t>
  </si>
  <si>
    <t>Addition</t>
  </si>
  <si>
    <t>Exits</t>
  </si>
  <si>
    <t>Mar'22</t>
  </si>
  <si>
    <t>Mar'23</t>
  </si>
  <si>
    <t>Mar'24</t>
  </si>
  <si>
    <r>
      <t>ü</t>
    </r>
    <r>
      <rPr>
        <sz val="11"/>
        <color rgb="FF000000"/>
        <rFont val="Segoe UI"/>
        <family val="2"/>
      </rPr>
      <t>More than 2,000 tenancies lost during the period of last 3 years</t>
    </r>
  </si>
  <si>
    <r>
      <t>ü</t>
    </r>
    <r>
      <rPr>
        <sz val="11"/>
        <color rgb="FF000000"/>
        <rFont val="Segoe UI"/>
        <family val="2"/>
      </rPr>
      <t>According to recent trend, the Company is primarily securing EQ tenancies</t>
    </r>
  </si>
  <si>
    <r>
      <t>ü</t>
    </r>
    <r>
      <rPr>
        <sz val="11"/>
        <color rgb="FF000000"/>
        <rFont val="Segoe UI"/>
        <family val="2"/>
      </rPr>
      <t>Considering impact of exits and addition of primarily EQ tenancies, the Company has considered only escalation as per MSA</t>
    </r>
  </si>
  <si>
    <t xml:space="preserve">6000 tenancies out lock in period </t>
  </si>
  <si>
    <t>Energy &amp; Other Re-imbursements</t>
  </si>
  <si>
    <t>Airtel</t>
  </si>
  <si>
    <t>BSNL</t>
  </si>
  <si>
    <t>every 5 years</t>
  </si>
  <si>
    <t>IDEA</t>
  </si>
  <si>
    <t>Vodafone</t>
  </si>
  <si>
    <t>Jio</t>
  </si>
  <si>
    <t>Average Escalation Rate</t>
  </si>
  <si>
    <t>Other Income excluding extraordinary income</t>
  </si>
  <si>
    <t>Other Income (% Operating Income)</t>
  </si>
  <si>
    <t>Other Expenses (% Operating Income)</t>
  </si>
  <si>
    <t>Other Expenses (Excluding Extraordinary expenses)</t>
  </si>
  <si>
    <t>Provisions (% Operating Income+Energy Reimbursement)</t>
  </si>
  <si>
    <t>o&amp;M</t>
  </si>
  <si>
    <t>Depreciation Schedule</t>
  </si>
  <si>
    <t>No. of Months</t>
  </si>
  <si>
    <t>Tax Rate (T)</t>
  </si>
  <si>
    <t>(1-T)</t>
  </si>
  <si>
    <t>NOPAT= EBIT*(1-T)</t>
  </si>
  <si>
    <t>Add: Depreciation &amp; Amortization</t>
  </si>
  <si>
    <t>Less: CAPEX</t>
  </si>
  <si>
    <t>Free Cash Flow to Firm (FCFF)</t>
  </si>
  <si>
    <t>FCFF for Remaining Year</t>
  </si>
  <si>
    <t>Discount Rate (WACC)</t>
  </si>
  <si>
    <t>Valuation Date</t>
  </si>
  <si>
    <t>Period</t>
  </si>
  <si>
    <t>Discount Factor</t>
  </si>
  <si>
    <t>Terminal Value</t>
  </si>
  <si>
    <t>PV of FCFF</t>
  </si>
  <si>
    <t>PV of terminal Value</t>
  </si>
  <si>
    <t>PV of FCFF + PV of TV</t>
  </si>
  <si>
    <t>Enterprise Value Of the Firm</t>
  </si>
  <si>
    <t>Crores</t>
  </si>
  <si>
    <t>Company Risk Premium</t>
  </si>
  <si>
    <t>Appropriate Discount Rate</t>
  </si>
  <si>
    <t>Opening PPE</t>
  </si>
  <si>
    <t>Avg</t>
  </si>
  <si>
    <t>Expected Market Return (Rm) Nifty Fifty 5-year return 2025</t>
  </si>
  <si>
    <t>https://www.niftyindices.com/market-data/return-profile</t>
  </si>
  <si>
    <t>Perpetual Growth Rate</t>
  </si>
  <si>
    <t>Non-Core Assets</t>
  </si>
  <si>
    <t>Building</t>
  </si>
  <si>
    <t>Furniture &amp; Fixtures</t>
  </si>
  <si>
    <t>Office Equipment</t>
  </si>
  <si>
    <t>Software License</t>
  </si>
  <si>
    <t>Vehicles</t>
  </si>
  <si>
    <t>Fair Value</t>
  </si>
  <si>
    <t>Adjusted Value</t>
  </si>
  <si>
    <t>Enterprise Value</t>
  </si>
  <si>
    <t>FV of Non-Core Assets</t>
  </si>
  <si>
    <t>Adjusted EV</t>
  </si>
  <si>
    <t>Amount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</si>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</sst>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56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rgb="FF000000"/>
      <name val="Segoe U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50E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6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7" fontId="2" fillId="3" borderId="0" xfId="0" applyNumberFormat="1" applyFont="1" applyFill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4" borderId="0" xfId="0" applyFont="1" applyFill="1"/>
    <xf numFmtId="43" fontId="3" fillId="4" borderId="0" xfId="1" applyFont="1" applyFill="1" applyAlignment="1">
      <alignment horizontal="center" vertical="center"/>
    </xf>
    <xf numFmtId="0" fontId="3" fillId="4" borderId="0" xfId="0" applyFont="1" applyFill="1" applyAlignment="1">
      <alignment wrapText="1"/>
    </xf>
    <xf numFmtId="43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6" fillId="0" borderId="0" xfId="0" applyFont="1"/>
    <xf numFmtId="0" fontId="8" fillId="0" borderId="0" xfId="0" applyFont="1"/>
    <xf numFmtId="0" fontId="9" fillId="5" borderId="4" xfId="0" applyFont="1" applyFill="1" applyBorder="1"/>
    <xf numFmtId="15" fontId="9" fillId="5" borderId="4" xfId="0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" fontId="6" fillId="0" borderId="0" xfId="0" applyNumberFormat="1" applyFont="1"/>
    <xf numFmtId="165" fontId="6" fillId="0" borderId="0" xfId="1" applyNumberFormat="1" applyFont="1"/>
    <xf numFmtId="0" fontId="6" fillId="0" borderId="4" xfId="0" applyFont="1" applyBorder="1"/>
    <xf numFmtId="164" fontId="6" fillId="0" borderId="4" xfId="0" applyNumberFormat="1" applyFont="1" applyBorder="1"/>
    <xf numFmtId="0" fontId="6" fillId="0" borderId="0" xfId="0" applyFont="1" applyAlignment="1">
      <alignment horizontal="left" indent="1"/>
    </xf>
    <xf numFmtId="164" fontId="6" fillId="0" borderId="0" xfId="1" applyNumberFormat="1" applyFont="1" applyFill="1"/>
    <xf numFmtId="0" fontId="6" fillId="0" borderId="0" xfId="0" applyFont="1" applyAlignment="1">
      <alignment horizontal="left" indent="2"/>
    </xf>
    <xf numFmtId="164" fontId="6" fillId="0" borderId="0" xfId="0" applyNumberFormat="1" applyFont="1"/>
    <xf numFmtId="165" fontId="6" fillId="0" borderId="0" xfId="1" applyNumberFormat="1" applyFont="1" applyFill="1"/>
    <xf numFmtId="0" fontId="6" fillId="6" borderId="1" xfId="0" applyFont="1" applyFill="1" applyBorder="1"/>
    <xf numFmtId="164" fontId="11" fillId="6" borderId="1" xfId="0" applyNumberFormat="1" applyFont="1" applyFill="1" applyBorder="1"/>
    <xf numFmtId="0" fontId="11" fillId="6" borderId="0" xfId="0" applyFont="1" applyFill="1"/>
    <xf numFmtId="165" fontId="11" fillId="6" borderId="0" xfId="1" applyNumberFormat="1" applyFont="1" applyFill="1"/>
    <xf numFmtId="0" fontId="6" fillId="0" borderId="0" xfId="0" applyFont="1" applyAlignment="1">
      <alignment horizontal="left"/>
    </xf>
    <xf numFmtId="0" fontId="12" fillId="0" borderId="0" xfId="0" applyFont="1"/>
    <xf numFmtId="0" fontId="6" fillId="6" borderId="1" xfId="0" applyFont="1" applyFill="1" applyBorder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right"/>
    </xf>
    <xf numFmtId="164" fontId="2" fillId="5" borderId="0" xfId="1" applyNumberFormat="1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164" fontId="3" fillId="6" borderId="0" xfId="1" applyNumberFormat="1" applyFont="1" applyFill="1"/>
    <xf numFmtId="164" fontId="0" fillId="6" borderId="0" xfId="1" applyNumberFormat="1" applyFont="1" applyFill="1"/>
    <xf numFmtId="164" fontId="0" fillId="0" borderId="0" xfId="1" applyNumberFormat="1" applyFont="1"/>
    <xf numFmtId="164" fontId="1" fillId="6" borderId="0" xfId="1" applyNumberFormat="1" applyFont="1" applyFill="1"/>
    <xf numFmtId="165" fontId="6" fillId="6" borderId="0" xfId="1" applyNumberFormat="1" applyFont="1" applyFill="1"/>
    <xf numFmtId="0" fontId="14" fillId="0" borderId="0" xfId="0" applyFont="1" applyAlignment="1">
      <alignment horizontal="left" vertical="center" indent="2" readingOrder="1"/>
    </xf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/>
    <xf numFmtId="10" fontId="0" fillId="0" borderId="0" xfId="2" applyNumberFormat="1" applyFont="1"/>
    <xf numFmtId="43" fontId="0" fillId="0" borderId="0" xfId="1" applyFont="1"/>
    <xf numFmtId="10" fontId="3" fillId="0" borderId="0" xfId="0" applyNumberFormat="1" applyFont="1" applyAlignment="1">
      <alignment horizontal="center" vertical="center"/>
    </xf>
    <xf numFmtId="0" fontId="3" fillId="0" borderId="0" xfId="0" applyFont="1"/>
    <xf numFmtId="10" fontId="0" fillId="0" borderId="1" xfId="2" applyNumberFormat="1" applyFont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3" fillId="4" borderId="0" xfId="0" applyNumberFormat="1" applyFont="1" applyFill="1"/>
    <xf numFmtId="10" fontId="3" fillId="4" borderId="1" xfId="0" applyNumberFormat="1" applyFont="1" applyFill="1" applyBorder="1"/>
    <xf numFmtId="10" fontId="6" fillId="0" borderId="0" xfId="1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0" fontId="13" fillId="0" borderId="0" xfId="2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0" fillId="3" borderId="0" xfId="0" applyFill="1"/>
    <xf numFmtId="10" fontId="0" fillId="0" borderId="0" xfId="0" applyNumberFormat="1" applyAlignment="1">
      <alignment horizontal="center" vertical="center"/>
    </xf>
    <xf numFmtId="0" fontId="19" fillId="3" borderId="5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43" fontId="6" fillId="0" borderId="0" xfId="0" applyNumberFormat="1" applyFont="1"/>
    <xf numFmtId="43" fontId="3" fillId="0" borderId="0" xfId="1" applyFont="1"/>
    <xf numFmtId="17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43" fontId="3" fillId="4" borderId="5" xfId="0" applyNumberFormat="1" applyFont="1" applyFill="1" applyBorder="1" applyAlignment="1">
      <alignment horizontal="center" vertical="center"/>
    </xf>
    <xf numFmtId="10" fontId="0" fillId="0" borderId="5" xfId="2" applyNumberFormat="1" applyFont="1" applyBorder="1" applyAlignment="1">
      <alignment horizontal="right" vertical="center"/>
    </xf>
    <xf numFmtId="43" fontId="3" fillId="4" borderId="5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vertical="center"/>
    </xf>
    <xf numFmtId="0" fontId="2" fillId="3" borderId="1" xfId="0" applyFont="1" applyFill="1" applyBorder="1"/>
    <xf numFmtId="10" fontId="2" fillId="3" borderId="1" xfId="0" applyNumberFormat="1" applyFont="1" applyFill="1" applyBorder="1" applyAlignment="1">
      <alignment horizontal="center" vertical="center"/>
    </xf>
    <xf numFmtId="43" fontId="2" fillId="3" borderId="0" xfId="0" applyNumberFormat="1" applyFont="1" applyFill="1"/>
    <xf numFmtId="43" fontId="2" fillId="3" borderId="0" xfId="1" applyFont="1" applyFill="1"/>
    <xf numFmtId="43" fontId="2" fillId="3" borderId="5" xfId="0" applyNumberFormat="1" applyFont="1" applyFill="1" applyBorder="1" applyAlignment="1">
      <alignment horizontal="right" vertical="center"/>
    </xf>
    <xf numFmtId="10" fontId="0" fillId="4" borderId="5" xfId="2" applyNumberFormat="1" applyFont="1" applyFill="1" applyBorder="1" applyAlignment="1">
      <alignment horizontal="right" vertical="center"/>
    </xf>
    <xf numFmtId="43" fontId="0" fillId="0" borderId="5" xfId="0" applyNumberFormat="1" applyBorder="1" applyAlignment="1">
      <alignment horizontal="right" vertical="center"/>
    </xf>
    <xf numFmtId="43" fontId="0" fillId="7" borderId="5" xfId="0" applyNumberFormat="1" applyFill="1" applyBorder="1" applyAlignment="1">
      <alignment horizontal="right" vertical="center"/>
    </xf>
    <xf numFmtId="43" fontId="0" fillId="0" borderId="5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/>
    <xf numFmtId="9" fontId="0" fillId="0" borderId="0" xfId="0" applyNumberFormat="1" applyAlignment="1">
      <alignment horizontal="center" vertical="center"/>
    </xf>
    <xf numFmtId="43" fontId="3" fillId="4" borderId="0" xfId="0" applyNumberFormat="1" applyFont="1" applyFill="1" applyAlignment="1">
      <alignment horizontal="center" vertical="center"/>
    </xf>
    <xf numFmtId="43" fontId="2" fillId="3" borderId="0" xfId="1" applyFont="1" applyFill="1" applyAlignment="1">
      <alignment horizontal="center" vertical="center"/>
    </xf>
    <xf numFmtId="0" fontId="20" fillId="0" borderId="0" xfId="3" applyAlignment="1">
      <alignment horizontal="left" vertical="center"/>
    </xf>
    <xf numFmtId="17" fontId="2" fillId="3" borderId="5" xfId="0" applyNumberFormat="1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top" wrapText="1"/>
    </xf>
    <xf numFmtId="0" fontId="17" fillId="0" borderId="5" xfId="0" applyFont="1" applyBorder="1"/>
    <xf numFmtId="0" fontId="18" fillId="4" borderId="5" xfId="0" applyFont="1" applyFill="1" applyBorder="1"/>
    <xf numFmtId="0" fontId="18" fillId="4" borderId="5" xfId="0" applyFont="1" applyFill="1" applyBorder="1" applyAlignment="1">
      <alignment vertical="center"/>
    </xf>
    <xf numFmtId="0" fontId="18" fillId="0" borderId="5" xfId="0" applyFont="1" applyBorder="1"/>
    <xf numFmtId="0" fontId="0" fillId="0" borderId="5" xfId="0" applyBorder="1"/>
    <xf numFmtId="10" fontId="0" fillId="0" borderId="5" xfId="1" applyNumberFormat="1" applyFont="1" applyBorder="1" applyAlignment="1">
      <alignment horizontal="center" vertical="center"/>
    </xf>
    <xf numFmtId="14" fontId="0" fillId="0" borderId="5" xfId="1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bg1"/>
                </a:solidFill>
              </a:rPr>
              <a:t>Key  Financial Indicators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'P&amp;L'!$B$31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'P&amp;L'!$C$6:$G$6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'P&amp;L'!$C$31:$G$31</c:f>
              <c:numCache>
                <c:formatCode>0.00%</c:formatCode>
                <c:ptCount val="5"/>
                <c:pt idx="0">
                  <c:v>0.33446169870277426</c:v>
                </c:pt>
                <c:pt idx="1">
                  <c:v>0.36780279540142141</c:v>
                </c:pt>
                <c:pt idx="2">
                  <c:v>0.49440419801244556</c:v>
                </c:pt>
                <c:pt idx="3">
                  <c:v>6.3017957774653743E-2</c:v>
                </c:pt>
                <c:pt idx="4">
                  <c:v>0.5000659322216765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B8-4404-9BE3-852AAB3EB4CF}"/>
            </c:ext>
          </c:extLst>
        </c:ser>
        <c:ser>
          <c:idx val="1"/>
          <c:order val="1"/>
          <c:tx>
            <c:strRef>
              <c:f>'P&amp;L'!$B$32</c:f>
              <c:strCache>
                <c:ptCount val="1"/>
                <c:pt idx="0">
                  <c:v>EBIT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'P&amp;L'!$C$6:$G$6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'P&amp;L'!$C$32:$G$32</c:f>
              <c:numCache>
                <c:formatCode>0.00%</c:formatCode>
                <c:ptCount val="5"/>
                <c:pt idx="0">
                  <c:v>-0.41646150932676845</c:v>
                </c:pt>
                <c:pt idx="1">
                  <c:v>-0.28475170538567968</c:v>
                </c:pt>
                <c:pt idx="2">
                  <c:v>-8.9776632302405346E-2</c:v>
                </c:pt>
                <c:pt idx="3">
                  <c:v>-0.51260244847570346</c:v>
                </c:pt>
                <c:pt idx="4">
                  <c:v>0.16682050851724464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B8-4404-9BE3-852AAB3EB4CF}"/>
            </c:ext>
          </c:extLst>
        </c:ser>
        <c:ser>
          <c:idx val="2"/>
          <c:order val="2"/>
          <c:tx>
            <c:strRef>
              <c:f>'P&amp;L'!$B$33</c:f>
              <c:strCache>
                <c:ptCount val="1"/>
                <c:pt idx="0">
                  <c:v>Revenue Growth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'P&amp;L'!$C$6:$G$6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'P&amp;L'!$C$33:$G$33</c:f>
              <c:numCache>
                <c:formatCode>0.00%</c:formatCode>
                <c:ptCount val="5"/>
                <c:pt idx="1">
                  <c:v>-7.527696240886339E-3</c:v>
                </c:pt>
                <c:pt idx="2">
                  <c:v>2.7238467776558695E-2</c:v>
                </c:pt>
                <c:pt idx="3">
                  <c:v>1.5638060741153481E-2</c:v>
                </c:pt>
                <c:pt idx="4">
                  <c:v>-4.6454739778013954E-2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B8-4404-9BE3-852AAB3E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300216"/>
        <c:axId val="161682352"/>
      </c:lineChart>
      <c:dateAx>
        <c:axId val="33630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2352"/>
        <c:crosses val="autoZero"/>
        <c:auto val="0"/>
        <c:lblOffset val="100"/>
        <c:baseTimeUnit val="years"/>
      </c:dateAx>
      <c:valAx>
        <c:axId val="16168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300216"/>
        <c:crossesAt val="4383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39</xdr:row>
      <xdr:rowOff>52386</xdr:rowOff>
    </xdr:from>
    <xdr:to>
      <xdr:col>5</xdr:col>
      <xdr:colOff>866775</xdr:colOff>
      <xdr:row>55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5A95AA1-92FF-4F44-B950-3B4112921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000000808\AppData\Local\Microsoft\Windows\INetCache\Content.Outlook\GASYH6VD\GIL%20(QTR-4)%20(2023-24)%20DRAFT%20and%20Projected%20%20Financials%20-%20Version%20-1%20%20(19-04-202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BI Results"/>
      <sheetName val="Balance Sheet - IND (AS)"/>
      <sheetName val="Profit &amp; Loss Account - IND(AS)"/>
      <sheetName val="Note -4 IND (AS)"/>
      <sheetName val="BS Note 5 to 26 IND (AS)"/>
      <sheetName val="Note -9 IND (AS)"/>
      <sheetName val="P&amp;L Note 27 to 34 IND (AS)"/>
    </sheetNames>
    <sheetDataSet>
      <sheetData sheetId="0"/>
      <sheetData sheetId="1">
        <row r="36">
          <cell r="D36">
            <v>128070209470</v>
          </cell>
        </row>
      </sheetData>
      <sheetData sheetId="2">
        <row r="10">
          <cell r="C10">
            <v>3310988798.749999</v>
          </cell>
        </row>
      </sheetData>
      <sheetData sheetId="3"/>
      <sheetData sheetId="4">
        <row r="431">
          <cell r="D431">
            <v>206065362.25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Asset 1"/>
      <sheetName val="CRITERIA1"/>
      <sheetName val="Asset 1 (2)"/>
      <sheetName val="Journal 1"/>
      <sheetName val="CRITERIA2"/>
      <sheetName val="Sheet1"/>
    </sheetNames>
    <sheetDataSet>
      <sheetData sheetId="0" refreshError="1"/>
      <sheetData sheetId="1" refreshError="1"/>
      <sheetData sheetId="2">
        <row r="11">
          <cell r="B11" t="str">
            <v>PRODUCTION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ftyindices.com/market-data/return-profil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opLeftCell="C1" workbookViewId="0">
      <selection activeCell="I18" sqref="I18:R22"/>
    </sheetView>
  </sheetViews>
  <sheetFormatPr defaultRowHeight="15" x14ac:dyDescent="0.25"/>
  <cols>
    <col min="2" max="2" width="28.42578125" bestFit="1" customWidth="1"/>
    <col min="3" max="4" width="12.5703125" style="3" bestFit="1" customWidth="1"/>
    <col min="5" max="5" width="12.28515625" style="3" bestFit="1" customWidth="1"/>
    <col min="6" max="6" width="14.28515625" style="3" bestFit="1" customWidth="1"/>
    <col min="7" max="7" width="12.5703125" style="3" bestFit="1" customWidth="1"/>
    <col min="8" max="8" width="10.7109375" style="3" hidden="1" customWidth="1"/>
    <col min="9" max="12" width="11.5703125" style="3" bestFit="1" customWidth="1"/>
    <col min="13" max="16" width="11.5703125" bestFit="1" customWidth="1"/>
  </cols>
  <sheetData>
    <row r="2" spans="1:18" x14ac:dyDescent="0.25">
      <c r="B2" s="1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M3" s="3"/>
      <c r="N3" s="3"/>
      <c r="O3" s="3"/>
      <c r="P3" s="3"/>
    </row>
    <row r="4" spans="1:18" x14ac:dyDescent="0.25">
      <c r="B4" s="2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5">
      <c r="M5" s="3"/>
      <c r="N5" s="3"/>
      <c r="O5" s="3"/>
      <c r="P5" s="3"/>
    </row>
    <row r="6" spans="1:18" x14ac:dyDescent="0.25">
      <c r="B6" s="4" t="s">
        <v>2</v>
      </c>
      <c r="C6" s="5">
        <v>43891</v>
      </c>
      <c r="D6" s="5">
        <f>+EDATE(C6,12)</f>
        <v>44256</v>
      </c>
      <c r="E6" s="5">
        <f t="shared" ref="E6:L6" si="0">+EDATE(D6,12)</f>
        <v>44621</v>
      </c>
      <c r="F6" s="5">
        <f t="shared" si="0"/>
        <v>44986</v>
      </c>
      <c r="G6" s="5">
        <f t="shared" si="0"/>
        <v>45352</v>
      </c>
      <c r="H6" s="5">
        <f>+EDATE(G6,6)</f>
        <v>45536</v>
      </c>
      <c r="I6" s="5">
        <f>+EDATE(H6,6)</f>
        <v>45717</v>
      </c>
      <c r="J6" s="5">
        <f t="shared" si="0"/>
        <v>46082</v>
      </c>
      <c r="K6" s="5">
        <f t="shared" si="0"/>
        <v>46447</v>
      </c>
      <c r="L6" s="5">
        <f t="shared" si="0"/>
        <v>46813</v>
      </c>
      <c r="M6" s="5">
        <f t="shared" ref="M6:P6" si="1">+EDATE(L6,12)</f>
        <v>47178</v>
      </c>
      <c r="N6" s="5">
        <f t="shared" si="1"/>
        <v>47543</v>
      </c>
      <c r="O6" s="5">
        <f t="shared" si="1"/>
        <v>47908</v>
      </c>
      <c r="P6" s="5">
        <f t="shared" si="1"/>
        <v>48274</v>
      </c>
      <c r="Q6" s="5">
        <f t="shared" ref="Q6" si="2">+EDATE(P6,12)</f>
        <v>48639</v>
      </c>
      <c r="R6" s="5">
        <f t="shared" ref="R6" si="3">+EDATE(Q6,12)</f>
        <v>49004</v>
      </c>
    </row>
    <row r="7" spans="1:18" x14ac:dyDescent="0.25">
      <c r="B7" s="6" t="s">
        <v>3</v>
      </c>
      <c r="M7" s="3"/>
      <c r="N7" s="3"/>
      <c r="O7" s="3"/>
      <c r="P7" s="3"/>
    </row>
    <row r="8" spans="1:18" x14ac:dyDescent="0.25">
      <c r="B8" t="s">
        <v>4</v>
      </c>
      <c r="C8" s="9">
        <f>84488/10^2</f>
        <v>844.88</v>
      </c>
      <c r="D8" s="9">
        <f>83852/10^2</f>
        <v>838.52</v>
      </c>
      <c r="E8" s="9">
        <f>86136/10^2</f>
        <v>861.36</v>
      </c>
      <c r="F8" s="9">
        <f>87483/10^2</f>
        <v>874.83</v>
      </c>
      <c r="G8" s="9">
        <f>83419/10^2</f>
        <v>834.19</v>
      </c>
      <c r="H8" s="9">
        <v>66858</v>
      </c>
      <c r="I8" s="9">
        <f>+G8*(1+Notes!$C$58)</f>
        <v>857.13022500000011</v>
      </c>
      <c r="J8" s="9">
        <f>+(I8+I9)*(1+Notes!$C$58)</f>
        <v>829.32630618750022</v>
      </c>
      <c r="K8" s="9">
        <f>+(J8+J9)*(1+Notes!$C$58)</f>
        <v>852.13277960765652</v>
      </c>
      <c r="L8" s="9">
        <f>+(K8+K9)*(1+Notes!$C$58)</f>
        <v>866.13398104686723</v>
      </c>
      <c r="M8" s="9">
        <f>+(L8+L9)*(1+Notes!$C$58)</f>
        <v>861.79916552565612</v>
      </c>
      <c r="N8" s="9">
        <f>+(M8+M9)*(1+Notes!$C$58)</f>
        <v>863.61289257761177</v>
      </c>
      <c r="O8" s="9">
        <f>+(N8+N9)*(1+Notes!$C$58)</f>
        <v>882.54327212349608</v>
      </c>
      <c r="P8" s="9">
        <f>+(O8+O9)*(1+Notes!$C$58)</f>
        <v>904.08006210689234</v>
      </c>
      <c r="Q8" s="9">
        <f>+(P8+P9)*(1+Notes!$C$58)</f>
        <v>922.57176381483191</v>
      </c>
      <c r="R8" s="9">
        <f>+(Q8+Q9)*(1+Notes!$C$58)</f>
        <v>942.21931231973986</v>
      </c>
    </row>
    <row r="9" spans="1:18" x14ac:dyDescent="0.25">
      <c r="B9" t="s">
        <v>60</v>
      </c>
      <c r="C9" s="9"/>
      <c r="D9" s="9"/>
      <c r="E9" s="9"/>
      <c r="F9" s="9"/>
      <c r="G9" s="9"/>
      <c r="H9" s="9"/>
      <c r="I9" s="9">
        <f>+Model!D10</f>
        <v>-50</v>
      </c>
      <c r="J9" s="9">
        <v>0</v>
      </c>
      <c r="K9" s="9">
        <v>-9.18</v>
      </c>
      <c r="L9" s="9">
        <v>-27.4</v>
      </c>
      <c r="M9" s="9">
        <v>-21.3</v>
      </c>
      <c r="N9" s="9">
        <v>-4.6900000000000004</v>
      </c>
      <c r="O9" s="9">
        <v>-2.66</v>
      </c>
      <c r="P9" s="9">
        <v>-6.2</v>
      </c>
      <c r="Q9" s="9">
        <v>-5.57</v>
      </c>
      <c r="R9" s="57">
        <v>-0.38</v>
      </c>
    </row>
    <row r="10" spans="1:18" x14ac:dyDescent="0.25">
      <c r="B10" t="s">
        <v>121</v>
      </c>
      <c r="C10" s="9">
        <f>57206/10^2</f>
        <v>572.05999999999995</v>
      </c>
      <c r="D10" s="9">
        <f>57116/10^2</f>
        <v>571.16</v>
      </c>
      <c r="E10" s="9">
        <f>60137/10^2</f>
        <v>601.37</v>
      </c>
      <c r="F10" s="9">
        <f>58303/10^2</f>
        <v>583.03</v>
      </c>
      <c r="G10" s="9">
        <f>53782/10^2</f>
        <v>537.82000000000005</v>
      </c>
      <c r="H10" s="9"/>
      <c r="I10" s="9">
        <f>+G10</f>
        <v>537.82000000000005</v>
      </c>
      <c r="J10" s="9">
        <f>+I10</f>
        <v>537.82000000000005</v>
      </c>
      <c r="K10" s="9">
        <f t="shared" ref="K10:P10" si="4">+J10</f>
        <v>537.82000000000005</v>
      </c>
      <c r="L10" s="9">
        <f t="shared" si="4"/>
        <v>537.82000000000005</v>
      </c>
      <c r="M10" s="9">
        <f t="shared" si="4"/>
        <v>537.82000000000005</v>
      </c>
      <c r="N10" s="9">
        <f t="shared" si="4"/>
        <v>537.82000000000005</v>
      </c>
      <c r="O10" s="9">
        <f t="shared" si="4"/>
        <v>537.82000000000005</v>
      </c>
      <c r="P10" s="9">
        <f t="shared" si="4"/>
        <v>537.82000000000005</v>
      </c>
      <c r="Q10" s="9">
        <f t="shared" ref="Q10" si="5">+P10</f>
        <v>537.82000000000005</v>
      </c>
      <c r="R10" s="9">
        <f t="shared" ref="R10" si="6">+Q10</f>
        <v>537.82000000000005</v>
      </c>
    </row>
    <row r="11" spans="1:18" x14ac:dyDescent="0.25">
      <c r="B11" t="s">
        <v>5</v>
      </c>
      <c r="C11" s="9">
        <f>2029/10^2</f>
        <v>20.29</v>
      </c>
      <c r="D11" s="9">
        <f>3916/10^2</f>
        <v>39.159999999999997</v>
      </c>
      <c r="E11" s="9">
        <f>1416/10^2</f>
        <v>14.16</v>
      </c>
      <c r="F11" s="9">
        <f>2747/10^2</f>
        <v>27.47</v>
      </c>
      <c r="G11" s="9">
        <f>5124/10^2</f>
        <v>51.24</v>
      </c>
      <c r="H11" s="9">
        <v>1490</v>
      </c>
      <c r="I11" s="9">
        <f>+I8*Notes!$H$44</f>
        <v>17.565101338988214</v>
      </c>
      <c r="J11" s="9">
        <f>+J8*Notes!$H$44</f>
        <v>16.995317848314365</v>
      </c>
      <c r="K11" s="9">
        <f>+K8*Notes!$H$44</f>
        <v>17.462689089143012</v>
      </c>
      <c r="L11" s="9">
        <f>+L8*Notes!$H$44</f>
        <v>17.749614593546177</v>
      </c>
      <c r="M11" s="9">
        <f>+M8*Notes!$H$44</f>
        <v>17.660781564800875</v>
      </c>
      <c r="N11" s="9">
        <f>+N8*Notes!$H$44</f>
        <v>17.697950128619595</v>
      </c>
      <c r="O11" s="9">
        <f>+O8*Notes!$H$44</f>
        <v>18.085888886827505</v>
      </c>
      <c r="P11" s="9">
        <f>+P8*Notes!$H$44</f>
        <v>18.527240606252477</v>
      </c>
      <c r="Q11" s="9">
        <f>+Q8*Notes!$H$44</f>
        <v>18.906189574514912</v>
      </c>
      <c r="R11" s="9">
        <f>+R8*Notes!$H$44</f>
        <v>19.308825219001015</v>
      </c>
    </row>
    <row r="12" spans="1:18" x14ac:dyDescent="0.25">
      <c r="B12" s="10" t="s">
        <v>6</v>
      </c>
      <c r="C12" s="11">
        <f>SUM(C8:C11)</f>
        <v>1437.23</v>
      </c>
      <c r="D12" s="11">
        <f t="shared" ref="D12:L12" si="7">SUM(D8:D11)</f>
        <v>1448.84</v>
      </c>
      <c r="E12" s="11">
        <f t="shared" si="7"/>
        <v>1476.89</v>
      </c>
      <c r="F12" s="11">
        <f t="shared" si="7"/>
        <v>1485.3300000000002</v>
      </c>
      <c r="G12" s="11">
        <f t="shared" si="7"/>
        <v>1423.2500000000002</v>
      </c>
      <c r="H12" s="11">
        <f t="shared" si="7"/>
        <v>68348</v>
      </c>
      <c r="I12" s="11">
        <f t="shared" si="7"/>
        <v>1362.5153263389882</v>
      </c>
      <c r="J12" s="11">
        <f t="shared" si="7"/>
        <v>1384.1416240358146</v>
      </c>
      <c r="K12" s="11">
        <f t="shared" si="7"/>
        <v>1398.2354686967994</v>
      </c>
      <c r="L12" s="11">
        <f t="shared" si="7"/>
        <v>1394.3035956404133</v>
      </c>
      <c r="M12" s="11">
        <f t="shared" ref="M12" si="8">SUM(M8:M11)</f>
        <v>1395.979947090457</v>
      </c>
      <c r="N12" s="11">
        <f t="shared" ref="N12" si="9">SUM(N8:N11)</f>
        <v>1414.4408427062313</v>
      </c>
      <c r="O12" s="11">
        <f t="shared" ref="O12" si="10">SUM(O8:O11)</f>
        <v>1435.7891610103236</v>
      </c>
      <c r="P12" s="11">
        <f t="shared" ref="P12:R12" si="11">SUM(P8:P11)</f>
        <v>1454.2273027131448</v>
      </c>
      <c r="Q12" s="11">
        <f t="shared" si="11"/>
        <v>1473.7279533893468</v>
      </c>
      <c r="R12" s="11">
        <f t="shared" si="11"/>
        <v>1498.9681375387408</v>
      </c>
    </row>
    <row r="13" spans="1:18" x14ac:dyDescent="0.25">
      <c r="B13" s="6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B14" t="s">
        <v>8</v>
      </c>
      <c r="C14" s="9">
        <f>86436/10^2</f>
        <v>864.36</v>
      </c>
      <c r="D14" s="9">
        <f>87103/10^2</f>
        <v>871.03</v>
      </c>
      <c r="E14" s="9">
        <f>88081/10^2</f>
        <v>880.81</v>
      </c>
      <c r="F14" s="9">
        <f>81775/10^2</f>
        <v>817.75</v>
      </c>
      <c r="G14" s="9">
        <f>79518/10^2</f>
        <v>795.18</v>
      </c>
      <c r="H14" s="9">
        <v>42613</v>
      </c>
      <c r="I14" s="9">
        <f>+Notes!I33</f>
        <v>805.59591999999986</v>
      </c>
      <c r="J14" s="9">
        <f>+Notes!J33</f>
        <v>816.51358000000005</v>
      </c>
      <c r="K14" s="9">
        <f>+Notes!K33</f>
        <v>827.95749532000013</v>
      </c>
      <c r="L14" s="9">
        <f>+Notes!L33</f>
        <v>839.95338989560003</v>
      </c>
      <c r="M14" s="9">
        <f>+Notes!M33</f>
        <v>852.52825619426801</v>
      </c>
      <c r="N14" s="9">
        <f>+Notes!N33</f>
        <v>865.71041811198631</v>
      </c>
      <c r="O14" s="9">
        <f>+Notes!O33</f>
        <v>879.52959699883036</v>
      </c>
      <c r="P14" s="9">
        <f>+Notes!P33</f>
        <v>894.01698096945381</v>
      </c>
      <c r="Q14" s="9">
        <f>+Notes!Q33</f>
        <v>909.20529766222921</v>
      </c>
      <c r="R14" s="9">
        <f>+Notes!R33</f>
        <v>925.12889061897238</v>
      </c>
    </row>
    <row r="15" spans="1:18" x14ac:dyDescent="0.25">
      <c r="A15" s="53">
        <v>0.05</v>
      </c>
      <c r="B15" t="s">
        <v>9</v>
      </c>
      <c r="C15" s="9">
        <f>6141/10^2</f>
        <v>61.41</v>
      </c>
      <c r="D15" s="9">
        <f>6142/10^2</f>
        <v>61.42</v>
      </c>
      <c r="E15" s="9">
        <f>6207/10^2</f>
        <v>62.07</v>
      </c>
      <c r="F15" s="9">
        <f>6340/10^2</f>
        <v>63.4</v>
      </c>
      <c r="G15" s="9">
        <f>7177/10^2</f>
        <v>71.77</v>
      </c>
      <c r="H15" s="9">
        <v>3246</v>
      </c>
      <c r="I15" s="9">
        <f>+G15*(1+$A$15)</f>
        <v>75.358499999999992</v>
      </c>
      <c r="J15" s="9">
        <f>+I15*(1+$A$15)</f>
        <v>79.126424999999998</v>
      </c>
      <c r="K15" s="9">
        <f t="shared" ref="K15:P15" si="12">+J15*(1+$A$15)</f>
        <v>83.08274625</v>
      </c>
      <c r="L15" s="9">
        <f t="shared" si="12"/>
        <v>87.236883562499997</v>
      </c>
      <c r="M15" s="9">
        <f t="shared" si="12"/>
        <v>91.598727740624994</v>
      </c>
      <c r="N15" s="9">
        <f t="shared" si="12"/>
        <v>96.178664127656248</v>
      </c>
      <c r="O15" s="9">
        <f t="shared" si="12"/>
        <v>100.98759733403907</v>
      </c>
      <c r="P15" s="9">
        <f t="shared" si="12"/>
        <v>106.03697720074102</v>
      </c>
      <c r="Q15" s="9">
        <f t="shared" ref="Q15" si="13">+P15*(1+$A$15)</f>
        <v>111.33882606077808</v>
      </c>
      <c r="R15" s="9">
        <f t="shared" ref="R15" si="14">+Q15*(1+$A$15)</f>
        <v>116.90576736381698</v>
      </c>
    </row>
    <row r="16" spans="1:18" x14ac:dyDescent="0.25">
      <c r="B16" t="s">
        <v>10</v>
      </c>
      <c r="C16" s="9">
        <f>5236/10^2</f>
        <v>52.36</v>
      </c>
      <c r="D16" s="9">
        <f>433/10^2</f>
        <v>4.33</v>
      </c>
      <c r="E16" s="9">
        <f>1160/10^2</f>
        <v>11.6</v>
      </c>
      <c r="F16" s="9">
        <f>9549/10^2</f>
        <v>95.49</v>
      </c>
      <c r="G16" s="9">
        <f>4049/10^2</f>
        <v>40.49</v>
      </c>
      <c r="H16" s="9">
        <v>1907</v>
      </c>
      <c r="I16" s="9">
        <f>+(I10+I9+I8)*Notes!$H$50</f>
        <v>38.456546288744256</v>
      </c>
      <c r="J16" s="9">
        <f>+(J10+K9+J8)*Notes!$H$50</f>
        <v>38.828718819281697</v>
      </c>
      <c r="K16" s="9">
        <f>+(K10+L9+K8)*Notes!$H$50</f>
        <v>38.959861165002593</v>
      </c>
      <c r="L16" s="9">
        <f>+(L10+M9+L8)*Notes!$H$50</f>
        <v>39.534620564449042</v>
      </c>
      <c r="M16" s="9">
        <f>+(M10+N9+M8)*Notes!$H$50</f>
        <v>39.88560842358072</v>
      </c>
      <c r="N16" s="9">
        <f>+(N10+O9+N8)*Notes!$H$50</f>
        <v>39.995513210053275</v>
      </c>
      <c r="O16" s="9">
        <f>+(O10+P9+O8)*Notes!$H$50</f>
        <v>40.435574732335731</v>
      </c>
      <c r="P16" s="9">
        <f>+(P10+Q9+P8)*Notes!$H$50</f>
        <v>41.069396095553365</v>
      </c>
      <c r="Q16" s="9">
        <f>+(Q10+R9+Q8)*Notes!$H$50</f>
        <v>41.746533762806145</v>
      </c>
      <c r="R16" s="9">
        <f>+(R10+S9+R8)*Notes!$H$50</f>
        <v>42.319187182845589</v>
      </c>
    </row>
    <row r="17" spans="2:18" x14ac:dyDescent="0.25">
      <c r="B17" t="s">
        <v>11</v>
      </c>
      <c r="C17" s="9">
        <f>3306/10^2</f>
        <v>33.06</v>
      </c>
      <c r="D17" s="9">
        <f>-1554/10^2</f>
        <v>-15.54</v>
      </c>
      <c r="E17" s="9">
        <f>245/10^2</f>
        <v>2.4500000000000002</v>
      </c>
      <c r="F17" s="9">
        <f>3955/10^2</f>
        <v>39.549999999999997</v>
      </c>
      <c r="G17" s="9">
        <f>436/10^2</f>
        <v>4.3600000000000003</v>
      </c>
      <c r="H17" s="9">
        <v>474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2:18" x14ac:dyDescent="0.25">
      <c r="B18" t="s">
        <v>12</v>
      </c>
      <c r="C18" s="9">
        <f>14346/10^2</f>
        <v>143.46</v>
      </c>
      <c r="D18" s="9">
        <f>21919/10^2</f>
        <v>219.19</v>
      </c>
      <c r="E18" s="9">
        <f>9410/10^2</f>
        <v>94.1</v>
      </c>
      <c r="F18" s="9">
        <f>41401/10^2</f>
        <v>414.01</v>
      </c>
      <c r="G18" s="9">
        <f>9430/10^2</f>
        <v>94.3</v>
      </c>
      <c r="H18" s="9">
        <v>4678</v>
      </c>
      <c r="I18" s="9">
        <f>+I8*Notes!$H$47</f>
        <v>88.952278310375021</v>
      </c>
      <c r="J18" s="9">
        <f>+J8*Notes!$H$47</f>
        <v>86.066810207405538</v>
      </c>
      <c r="K18" s="9">
        <f>+K8*Notes!$H$47</f>
        <v>88.433647488109187</v>
      </c>
      <c r="L18" s="9">
        <f>+L8*Notes!$H$47</f>
        <v>89.886680797137927</v>
      </c>
      <c r="M18" s="9">
        <f>+M8*Notes!$H$47</f>
        <v>89.436817164494585</v>
      </c>
      <c r="N18" s="9">
        <f>+N8*Notes!$H$47</f>
        <v>89.625044284247153</v>
      </c>
      <c r="O18" s="9">
        <f>+O8*Notes!$H$47</f>
        <v>91.5896236921038</v>
      </c>
      <c r="P18" s="9">
        <f>+P8*Notes!$H$47</f>
        <v>93.824694257390604</v>
      </c>
      <c r="Q18" s="9">
        <f>+Q8*Notes!$H$47</f>
        <v>95.74374803566225</v>
      </c>
      <c r="R18" s="9">
        <f>+R8*Notes!$H$47</f>
        <v>97.782754655368336</v>
      </c>
    </row>
    <row r="19" spans="2:18" x14ac:dyDescent="0.25">
      <c r="B19" s="10" t="s">
        <v>13</v>
      </c>
      <c r="C19" s="11">
        <f>SUM(C14:C18)</f>
        <v>1154.6500000000001</v>
      </c>
      <c r="D19" s="11">
        <f t="shared" ref="D19:L19" si="15">SUM(D14:D18)</f>
        <v>1140.43</v>
      </c>
      <c r="E19" s="11">
        <f t="shared" si="15"/>
        <v>1051.03</v>
      </c>
      <c r="F19" s="11">
        <f t="shared" si="15"/>
        <v>1430.1999999999998</v>
      </c>
      <c r="G19" s="11">
        <f t="shared" si="15"/>
        <v>1006.0999999999999</v>
      </c>
      <c r="H19" s="11">
        <f t="shared" si="15"/>
        <v>52918</v>
      </c>
      <c r="I19" s="11">
        <f t="shared" si="15"/>
        <v>1008.3632445991191</v>
      </c>
      <c r="J19" s="11">
        <f t="shared" si="15"/>
        <v>1020.5355340266873</v>
      </c>
      <c r="K19" s="11">
        <f t="shared" si="15"/>
        <v>1038.4337502231119</v>
      </c>
      <c r="L19" s="11">
        <f t="shared" si="15"/>
        <v>1056.6115748196869</v>
      </c>
      <c r="M19" s="11">
        <f t="shared" ref="M19" si="16">SUM(M14:M18)</f>
        <v>1073.4494095229684</v>
      </c>
      <c r="N19" s="11">
        <f t="shared" ref="N19" si="17">SUM(N14:N18)</f>
        <v>1091.509639733943</v>
      </c>
      <c r="O19" s="11">
        <f t="shared" ref="O19" si="18">SUM(O14:O18)</f>
        <v>1112.5423927573088</v>
      </c>
      <c r="P19" s="11">
        <f t="shared" ref="P19:R19" si="19">SUM(P14:P18)</f>
        <v>1134.9480485231388</v>
      </c>
      <c r="Q19" s="11">
        <f t="shared" si="19"/>
        <v>1158.0344055214757</v>
      </c>
      <c r="R19" s="11">
        <f t="shared" si="19"/>
        <v>1182.1365998210033</v>
      </c>
    </row>
    <row r="20" spans="2:18" x14ac:dyDescent="0.25">
      <c r="B20" s="10" t="s">
        <v>14</v>
      </c>
      <c r="C20" s="11">
        <f t="shared" ref="C20:L20" si="20">+C12-C19</f>
        <v>282.57999999999993</v>
      </c>
      <c r="D20" s="11">
        <f t="shared" si="20"/>
        <v>308.40999999999985</v>
      </c>
      <c r="E20" s="11">
        <f t="shared" si="20"/>
        <v>425.86000000000013</v>
      </c>
      <c r="F20" s="11">
        <f t="shared" si="20"/>
        <v>55.130000000000337</v>
      </c>
      <c r="G20" s="11">
        <f t="shared" si="20"/>
        <v>417.15000000000032</v>
      </c>
      <c r="H20" s="11">
        <f t="shared" si="20"/>
        <v>15430</v>
      </c>
      <c r="I20" s="11">
        <f t="shared" si="20"/>
        <v>354.15208173986912</v>
      </c>
      <c r="J20" s="11">
        <f t="shared" si="20"/>
        <v>363.60609000912734</v>
      </c>
      <c r="K20" s="11">
        <f t="shared" si="20"/>
        <v>359.80171847368752</v>
      </c>
      <c r="L20" s="11">
        <f t="shared" si="20"/>
        <v>337.69202082072638</v>
      </c>
      <c r="M20" s="11">
        <f t="shared" ref="M20:P20" si="21">+M12-M19</f>
        <v>322.53053756748864</v>
      </c>
      <c r="N20" s="11">
        <f t="shared" si="21"/>
        <v>322.93120297228825</v>
      </c>
      <c r="O20" s="11">
        <f t="shared" si="21"/>
        <v>323.24676825301481</v>
      </c>
      <c r="P20" s="11">
        <f t="shared" si="21"/>
        <v>319.27925419000599</v>
      </c>
      <c r="Q20" s="11">
        <f t="shared" ref="Q20:R20" si="22">+Q12-Q19</f>
        <v>315.69354786787108</v>
      </c>
      <c r="R20" s="11">
        <f t="shared" si="22"/>
        <v>316.83153771773755</v>
      </c>
    </row>
    <row r="21" spans="2:18" x14ac:dyDescent="0.25">
      <c r="B21" t="s">
        <v>15</v>
      </c>
      <c r="C21" s="9">
        <f>63444/10^2</f>
        <v>634.44000000000005</v>
      </c>
      <c r="D21" s="9">
        <f>54718/10^2</f>
        <v>547.17999999999995</v>
      </c>
      <c r="E21" s="9">
        <f>50319/10^2</f>
        <v>503.19</v>
      </c>
      <c r="F21" s="9">
        <f>50357/10^2</f>
        <v>503.57</v>
      </c>
      <c r="G21" s="9">
        <f>27799/10^2</f>
        <v>277.99</v>
      </c>
      <c r="H21" s="9">
        <v>12085</v>
      </c>
      <c r="I21" s="9">
        <f>+Depreciation!H6</f>
        <v>280.08332526475556</v>
      </c>
      <c r="J21" s="9">
        <f>+Depreciation!I6</f>
        <v>253.99695589954652</v>
      </c>
      <c r="K21" s="9">
        <f>+Depreciation!J6</f>
        <v>230.34021588130008</v>
      </c>
      <c r="L21" s="9">
        <f>+Depreciation!K6</f>
        <v>208.88681466413848</v>
      </c>
      <c r="M21" s="9">
        <f>+Depreciation!L6</f>
        <v>189.43153792569009</v>
      </c>
      <c r="N21" s="9">
        <f>+Depreciation!M6</f>
        <v>171.78828457214613</v>
      </c>
      <c r="O21" s="9">
        <f>+Depreciation!N6</f>
        <v>155.78828657252032</v>
      </c>
      <c r="P21" s="9">
        <f>+Depreciation!O6</f>
        <v>141.27849459378595</v>
      </c>
      <c r="Q21" s="9">
        <f>+Depreciation!P6</f>
        <v>128.12011399454667</v>
      </c>
      <c r="R21" s="9">
        <f>+Depreciation!Q6</f>
        <v>116.18727717316452</v>
      </c>
    </row>
    <row r="22" spans="2:18" x14ac:dyDescent="0.25">
      <c r="B22" s="10" t="s">
        <v>16</v>
      </c>
      <c r="C22" s="11">
        <f t="shared" ref="C22:L22" si="23">+C20-C21</f>
        <v>-351.86000000000013</v>
      </c>
      <c r="D22" s="11">
        <f t="shared" si="23"/>
        <v>-238.7700000000001</v>
      </c>
      <c r="E22" s="11">
        <f t="shared" si="23"/>
        <v>-77.32999999999987</v>
      </c>
      <c r="F22" s="11">
        <f t="shared" si="23"/>
        <v>-448.43999999999966</v>
      </c>
      <c r="G22" s="11">
        <f t="shared" si="23"/>
        <v>139.16000000000031</v>
      </c>
      <c r="H22" s="11">
        <f t="shared" si="23"/>
        <v>3345</v>
      </c>
      <c r="I22" s="11">
        <f t="shared" si="23"/>
        <v>74.06875647511356</v>
      </c>
      <c r="J22" s="11">
        <f t="shared" si="23"/>
        <v>109.60913410958082</v>
      </c>
      <c r="K22" s="11">
        <f t="shared" si="23"/>
        <v>129.46150259238743</v>
      </c>
      <c r="L22" s="11">
        <f t="shared" si="23"/>
        <v>128.8052061565879</v>
      </c>
      <c r="M22" s="11">
        <f t="shared" ref="M22:P22" si="24">+M20-M21</f>
        <v>133.09899964179854</v>
      </c>
      <c r="N22" s="11">
        <f t="shared" si="24"/>
        <v>151.14291840014212</v>
      </c>
      <c r="O22" s="11">
        <f t="shared" si="24"/>
        <v>167.45848168049449</v>
      </c>
      <c r="P22" s="11">
        <f t="shared" si="24"/>
        <v>178.00075959622004</v>
      </c>
      <c r="Q22" s="11">
        <f t="shared" ref="Q22:R22" si="25">+Q20-Q21</f>
        <v>187.5734338733244</v>
      </c>
      <c r="R22" s="11">
        <f t="shared" si="25"/>
        <v>200.64426054457303</v>
      </c>
    </row>
    <row r="23" spans="2:18" x14ac:dyDescent="0.25">
      <c r="B23" t="s">
        <v>17</v>
      </c>
      <c r="C23" s="9">
        <f>66222/10^2</f>
        <v>662.22</v>
      </c>
      <c r="D23" s="9">
        <f>66312/10^2</f>
        <v>663.12</v>
      </c>
      <c r="E23" s="9">
        <f>73388/10^2</f>
        <v>733.88</v>
      </c>
      <c r="F23" s="9">
        <f>78193/10^2</f>
        <v>781.93</v>
      </c>
      <c r="G23" s="9">
        <f>80509/10^2</f>
        <v>805.09</v>
      </c>
      <c r="H23" s="9">
        <v>44956</v>
      </c>
      <c r="I23" s="9"/>
      <c r="J23" s="9"/>
      <c r="K23" s="9"/>
      <c r="L23" s="9"/>
      <c r="M23" s="9"/>
      <c r="N23" s="9"/>
      <c r="O23" s="9"/>
      <c r="P23" s="9"/>
    </row>
    <row r="24" spans="2:18" ht="30" x14ac:dyDescent="0.25">
      <c r="B24" s="12" t="s">
        <v>18</v>
      </c>
      <c r="C24" s="11">
        <f t="shared" ref="C24:H24" si="26">+C22-C23</f>
        <v>-1014.0800000000002</v>
      </c>
      <c r="D24" s="11">
        <f t="shared" si="26"/>
        <v>-901.8900000000001</v>
      </c>
      <c r="E24" s="11">
        <f t="shared" si="26"/>
        <v>-811.20999999999981</v>
      </c>
      <c r="F24" s="11">
        <f t="shared" si="26"/>
        <v>-1230.3699999999997</v>
      </c>
      <c r="G24" s="11">
        <f t="shared" si="26"/>
        <v>-665.92999999999972</v>
      </c>
      <c r="H24" s="11">
        <f t="shared" si="26"/>
        <v>-41611</v>
      </c>
      <c r="I24" s="9"/>
      <c r="J24" s="9"/>
      <c r="K24" s="9"/>
      <c r="L24" s="9"/>
      <c r="M24" s="9"/>
      <c r="N24" s="9"/>
      <c r="O24" s="9"/>
      <c r="P24" s="9"/>
    </row>
    <row r="25" spans="2:18" x14ac:dyDescent="0.25">
      <c r="B25" t="s">
        <v>19</v>
      </c>
      <c r="C25" s="9">
        <f>84946/10^2</f>
        <v>849.46</v>
      </c>
      <c r="D25" s="9">
        <f>36888/10^2</f>
        <v>368.88</v>
      </c>
      <c r="E25" s="9">
        <f>66346/10^2</f>
        <v>663.46</v>
      </c>
      <c r="F25" s="9">
        <f>58654/10^2</f>
        <v>586.54</v>
      </c>
      <c r="G25" s="9">
        <f>1543/10^2</f>
        <v>15.43</v>
      </c>
      <c r="H25" s="9">
        <v>0</v>
      </c>
      <c r="I25" s="9"/>
      <c r="J25" s="9"/>
      <c r="K25" s="9"/>
      <c r="L25" s="9"/>
      <c r="M25" s="9"/>
      <c r="N25" s="9"/>
      <c r="O25" s="9"/>
      <c r="P25" s="9"/>
    </row>
    <row r="26" spans="2:18" x14ac:dyDescent="0.25">
      <c r="B26" s="10" t="s">
        <v>20</v>
      </c>
      <c r="C26" s="11">
        <f t="shared" ref="C26:H26" si="27">+C24-C25</f>
        <v>-1863.5400000000002</v>
      </c>
      <c r="D26" s="11">
        <f t="shared" si="27"/>
        <v>-1270.77</v>
      </c>
      <c r="E26" s="11">
        <f t="shared" si="27"/>
        <v>-1474.6699999999998</v>
      </c>
      <c r="F26" s="11">
        <f t="shared" si="27"/>
        <v>-1816.9099999999996</v>
      </c>
      <c r="G26" s="11">
        <f t="shared" si="27"/>
        <v>-681.35999999999967</v>
      </c>
      <c r="H26" s="11">
        <f t="shared" si="27"/>
        <v>-41611</v>
      </c>
      <c r="I26" s="9"/>
      <c r="J26" s="9"/>
      <c r="K26" s="9"/>
      <c r="L26" s="9"/>
      <c r="M26" s="9"/>
      <c r="N26" s="9"/>
      <c r="O26" s="9"/>
      <c r="P26" s="9"/>
    </row>
    <row r="27" spans="2:18" x14ac:dyDescent="0.25">
      <c r="B27" t="s">
        <v>21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  <c r="J27" s="9"/>
      <c r="K27" s="9"/>
      <c r="L27" s="9"/>
      <c r="M27" s="9"/>
      <c r="N27" s="9"/>
      <c r="O27" s="9"/>
      <c r="P27" s="9"/>
    </row>
    <row r="28" spans="2:18" x14ac:dyDescent="0.25">
      <c r="B28" s="10" t="s">
        <v>22</v>
      </c>
      <c r="C28" s="11">
        <f>+C26-C27</f>
        <v>-1863.5400000000002</v>
      </c>
      <c r="D28" s="11">
        <f t="shared" ref="D28:H28" si="28">+D26-D27</f>
        <v>-1270.77</v>
      </c>
      <c r="E28" s="11">
        <f t="shared" si="28"/>
        <v>-1474.6699999999998</v>
      </c>
      <c r="F28" s="11">
        <f t="shared" si="28"/>
        <v>-1816.9099999999996</v>
      </c>
      <c r="G28" s="11">
        <f t="shared" si="28"/>
        <v>-681.35999999999967</v>
      </c>
      <c r="H28" s="11">
        <f t="shared" si="28"/>
        <v>-41611</v>
      </c>
      <c r="I28" s="9"/>
      <c r="J28" s="9"/>
      <c r="K28" s="9"/>
      <c r="L28" s="9"/>
      <c r="M28" s="9"/>
      <c r="N28" s="9"/>
      <c r="O28" s="9"/>
      <c r="P28" s="9"/>
    </row>
    <row r="29" spans="2:18" x14ac:dyDescent="0.25">
      <c r="M29" s="3"/>
      <c r="N29" s="3"/>
      <c r="O29" s="3"/>
      <c r="P29" s="3"/>
    </row>
    <row r="30" spans="2:18" x14ac:dyDescent="0.25">
      <c r="M30" s="3"/>
      <c r="N30" s="3"/>
      <c r="O30" s="3"/>
      <c r="P30" s="3"/>
    </row>
    <row r="31" spans="2:18" x14ac:dyDescent="0.25">
      <c r="B31" t="s">
        <v>23</v>
      </c>
      <c r="C31" s="14">
        <f>+C20/C8</f>
        <v>0.33446169870277426</v>
      </c>
      <c r="D31" s="14">
        <f t="shared" ref="D31:L31" si="29">+D20/D8</f>
        <v>0.36780279540142141</v>
      </c>
      <c r="E31" s="14">
        <f t="shared" si="29"/>
        <v>0.49440419801244556</v>
      </c>
      <c r="F31" s="14">
        <f t="shared" si="29"/>
        <v>6.3017957774653743E-2</v>
      </c>
      <c r="G31" s="14">
        <f t="shared" si="29"/>
        <v>0.5000659322216765</v>
      </c>
      <c r="H31" s="14">
        <f t="shared" si="29"/>
        <v>0.2307876394747076</v>
      </c>
      <c r="I31" s="14">
        <f t="shared" si="29"/>
        <v>0.41318351798861025</v>
      </c>
      <c r="J31" s="14">
        <f t="shared" si="29"/>
        <v>0.43843549552969396</v>
      </c>
      <c r="K31" s="14">
        <f t="shared" si="29"/>
        <v>0.4222366831602809</v>
      </c>
      <c r="L31" s="14">
        <f t="shared" si="29"/>
        <v>0.38988427680965632</v>
      </c>
      <c r="M31" s="14">
        <f t="shared" ref="M31:P31" si="30">+M20/M8</f>
        <v>0.37425255264753071</v>
      </c>
      <c r="N31" s="14">
        <f t="shared" si="30"/>
        <v>0.37393050259872868</v>
      </c>
      <c r="O31" s="14">
        <f t="shared" si="30"/>
        <v>0.36626733041117354</v>
      </c>
      <c r="P31" s="14">
        <f t="shared" si="30"/>
        <v>0.3531537388911653</v>
      </c>
      <c r="Q31" s="14">
        <f t="shared" ref="Q31:R31" si="31">+Q20/Q8</f>
        <v>0.34218860824710162</v>
      </c>
      <c r="R31" s="14">
        <f t="shared" si="31"/>
        <v>0.3362609252167626</v>
      </c>
    </row>
    <row r="32" spans="2:18" x14ac:dyDescent="0.25">
      <c r="B32" t="s">
        <v>24</v>
      </c>
      <c r="C32" s="14">
        <f>+C22/C8</f>
        <v>-0.41646150932676845</v>
      </c>
      <c r="D32" s="14">
        <f t="shared" ref="D32:L32" si="32">+D22/D8</f>
        <v>-0.28475170538567968</v>
      </c>
      <c r="E32" s="14">
        <f t="shared" si="32"/>
        <v>-8.9776632302405346E-2</v>
      </c>
      <c r="F32" s="14">
        <f t="shared" si="32"/>
        <v>-0.51260244847570346</v>
      </c>
      <c r="G32" s="14">
        <f t="shared" si="32"/>
        <v>0.16682050851724464</v>
      </c>
      <c r="H32" s="14">
        <f t="shared" si="32"/>
        <v>5.0031409853719823E-2</v>
      </c>
      <c r="I32" s="14">
        <f t="shared" si="32"/>
        <v>8.6414822759416227E-2</v>
      </c>
      <c r="J32" s="14">
        <f t="shared" si="32"/>
        <v>0.13216647451286753</v>
      </c>
      <c r="K32" s="14">
        <f t="shared" si="32"/>
        <v>0.15192644349627624</v>
      </c>
      <c r="L32" s="14">
        <f t="shared" si="32"/>
        <v>0.14871279614373903</v>
      </c>
      <c r="M32" s="14">
        <f t="shared" ref="M32:P32" si="33">+M22/M8</f>
        <v>0.15444317535468319</v>
      </c>
      <c r="N32" s="14">
        <f t="shared" si="33"/>
        <v>0.17501234603970331</v>
      </c>
      <c r="O32" s="14">
        <f t="shared" si="33"/>
        <v>0.18974534957087258</v>
      </c>
      <c r="P32" s="14">
        <f t="shared" si="33"/>
        <v>0.19688605805707329</v>
      </c>
      <c r="Q32" s="14">
        <f t="shared" ref="Q32:R32" si="34">+Q22/Q8</f>
        <v>0.20331581913769908</v>
      </c>
      <c r="R32" s="14">
        <f t="shared" si="34"/>
        <v>0.21294857568837952</v>
      </c>
    </row>
    <row r="33" spans="2:18" x14ac:dyDescent="0.25">
      <c r="B33" t="s">
        <v>25</v>
      </c>
      <c r="C33" s="14"/>
      <c r="D33" s="14">
        <f>+D8/C8-1</f>
        <v>-7.527696240886339E-3</v>
      </c>
      <c r="E33" s="14">
        <f t="shared" ref="E33:L33" si="35">+E8/D8-1</f>
        <v>2.7238467776558695E-2</v>
      </c>
      <c r="F33" s="14">
        <f t="shared" si="35"/>
        <v>1.5638060741153481E-2</v>
      </c>
      <c r="G33" s="14">
        <f t="shared" si="35"/>
        <v>-4.6454739778013954E-2</v>
      </c>
      <c r="H33" s="14">
        <f t="shared" si="35"/>
        <v>79.147208669487767</v>
      </c>
      <c r="I33" s="14">
        <f t="shared" si="35"/>
        <v>-0.98717984048281437</v>
      </c>
      <c r="J33" s="14">
        <f t="shared" si="35"/>
        <v>-3.2438383341924393E-2</v>
      </c>
      <c r="K33" s="14">
        <f t="shared" si="35"/>
        <v>2.750000000000008E-2</v>
      </c>
      <c r="L33" s="14">
        <f t="shared" si="35"/>
        <v>1.6430774374924573E-2</v>
      </c>
      <c r="M33" s="14">
        <f t="shared" ref="M33:P33" si="36">+M8/L8-1</f>
        <v>-5.004786344915968E-3</v>
      </c>
      <c r="N33" s="14">
        <f t="shared" si="36"/>
        <v>2.104582047082193E-3</v>
      </c>
      <c r="O33" s="14">
        <f t="shared" si="36"/>
        <v>2.1919982562306428E-2</v>
      </c>
      <c r="P33" s="14">
        <f t="shared" si="36"/>
        <v>2.440309802779006E-2</v>
      </c>
      <c r="Q33" s="14">
        <f t="shared" ref="Q33" si="37">+Q8/P8-1</f>
        <v>2.0453610784033849E-2</v>
      </c>
      <c r="R33" s="14">
        <f t="shared" ref="R33" si="38">+R8/Q8-1</f>
        <v>2.1296498847596768E-2</v>
      </c>
    </row>
    <row r="36" spans="2:18" x14ac:dyDescent="0.25">
      <c r="B36" t="s">
        <v>26</v>
      </c>
      <c r="C36" s="14">
        <f>+C14/(C8+C10)</f>
        <v>0.61001877284853279</v>
      </c>
      <c r="D36" s="14">
        <f t="shared" ref="D36:G36" si="39">+D14/(D8+D10)</f>
        <v>0.61789200385903187</v>
      </c>
      <c r="E36" s="14">
        <f t="shared" si="39"/>
        <v>0.60216854785230356</v>
      </c>
      <c r="F36" s="14">
        <f t="shared" si="39"/>
        <v>0.56092491734460093</v>
      </c>
      <c r="G36" s="14">
        <f t="shared" si="39"/>
        <v>0.57957303518195924</v>
      </c>
      <c r="H36" s="14">
        <f t="shared" ref="H36" si="40">+H14/H8</f>
        <v>0.63736576026803071</v>
      </c>
    </row>
    <row r="37" spans="2:18" x14ac:dyDescent="0.25">
      <c r="B37" t="s">
        <v>12</v>
      </c>
      <c r="C37" s="14">
        <f>+C18/(C8+C10)</f>
        <v>0.10124634776349034</v>
      </c>
      <c r="D37" s="14">
        <f t="shared" ref="D37:G37" si="41">+D18/(D8+D10)</f>
        <v>0.15548918903580955</v>
      </c>
      <c r="E37" s="14">
        <f t="shared" si="41"/>
        <v>6.4331763209888357E-2</v>
      </c>
      <c r="F37" s="14">
        <f t="shared" si="41"/>
        <v>0.28398474476287155</v>
      </c>
      <c r="G37" s="14">
        <f t="shared" si="41"/>
        <v>6.8731277468823099E-2</v>
      </c>
      <c r="H37" s="14">
        <f t="shared" ref="H37" si="42">+H18/H8</f>
        <v>6.9969188429208171E-2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7"/>
  <sheetViews>
    <sheetView tabSelected="1" topLeftCell="A34" workbookViewId="0">
      <selection activeCell="C29" sqref="C29"/>
    </sheetView>
  </sheetViews>
  <sheetFormatPr defaultRowHeight="15" x14ac:dyDescent="0.25"/>
  <cols>
    <col min="2" max="2" width="31.5703125" bestFit="1" customWidth="1"/>
    <col min="3" max="10" width="15" customWidth="1"/>
    <col min="11" max="12" width="13.7109375" bestFit="1" customWidth="1"/>
    <col min="13" max="13" width="9.28515625" customWidth="1"/>
  </cols>
  <sheetData>
    <row r="3" spans="1:12" x14ac:dyDescent="0.25">
      <c r="B3" s="99" t="str">
        <f>+'P&amp;L'!B6</f>
        <v>Particulars</v>
      </c>
      <c r="C3" s="76">
        <f>+'P&amp;L'!I6</f>
        <v>45717</v>
      </c>
      <c r="D3" s="76">
        <f t="shared" ref="D3:J3" si="0">+EDATE(C3,12)</f>
        <v>46082</v>
      </c>
      <c r="E3" s="76">
        <f t="shared" si="0"/>
        <v>46447</v>
      </c>
      <c r="F3" s="76">
        <f t="shared" si="0"/>
        <v>46813</v>
      </c>
      <c r="G3" s="76">
        <f t="shared" si="0"/>
        <v>47178</v>
      </c>
      <c r="H3" s="76">
        <f t="shared" si="0"/>
        <v>47543</v>
      </c>
      <c r="I3" s="76">
        <f t="shared" si="0"/>
        <v>47908</v>
      </c>
      <c r="J3" s="76">
        <f t="shared" si="0"/>
        <v>48274</v>
      </c>
      <c r="K3" s="76">
        <f t="shared" ref="K3" si="1">+EDATE(J3,12)</f>
        <v>48639</v>
      </c>
      <c r="L3" s="76">
        <f t="shared" ref="L3" si="2">+EDATE(K3,12)</f>
        <v>49004</v>
      </c>
    </row>
    <row r="4" spans="1:12" x14ac:dyDescent="0.25">
      <c r="B4" s="99" t="s">
        <v>136</v>
      </c>
      <c r="C4" s="77">
        <v>2</v>
      </c>
      <c r="D4" s="77">
        <v>12</v>
      </c>
      <c r="E4" s="77">
        <f>+D4</f>
        <v>12</v>
      </c>
      <c r="F4" s="77">
        <f t="shared" ref="F4:J4" si="3">+E4</f>
        <v>12</v>
      </c>
      <c r="G4" s="77">
        <f t="shared" si="3"/>
        <v>12</v>
      </c>
      <c r="H4" s="77">
        <f t="shared" si="3"/>
        <v>12</v>
      </c>
      <c r="I4" s="77">
        <f t="shared" si="3"/>
        <v>12</v>
      </c>
      <c r="J4" s="77">
        <f t="shared" si="3"/>
        <v>12</v>
      </c>
      <c r="K4" s="77">
        <f t="shared" ref="K4" si="4">+J4</f>
        <v>12</v>
      </c>
      <c r="L4" s="77">
        <f t="shared" ref="L4" si="5">+K4</f>
        <v>12</v>
      </c>
    </row>
    <row r="5" spans="1:12" x14ac:dyDescent="0.25">
      <c r="B5" s="100" t="s">
        <v>16</v>
      </c>
      <c r="C5" s="78">
        <f>+'P&amp;L'!I22</f>
        <v>74.06875647511356</v>
      </c>
      <c r="D5" s="78">
        <f>+'P&amp;L'!J22</f>
        <v>109.60913410958082</v>
      </c>
      <c r="E5" s="78">
        <f>+'P&amp;L'!K22</f>
        <v>129.46150259238743</v>
      </c>
      <c r="F5" s="78">
        <f>+'P&amp;L'!L22</f>
        <v>128.8052061565879</v>
      </c>
      <c r="G5" s="78">
        <f>+'P&amp;L'!M22</f>
        <v>133.09899964179854</v>
      </c>
      <c r="H5" s="78">
        <f>+'P&amp;L'!N22</f>
        <v>151.14291840014212</v>
      </c>
      <c r="I5" s="78">
        <f>+'P&amp;L'!O22</f>
        <v>167.45848168049449</v>
      </c>
      <c r="J5" s="78">
        <f>+'P&amp;L'!P22</f>
        <v>178.00075959622004</v>
      </c>
      <c r="K5" s="78">
        <f>+'P&amp;L'!Q22</f>
        <v>187.5734338733244</v>
      </c>
      <c r="L5" s="78">
        <f>+'P&amp;L'!R22</f>
        <v>200.64426054457303</v>
      </c>
    </row>
    <row r="6" spans="1:12" x14ac:dyDescent="0.25">
      <c r="A6" s="14">
        <f>30%*(1+0.04)*(1+0.12)</f>
        <v>0.34944000000000003</v>
      </c>
      <c r="B6" s="101" t="s">
        <v>137</v>
      </c>
      <c r="C6" s="79">
        <f>+$A$6</f>
        <v>0.34944000000000003</v>
      </c>
      <c r="D6" s="79">
        <f t="shared" ref="D6:L6" si="6">+$A$6</f>
        <v>0.34944000000000003</v>
      </c>
      <c r="E6" s="79">
        <f t="shared" si="6"/>
        <v>0.34944000000000003</v>
      </c>
      <c r="F6" s="79">
        <f t="shared" si="6"/>
        <v>0.34944000000000003</v>
      </c>
      <c r="G6" s="79">
        <f t="shared" si="6"/>
        <v>0.34944000000000003</v>
      </c>
      <c r="H6" s="79">
        <f t="shared" si="6"/>
        <v>0.34944000000000003</v>
      </c>
      <c r="I6" s="79">
        <f t="shared" si="6"/>
        <v>0.34944000000000003</v>
      </c>
      <c r="J6" s="79">
        <f t="shared" si="6"/>
        <v>0.34944000000000003</v>
      </c>
      <c r="K6" s="79">
        <f t="shared" si="6"/>
        <v>0.34944000000000003</v>
      </c>
      <c r="L6" s="79">
        <f t="shared" si="6"/>
        <v>0.34944000000000003</v>
      </c>
    </row>
    <row r="7" spans="1:12" x14ac:dyDescent="0.25">
      <c r="B7" s="101" t="s">
        <v>138</v>
      </c>
      <c r="C7" s="79">
        <f>1-C6</f>
        <v>0.65056000000000003</v>
      </c>
      <c r="D7" s="79">
        <f t="shared" ref="D7:J7" si="7">1-D6</f>
        <v>0.65056000000000003</v>
      </c>
      <c r="E7" s="79">
        <f t="shared" si="7"/>
        <v>0.65056000000000003</v>
      </c>
      <c r="F7" s="79">
        <f t="shared" si="7"/>
        <v>0.65056000000000003</v>
      </c>
      <c r="G7" s="79">
        <f t="shared" si="7"/>
        <v>0.65056000000000003</v>
      </c>
      <c r="H7" s="79">
        <f t="shared" si="7"/>
        <v>0.65056000000000003</v>
      </c>
      <c r="I7" s="79">
        <f t="shared" si="7"/>
        <v>0.65056000000000003</v>
      </c>
      <c r="J7" s="79">
        <f t="shared" si="7"/>
        <v>0.65056000000000003</v>
      </c>
      <c r="K7" s="79">
        <f t="shared" ref="K7:L7" si="8">1-K6</f>
        <v>0.65056000000000003</v>
      </c>
      <c r="L7" s="79">
        <f t="shared" si="8"/>
        <v>0.65056000000000003</v>
      </c>
    </row>
    <row r="8" spans="1:12" x14ac:dyDescent="0.25">
      <c r="B8" s="102" t="s">
        <v>139</v>
      </c>
      <c r="C8" s="80">
        <f>+C5*C7</f>
        <v>48.186170212449881</v>
      </c>
      <c r="D8" s="80">
        <f t="shared" ref="D8:J8" si="9">+D5*D7</f>
        <v>71.307318286328908</v>
      </c>
      <c r="E8" s="80">
        <f t="shared" si="9"/>
        <v>84.222475126503568</v>
      </c>
      <c r="F8" s="80">
        <f t="shared" si="9"/>
        <v>83.795514917229823</v>
      </c>
      <c r="G8" s="80">
        <f t="shared" si="9"/>
        <v>86.58888520696847</v>
      </c>
      <c r="H8" s="80">
        <f t="shared" si="9"/>
        <v>98.327536994396468</v>
      </c>
      <c r="I8" s="80">
        <f t="shared" si="9"/>
        <v>108.94178984206249</v>
      </c>
      <c r="J8" s="80">
        <f t="shared" si="9"/>
        <v>115.80017416291692</v>
      </c>
      <c r="K8" s="80">
        <f t="shared" ref="K8:L8" si="10">+K5*K7</f>
        <v>122.02777314062993</v>
      </c>
      <c r="L8" s="80">
        <f t="shared" si="10"/>
        <v>130.53113013987743</v>
      </c>
    </row>
    <row r="9" spans="1:12" x14ac:dyDescent="0.25">
      <c r="B9" s="101" t="s">
        <v>140</v>
      </c>
      <c r="C9" s="90">
        <f>+Depreciation!H6</f>
        <v>280.08332526475556</v>
      </c>
      <c r="D9" s="90">
        <f>+Depreciation!I6</f>
        <v>253.99695589954652</v>
      </c>
      <c r="E9" s="90">
        <f>+Depreciation!J6</f>
        <v>230.34021588130008</v>
      </c>
      <c r="F9" s="90">
        <f>+Depreciation!K6</f>
        <v>208.88681466413848</v>
      </c>
      <c r="G9" s="90">
        <f>+Depreciation!L6</f>
        <v>189.43153792569009</v>
      </c>
      <c r="H9" s="90">
        <f>+Depreciation!M6</f>
        <v>171.78828457214613</v>
      </c>
      <c r="I9" s="90">
        <f>+Depreciation!N6</f>
        <v>155.78828657252032</v>
      </c>
      <c r="J9" s="90">
        <f>+Depreciation!O6</f>
        <v>141.27849459378595</v>
      </c>
      <c r="K9" s="90">
        <f>+Depreciation!P6</f>
        <v>128.12011399454667</v>
      </c>
      <c r="L9" s="90">
        <f>+Depreciation!Q6</f>
        <v>116.18727717316452</v>
      </c>
    </row>
    <row r="10" spans="1:12" x14ac:dyDescent="0.25">
      <c r="B10" s="101" t="s">
        <v>141</v>
      </c>
      <c r="C10" s="90">
        <f>+Model!D39</f>
        <v>-60</v>
      </c>
      <c r="D10" s="90">
        <f>+Model!E39</f>
        <v>-60</v>
      </c>
      <c r="E10" s="90">
        <f>+Model!F39</f>
        <v>-75</v>
      </c>
      <c r="F10" s="90">
        <f>+Model!G39</f>
        <v>-75</v>
      </c>
      <c r="G10" s="90">
        <f>+Model!H39</f>
        <v>-75</v>
      </c>
      <c r="H10" s="90">
        <f>+Model!I39</f>
        <v>-75</v>
      </c>
      <c r="I10" s="90">
        <f>+Model!J39</f>
        <v>-75</v>
      </c>
      <c r="J10" s="90">
        <f>+Model!K39</f>
        <v>-75</v>
      </c>
      <c r="K10" s="90">
        <f>+Model!L39</f>
        <v>-75</v>
      </c>
      <c r="L10" s="90">
        <f>+Model!M39</f>
        <v>-75</v>
      </c>
    </row>
    <row r="11" spans="1:12" x14ac:dyDescent="0.25">
      <c r="B11" s="103" t="s">
        <v>142</v>
      </c>
      <c r="C11" s="80">
        <f>+C8+C9+C10</f>
        <v>268.26949547720545</v>
      </c>
      <c r="D11" s="80">
        <f t="shared" ref="D11:J11" si="11">+D8+D9+D10</f>
        <v>265.30427418587544</v>
      </c>
      <c r="E11" s="80">
        <f t="shared" si="11"/>
        <v>239.56269100780366</v>
      </c>
      <c r="F11" s="80">
        <f t="shared" si="11"/>
        <v>217.68232958136832</v>
      </c>
      <c r="G11" s="80">
        <f t="shared" si="11"/>
        <v>201.02042313265855</v>
      </c>
      <c r="H11" s="80">
        <f t="shared" si="11"/>
        <v>195.11582156654259</v>
      </c>
      <c r="I11" s="80">
        <f t="shared" si="11"/>
        <v>189.73007641458281</v>
      </c>
      <c r="J11" s="80">
        <f t="shared" si="11"/>
        <v>182.07866875670288</v>
      </c>
      <c r="K11" s="80">
        <f t="shared" ref="K11:L11" si="12">+K8+K9+K10</f>
        <v>175.1478871351766</v>
      </c>
      <c r="L11" s="80">
        <f t="shared" si="12"/>
        <v>171.71840731304195</v>
      </c>
    </row>
    <row r="12" spans="1:12" x14ac:dyDescent="0.25">
      <c r="B12" s="103" t="s">
        <v>143</v>
      </c>
      <c r="C12" s="80">
        <f t="shared" ref="C12:J12" si="13">+C11*C4/12</f>
        <v>44.711582579534245</v>
      </c>
      <c r="D12" s="80">
        <f t="shared" si="13"/>
        <v>265.30427418587544</v>
      </c>
      <c r="E12" s="80">
        <f t="shared" si="13"/>
        <v>239.56269100780366</v>
      </c>
      <c r="F12" s="80">
        <f t="shared" si="13"/>
        <v>217.68232958136832</v>
      </c>
      <c r="G12" s="80">
        <f t="shared" si="13"/>
        <v>201.02042313265852</v>
      </c>
      <c r="H12" s="80">
        <f t="shared" si="13"/>
        <v>195.11582156654262</v>
      </c>
      <c r="I12" s="80">
        <f t="shared" si="13"/>
        <v>189.73007641458284</v>
      </c>
      <c r="J12" s="80">
        <f t="shared" si="13"/>
        <v>182.07866875670288</v>
      </c>
      <c r="K12" s="80">
        <f t="shared" ref="K12:L12" si="14">+K11*K4/12</f>
        <v>175.1478871351766</v>
      </c>
      <c r="L12" s="80">
        <f t="shared" si="14"/>
        <v>171.71840731304192</v>
      </c>
    </row>
    <row r="13" spans="1:12" x14ac:dyDescent="0.25">
      <c r="B13" s="104" t="s">
        <v>144</v>
      </c>
      <c r="C13" s="106">
        <f>+C29</f>
        <v>0.17759999999999998</v>
      </c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x14ac:dyDescent="0.25">
      <c r="B14" s="104" t="s">
        <v>160</v>
      </c>
      <c r="C14" s="106">
        <f>+C31</f>
        <v>0.01</v>
      </c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x14ac:dyDescent="0.25">
      <c r="B15" s="104" t="s">
        <v>145</v>
      </c>
      <c r="C15" s="107">
        <v>45689</v>
      </c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2" x14ac:dyDescent="0.25">
      <c r="B16" s="101" t="s">
        <v>146</v>
      </c>
      <c r="C16" s="90">
        <f>2/12</f>
        <v>0.16666666666666666</v>
      </c>
      <c r="D16" s="90">
        <f>1+C16</f>
        <v>1.1666666666666667</v>
      </c>
      <c r="E16" s="90">
        <f t="shared" ref="E16:J16" si="15">1+D16</f>
        <v>2.166666666666667</v>
      </c>
      <c r="F16" s="90">
        <f t="shared" si="15"/>
        <v>3.166666666666667</v>
      </c>
      <c r="G16" s="90">
        <f t="shared" si="15"/>
        <v>4.166666666666667</v>
      </c>
      <c r="H16" s="90">
        <f t="shared" si="15"/>
        <v>5.166666666666667</v>
      </c>
      <c r="I16" s="90">
        <f t="shared" si="15"/>
        <v>6.166666666666667</v>
      </c>
      <c r="J16" s="90">
        <f t="shared" si="15"/>
        <v>7.166666666666667</v>
      </c>
      <c r="K16" s="90">
        <f t="shared" ref="K16" si="16">1+J16</f>
        <v>8.1666666666666679</v>
      </c>
      <c r="L16" s="90">
        <f t="shared" ref="L16" si="17">1+K16</f>
        <v>9.1666666666666679</v>
      </c>
    </row>
    <row r="17" spans="2:13" x14ac:dyDescent="0.25">
      <c r="B17" s="101" t="s">
        <v>147</v>
      </c>
      <c r="C17" s="90">
        <f>1/(1+$C$13)^C16</f>
        <v>0.97312142367014354</v>
      </c>
      <c r="D17" s="90">
        <f t="shared" ref="D17:J17" si="18">1/(1+$C$13)^D16</f>
        <v>0.82635990461119524</v>
      </c>
      <c r="E17" s="90">
        <f t="shared" si="18"/>
        <v>0.70173225595380029</v>
      </c>
      <c r="F17" s="90">
        <f t="shared" si="18"/>
        <v>0.59590035322163759</v>
      </c>
      <c r="G17" s="90">
        <f t="shared" si="18"/>
        <v>0.50602951190696122</v>
      </c>
      <c r="H17" s="90">
        <f t="shared" si="18"/>
        <v>0.42971256106229722</v>
      </c>
      <c r="I17" s="90">
        <f t="shared" si="18"/>
        <v>0.36490536774991272</v>
      </c>
      <c r="J17" s="90">
        <f t="shared" si="18"/>
        <v>0.30987208538545574</v>
      </c>
      <c r="K17" s="90">
        <f t="shared" ref="K17:L17" si="19">1/(1+$C$13)^K16</f>
        <v>0.26313865946455139</v>
      </c>
      <c r="L17" s="90">
        <f t="shared" si="19"/>
        <v>0.22345334533334871</v>
      </c>
    </row>
    <row r="18" spans="2:13" x14ac:dyDescent="0.25">
      <c r="B18" s="105" t="s">
        <v>148</v>
      </c>
      <c r="C18" s="90"/>
      <c r="D18" s="90"/>
      <c r="E18" s="90"/>
      <c r="F18" s="90"/>
      <c r="G18" s="90"/>
      <c r="H18" s="90"/>
      <c r="I18" s="90"/>
      <c r="J18" s="90"/>
      <c r="K18" s="105"/>
      <c r="L18" s="90">
        <f>+L12*(1+$C$14)/($C$13-$C$14)</f>
        <v>1034.8185643566371</v>
      </c>
    </row>
    <row r="19" spans="2:13" x14ac:dyDescent="0.25">
      <c r="B19" s="102" t="s">
        <v>149</v>
      </c>
      <c r="C19" s="90">
        <f>+C12*C17</f>
        <v>43.50979889434155</v>
      </c>
      <c r="D19" s="90">
        <f t="shared" ref="D19:J19" si="20">+D12*D17</f>
        <v>219.23681470918243</v>
      </c>
      <c r="E19" s="90">
        <f t="shared" si="20"/>
        <v>168.10886760326926</v>
      </c>
      <c r="F19" s="90">
        <f t="shared" si="20"/>
        <v>129.71697708764631</v>
      </c>
      <c r="G19" s="90">
        <f t="shared" si="20"/>
        <v>101.72226660115001</v>
      </c>
      <c r="H19" s="90">
        <f t="shared" si="20"/>
        <v>83.843719389133227</v>
      </c>
      <c r="I19" s="90">
        <f t="shared" si="20"/>
        <v>69.233523307282397</v>
      </c>
      <c r="J19" s="90">
        <f t="shared" si="20"/>
        <v>56.421096791847148</v>
      </c>
      <c r="K19" s="90">
        <f t="shared" ref="K19:L19" si="21">+K12*K17</f>
        <v>46.088180228798919</v>
      </c>
      <c r="L19" s="90">
        <f t="shared" si="21"/>
        <v>38.371052569413791</v>
      </c>
    </row>
    <row r="20" spans="2:13" x14ac:dyDescent="0.25">
      <c r="B20" s="104" t="s">
        <v>150</v>
      </c>
      <c r="C20" s="90"/>
      <c r="D20" s="90"/>
      <c r="E20" s="90"/>
      <c r="F20" s="90"/>
      <c r="G20" s="90"/>
      <c r="H20" s="90"/>
      <c r="I20" s="90"/>
      <c r="J20" s="90">
        <f>+J18*J17</f>
        <v>0</v>
      </c>
      <c r="K20" s="90">
        <f t="shared" ref="K20:L20" si="22">+K18*K17</f>
        <v>0</v>
      </c>
      <c r="L20" s="90">
        <f t="shared" si="22"/>
        <v>231.23367001854376</v>
      </c>
    </row>
    <row r="21" spans="2:13" x14ac:dyDescent="0.25">
      <c r="B21" s="102" t="s">
        <v>151</v>
      </c>
      <c r="C21" s="80">
        <f>+C19+C20</f>
        <v>43.50979889434155</v>
      </c>
      <c r="D21" s="80">
        <f t="shared" ref="D21:L21" si="23">+D19+D20</f>
        <v>219.23681470918243</v>
      </c>
      <c r="E21" s="80">
        <f t="shared" si="23"/>
        <v>168.10886760326926</v>
      </c>
      <c r="F21" s="80">
        <f t="shared" si="23"/>
        <v>129.71697708764631</v>
      </c>
      <c r="G21" s="80">
        <f t="shared" si="23"/>
        <v>101.72226660115001</v>
      </c>
      <c r="H21" s="80">
        <f t="shared" si="23"/>
        <v>83.843719389133227</v>
      </c>
      <c r="I21" s="80">
        <f t="shared" si="23"/>
        <v>69.233523307282397</v>
      </c>
      <c r="J21" s="80">
        <f t="shared" si="23"/>
        <v>56.421096791847148</v>
      </c>
      <c r="K21" s="80">
        <f t="shared" si="23"/>
        <v>46.088180228798919</v>
      </c>
      <c r="L21" s="80">
        <f t="shared" si="23"/>
        <v>269.60472258795755</v>
      </c>
    </row>
    <row r="22" spans="2:13" x14ac:dyDescent="0.25">
      <c r="B22" s="72" t="s">
        <v>152</v>
      </c>
      <c r="C22" s="81">
        <f>+SUM(C21:L21)</f>
        <v>1187.4859672006087</v>
      </c>
      <c r="D22" s="81" t="s">
        <v>153</v>
      </c>
      <c r="E22" s="81"/>
      <c r="F22" s="81"/>
      <c r="G22" s="81"/>
      <c r="H22" s="81"/>
      <c r="I22" s="81"/>
      <c r="J22" s="81"/>
      <c r="K22" s="81"/>
      <c r="L22" s="81"/>
    </row>
    <row r="23" spans="2:13" x14ac:dyDescent="0.25">
      <c r="C23" s="75"/>
    </row>
    <row r="26" spans="2:13" x14ac:dyDescent="0.25">
      <c r="B26" s="2" t="s">
        <v>2</v>
      </c>
      <c r="C26" s="8" t="s">
        <v>173</v>
      </c>
    </row>
    <row r="27" spans="2:13" ht="30" x14ac:dyDescent="0.25">
      <c r="B27" s="73" t="s">
        <v>158</v>
      </c>
      <c r="C27" s="71">
        <v>0.15759999999999999</v>
      </c>
      <c r="D27" s="98" t="s">
        <v>159</v>
      </c>
    </row>
    <row r="28" spans="2:13" x14ac:dyDescent="0.25">
      <c r="B28" t="s">
        <v>154</v>
      </c>
      <c r="C28" s="71">
        <v>0.02</v>
      </c>
    </row>
    <row r="29" spans="2:13" x14ac:dyDescent="0.25">
      <c r="B29" s="82" t="s">
        <v>155</v>
      </c>
      <c r="C29" s="83">
        <f>SUM(C27:C28)</f>
        <v>0.17759999999999998</v>
      </c>
      <c r="G29" s="86">
        <f>C47</f>
        <v>1207.3522455676086</v>
      </c>
      <c r="H29" s="87">
        <f>+I29-0.25%</f>
        <v>4.9999999999999992E-3</v>
      </c>
      <c r="I29" s="87">
        <f>+J29-0.25%</f>
        <v>7.4999999999999997E-3</v>
      </c>
      <c r="J29" s="87">
        <v>0.01</v>
      </c>
      <c r="K29" s="87">
        <f>+J29+0.25%</f>
        <v>1.2500000000000001E-2</v>
      </c>
      <c r="L29" s="87">
        <f>+K29+0.25%</f>
        <v>1.5000000000000001E-2</v>
      </c>
      <c r="M29" s="56"/>
    </row>
    <row r="30" spans="2:13" x14ac:dyDescent="0.25">
      <c r="G30" s="87">
        <f>+G31-1%</f>
        <v>0.15759999999999996</v>
      </c>
      <c r="H30" s="88">
        <f t="dataTable" ref="H30:L34" dt2D="1" dtr="1" r1="C31" r2="C29"/>
        <v>1333.7376250126238</v>
      </c>
      <c r="I30" s="88">
        <v>1339.4099408334973</v>
      </c>
      <c r="J30" s="88">
        <v>1345.2744082743191</v>
      </c>
      <c r="K30" s="88">
        <v>1351.3409593623089</v>
      </c>
      <c r="L30" s="88">
        <v>1357.6202226202845</v>
      </c>
      <c r="M30" s="55"/>
    </row>
    <row r="31" spans="2:13" x14ac:dyDescent="0.25">
      <c r="B31" t="s">
        <v>160</v>
      </c>
      <c r="C31" s="95">
        <v>0.01</v>
      </c>
      <c r="G31" s="87">
        <f>+G32-1%</f>
        <v>0.16759999999999997</v>
      </c>
      <c r="H31" s="88">
        <v>1262.7020325637204</v>
      </c>
      <c r="I31" s="88">
        <v>1267.3544279424088</v>
      </c>
      <c r="J31" s="88">
        <v>1272.1544246973247</v>
      </c>
      <c r="K31" s="88">
        <v>1277.1091602257707</v>
      </c>
      <c r="L31" s="88">
        <v>1282.2262396444019</v>
      </c>
      <c r="M31" s="55"/>
    </row>
    <row r="32" spans="2:13" x14ac:dyDescent="0.25">
      <c r="G32" s="87">
        <v>0.17759999999999998</v>
      </c>
      <c r="H32" s="88">
        <v>1199.5421435227665</v>
      </c>
      <c r="I32" s="88">
        <v>1203.3898010851285</v>
      </c>
      <c r="J32" s="89">
        <v>1207.3522455676086</v>
      </c>
      <c r="K32" s="88">
        <v>1211.4346913972265</v>
      </c>
      <c r="L32" s="88">
        <v>1215.6426736914698</v>
      </c>
      <c r="M32" s="55"/>
    </row>
    <row r="33" spans="2:13" x14ac:dyDescent="0.25">
      <c r="B33" s="2" t="s">
        <v>161</v>
      </c>
      <c r="C33" s="5">
        <v>45536</v>
      </c>
      <c r="G33" s="87">
        <f>+G32+1%</f>
        <v>0.18759999999999999</v>
      </c>
      <c r="H33" s="88">
        <v>1142.9837667766346</v>
      </c>
      <c r="I33" s="88">
        <v>1146.1895623990099</v>
      </c>
      <c r="J33" s="88">
        <v>1149.4856112765194</v>
      </c>
      <c r="K33" s="88">
        <v>1152.8757791967905</v>
      </c>
      <c r="L33" s="88">
        <v>1156.3641559212408</v>
      </c>
      <c r="M33" s="55"/>
    </row>
    <row r="34" spans="2:13" x14ac:dyDescent="0.25">
      <c r="B34" t="s">
        <v>162</v>
      </c>
      <c r="C34" s="9">
        <f>367482223.74/10^7</f>
        <v>36.748222374000001</v>
      </c>
      <c r="G34" s="87">
        <f>+G33+1%</f>
        <v>0.1976</v>
      </c>
      <c r="H34" s="88">
        <v>1092.0160158169022</v>
      </c>
      <c r="I34" s="88">
        <v>1094.7049006255972</v>
      </c>
      <c r="J34" s="88">
        <v>1097.4654508076585</v>
      </c>
      <c r="K34" s="88">
        <v>1100.3005701464474</v>
      </c>
      <c r="L34" s="88">
        <v>1103.2133214496064</v>
      </c>
      <c r="M34" s="55"/>
    </row>
    <row r="35" spans="2:13" x14ac:dyDescent="0.25">
      <c r="B35" t="s">
        <v>164</v>
      </c>
      <c r="C35" s="9">
        <f>3507213.22/10^7</f>
        <v>0.350721322</v>
      </c>
    </row>
    <row r="36" spans="2:13" x14ac:dyDescent="0.25">
      <c r="B36" t="s">
        <v>163</v>
      </c>
      <c r="C36" s="9">
        <f>14186652.34/10^7</f>
        <v>1.4186652339999999</v>
      </c>
    </row>
    <row r="37" spans="2:13" x14ac:dyDescent="0.25">
      <c r="B37" t="s">
        <v>166</v>
      </c>
      <c r="C37" s="9">
        <f>3364512.16/10^7</f>
        <v>0.336451216</v>
      </c>
      <c r="K37" s="56"/>
      <c r="L37" s="56"/>
    </row>
    <row r="38" spans="2:13" x14ac:dyDescent="0.25">
      <c r="B38" t="s">
        <v>165</v>
      </c>
      <c r="C38" s="9">
        <f>8784965.88/10^7</f>
        <v>0.87849658800000008</v>
      </c>
      <c r="K38" s="55"/>
      <c r="L38" s="55"/>
    </row>
    <row r="39" spans="2:13" x14ac:dyDescent="0.25">
      <c r="B39" s="94" t="s">
        <v>42</v>
      </c>
      <c r="C39" s="96">
        <f>SUM(C34:C38)</f>
        <v>39.732556733999999</v>
      </c>
      <c r="D39" s="10" t="s">
        <v>153</v>
      </c>
      <c r="K39" s="55"/>
      <c r="L39" s="55"/>
    </row>
    <row r="40" spans="2:13" x14ac:dyDescent="0.25">
      <c r="B40" s="2" t="s">
        <v>167</v>
      </c>
      <c r="C40" s="97">
        <f>+C39*50%</f>
        <v>19.866278367</v>
      </c>
      <c r="D40" s="85" t="s">
        <v>153</v>
      </c>
      <c r="K40" s="55"/>
      <c r="L40" s="55"/>
    </row>
    <row r="41" spans="2:13" x14ac:dyDescent="0.25">
      <c r="G41" s="56"/>
      <c r="H41" s="55"/>
      <c r="I41" s="55"/>
      <c r="J41" s="55"/>
      <c r="K41" s="55"/>
      <c r="L41" s="55"/>
    </row>
    <row r="42" spans="2:13" x14ac:dyDescent="0.25">
      <c r="G42" s="56"/>
    </row>
    <row r="43" spans="2:13" x14ac:dyDescent="0.25">
      <c r="G43" s="56"/>
    </row>
    <row r="44" spans="2:13" x14ac:dyDescent="0.25">
      <c r="B44" s="2" t="s">
        <v>168</v>
      </c>
      <c r="C44" s="8" t="s">
        <v>172</v>
      </c>
      <c r="D44" s="70"/>
    </row>
    <row r="45" spans="2:13" x14ac:dyDescent="0.25">
      <c r="B45" t="s">
        <v>169</v>
      </c>
      <c r="C45" s="55">
        <f>+C22</f>
        <v>1187.4859672006087</v>
      </c>
      <c r="D45" t="s">
        <v>153</v>
      </c>
    </row>
    <row r="46" spans="2:13" x14ac:dyDescent="0.25">
      <c r="B46" t="s">
        <v>170</v>
      </c>
      <c r="C46" s="55">
        <f>+C40</f>
        <v>19.866278367</v>
      </c>
      <c r="D46" t="s">
        <v>153</v>
      </c>
    </row>
    <row r="47" spans="2:13" x14ac:dyDescent="0.25">
      <c r="B47" s="2" t="s">
        <v>171</v>
      </c>
      <c r="C47" s="84">
        <f>+C45+C46</f>
        <v>1207.3522455676086</v>
      </c>
      <c r="D47" s="2" t="s">
        <v>153</v>
      </c>
    </row>
  </sheetData>
  <mergeCells count="3">
    <mergeCell ref="C13:L13"/>
    <mergeCell ref="C14:L14"/>
    <mergeCell ref="C15:L15"/>
  </mergeCells>
  <hyperlinks>
    <hyperlink ref="D2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showGridLines="0" topLeftCell="D1" workbookViewId="0">
      <selection activeCell="O4" sqref="O4:Q6"/>
    </sheetView>
  </sheetViews>
  <sheetFormatPr defaultRowHeight="15" x14ac:dyDescent="0.25"/>
  <cols>
    <col min="2" max="2" width="21" customWidth="1"/>
    <col min="3" max="3" width="10" bestFit="1" customWidth="1"/>
    <col min="4" max="15" width="11.5703125" bestFit="1" customWidth="1"/>
  </cols>
  <sheetData>
    <row r="2" spans="2:17" x14ac:dyDescent="0.25">
      <c r="B2" s="108" t="s">
        <v>135</v>
      </c>
      <c r="C2" s="108"/>
      <c r="D2" s="108"/>
      <c r="E2" s="108"/>
      <c r="F2" s="108"/>
      <c r="G2" s="108"/>
    </row>
    <row r="3" spans="2:17" ht="9" customHeight="1" x14ac:dyDescent="0.25"/>
    <row r="4" spans="2:17" x14ac:dyDescent="0.25">
      <c r="B4" s="4" t="s">
        <v>2</v>
      </c>
      <c r="C4" s="5">
        <v>43891</v>
      </c>
      <c r="D4" s="5">
        <f>+EDATE(C4,12)</f>
        <v>44256</v>
      </c>
      <c r="E4" s="5">
        <f t="shared" ref="E4:G4" si="0">+EDATE(D4,12)</f>
        <v>44621</v>
      </c>
      <c r="F4" s="5">
        <f t="shared" si="0"/>
        <v>44986</v>
      </c>
      <c r="G4" s="5">
        <f t="shared" si="0"/>
        <v>45352</v>
      </c>
      <c r="H4" s="5">
        <f>+EDATE(G4,12)</f>
        <v>45717</v>
      </c>
      <c r="I4" s="5">
        <f t="shared" ref="I4:O4" si="1">+EDATE(H4,12)</f>
        <v>46082</v>
      </c>
      <c r="J4" s="5">
        <f t="shared" si="1"/>
        <v>46447</v>
      </c>
      <c r="K4" s="5">
        <f t="shared" si="1"/>
        <v>46813</v>
      </c>
      <c r="L4" s="5">
        <f t="shared" si="1"/>
        <v>47178</v>
      </c>
      <c r="M4" s="5">
        <f t="shared" si="1"/>
        <v>47543</v>
      </c>
      <c r="N4" s="5">
        <f t="shared" si="1"/>
        <v>47908</v>
      </c>
      <c r="O4" s="5">
        <f t="shared" si="1"/>
        <v>48274</v>
      </c>
      <c r="P4" s="5">
        <f t="shared" ref="P4" si="2">+EDATE(O4,12)</f>
        <v>48639</v>
      </c>
      <c r="Q4" s="5">
        <f t="shared" ref="Q4" si="3">+EDATE(P4,12)</f>
        <v>49004</v>
      </c>
    </row>
    <row r="5" spans="2:17" x14ac:dyDescent="0.25">
      <c r="B5" t="s">
        <v>156</v>
      </c>
      <c r="C5" s="57"/>
      <c r="D5" s="9">
        <f>649708/10^2</f>
        <v>6497.08</v>
      </c>
      <c r="E5" s="9">
        <f>554207/10^2</f>
        <v>5542.07</v>
      </c>
      <c r="F5" s="9">
        <f>452815/10^2</f>
        <v>4528.1499999999996</v>
      </c>
      <c r="G5" s="9">
        <f>322013/10^2</f>
        <v>3220.13</v>
      </c>
      <c r="H5" s="57">
        <f>300719/10^2</f>
        <v>3007.19</v>
      </c>
      <c r="I5" s="57">
        <f>+H5-H6</f>
        <v>2727.1066747352443</v>
      </c>
      <c r="J5" s="57">
        <f t="shared" ref="J5:O5" si="4">+I5-I6</f>
        <v>2473.1097188356975</v>
      </c>
      <c r="K5" s="57">
        <f t="shared" si="4"/>
        <v>2242.7695029543975</v>
      </c>
      <c r="L5" s="57">
        <f t="shared" si="4"/>
        <v>2033.882688290259</v>
      </c>
      <c r="M5" s="57">
        <f t="shared" si="4"/>
        <v>1844.451150364569</v>
      </c>
      <c r="N5" s="57">
        <f t="shared" si="4"/>
        <v>1672.662865792423</v>
      </c>
      <c r="O5" s="57">
        <f t="shared" si="4"/>
        <v>1516.8745792199027</v>
      </c>
      <c r="P5" s="57">
        <f t="shared" ref="P5" si="5">+O5-O6</f>
        <v>1375.5960846261166</v>
      </c>
      <c r="Q5" s="57">
        <f t="shared" ref="Q5" si="6">+P5-P6</f>
        <v>1247.4759706315699</v>
      </c>
    </row>
    <row r="6" spans="2:17" x14ac:dyDescent="0.25">
      <c r="B6" t="s">
        <v>76</v>
      </c>
      <c r="C6" s="55"/>
      <c r="D6" s="13">
        <f>+'P&amp;L'!D21</f>
        <v>547.17999999999995</v>
      </c>
      <c r="E6" s="13">
        <f>+'P&amp;L'!E21</f>
        <v>503.19</v>
      </c>
      <c r="F6" s="13">
        <f>+'P&amp;L'!F21</f>
        <v>503.57</v>
      </c>
      <c r="G6" s="13">
        <f>+'P&amp;L'!G21</f>
        <v>277.99</v>
      </c>
      <c r="H6" s="57">
        <f>+H5*$E$9</f>
        <v>280.08332526475556</v>
      </c>
      <c r="I6" s="57">
        <f t="shared" ref="I6:O6" si="7">+I5*$E$9</f>
        <v>253.99695589954652</v>
      </c>
      <c r="J6" s="57">
        <f t="shared" si="7"/>
        <v>230.34021588130008</v>
      </c>
      <c r="K6" s="57">
        <f t="shared" si="7"/>
        <v>208.88681466413848</v>
      </c>
      <c r="L6" s="57">
        <f t="shared" si="7"/>
        <v>189.43153792569009</v>
      </c>
      <c r="M6" s="57">
        <f t="shared" si="7"/>
        <v>171.78828457214613</v>
      </c>
      <c r="N6" s="57">
        <f t="shared" si="7"/>
        <v>155.78828657252032</v>
      </c>
      <c r="O6" s="57">
        <f t="shared" si="7"/>
        <v>141.27849459378595</v>
      </c>
      <c r="P6" s="57">
        <f t="shared" ref="P6:Q6" si="8">+P5*$E$9</f>
        <v>128.12011399454667</v>
      </c>
      <c r="Q6" s="57">
        <f t="shared" si="8"/>
        <v>116.18727717316452</v>
      </c>
    </row>
    <row r="7" spans="2:17" x14ac:dyDescent="0.25">
      <c r="D7" s="14">
        <f>+D6/D5</f>
        <v>8.4219372394983588E-2</v>
      </c>
      <c r="E7" s="14">
        <f t="shared" ref="E7:G7" si="9">+E6/E5</f>
        <v>9.0794594799416109E-2</v>
      </c>
      <c r="F7" s="14">
        <f t="shared" si="9"/>
        <v>0.1112087717942206</v>
      </c>
      <c r="G7" s="14">
        <f t="shared" si="9"/>
        <v>8.6328812811905103E-2</v>
      </c>
    </row>
    <row r="9" spans="2:17" x14ac:dyDescent="0.25">
      <c r="D9" s="59" t="s">
        <v>157</v>
      </c>
      <c r="E9" s="62">
        <f>+AVERAGE(D7:G7)</f>
        <v>9.3137887950131365E-2</v>
      </c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showGridLines="0" topLeftCell="A4" zoomScale="90" zoomScaleNormal="90" workbookViewId="0">
      <selection activeCell="F7" sqref="F7"/>
    </sheetView>
  </sheetViews>
  <sheetFormatPr defaultColWidth="8.7109375" defaultRowHeight="12.75" x14ac:dyDescent="0.2"/>
  <cols>
    <col min="1" max="1" width="8.7109375" style="17"/>
    <col min="2" max="2" width="35.5703125" style="17" bestFit="1" customWidth="1"/>
    <col min="3" max="3" width="15" style="17" bestFit="1" customWidth="1"/>
    <col min="4" max="13" width="9.85546875" style="17" bestFit="1" customWidth="1"/>
    <col min="14" max="16384" width="8.7109375" style="17"/>
  </cols>
  <sheetData>
    <row r="1" spans="2:13" ht="13.5" thickBot="1" x14ac:dyDescent="0.25"/>
    <row r="2" spans="2:13" ht="12.6" customHeight="1" x14ac:dyDescent="0.2">
      <c r="B2" s="109" t="s">
        <v>54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2.95" customHeight="1" thickBot="1" x14ac:dyDescent="0.2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2:13" x14ac:dyDescent="0.2">
      <c r="B4" s="18" t="s">
        <v>55</v>
      </c>
    </row>
    <row r="5" spans="2:13" x14ac:dyDescent="0.2">
      <c r="B5" s="19"/>
      <c r="C5" s="20">
        <v>45382</v>
      </c>
      <c r="D5" s="20">
        <f>EDATE(C5,12)</f>
        <v>45747</v>
      </c>
      <c r="E5" s="20">
        <f t="shared" ref="E5:M5" si="0">EDATE(D5,12)</f>
        <v>46112</v>
      </c>
      <c r="F5" s="20">
        <f t="shared" si="0"/>
        <v>46477</v>
      </c>
      <c r="G5" s="20">
        <f t="shared" si="0"/>
        <v>46843</v>
      </c>
      <c r="H5" s="20">
        <f t="shared" si="0"/>
        <v>47208</v>
      </c>
      <c r="I5" s="20">
        <f t="shared" si="0"/>
        <v>47573</v>
      </c>
      <c r="J5" s="20">
        <f t="shared" si="0"/>
        <v>47938</v>
      </c>
      <c r="K5" s="20">
        <f t="shared" si="0"/>
        <v>48304</v>
      </c>
      <c r="L5" s="20">
        <f t="shared" si="0"/>
        <v>48669</v>
      </c>
      <c r="M5" s="20">
        <f t="shared" si="0"/>
        <v>49034</v>
      </c>
    </row>
    <row r="6" spans="2:13" x14ac:dyDescent="0.2">
      <c r="B6" s="21" t="s">
        <v>56</v>
      </c>
    </row>
    <row r="7" spans="2:13" x14ac:dyDescent="0.2">
      <c r="B7" s="22" t="s">
        <v>57</v>
      </c>
      <c r="C7" s="23">
        <v>832.10070000000007</v>
      </c>
      <c r="D7" s="24">
        <v>803.61059999999998</v>
      </c>
      <c r="E7" s="24">
        <f>+(D7+D10)+(D7+D10)*'working &amp; assumptions'!D7</f>
        <v>774.35386083028754</v>
      </c>
      <c r="F7" s="24">
        <f>+(E7+E10)+(E7+E10)*'working &amp; assumptions'!E7</f>
        <v>795.66808346747291</v>
      </c>
      <c r="G7" s="24">
        <f>+(F7+F10)+(F7+F10)*'working &amp; assumptions'!F7</f>
        <v>817.56898373307536</v>
      </c>
      <c r="H7" s="24">
        <f>+(G7+G10)+(G7+G10)*'working &amp; assumptions'!G7</f>
        <v>840.07271002929292</v>
      </c>
      <c r="I7" s="24">
        <f>+(H7+H10)+(H7+H10)*'working &amp; assumptions'!H7</f>
        <v>863.19585524585989</v>
      </c>
      <c r="J7" s="24">
        <f>+(I7+I10)+(I7+I10)*'working &amp; assumptions'!I7</f>
        <v>886.95546899464205</v>
      </c>
      <c r="K7" s="24">
        <f>+(J7+J10)+(J7+J10)*'working &amp; assumptions'!J7</f>
        <v>911.36907018099191</v>
      </c>
      <c r="L7" s="24">
        <f>+(K7+K10)+(K7+K10)*'working &amp; assumptions'!K7</f>
        <v>936.45465992113213</v>
      </c>
      <c r="M7" s="24">
        <f>+(L7+L10)+(L7+L10)*'working &amp; assumptions'!L7</f>
        <v>962.23073481509232</v>
      </c>
    </row>
    <row r="8" spans="2:13" x14ac:dyDescent="0.2">
      <c r="B8" s="22" t="s">
        <v>58</v>
      </c>
      <c r="C8" s="25">
        <v>537.8264999999999</v>
      </c>
      <c r="D8" s="24">
        <v>532.15980000000002</v>
      </c>
      <c r="E8" s="24">
        <f>D8</f>
        <v>532.15980000000002</v>
      </c>
      <c r="F8" s="24">
        <f t="shared" ref="F8:M8" si="1">E8</f>
        <v>532.15980000000002</v>
      </c>
      <c r="G8" s="24">
        <f t="shared" si="1"/>
        <v>532.15980000000002</v>
      </c>
      <c r="H8" s="24">
        <f t="shared" si="1"/>
        <v>532.15980000000002</v>
      </c>
      <c r="I8" s="24">
        <f t="shared" si="1"/>
        <v>532.15980000000002</v>
      </c>
      <c r="J8" s="24">
        <f t="shared" si="1"/>
        <v>532.15980000000002</v>
      </c>
      <c r="K8" s="24">
        <f t="shared" si="1"/>
        <v>532.15980000000002</v>
      </c>
      <c r="L8" s="24">
        <f t="shared" si="1"/>
        <v>532.15980000000002</v>
      </c>
      <c r="M8" s="24">
        <f t="shared" si="1"/>
        <v>532.15980000000002</v>
      </c>
    </row>
    <row r="9" spans="2:13" x14ac:dyDescent="0.2">
      <c r="B9" s="22" t="s">
        <v>59</v>
      </c>
      <c r="C9" s="24">
        <v>2.0855903800000002</v>
      </c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2:13" x14ac:dyDescent="0.2">
      <c r="B10" s="22" t="s">
        <v>60</v>
      </c>
      <c r="D10" s="26">
        <v>-50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>
      <c r="B11" s="27" t="s">
        <v>6</v>
      </c>
      <c r="C11" s="28">
        <f>+SUM(C7:C10)</f>
        <v>1372.0127903800001</v>
      </c>
      <c r="D11" s="28">
        <f t="shared" ref="D11:M11" si="2">+SUM(D7:D10)</f>
        <v>1285.7703999999999</v>
      </c>
      <c r="E11" s="28">
        <f t="shared" si="2"/>
        <v>1306.5136608302876</v>
      </c>
      <c r="F11" s="28">
        <f t="shared" si="2"/>
        <v>1327.8278834674729</v>
      </c>
      <c r="G11" s="28">
        <f t="shared" si="2"/>
        <v>1349.7287837330755</v>
      </c>
      <c r="H11" s="28">
        <f t="shared" si="2"/>
        <v>1372.2325100292928</v>
      </c>
      <c r="I11" s="28">
        <f t="shared" si="2"/>
        <v>1395.3556552458599</v>
      </c>
      <c r="J11" s="28">
        <f t="shared" si="2"/>
        <v>1419.1152689946421</v>
      </c>
      <c r="K11" s="28">
        <f t="shared" si="2"/>
        <v>1443.5288701809918</v>
      </c>
      <c r="L11" s="28">
        <f t="shared" si="2"/>
        <v>1468.614459921132</v>
      </c>
      <c r="M11" s="28">
        <f t="shared" si="2"/>
        <v>1494.3905348150925</v>
      </c>
    </row>
    <row r="12" spans="2:13" x14ac:dyDescent="0.2">
      <c r="D12" s="17" t="s">
        <v>120</v>
      </c>
    </row>
    <row r="13" spans="2:13" x14ac:dyDescent="0.2">
      <c r="B13" s="17" t="s">
        <v>61</v>
      </c>
      <c r="C13" s="26">
        <v>-13.69126438</v>
      </c>
    </row>
    <row r="15" spans="2:13" x14ac:dyDescent="0.2">
      <c r="B15" s="17" t="s">
        <v>62</v>
      </c>
    </row>
    <row r="17" spans="2:13" x14ac:dyDescent="0.2">
      <c r="B17" s="17" t="s">
        <v>63</v>
      </c>
    </row>
    <row r="18" spans="2:13" x14ac:dyDescent="0.2">
      <c r="B18" s="29" t="s">
        <v>64</v>
      </c>
      <c r="C18" s="30">
        <v>235.81030129999999</v>
      </c>
      <c r="D18" s="24">
        <v>244.24250000000001</v>
      </c>
      <c r="E18" s="24">
        <f>D18</f>
        <v>244.24250000000001</v>
      </c>
      <c r="F18" s="24">
        <f t="shared" ref="F18:M18" si="3">E18</f>
        <v>244.24250000000001</v>
      </c>
      <c r="G18" s="24">
        <f t="shared" si="3"/>
        <v>244.24250000000001</v>
      </c>
      <c r="H18" s="24">
        <f t="shared" si="3"/>
        <v>244.24250000000001</v>
      </c>
      <c r="I18" s="24">
        <f t="shared" si="3"/>
        <v>244.24250000000001</v>
      </c>
      <c r="J18" s="24">
        <f t="shared" si="3"/>
        <v>244.24250000000001</v>
      </c>
      <c r="K18" s="24">
        <f t="shared" si="3"/>
        <v>244.24250000000001</v>
      </c>
      <c r="L18" s="24">
        <f t="shared" si="3"/>
        <v>244.24250000000001</v>
      </c>
      <c r="M18" s="24">
        <f t="shared" si="3"/>
        <v>244.24250000000001</v>
      </c>
    </row>
    <row r="19" spans="2:13" x14ac:dyDescent="0.2">
      <c r="B19" s="29" t="s">
        <v>65</v>
      </c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 x14ac:dyDescent="0.2">
      <c r="B20" s="31" t="s">
        <v>66</v>
      </c>
      <c r="C20" s="30">
        <v>496.92760000000004</v>
      </c>
      <c r="D20" s="24">
        <v>470.06669999999997</v>
      </c>
      <c r="E20" s="24">
        <f>D20</f>
        <v>470.06669999999997</v>
      </c>
      <c r="F20" s="24">
        <f t="shared" ref="F20:M20" si="4">E20</f>
        <v>470.06669999999997</v>
      </c>
      <c r="G20" s="24">
        <f t="shared" si="4"/>
        <v>470.06669999999997</v>
      </c>
      <c r="H20" s="24">
        <f t="shared" si="4"/>
        <v>470.06669999999997</v>
      </c>
      <c r="I20" s="24">
        <f t="shared" si="4"/>
        <v>470.06669999999997</v>
      </c>
      <c r="J20" s="24">
        <f t="shared" si="4"/>
        <v>470.06669999999997</v>
      </c>
      <c r="K20" s="24">
        <f t="shared" si="4"/>
        <v>470.06669999999997</v>
      </c>
      <c r="L20" s="24">
        <f t="shared" si="4"/>
        <v>470.06669999999997</v>
      </c>
      <c r="M20" s="24">
        <f t="shared" si="4"/>
        <v>470.06669999999997</v>
      </c>
    </row>
    <row r="21" spans="2:13" x14ac:dyDescent="0.2">
      <c r="B21" s="31" t="s">
        <v>67</v>
      </c>
      <c r="C21" s="30">
        <v>186.66890000000001</v>
      </c>
      <c r="D21" s="24">
        <v>165.0688652</v>
      </c>
      <c r="E21" s="24">
        <f>+D21+D21*'working &amp; assumptions'!D10</f>
        <v>173.32230846000002</v>
      </c>
      <c r="F21" s="24">
        <f>+E21+E21*'working &amp; assumptions'!E10</f>
        <v>181.98842388300002</v>
      </c>
      <c r="G21" s="24">
        <f>+F21+F21*'working &amp; assumptions'!F10</f>
        <v>191.08784507715004</v>
      </c>
      <c r="H21" s="24">
        <f>+G21+G21*'working &amp; assumptions'!G10</f>
        <v>200.64223733100755</v>
      </c>
      <c r="I21" s="24">
        <f>+H21+H21*'working &amp; assumptions'!H10</f>
        <v>210.67434919755792</v>
      </c>
      <c r="J21" s="24">
        <f>+I21+I21*'working &amp; assumptions'!I10</f>
        <v>221.20806665743581</v>
      </c>
      <c r="K21" s="24">
        <f>+J21+J21*'working &amp; assumptions'!J10</f>
        <v>232.26846999030761</v>
      </c>
      <c r="L21" s="24">
        <f>+K21+K21*'working &amp; assumptions'!K10</f>
        <v>243.881893489823</v>
      </c>
      <c r="M21" s="24">
        <f>+L21+L21*'working &amp; assumptions'!L10</f>
        <v>256.07598816431414</v>
      </c>
    </row>
    <row r="22" spans="2:13" x14ac:dyDescent="0.2">
      <c r="B22" s="29" t="s">
        <v>68</v>
      </c>
      <c r="C22" s="30">
        <v>8.4987000000000013</v>
      </c>
      <c r="D22" s="24">
        <v>9.7141999999999999</v>
      </c>
      <c r="E22" s="24">
        <f>+D22+D22*'working &amp; assumptions'!D12</f>
        <v>10.005625999999999</v>
      </c>
      <c r="F22" s="24">
        <f>+E22+E22*'working &amp; assumptions'!E12</f>
        <v>10.305794779999999</v>
      </c>
      <c r="G22" s="24">
        <f>+F22+F22*'working &amp; assumptions'!F12</f>
        <v>10.614968623399999</v>
      </c>
      <c r="H22" s="24">
        <f>+G22+G22*'working &amp; assumptions'!G12</f>
        <v>10.933417682102</v>
      </c>
      <c r="I22" s="24">
        <f>+H22+H22*'working &amp; assumptions'!H12</f>
        <v>11.26142021256506</v>
      </c>
      <c r="J22" s="24">
        <f>+I22+I22*'working &amp; assumptions'!I12</f>
        <v>11.599262818942012</v>
      </c>
      <c r="K22" s="24">
        <f>+J22+J22*'working &amp; assumptions'!J12</f>
        <v>11.947240703510273</v>
      </c>
      <c r="L22" s="24">
        <f>+K22+K22*'working &amp; assumptions'!K12</f>
        <v>12.305657924615581</v>
      </c>
      <c r="M22" s="24">
        <f>+L22+L22*'working &amp; assumptions'!L12</f>
        <v>12.674827662354048</v>
      </c>
    </row>
    <row r="23" spans="2:13" x14ac:dyDescent="0.2">
      <c r="B23" s="29" t="s">
        <v>69</v>
      </c>
      <c r="C23" s="30">
        <v>22.002799999999997</v>
      </c>
      <c r="D23" s="24">
        <v>33.469200000000001</v>
      </c>
      <c r="E23" s="24">
        <f>+D23+D23*'working &amp; assumptions'!D14</f>
        <v>34.473275999999998</v>
      </c>
      <c r="F23" s="24">
        <f>+E23+E23*'working &amp; assumptions'!E14</f>
        <v>35.507474279999997</v>
      </c>
      <c r="G23" s="24">
        <f>+F23+F23*'working &amp; assumptions'!F14</f>
        <v>36.572698508399995</v>
      </c>
      <c r="H23" s="24">
        <f>+G23+G23*'working &amp; assumptions'!G14</f>
        <v>37.669879463651995</v>
      </c>
      <c r="I23" s="24">
        <f>+H23+H23*'working &amp; assumptions'!H14</f>
        <v>38.799975847561555</v>
      </c>
      <c r="J23" s="24">
        <f>+I23+I23*'working &amp; assumptions'!I14</f>
        <v>39.963975122988401</v>
      </c>
      <c r="K23" s="24">
        <f>+J23+J23*'working &amp; assumptions'!J14</f>
        <v>41.162894376678054</v>
      </c>
      <c r="L23" s="24">
        <f>+K23+K23*'working &amp; assumptions'!K14</f>
        <v>42.397781207978397</v>
      </c>
      <c r="M23" s="24">
        <f>+L23+L23*'working &amp; assumptions'!L14</f>
        <v>43.669714644217748</v>
      </c>
    </row>
    <row r="24" spans="2:13" x14ac:dyDescent="0.2">
      <c r="B24" s="17" t="s">
        <v>70</v>
      </c>
      <c r="C24" s="25">
        <v>72.231000000000009</v>
      </c>
      <c r="D24" s="24">
        <v>77.650599999999997</v>
      </c>
      <c r="E24" s="24">
        <f>+('working &amp; assumptions'!D18)*(1+'working &amp; assumptions'!D19)*14</f>
        <v>82.090400000000017</v>
      </c>
      <c r="F24" s="24">
        <f>+E24+E24*'working &amp; assumptions'!E21</f>
        <v>86.194920000000025</v>
      </c>
      <c r="G24" s="24">
        <f>+F24+F24*'working &amp; assumptions'!F21</f>
        <v>90.504666000000029</v>
      </c>
      <c r="H24" s="24">
        <f>+G24+G24*'working &amp; assumptions'!G21</f>
        <v>95.029899300000025</v>
      </c>
      <c r="I24" s="24">
        <f>+H24+H24*'working &amp; assumptions'!H21</f>
        <v>99.781394265000031</v>
      </c>
      <c r="J24" s="24">
        <f>+I24+I24*'working &amp; assumptions'!I21</f>
        <v>104.77046397825004</v>
      </c>
      <c r="K24" s="24">
        <f>+J24+J24*'working &amp; assumptions'!J21</f>
        <v>110.00898717716254</v>
      </c>
      <c r="L24" s="24">
        <f>+K24+K24*'working &amp; assumptions'!K21</f>
        <v>115.50943653602067</v>
      </c>
      <c r="M24" s="24">
        <f>+L24+L24*'working &amp; assumptions'!L21</f>
        <v>121.28490836282171</v>
      </c>
    </row>
    <row r="25" spans="2:13" x14ac:dyDescent="0.2">
      <c r="B25" s="17" t="s">
        <v>71</v>
      </c>
      <c r="C25" s="30">
        <v>97.513400000000004</v>
      </c>
      <c r="D25" s="24">
        <v>94.185300000000012</v>
      </c>
      <c r="E25" s="24">
        <f>+D25+D25*'working &amp; assumptions'!D23</f>
        <v>97.010859000000011</v>
      </c>
      <c r="F25" s="24">
        <f>+E25+E25*'working &amp; assumptions'!E23</f>
        <v>99.921184770000011</v>
      </c>
      <c r="G25" s="24">
        <f>+F25+F25*'working &amp; assumptions'!F23</f>
        <v>102.91882031310001</v>
      </c>
      <c r="H25" s="24">
        <f>+G25+G25*'working &amp; assumptions'!G23</f>
        <v>106.00638492249301</v>
      </c>
      <c r="I25" s="24">
        <f>+H25+H25*'working &amp; assumptions'!H23</f>
        <v>109.18657647016781</v>
      </c>
      <c r="J25" s="24">
        <f>+I25+I25*'working &amp; assumptions'!I23</f>
        <v>112.46217376427285</v>
      </c>
      <c r="K25" s="24">
        <f>+J25+J25*'working &amp; assumptions'!J23</f>
        <v>115.83603897720103</v>
      </c>
      <c r="L25" s="24">
        <f>+K25+K25*'working &amp; assumptions'!K23</f>
        <v>119.31112014651706</v>
      </c>
      <c r="M25" s="24">
        <f>+L25+L25*'working &amp; assumptions'!L23</f>
        <v>122.89045375091257</v>
      </c>
    </row>
    <row r="26" spans="2:13" x14ac:dyDescent="0.2">
      <c r="B26" s="17" t="s">
        <v>72</v>
      </c>
      <c r="C26" s="24">
        <v>40.496019244999999</v>
      </c>
      <c r="D26" s="24">
        <v>37.073</v>
      </c>
      <c r="E26" s="24">
        <f>+Model!E11*'working &amp; assumptions'!D25</f>
        <v>35.92912567283291</v>
      </c>
      <c r="F26" s="24">
        <f>+Model!F11*'working &amp; assumptions'!E25</f>
        <v>36.515266795355508</v>
      </c>
      <c r="G26" s="24">
        <f>+Model!G11*'working &amp; assumptions'!F25</f>
        <v>37.117541552659574</v>
      </c>
      <c r="H26" s="24">
        <f>+Model!H11*'working &amp; assumptions'!G25</f>
        <v>34.305812750732322</v>
      </c>
      <c r="I26" s="24">
        <f>+Model!I11*'working &amp; assumptions'!H25</f>
        <v>34.883891381146498</v>
      </c>
      <c r="J26" s="24">
        <f>+Model!J11*'working &amp; assumptions'!I25</f>
        <v>31.930093552379446</v>
      </c>
      <c r="K26" s="24">
        <f>+Model!K11*'working &amp; assumptions'!J25</f>
        <v>28.870577403619837</v>
      </c>
      <c r="L26" s="24">
        <f>+Model!L11*'working &amp; assumptions'!K25</f>
        <v>25.700753048619813</v>
      </c>
      <c r="M26" s="24">
        <f>+Model!M11*'working &amp; assumptions'!L25</f>
        <v>22.415858022226384</v>
      </c>
    </row>
    <row r="27" spans="2:13" x14ac:dyDescent="0.2">
      <c r="B27" s="27" t="s">
        <v>13</v>
      </c>
      <c r="C27" s="28">
        <f>+SUM(C18:C26)</f>
        <v>1160.1487205450001</v>
      </c>
      <c r="D27" s="28">
        <f t="shared" ref="D27:M27" si="5">+SUM(D18:D26)</f>
        <v>1131.4703652000001</v>
      </c>
      <c r="E27" s="28">
        <f t="shared" si="5"/>
        <v>1147.1407951328329</v>
      </c>
      <c r="F27" s="28">
        <f t="shared" si="5"/>
        <v>1164.7422645083557</v>
      </c>
      <c r="G27" s="28">
        <f t="shared" si="5"/>
        <v>1183.1257400747095</v>
      </c>
      <c r="H27" s="28">
        <f t="shared" si="5"/>
        <v>1198.8968314499868</v>
      </c>
      <c r="I27" s="28">
        <f t="shared" si="5"/>
        <v>1218.8968073739989</v>
      </c>
      <c r="J27" s="28">
        <f t="shared" si="5"/>
        <v>1236.2432358942685</v>
      </c>
      <c r="K27" s="28">
        <f t="shared" si="5"/>
        <v>1254.4034086284792</v>
      </c>
      <c r="L27" s="28">
        <f t="shared" si="5"/>
        <v>1273.4158423535746</v>
      </c>
      <c r="M27" s="28">
        <f t="shared" si="5"/>
        <v>1293.3209506068463</v>
      </c>
    </row>
    <row r="28" spans="2:13" x14ac:dyDescent="0.2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2:13" x14ac:dyDescent="0.2">
      <c r="B29" s="17" t="s">
        <v>73</v>
      </c>
      <c r="C29" s="33">
        <f>((-1565007343/10^7)+-0.3849043)+-2.485</f>
        <v>-159.37063860000001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2:13" x14ac:dyDescent="0.2">
      <c r="B30" s="17" t="s">
        <v>74</v>
      </c>
      <c r="C30" s="33">
        <f>((-1110869/10^7)+0.523106226000015)+0.5075367</f>
        <v>0.91955602600001496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x14ac:dyDescent="0.2">
      <c r="B31" s="17" t="s">
        <v>75</v>
      </c>
      <c r="C31" s="30">
        <v>805.09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13" x14ac:dyDescent="0.2">
      <c r="B32" s="17" t="s">
        <v>76</v>
      </c>
      <c r="C32" s="30">
        <v>277.99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13" x14ac:dyDescent="0.2">
      <c r="B33" s="17" t="s">
        <v>77</v>
      </c>
      <c r="C33" s="30">
        <v>4.3600000000000003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5" spans="2:13" x14ac:dyDescent="0.2">
      <c r="B35" s="27" t="s">
        <v>78</v>
      </c>
      <c r="C35" s="28">
        <f>+SUM(C27:C33)</f>
        <v>2089.1376379710005</v>
      </c>
      <c r="D35" s="28">
        <f t="shared" ref="D35:M35" si="6">+SUM(D18:D26)</f>
        <v>1131.4703652000001</v>
      </c>
      <c r="E35" s="28">
        <f t="shared" si="6"/>
        <v>1147.1407951328329</v>
      </c>
      <c r="F35" s="28">
        <f t="shared" si="6"/>
        <v>1164.7422645083557</v>
      </c>
      <c r="G35" s="28">
        <f t="shared" si="6"/>
        <v>1183.1257400747095</v>
      </c>
      <c r="H35" s="28">
        <f t="shared" si="6"/>
        <v>1198.8968314499868</v>
      </c>
      <c r="I35" s="28">
        <f t="shared" si="6"/>
        <v>1218.8968073739989</v>
      </c>
      <c r="J35" s="28">
        <f t="shared" si="6"/>
        <v>1236.2432358942685</v>
      </c>
      <c r="K35" s="28">
        <f t="shared" si="6"/>
        <v>1254.4034086284792</v>
      </c>
      <c r="L35" s="28">
        <f t="shared" si="6"/>
        <v>1273.4158423535746</v>
      </c>
      <c r="M35" s="28">
        <f t="shared" si="6"/>
        <v>1293.3209506068463</v>
      </c>
    </row>
    <row r="37" spans="2:13" x14ac:dyDescent="0.2">
      <c r="B37" s="34" t="s">
        <v>14</v>
      </c>
      <c r="C37" s="35">
        <f>+C11+C13-C27</f>
        <v>198.17280545500012</v>
      </c>
      <c r="D37" s="35">
        <f t="shared" ref="D37:M37" si="7">+D11-D35</f>
        <v>154.30003479999982</v>
      </c>
      <c r="E37" s="35">
        <f t="shared" si="7"/>
        <v>159.3728656974547</v>
      </c>
      <c r="F37" s="35">
        <f t="shared" si="7"/>
        <v>163.08561895911726</v>
      </c>
      <c r="G37" s="35">
        <f t="shared" si="7"/>
        <v>166.603043658366</v>
      </c>
      <c r="H37" s="35">
        <f t="shared" si="7"/>
        <v>173.33567857930598</v>
      </c>
      <c r="I37" s="35">
        <f t="shared" si="7"/>
        <v>176.45884787186105</v>
      </c>
      <c r="J37" s="35">
        <f t="shared" si="7"/>
        <v>182.87203310037353</v>
      </c>
      <c r="K37" s="35">
        <f t="shared" si="7"/>
        <v>189.12546155251266</v>
      </c>
      <c r="L37" s="35">
        <f t="shared" si="7"/>
        <v>195.19861756755745</v>
      </c>
      <c r="M37" s="35">
        <f t="shared" si="7"/>
        <v>201.06958420824617</v>
      </c>
    </row>
    <row r="39" spans="2:13" x14ac:dyDescent="0.2">
      <c r="B39" s="36" t="s">
        <v>79</v>
      </c>
      <c r="C39" s="36"/>
      <c r="D39" s="37">
        <v>-60</v>
      </c>
      <c r="E39" s="37">
        <v>-60</v>
      </c>
      <c r="F39" s="37">
        <v>-75</v>
      </c>
      <c r="G39" s="37">
        <v>-75</v>
      </c>
      <c r="H39" s="37">
        <v>-75</v>
      </c>
      <c r="I39" s="37">
        <v>-75</v>
      </c>
      <c r="J39" s="37">
        <v>-75</v>
      </c>
      <c r="K39" s="37">
        <v>-75</v>
      </c>
      <c r="L39" s="37">
        <v>-75</v>
      </c>
      <c r="M39" s="37">
        <v>-75</v>
      </c>
    </row>
    <row r="41" spans="2:13" x14ac:dyDescent="0.2">
      <c r="D41" s="74">
        <f>+D37-(Depreciation!H6/10^2)</f>
        <v>151.49920154735227</v>
      </c>
      <c r="E41" s="74">
        <f>+E37-(Depreciation!I6/10^2)</f>
        <v>156.83289613845923</v>
      </c>
      <c r="F41" s="74">
        <f>+F37-(Depreciation!J6/10^2)</f>
        <v>160.78221680030424</v>
      </c>
      <c r="G41" s="74">
        <f>+G37-(Depreciation!K6/10^2)</f>
        <v>164.51417551172463</v>
      </c>
      <c r="H41" s="74">
        <f>+H37-(Depreciation!L6/10^2)</f>
        <v>171.44136320004907</v>
      </c>
      <c r="I41" s="74">
        <f>+I37-(Depreciation!M6/10^2)</f>
        <v>174.74096502613961</v>
      </c>
      <c r="J41" s="74">
        <f>+J37-(Depreciation!N6/10^2)</f>
        <v>181.31415023464834</v>
      </c>
      <c r="K41" s="74">
        <f>+K37-(Depreciation!O6/10^2)</f>
        <v>187.7126766065748</v>
      </c>
    </row>
  </sheetData>
  <mergeCells count="1">
    <mergeCell ref="B2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topLeftCell="C29" workbookViewId="0">
      <selection activeCell="P6" sqref="P6:R33"/>
    </sheetView>
  </sheetViews>
  <sheetFormatPr defaultRowHeight="15" x14ac:dyDescent="0.25"/>
  <cols>
    <col min="2" max="2" width="39.85546875" customWidth="1"/>
    <col min="3" max="3" width="10" bestFit="1" customWidth="1"/>
    <col min="4" max="7" width="9.28515625" bestFit="1" customWidth="1"/>
    <col min="9" max="13" width="9.7109375" bestFit="1" customWidth="1"/>
    <col min="14" max="16" width="10.5703125" bestFit="1" customWidth="1"/>
  </cols>
  <sheetData>
    <row r="2" spans="2:18" x14ac:dyDescent="0.25">
      <c r="B2" s="1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2:18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8" x14ac:dyDescent="0.25">
      <c r="B4" s="2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8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8" x14ac:dyDescent="0.25">
      <c r="B6" s="4" t="s">
        <v>2</v>
      </c>
      <c r="C6" s="5">
        <v>43891</v>
      </c>
      <c r="D6" s="5">
        <f>+EDATE(C6,12)</f>
        <v>44256</v>
      </c>
      <c r="E6" s="5">
        <f t="shared" ref="E6:R6" si="0">+EDATE(D6,12)</f>
        <v>44621</v>
      </c>
      <c r="F6" s="5">
        <f t="shared" si="0"/>
        <v>44986</v>
      </c>
      <c r="G6" s="5">
        <f t="shared" si="0"/>
        <v>45352</v>
      </c>
      <c r="H6" s="5"/>
      <c r="I6" s="5">
        <f>+EDATE(G6,12)</f>
        <v>45717</v>
      </c>
      <c r="J6" s="5">
        <f t="shared" si="0"/>
        <v>46082</v>
      </c>
      <c r="K6" s="5">
        <f t="shared" si="0"/>
        <v>46447</v>
      </c>
      <c r="L6" s="5">
        <f t="shared" si="0"/>
        <v>46813</v>
      </c>
      <c r="M6" s="5">
        <f t="shared" si="0"/>
        <v>47178</v>
      </c>
      <c r="N6" s="5">
        <f t="shared" si="0"/>
        <v>47543</v>
      </c>
      <c r="O6" s="5">
        <f t="shared" si="0"/>
        <v>47908</v>
      </c>
      <c r="P6" s="5">
        <f t="shared" si="0"/>
        <v>48274</v>
      </c>
      <c r="Q6" s="5">
        <f t="shared" si="0"/>
        <v>48639</v>
      </c>
      <c r="R6" s="5">
        <f t="shared" si="0"/>
        <v>49004</v>
      </c>
    </row>
    <row r="7" spans="2:18" x14ac:dyDescent="0.25">
      <c r="B7" s="15" t="s">
        <v>12</v>
      </c>
    </row>
    <row r="8" spans="2:18" x14ac:dyDescent="0.25">
      <c r="B8" t="s">
        <v>27</v>
      </c>
      <c r="C8" s="91">
        <f>573/10^2</f>
        <v>5.73</v>
      </c>
      <c r="D8" s="91">
        <f>625/10^2</f>
        <v>6.25</v>
      </c>
      <c r="E8" s="91">
        <f>662/10^2</f>
        <v>6.62</v>
      </c>
      <c r="F8" s="91">
        <f>694/10^2</f>
        <v>6.94</v>
      </c>
      <c r="G8" s="91">
        <f>755/10^2</f>
        <v>7.55</v>
      </c>
    </row>
    <row r="9" spans="2:18" x14ac:dyDescent="0.25">
      <c r="B9" t="s">
        <v>28</v>
      </c>
      <c r="C9" s="91">
        <f>6632/10^2</f>
        <v>66.319999999999993</v>
      </c>
      <c r="D9" s="91">
        <f>924/10^2</f>
        <v>9.24</v>
      </c>
      <c r="E9" s="91">
        <f>1476/10^2</f>
        <v>14.76</v>
      </c>
      <c r="F9" s="91">
        <f>1615/10^2</f>
        <v>16.149999999999999</v>
      </c>
      <c r="G9" s="91">
        <f>2428/10^2</f>
        <v>24.28</v>
      </c>
    </row>
    <row r="10" spans="2:18" x14ac:dyDescent="0.25">
      <c r="B10" t="s">
        <v>29</v>
      </c>
      <c r="C10" s="91">
        <f>85/10^2</f>
        <v>0.85</v>
      </c>
      <c r="D10" s="91">
        <f>251/10^2</f>
        <v>2.5099999999999998</v>
      </c>
      <c r="E10" s="91">
        <f>81/10^2</f>
        <v>0.81</v>
      </c>
      <c r="F10" s="91">
        <f>97/10^2</f>
        <v>0.97</v>
      </c>
      <c r="G10" s="91">
        <f>105/10^2</f>
        <v>1.05</v>
      </c>
    </row>
    <row r="11" spans="2:18" x14ac:dyDescent="0.25">
      <c r="B11" t="s">
        <v>30</v>
      </c>
      <c r="C11" s="91">
        <f>49/10^2</f>
        <v>0.49</v>
      </c>
      <c r="D11" s="91">
        <f>33/10^2</f>
        <v>0.33</v>
      </c>
      <c r="E11" s="91">
        <f>34/10^2</f>
        <v>0.34</v>
      </c>
      <c r="F11" s="91">
        <f>41/10^2</f>
        <v>0.41</v>
      </c>
      <c r="G11" s="91">
        <f>37/10^2</f>
        <v>0.37</v>
      </c>
    </row>
    <row r="12" spans="2:18" x14ac:dyDescent="0.25">
      <c r="B12" t="s">
        <v>31</v>
      </c>
      <c r="C12" s="91">
        <f>552/10^2</f>
        <v>5.52</v>
      </c>
      <c r="D12" s="91">
        <f>803/10^2</f>
        <v>8.0299999999999994</v>
      </c>
      <c r="E12" s="91">
        <f>1134/10^2</f>
        <v>11.34</v>
      </c>
      <c r="F12" s="91">
        <f>1421/10^2</f>
        <v>14.21</v>
      </c>
      <c r="G12" s="91">
        <f>1380/10^2</f>
        <v>13.8</v>
      </c>
    </row>
    <row r="13" spans="2:18" x14ac:dyDescent="0.25">
      <c r="B13" t="s">
        <v>32</v>
      </c>
      <c r="C13" s="91">
        <f>78/10^2</f>
        <v>0.78</v>
      </c>
      <c r="D13" s="91">
        <f>61/10^2</f>
        <v>0.61</v>
      </c>
      <c r="E13" s="91">
        <f>67/10^2</f>
        <v>0.67</v>
      </c>
      <c r="F13" s="91">
        <f>65/10^2</f>
        <v>0.65</v>
      </c>
      <c r="G13" s="91">
        <f>66/10^2</f>
        <v>0.66</v>
      </c>
    </row>
    <row r="14" spans="2:18" x14ac:dyDescent="0.25">
      <c r="B14" t="s">
        <v>33</v>
      </c>
      <c r="C14" s="91">
        <f>495/10^2</f>
        <v>4.95</v>
      </c>
      <c r="D14" s="91">
        <f>189/10^2</f>
        <v>1.89</v>
      </c>
      <c r="E14" s="91">
        <f>400/10^2</f>
        <v>4</v>
      </c>
      <c r="F14" s="91">
        <f>763/10^2</f>
        <v>7.63</v>
      </c>
      <c r="G14" s="91">
        <f>752/10^2</f>
        <v>7.52</v>
      </c>
    </row>
    <row r="15" spans="2:18" x14ac:dyDescent="0.25">
      <c r="B15" t="s">
        <v>34</v>
      </c>
      <c r="C15" s="91">
        <f>3773/10^2</f>
        <v>37.729999999999997</v>
      </c>
      <c r="D15" s="91">
        <f>2012/10^2</f>
        <v>20.12</v>
      </c>
      <c r="E15" s="91">
        <f>2046/10^2</f>
        <v>20.46</v>
      </c>
      <c r="F15" s="91">
        <f>1658/10^2</f>
        <v>16.579999999999998</v>
      </c>
      <c r="G15" s="91">
        <f>1921/10^2</f>
        <v>19.21</v>
      </c>
    </row>
    <row r="16" spans="2:18" x14ac:dyDescent="0.25">
      <c r="B16" t="s">
        <v>35</v>
      </c>
      <c r="C16" s="91">
        <f>41/10^2</f>
        <v>0.41</v>
      </c>
      <c r="D16" s="91">
        <f>49/10^2</f>
        <v>0.49</v>
      </c>
      <c r="E16" s="91">
        <f>49/10^2</f>
        <v>0.49</v>
      </c>
      <c r="F16" s="91">
        <f>54/10^2</f>
        <v>0.54</v>
      </c>
      <c r="G16" s="91">
        <f>83/10^2</f>
        <v>0.83</v>
      </c>
    </row>
    <row r="17" spans="1:18" x14ac:dyDescent="0.25">
      <c r="B17" t="s">
        <v>36</v>
      </c>
      <c r="C17" s="91">
        <f>357/10^2</f>
        <v>3.57</v>
      </c>
      <c r="D17" s="91">
        <f>341/10^2</f>
        <v>3.41</v>
      </c>
      <c r="E17" s="91">
        <f>337/10^2</f>
        <v>3.37</v>
      </c>
      <c r="F17" s="91">
        <f>387/10^2</f>
        <v>3.87</v>
      </c>
      <c r="G17" s="91">
        <f>380/10^2</f>
        <v>3.8</v>
      </c>
    </row>
    <row r="18" spans="1:18" x14ac:dyDescent="0.25">
      <c r="B18" t="s">
        <v>37</v>
      </c>
      <c r="C18" s="91">
        <f>42/10^2</f>
        <v>0.42</v>
      </c>
      <c r="D18" s="91">
        <f>20/10^2</f>
        <v>0.2</v>
      </c>
      <c r="E18" s="91">
        <f>26/10^2</f>
        <v>0.26</v>
      </c>
      <c r="F18" s="91">
        <f>46/10^2</f>
        <v>0.46</v>
      </c>
      <c r="G18" s="91">
        <f>40/10^2</f>
        <v>0.4</v>
      </c>
    </row>
    <row r="19" spans="1:18" x14ac:dyDescent="0.25">
      <c r="B19" t="s">
        <v>38</v>
      </c>
      <c r="C19" s="91">
        <f>103/10^2</f>
        <v>1.03</v>
      </c>
      <c r="D19" s="91">
        <f>125/10^2</f>
        <v>1.25</v>
      </c>
      <c r="E19" s="91">
        <f>109/10^2</f>
        <v>1.0900000000000001</v>
      </c>
      <c r="F19" s="91">
        <f>106/10^2</f>
        <v>1.06</v>
      </c>
      <c r="G19" s="91">
        <f>132/10^2</f>
        <v>1.32</v>
      </c>
    </row>
    <row r="20" spans="1:18" x14ac:dyDescent="0.25">
      <c r="B20" t="s">
        <v>39</v>
      </c>
      <c r="C20" s="91">
        <f>12/10^2</f>
        <v>0.12</v>
      </c>
      <c r="D20" s="91">
        <f>3/10^2</f>
        <v>0.03</v>
      </c>
      <c r="E20" s="91">
        <f>14/10^2</f>
        <v>0.14000000000000001</v>
      </c>
      <c r="F20" s="91">
        <f>16/10^2</f>
        <v>0.16</v>
      </c>
      <c r="G20" s="91">
        <f>16/10^2</f>
        <v>0.16</v>
      </c>
    </row>
    <row r="21" spans="1:18" x14ac:dyDescent="0.25">
      <c r="B21" t="s">
        <v>40</v>
      </c>
      <c r="C21" s="91">
        <f>1013/10^2</f>
        <v>10.130000000000001</v>
      </c>
      <c r="D21" s="91">
        <f>15790/10^2</f>
        <v>157.9</v>
      </c>
      <c r="E21" s="91">
        <f>2206/10^2</f>
        <v>22.06</v>
      </c>
      <c r="F21" s="91">
        <f>33358/10^2</f>
        <v>333.58</v>
      </c>
      <c r="G21" s="91">
        <f>52/10^2</f>
        <v>0.52</v>
      </c>
    </row>
    <row r="22" spans="1:18" x14ac:dyDescent="0.25">
      <c r="B22" t="s">
        <v>41</v>
      </c>
      <c r="C22" s="91">
        <f>541/10^2</f>
        <v>5.41</v>
      </c>
      <c r="D22" s="91">
        <f>693/10^2</f>
        <v>6.93</v>
      </c>
      <c r="E22" s="91">
        <f>769/10^2</f>
        <v>7.69</v>
      </c>
      <c r="F22" s="91">
        <f>1080/10^2</f>
        <v>10.8</v>
      </c>
      <c r="G22" s="91">
        <f>1283/10^2</f>
        <v>12.83</v>
      </c>
    </row>
    <row r="23" spans="1:18" x14ac:dyDescent="0.25">
      <c r="B23" s="16" t="s">
        <v>42</v>
      </c>
      <c r="C23" s="92">
        <f t="shared" ref="C23:E23" si="1">SUM(C8:C22)</f>
        <v>143.45999999999998</v>
      </c>
      <c r="D23" s="92">
        <f t="shared" si="1"/>
        <v>219.19000000000003</v>
      </c>
      <c r="E23" s="92">
        <f t="shared" si="1"/>
        <v>94.1</v>
      </c>
      <c r="F23" s="92">
        <f>SUM(F8:F22)</f>
        <v>414.01</v>
      </c>
      <c r="G23" s="92">
        <f>SUM(G8:G22)</f>
        <v>94.299999999999983</v>
      </c>
      <c r="H23" s="16"/>
    </row>
    <row r="26" spans="1:18" x14ac:dyDescent="0.25">
      <c r="B26" s="15" t="s">
        <v>43</v>
      </c>
    </row>
    <row r="27" spans="1:18" x14ac:dyDescent="0.25">
      <c r="B27" t="s">
        <v>44</v>
      </c>
      <c r="C27" s="3">
        <f>9762/10^2</f>
        <v>97.62</v>
      </c>
      <c r="D27" s="3">
        <f>10463/10^2</f>
        <v>104.63</v>
      </c>
      <c r="E27" s="3">
        <f>10278/10^2</f>
        <v>102.78</v>
      </c>
      <c r="F27" s="3">
        <f>9677/10^2</f>
        <v>96.77</v>
      </c>
      <c r="G27" s="3">
        <f>7723/10^2</f>
        <v>77.23</v>
      </c>
      <c r="I27" s="91">
        <f>+G27</f>
        <v>77.23</v>
      </c>
      <c r="J27" s="91">
        <f>+I27</f>
        <v>77.23</v>
      </c>
      <c r="K27" s="91">
        <f t="shared" ref="K27:R27" si="2">+J27</f>
        <v>77.23</v>
      </c>
      <c r="L27" s="91">
        <f t="shared" si="2"/>
        <v>77.23</v>
      </c>
      <c r="M27" s="91">
        <f t="shared" si="2"/>
        <v>77.23</v>
      </c>
      <c r="N27" s="91">
        <f t="shared" si="2"/>
        <v>77.23</v>
      </c>
      <c r="O27" s="91">
        <f t="shared" si="2"/>
        <v>77.23</v>
      </c>
      <c r="P27" s="91">
        <f t="shared" si="2"/>
        <v>77.23</v>
      </c>
      <c r="Q27" s="91">
        <f t="shared" si="2"/>
        <v>77.23</v>
      </c>
      <c r="R27" s="91">
        <f t="shared" si="2"/>
        <v>77.23</v>
      </c>
    </row>
    <row r="28" spans="1:18" x14ac:dyDescent="0.25">
      <c r="B28" t="s">
        <v>45</v>
      </c>
      <c r="C28" s="3">
        <f>68435/10^2</f>
        <v>684.35</v>
      </c>
      <c r="D28" s="3">
        <f>68129/10^2</f>
        <v>681.29</v>
      </c>
      <c r="E28" s="3">
        <f>71988/10^2</f>
        <v>719.88</v>
      </c>
      <c r="F28" s="3">
        <f>67879/10^2</f>
        <v>678.79</v>
      </c>
      <c r="G28" s="91">
        <f>+Model!C20</f>
        <v>496.92760000000004</v>
      </c>
      <c r="I28" s="91">
        <f>+G28</f>
        <v>496.92760000000004</v>
      </c>
      <c r="J28" s="91">
        <f>+I28</f>
        <v>496.92760000000004</v>
      </c>
      <c r="K28" s="91">
        <f t="shared" ref="K28:R28" si="3">+J28</f>
        <v>496.92760000000004</v>
      </c>
      <c r="L28" s="91">
        <f t="shared" si="3"/>
        <v>496.92760000000004</v>
      </c>
      <c r="M28" s="91">
        <f t="shared" si="3"/>
        <v>496.92760000000004</v>
      </c>
      <c r="N28" s="91">
        <f t="shared" si="3"/>
        <v>496.92760000000004</v>
      </c>
      <c r="O28" s="91">
        <f t="shared" si="3"/>
        <v>496.92760000000004</v>
      </c>
      <c r="P28" s="91">
        <f t="shared" si="3"/>
        <v>496.92760000000004</v>
      </c>
      <c r="Q28" s="91">
        <f t="shared" si="3"/>
        <v>496.92760000000004</v>
      </c>
      <c r="R28" s="91">
        <f t="shared" si="3"/>
        <v>496.92760000000004</v>
      </c>
    </row>
    <row r="29" spans="1:18" x14ac:dyDescent="0.25">
      <c r="A29" s="53">
        <v>0.05</v>
      </c>
      <c r="B29" t="s">
        <v>134</v>
      </c>
      <c r="C29" s="3"/>
      <c r="D29" s="3"/>
      <c r="E29" s="3"/>
      <c r="F29" s="3"/>
      <c r="G29" s="91">
        <f>686.19-G28</f>
        <v>189.26240000000001</v>
      </c>
      <c r="I29" s="91">
        <f>+G29*(1+$A$29)</f>
        <v>198.72552000000002</v>
      </c>
      <c r="J29" s="91">
        <f>+I29*(1+$A$29)</f>
        <v>208.66179600000004</v>
      </c>
      <c r="K29" s="91">
        <f t="shared" ref="K29:R29" si="4">+J29*(1+$A$29)</f>
        <v>219.09488580000004</v>
      </c>
      <c r="L29" s="91">
        <f t="shared" si="4"/>
        <v>230.04963009000005</v>
      </c>
      <c r="M29" s="91">
        <f t="shared" si="4"/>
        <v>241.55211159450008</v>
      </c>
      <c r="N29" s="91">
        <f t="shared" si="4"/>
        <v>253.62971717422508</v>
      </c>
      <c r="O29" s="91">
        <f t="shared" si="4"/>
        <v>266.31120303293636</v>
      </c>
      <c r="P29" s="91">
        <f t="shared" si="4"/>
        <v>279.62676318458318</v>
      </c>
      <c r="Q29" s="91">
        <f t="shared" si="4"/>
        <v>293.60810134381234</v>
      </c>
      <c r="R29" s="91">
        <f t="shared" si="4"/>
        <v>308.28850641100297</v>
      </c>
    </row>
    <row r="30" spans="1:18" x14ac:dyDescent="0.25">
      <c r="A30" s="53">
        <v>0.03</v>
      </c>
      <c r="B30" t="s">
        <v>46</v>
      </c>
      <c r="C30" s="3">
        <f>509/10^2</f>
        <v>5.09</v>
      </c>
      <c r="D30" s="3">
        <f>1229/10^2</f>
        <v>12.29</v>
      </c>
      <c r="E30" s="3">
        <f>847/10^2</f>
        <v>8.4700000000000006</v>
      </c>
      <c r="F30" s="91">
        <f>770/10^2</f>
        <v>7.7</v>
      </c>
      <c r="G30" s="91">
        <f>573/10^2</f>
        <v>5.73</v>
      </c>
      <c r="I30" s="91">
        <f>+G30*(1+$A$30)</f>
        <v>5.9019000000000004</v>
      </c>
      <c r="J30" s="91">
        <f>+I30*(1+$A$30)</f>
        <v>6.0789570000000008</v>
      </c>
      <c r="K30" s="91">
        <f t="shared" ref="K30:R31" si="5">+J30*(1+$A$30)</f>
        <v>6.2613257100000013</v>
      </c>
      <c r="L30" s="91">
        <f t="shared" si="5"/>
        <v>6.4491654813000014</v>
      </c>
      <c r="M30" s="91">
        <f t="shared" si="5"/>
        <v>6.6426404457390014</v>
      </c>
      <c r="N30" s="91">
        <f t="shared" si="5"/>
        <v>6.8419196591111717</v>
      </c>
      <c r="O30" s="91">
        <f t="shared" si="5"/>
        <v>7.0471772488845073</v>
      </c>
      <c r="P30" s="91">
        <f t="shared" si="5"/>
        <v>7.2585925663510427</v>
      </c>
      <c r="Q30" s="91">
        <f t="shared" si="5"/>
        <v>7.4763503433415739</v>
      </c>
      <c r="R30" s="91">
        <f t="shared" si="5"/>
        <v>7.7006408536418212</v>
      </c>
    </row>
    <row r="31" spans="1:18" x14ac:dyDescent="0.25">
      <c r="A31" s="53">
        <v>0.03</v>
      </c>
      <c r="B31" t="s">
        <v>47</v>
      </c>
      <c r="C31" s="3">
        <f>9/10^2</f>
        <v>0.09</v>
      </c>
      <c r="D31" s="3">
        <f>30/10^2</f>
        <v>0.3</v>
      </c>
      <c r="E31" s="3">
        <f>35/10^2</f>
        <v>0.35</v>
      </c>
      <c r="F31" s="3">
        <f>43/10^2</f>
        <v>0.43</v>
      </c>
      <c r="G31" s="3">
        <f>15/10^2</f>
        <v>0.15</v>
      </c>
      <c r="I31" s="91">
        <f>+G31*(1+$A$30)</f>
        <v>0.1545</v>
      </c>
      <c r="J31" s="91">
        <f>+I31*(1+$A$30)</f>
        <v>0.159135</v>
      </c>
      <c r="K31" s="91">
        <f t="shared" si="5"/>
        <v>0.16390905</v>
      </c>
      <c r="L31" s="91">
        <f t="shared" si="5"/>
        <v>0.16882632150000002</v>
      </c>
      <c r="M31" s="91">
        <f t="shared" si="5"/>
        <v>0.17389111114500003</v>
      </c>
      <c r="N31" s="91">
        <f t="shared" si="5"/>
        <v>0.17910784447935002</v>
      </c>
      <c r="O31" s="91">
        <f t="shared" si="5"/>
        <v>0.18448107981373052</v>
      </c>
      <c r="P31" s="91">
        <f t="shared" si="5"/>
        <v>0.19001551220814245</v>
      </c>
      <c r="Q31" s="91">
        <f t="shared" si="5"/>
        <v>0.19571597757438672</v>
      </c>
      <c r="R31" s="91">
        <f t="shared" si="5"/>
        <v>0.20158745690161833</v>
      </c>
    </row>
    <row r="32" spans="1:18" x14ac:dyDescent="0.25">
      <c r="A32" s="53">
        <v>0.03</v>
      </c>
      <c r="B32" t="s">
        <v>48</v>
      </c>
      <c r="C32" s="3">
        <f>7721/10^2</f>
        <v>77.209999999999994</v>
      </c>
      <c r="D32" s="3">
        <f>7252/10^2</f>
        <v>72.52</v>
      </c>
      <c r="E32" s="3">
        <f>4933/10^2</f>
        <v>49.33</v>
      </c>
      <c r="F32" s="3">
        <f>3406/10^2</f>
        <v>34.06</v>
      </c>
      <c r="G32" s="3">
        <f>2588/10^2</f>
        <v>25.88</v>
      </c>
      <c r="I32" s="91">
        <f>+G32*(1+$A$32)</f>
        <v>26.656400000000001</v>
      </c>
      <c r="J32" s="91">
        <f>+I32*(1+$A$32)</f>
        <v>27.456092000000002</v>
      </c>
      <c r="K32" s="91">
        <f t="shared" ref="K32:R32" si="6">+J32*(1+$A$32)</f>
        <v>28.279774760000002</v>
      </c>
      <c r="L32" s="91">
        <f t="shared" si="6"/>
        <v>29.128168002800003</v>
      </c>
      <c r="M32" s="91">
        <f t="shared" si="6"/>
        <v>30.002013042884002</v>
      </c>
      <c r="N32" s="91">
        <f t="shared" si="6"/>
        <v>30.902073434170521</v>
      </c>
      <c r="O32" s="91">
        <f t="shared" si="6"/>
        <v>31.829135637195638</v>
      </c>
      <c r="P32" s="91">
        <f t="shared" si="6"/>
        <v>32.784009706311508</v>
      </c>
      <c r="Q32" s="91">
        <f t="shared" si="6"/>
        <v>33.767529997500851</v>
      </c>
      <c r="R32" s="91">
        <f t="shared" si="6"/>
        <v>34.780555897425877</v>
      </c>
    </row>
    <row r="33" spans="2:18" x14ac:dyDescent="0.25">
      <c r="B33" s="16" t="s">
        <v>42</v>
      </c>
      <c r="C33" s="93">
        <f t="shared" ref="C33:E33" si="7">SUM(C27:C32)</f>
        <v>864.36000000000013</v>
      </c>
      <c r="D33" s="93">
        <f t="shared" si="7"/>
        <v>871.02999999999986</v>
      </c>
      <c r="E33" s="93">
        <f t="shared" si="7"/>
        <v>880.81000000000006</v>
      </c>
      <c r="F33" s="93">
        <f>SUM(F27:F32)</f>
        <v>817.75</v>
      </c>
      <c r="G33" s="92">
        <f>SUM(G27:G32)</f>
        <v>795.18000000000006</v>
      </c>
      <c r="H33" s="16"/>
      <c r="I33" s="92">
        <f t="shared" ref="I33:P33" si="8">SUM(I27:I32)</f>
        <v>805.59591999999986</v>
      </c>
      <c r="J33" s="92">
        <f t="shared" si="8"/>
        <v>816.51358000000005</v>
      </c>
      <c r="K33" s="92">
        <f t="shared" si="8"/>
        <v>827.95749532000013</v>
      </c>
      <c r="L33" s="92">
        <f t="shared" si="8"/>
        <v>839.95338989560003</v>
      </c>
      <c r="M33" s="92">
        <f t="shared" si="8"/>
        <v>852.52825619426801</v>
      </c>
      <c r="N33" s="92">
        <f t="shared" si="8"/>
        <v>865.71041811198631</v>
      </c>
      <c r="O33" s="92">
        <f t="shared" si="8"/>
        <v>879.52959699883036</v>
      </c>
      <c r="P33" s="92">
        <f t="shared" si="8"/>
        <v>894.01698096945381</v>
      </c>
      <c r="Q33" s="92">
        <f t="shared" ref="Q33:R33" si="9">SUM(Q27:Q32)</f>
        <v>909.20529766222921</v>
      </c>
      <c r="R33" s="92">
        <f t="shared" si="9"/>
        <v>925.12889061897238</v>
      </c>
    </row>
    <row r="35" spans="2:18" x14ac:dyDescent="0.25">
      <c r="B35" s="15" t="s">
        <v>5</v>
      </c>
    </row>
    <row r="36" spans="2:18" x14ac:dyDescent="0.25">
      <c r="B36" t="s">
        <v>49</v>
      </c>
      <c r="C36" s="3">
        <f>1019/10^2</f>
        <v>10.19</v>
      </c>
      <c r="D36" s="3">
        <f>274/10^2</f>
        <v>2.74</v>
      </c>
      <c r="E36" s="3">
        <f>344/10^2</f>
        <v>3.44</v>
      </c>
      <c r="F36" s="3">
        <f>1023/10^2</f>
        <v>10.23</v>
      </c>
      <c r="G36" s="3">
        <f>319/10^2</f>
        <v>3.19</v>
      </c>
    </row>
    <row r="37" spans="2:18" x14ac:dyDescent="0.25">
      <c r="B37" t="s">
        <v>52</v>
      </c>
      <c r="C37" s="3">
        <f>99/10^2</f>
        <v>0.99</v>
      </c>
      <c r="D37" s="3">
        <f>297/10^2</f>
        <v>2.97</v>
      </c>
      <c r="E37" s="3">
        <f>222/10^2</f>
        <v>2.2200000000000002</v>
      </c>
      <c r="F37" s="3">
        <f>349/10^2</f>
        <v>3.49</v>
      </c>
      <c r="G37" s="3">
        <f>490/10^2</f>
        <v>4.9000000000000004</v>
      </c>
    </row>
    <row r="38" spans="2:18" x14ac:dyDescent="0.25">
      <c r="B38" t="s">
        <v>53</v>
      </c>
      <c r="C38" s="3">
        <f>509/10^2</f>
        <v>5.09</v>
      </c>
      <c r="D38" s="3"/>
      <c r="E38" s="3"/>
      <c r="F38" s="3"/>
      <c r="G38" s="3"/>
    </row>
    <row r="39" spans="2:18" x14ac:dyDescent="0.25">
      <c r="B39" t="s">
        <v>51</v>
      </c>
      <c r="C39" s="3"/>
      <c r="D39" s="3">
        <f>2347/10^2</f>
        <v>23.47</v>
      </c>
      <c r="E39" s="3">
        <f>41/10^2</f>
        <v>0.41</v>
      </c>
      <c r="F39" s="3">
        <f>39/10^2</f>
        <v>0.39</v>
      </c>
      <c r="G39" s="3">
        <f>3552/10^2</f>
        <v>35.520000000000003</v>
      </c>
    </row>
    <row r="40" spans="2:18" x14ac:dyDescent="0.25">
      <c r="B40" t="s">
        <v>50</v>
      </c>
      <c r="C40" s="3">
        <f>402/10^2</f>
        <v>4.0199999999999996</v>
      </c>
      <c r="D40" s="3">
        <f>998/10^2</f>
        <v>9.98</v>
      </c>
      <c r="E40" s="3">
        <f>809/10^2</f>
        <v>8.09</v>
      </c>
      <c r="F40" s="3">
        <f>1336/10^2</f>
        <v>13.36</v>
      </c>
      <c r="G40" s="3">
        <f>763/10^2</f>
        <v>7.63</v>
      </c>
    </row>
    <row r="41" spans="2:18" x14ac:dyDescent="0.25">
      <c r="B41" s="16" t="s">
        <v>42</v>
      </c>
      <c r="C41" s="93">
        <f t="shared" ref="C41:E41" si="10">SUM(C36:C40)</f>
        <v>20.29</v>
      </c>
      <c r="D41" s="93">
        <f t="shared" si="10"/>
        <v>39.159999999999997</v>
      </c>
      <c r="E41" s="93">
        <f t="shared" si="10"/>
        <v>14.16</v>
      </c>
      <c r="F41" s="93">
        <f>SUM(F36:F40)</f>
        <v>27.47</v>
      </c>
      <c r="G41" s="93">
        <f>SUM(G36:G40)</f>
        <v>51.24</v>
      </c>
      <c r="H41" s="16"/>
    </row>
    <row r="42" spans="2:18" x14ac:dyDescent="0.25">
      <c r="C42" s="3"/>
      <c r="D42" s="3"/>
      <c r="E42" s="3"/>
      <c r="F42" s="3"/>
      <c r="G42" s="3"/>
    </row>
    <row r="43" spans="2:18" ht="30" x14ac:dyDescent="0.25">
      <c r="B43" s="54" t="s">
        <v>129</v>
      </c>
      <c r="C43" s="9">
        <f>+C36+C37+C40</f>
        <v>15.2</v>
      </c>
      <c r="D43" s="9">
        <f t="shared" ref="D43:G43" si="11">+D36+D37+D40</f>
        <v>15.690000000000001</v>
      </c>
      <c r="E43" s="9">
        <f t="shared" si="11"/>
        <v>13.75</v>
      </c>
      <c r="F43" s="9">
        <f t="shared" si="11"/>
        <v>27.08</v>
      </c>
      <c r="G43" s="9">
        <f t="shared" si="11"/>
        <v>15.719999999999999</v>
      </c>
    </row>
    <row r="44" spans="2:18" x14ac:dyDescent="0.25">
      <c r="B44" s="16" t="s">
        <v>130</v>
      </c>
      <c r="C44" s="60">
        <f>+C43/'P&amp;L'!C8</f>
        <v>1.7990720575703056E-2</v>
      </c>
      <c r="D44" s="60">
        <f>+D43/'P&amp;L'!D8</f>
        <v>1.8711539378905694E-2</v>
      </c>
      <c r="E44" s="60">
        <f>+E43/'P&amp;L'!E8</f>
        <v>1.5963128076530136E-2</v>
      </c>
      <c r="F44" s="60">
        <f>+F43/'P&amp;L'!F8</f>
        <v>3.0954585462318388E-2</v>
      </c>
      <c r="G44" s="60">
        <f>+G43/'P&amp;L'!G8</f>
        <v>1.8844627722701061E-2</v>
      </c>
      <c r="H44" s="61">
        <f>+AVERAGE(C44:G44)</f>
        <v>2.0492920243231665E-2</v>
      </c>
    </row>
    <row r="45" spans="2:18" x14ac:dyDescent="0.25">
      <c r="C45" s="14"/>
      <c r="D45" s="14"/>
      <c r="E45" s="14"/>
      <c r="F45" s="14"/>
      <c r="G45" s="14"/>
      <c r="H45" s="58"/>
    </row>
    <row r="46" spans="2:18" ht="30" x14ac:dyDescent="0.25">
      <c r="B46" s="54" t="s">
        <v>132</v>
      </c>
      <c r="C46" s="9">
        <f>+C23-C21</f>
        <v>133.32999999999998</v>
      </c>
      <c r="D46" s="9">
        <f t="shared" ref="D46:G46" si="12">+D23-D21</f>
        <v>61.29000000000002</v>
      </c>
      <c r="E46" s="9">
        <f t="shared" si="12"/>
        <v>72.039999999999992</v>
      </c>
      <c r="F46" s="9">
        <f t="shared" si="12"/>
        <v>80.430000000000007</v>
      </c>
      <c r="G46" s="9">
        <f t="shared" si="12"/>
        <v>93.779999999999987</v>
      </c>
      <c r="H46" s="3"/>
    </row>
    <row r="47" spans="2:18" x14ac:dyDescent="0.25">
      <c r="B47" s="16" t="s">
        <v>131</v>
      </c>
      <c r="C47" s="60">
        <f>+C46/'P&amp;L'!C8</f>
        <v>0.15780939304990055</v>
      </c>
      <c r="D47" s="60">
        <f>+D46/'P&amp;L'!D8</f>
        <v>7.3093068740161263E-2</v>
      </c>
      <c r="E47" s="60">
        <f>+E46/'P&amp;L'!E8</f>
        <v>8.363518157332589E-2</v>
      </c>
      <c r="F47" s="60">
        <f>+F46/'P&amp;L'!F8</f>
        <v>9.1937862213229998E-2</v>
      </c>
      <c r="G47" s="60">
        <f>+G46/'P&amp;L'!G8</f>
        <v>0.11242043179611358</v>
      </c>
      <c r="H47" s="61">
        <f>+AVERAGE(C47:G47)</f>
        <v>0.10377918747454626</v>
      </c>
    </row>
    <row r="49" spans="2:16" x14ac:dyDescent="0.25">
      <c r="B49" s="59" t="s">
        <v>133</v>
      </c>
      <c r="I49" s="65"/>
      <c r="J49" s="65"/>
      <c r="K49" s="65"/>
      <c r="L49" s="65"/>
      <c r="M49" s="65"/>
      <c r="N49" s="65"/>
      <c r="O49" s="65"/>
      <c r="P49" s="65"/>
    </row>
    <row r="50" spans="2:16" x14ac:dyDescent="0.25">
      <c r="C50" s="60">
        <f>+'P&amp;L'!C16/('P&amp;L'!C8+'P&amp;L'!C10)</f>
        <v>3.695287026973619E-2</v>
      </c>
      <c r="D50" s="60">
        <f>+'P&amp;L'!D16/('P&amp;L'!D8+'P&amp;L'!D10)</f>
        <v>3.0716190908575002E-3</v>
      </c>
      <c r="E50" s="60">
        <f>+'P&amp;L'!E16/('P&amp;L'!E8+'P&amp;L'!E10)</f>
        <v>7.9303767612614769E-3</v>
      </c>
      <c r="F50" s="60">
        <f>+'P&amp;L'!F16/('P&amp;L'!F8+'P&amp;L'!F10)</f>
        <v>6.5500116609276599E-2</v>
      </c>
      <c r="G50" s="60">
        <f>+'P&amp;L'!G16/('P&amp;L'!G8+'P&amp;L'!G10)</f>
        <v>2.9511446709572085E-2</v>
      </c>
      <c r="H50" s="61">
        <f>+AVERAGE(C50:G50)</f>
        <v>2.8593285888140769E-2</v>
      </c>
    </row>
    <row r="52" spans="2:16" x14ac:dyDescent="0.25">
      <c r="B52" t="s">
        <v>122</v>
      </c>
      <c r="C52" s="52">
        <v>2.5000000000000001E-2</v>
      </c>
    </row>
    <row r="53" spans="2:16" x14ac:dyDescent="0.25">
      <c r="B53" t="s">
        <v>123</v>
      </c>
      <c r="C53" s="52">
        <v>0.125</v>
      </c>
      <c r="D53" t="s">
        <v>124</v>
      </c>
    </row>
    <row r="54" spans="2:16" x14ac:dyDescent="0.25">
      <c r="B54" t="s">
        <v>125</v>
      </c>
      <c r="C54" s="53">
        <v>0.03</v>
      </c>
    </row>
    <row r="55" spans="2:16" x14ac:dyDescent="0.25">
      <c r="B55" t="s">
        <v>126</v>
      </c>
      <c r="C55" s="52">
        <v>2.5000000000000001E-2</v>
      </c>
    </row>
    <row r="56" spans="2:16" x14ac:dyDescent="0.25">
      <c r="B56" t="s">
        <v>127</v>
      </c>
      <c r="C56" s="53">
        <v>0.03</v>
      </c>
    </row>
    <row r="58" spans="2:16" x14ac:dyDescent="0.25">
      <c r="B58" s="16" t="s">
        <v>128</v>
      </c>
      <c r="C58" s="63">
        <v>2.75E-2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showGridLines="0" workbookViewId="0">
      <pane xSplit="2" ySplit="3" topLeftCell="C4" activePane="bottomRight" state="frozen"/>
      <selection activeCell="M15" sqref="M15"/>
      <selection pane="topRight" activeCell="M15" sqref="M15"/>
      <selection pane="bottomLeft" activeCell="M15" sqref="M15"/>
      <selection pane="bottomRight" activeCell="C16" sqref="C16"/>
    </sheetView>
  </sheetViews>
  <sheetFormatPr defaultColWidth="8.7109375" defaultRowHeight="12.75" x14ac:dyDescent="0.2"/>
  <cols>
    <col min="1" max="1" width="8.7109375" style="17"/>
    <col min="2" max="2" width="25.5703125" style="17" customWidth="1"/>
    <col min="3" max="3" width="26" style="38" bestFit="1" customWidth="1"/>
    <col min="4" max="4" width="11.7109375" style="23" bestFit="1" customWidth="1"/>
    <col min="5" max="12" width="11.5703125" style="23" bestFit="1" customWidth="1"/>
    <col min="13" max="16384" width="8.7109375" style="17"/>
  </cols>
  <sheetData>
    <row r="2" spans="2:12" x14ac:dyDescent="0.2">
      <c r="B2" s="24"/>
    </row>
    <row r="3" spans="2:12" x14ac:dyDescent="0.2">
      <c r="B3" s="39"/>
    </row>
    <row r="5" spans="2:12" x14ac:dyDescent="0.2">
      <c r="B5" s="34" t="s">
        <v>80</v>
      </c>
      <c r="C5" s="40" t="s">
        <v>81</v>
      </c>
      <c r="D5" s="66" t="s">
        <v>82</v>
      </c>
      <c r="E5" s="66" t="s">
        <v>83</v>
      </c>
      <c r="F5" s="66" t="s">
        <v>84</v>
      </c>
      <c r="G5" s="66" t="s">
        <v>85</v>
      </c>
      <c r="H5" s="66" t="s">
        <v>86</v>
      </c>
      <c r="I5" s="66" t="s">
        <v>87</v>
      </c>
      <c r="J5" s="66" t="s">
        <v>88</v>
      </c>
      <c r="K5" s="66" t="s">
        <v>89</v>
      </c>
      <c r="L5" s="66" t="s">
        <v>90</v>
      </c>
    </row>
    <row r="7" spans="2:12" ht="15.75" x14ac:dyDescent="0.2">
      <c r="B7" s="17" t="s">
        <v>91</v>
      </c>
      <c r="C7" s="38" t="s">
        <v>92</v>
      </c>
      <c r="D7" s="67">
        <v>2.75251712625692E-2</v>
      </c>
      <c r="E7" s="67">
        <v>2.75251712625692E-2</v>
      </c>
      <c r="F7" s="67">
        <v>2.75251712625692E-2</v>
      </c>
      <c r="G7" s="67">
        <v>2.75251712625692E-2</v>
      </c>
      <c r="H7" s="67">
        <v>2.75251712625692E-2</v>
      </c>
      <c r="I7" s="67">
        <v>2.75251712625692E-2</v>
      </c>
      <c r="J7" s="67">
        <v>2.75251712625692E-2</v>
      </c>
      <c r="K7" s="67">
        <v>2.75251712625692E-2</v>
      </c>
      <c r="L7" s="67">
        <v>2.75251712625692E-2</v>
      </c>
    </row>
    <row r="8" spans="2:12" x14ac:dyDescent="0.2">
      <c r="B8" s="17" t="s">
        <v>93</v>
      </c>
      <c r="C8" s="38" t="s">
        <v>94</v>
      </c>
      <c r="D8" s="68"/>
      <c r="E8" s="68"/>
      <c r="F8" s="68"/>
      <c r="G8" s="68"/>
      <c r="H8" s="68"/>
      <c r="I8" s="68"/>
      <c r="J8" s="68"/>
      <c r="K8" s="68"/>
      <c r="L8" s="68"/>
    </row>
    <row r="9" spans="2:12" x14ac:dyDescent="0.2">
      <c r="D9" s="68"/>
      <c r="E9" s="68"/>
      <c r="F9" s="68"/>
      <c r="G9" s="68"/>
      <c r="H9" s="68"/>
      <c r="I9" s="68"/>
      <c r="J9" s="68"/>
      <c r="K9" s="68"/>
      <c r="L9" s="68"/>
    </row>
    <row r="10" spans="2:12" x14ac:dyDescent="0.2">
      <c r="B10" s="17" t="s">
        <v>67</v>
      </c>
      <c r="C10" s="38" t="s">
        <v>95</v>
      </c>
      <c r="D10" s="64">
        <v>0.05</v>
      </c>
      <c r="E10" s="64">
        <v>0.05</v>
      </c>
      <c r="F10" s="64">
        <v>0.05</v>
      </c>
      <c r="G10" s="64">
        <v>0.05</v>
      </c>
      <c r="H10" s="64">
        <v>0.05</v>
      </c>
      <c r="I10" s="64">
        <v>0.05</v>
      </c>
      <c r="J10" s="64">
        <v>0.05</v>
      </c>
      <c r="K10" s="64">
        <v>0.05</v>
      </c>
      <c r="L10" s="64">
        <v>0.05</v>
      </c>
    </row>
    <row r="11" spans="2:12" x14ac:dyDescent="0.2">
      <c r="D11" s="64"/>
      <c r="E11" s="64"/>
      <c r="F11" s="64"/>
      <c r="G11" s="64"/>
      <c r="H11" s="64"/>
      <c r="I11" s="64"/>
      <c r="J11" s="64"/>
      <c r="K11" s="64"/>
      <c r="L11" s="64"/>
    </row>
    <row r="12" spans="2:12" x14ac:dyDescent="0.2">
      <c r="B12" s="17" t="s">
        <v>68</v>
      </c>
      <c r="C12" s="38" t="s">
        <v>96</v>
      </c>
      <c r="D12" s="64">
        <v>0.03</v>
      </c>
      <c r="E12" s="64">
        <v>0.03</v>
      </c>
      <c r="F12" s="64">
        <v>0.03</v>
      </c>
      <c r="G12" s="64">
        <v>0.03</v>
      </c>
      <c r="H12" s="64">
        <v>0.03</v>
      </c>
      <c r="I12" s="64">
        <v>0.03</v>
      </c>
      <c r="J12" s="64">
        <v>0.03</v>
      </c>
      <c r="K12" s="64">
        <v>0.03</v>
      </c>
      <c r="L12" s="64">
        <v>0.03</v>
      </c>
    </row>
    <row r="13" spans="2:12" x14ac:dyDescent="0.2">
      <c r="D13" s="64"/>
      <c r="E13" s="64"/>
      <c r="F13" s="64"/>
      <c r="G13" s="64"/>
      <c r="H13" s="64"/>
      <c r="I13" s="64"/>
      <c r="J13" s="64"/>
      <c r="K13" s="64"/>
      <c r="L13" s="64"/>
    </row>
    <row r="14" spans="2:12" x14ac:dyDescent="0.2">
      <c r="B14" s="17" t="s">
        <v>97</v>
      </c>
      <c r="C14" s="38" t="s">
        <v>96</v>
      </c>
      <c r="D14" s="64">
        <v>0.03</v>
      </c>
      <c r="E14" s="64">
        <v>0.03</v>
      </c>
      <c r="F14" s="64">
        <v>0.03</v>
      </c>
      <c r="G14" s="64">
        <v>0.03</v>
      </c>
      <c r="H14" s="64">
        <v>0.03</v>
      </c>
      <c r="I14" s="64">
        <v>0.03</v>
      </c>
      <c r="J14" s="64">
        <v>0.03</v>
      </c>
      <c r="K14" s="64">
        <v>0.03</v>
      </c>
      <c r="L14" s="64">
        <v>0.03</v>
      </c>
    </row>
    <row r="15" spans="2:12" x14ac:dyDescent="0.2">
      <c r="D15" s="68"/>
      <c r="E15" s="68"/>
      <c r="F15" s="68"/>
      <c r="G15" s="68"/>
      <c r="H15" s="68"/>
      <c r="I15" s="68"/>
      <c r="J15" s="68"/>
      <c r="K15" s="68"/>
      <c r="L15" s="68"/>
    </row>
    <row r="16" spans="2:12" x14ac:dyDescent="0.2">
      <c r="B16" s="17" t="s">
        <v>98</v>
      </c>
      <c r="C16" s="38" t="s">
        <v>94</v>
      </c>
      <c r="D16" s="68"/>
      <c r="E16" s="68"/>
      <c r="F16" s="68"/>
      <c r="G16" s="68"/>
      <c r="H16" s="68"/>
      <c r="I16" s="68"/>
      <c r="J16" s="68"/>
      <c r="K16" s="68"/>
      <c r="L16" s="68"/>
    </row>
    <row r="17" spans="2:12" x14ac:dyDescent="0.2">
      <c r="D17" s="68"/>
      <c r="E17" s="68"/>
      <c r="F17" s="68"/>
      <c r="G17" s="68"/>
      <c r="H17" s="68"/>
      <c r="I17" s="68"/>
      <c r="J17" s="68"/>
      <c r="K17" s="68"/>
      <c r="L17" s="68"/>
    </row>
    <row r="18" spans="2:12" x14ac:dyDescent="0.2">
      <c r="B18" s="17" t="s">
        <v>99</v>
      </c>
      <c r="C18" s="38" t="s">
        <v>100</v>
      </c>
      <c r="D18" s="69">
        <v>5.48</v>
      </c>
      <c r="E18" s="68"/>
      <c r="F18" s="68"/>
      <c r="G18" s="68"/>
      <c r="H18" s="68"/>
      <c r="I18" s="68"/>
      <c r="J18" s="68"/>
      <c r="K18" s="68"/>
      <c r="L18" s="68"/>
    </row>
    <row r="19" spans="2:12" x14ac:dyDescent="0.2">
      <c r="B19" s="17" t="s">
        <v>99</v>
      </c>
      <c r="C19" s="38" t="s">
        <v>101</v>
      </c>
      <c r="D19" s="64">
        <v>7.0000000000000007E-2</v>
      </c>
      <c r="E19" s="68"/>
      <c r="F19" s="68"/>
      <c r="G19" s="68"/>
      <c r="H19" s="68"/>
      <c r="I19" s="68"/>
      <c r="J19" s="68"/>
      <c r="K19" s="68"/>
      <c r="L19" s="68"/>
    </row>
    <row r="20" spans="2:12" x14ac:dyDescent="0.2">
      <c r="B20" s="17" t="s">
        <v>99</v>
      </c>
      <c r="C20" s="38" t="s">
        <v>102</v>
      </c>
      <c r="D20" s="68">
        <v>2</v>
      </c>
      <c r="E20" s="68"/>
      <c r="F20" s="68"/>
      <c r="G20" s="68"/>
      <c r="H20" s="68"/>
      <c r="I20" s="68"/>
      <c r="J20" s="68"/>
      <c r="K20" s="68"/>
      <c r="L20" s="68"/>
    </row>
    <row r="21" spans="2:12" x14ac:dyDescent="0.2">
      <c r="B21" s="17" t="s">
        <v>99</v>
      </c>
      <c r="C21" s="38" t="s">
        <v>103</v>
      </c>
      <c r="D21" s="68"/>
      <c r="E21" s="64">
        <v>0.05</v>
      </c>
      <c r="F21" s="64">
        <v>0.05</v>
      </c>
      <c r="G21" s="64">
        <v>0.05</v>
      </c>
      <c r="H21" s="64">
        <v>0.05</v>
      </c>
      <c r="I21" s="64">
        <v>0.05</v>
      </c>
      <c r="J21" s="64">
        <v>0.05</v>
      </c>
      <c r="K21" s="64">
        <v>0.05</v>
      </c>
      <c r="L21" s="64">
        <v>0.05</v>
      </c>
    </row>
    <row r="22" spans="2:12" x14ac:dyDescent="0.2">
      <c r="D22" s="68"/>
      <c r="E22" s="64"/>
      <c r="F22" s="64"/>
      <c r="G22" s="64"/>
      <c r="H22" s="64"/>
      <c r="I22" s="64"/>
      <c r="J22" s="64"/>
      <c r="K22" s="64"/>
      <c r="L22" s="64"/>
    </row>
    <row r="23" spans="2:12" x14ac:dyDescent="0.2">
      <c r="B23" s="17" t="s">
        <v>71</v>
      </c>
      <c r="C23" s="38" t="s">
        <v>96</v>
      </c>
      <c r="D23" s="64">
        <v>0.03</v>
      </c>
      <c r="E23" s="64">
        <v>0.03</v>
      </c>
      <c r="F23" s="64">
        <v>0.03</v>
      </c>
      <c r="G23" s="64">
        <v>0.03</v>
      </c>
      <c r="H23" s="64">
        <v>0.03</v>
      </c>
      <c r="I23" s="64">
        <v>0.03</v>
      </c>
      <c r="J23" s="64">
        <v>0.03</v>
      </c>
      <c r="K23" s="64">
        <v>0.03</v>
      </c>
      <c r="L23" s="64">
        <v>0.03</v>
      </c>
    </row>
    <row r="24" spans="2:12" x14ac:dyDescent="0.2">
      <c r="D24" s="64"/>
      <c r="E24" s="64"/>
      <c r="F24" s="64"/>
      <c r="G24" s="64"/>
      <c r="H24" s="64"/>
      <c r="I24" s="64"/>
      <c r="J24" s="64"/>
      <c r="K24" s="64"/>
      <c r="L24" s="64"/>
    </row>
    <row r="25" spans="2:12" x14ac:dyDescent="0.2">
      <c r="B25" s="17" t="s">
        <v>72</v>
      </c>
      <c r="C25" s="38" t="s">
        <v>104</v>
      </c>
      <c r="D25" s="64">
        <v>2.75E-2</v>
      </c>
      <c r="E25" s="64">
        <v>2.75E-2</v>
      </c>
      <c r="F25" s="64">
        <v>2.75E-2</v>
      </c>
      <c r="G25" s="64">
        <v>2.5000000000000001E-2</v>
      </c>
      <c r="H25" s="64">
        <v>2.5000000000000001E-2</v>
      </c>
      <c r="I25" s="64">
        <v>2.2499999999999999E-2</v>
      </c>
      <c r="J25" s="64">
        <v>0.02</v>
      </c>
      <c r="K25" s="64">
        <v>1.7500000000000002E-2</v>
      </c>
      <c r="L25" s="64">
        <v>1.4999999999999999E-2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A15" sqref="A15"/>
    </sheetView>
  </sheetViews>
  <sheetFormatPr defaultRowHeight="15" x14ac:dyDescent="0.25"/>
  <cols>
    <col min="2" max="3" width="9.85546875" bestFit="1" customWidth="1"/>
    <col min="4" max="4" width="8.85546875" bestFit="1" customWidth="1"/>
    <col min="5" max="5" width="9.85546875" bestFit="1" customWidth="1"/>
    <col min="6" max="6" width="9.42578125" style="48" bestFit="1" customWidth="1"/>
  </cols>
  <sheetData>
    <row r="1" spans="1:6" x14ac:dyDescent="0.25">
      <c r="A1" s="41" t="s">
        <v>105</v>
      </c>
      <c r="B1" s="41" t="s">
        <v>106</v>
      </c>
      <c r="C1" s="42" t="s">
        <v>107</v>
      </c>
      <c r="D1" s="42" t="s">
        <v>108</v>
      </c>
      <c r="E1" s="42" t="s">
        <v>42</v>
      </c>
      <c r="F1" s="43" t="s">
        <v>109</v>
      </c>
    </row>
    <row r="2" spans="1:6" x14ac:dyDescent="0.25">
      <c r="A2" s="44" t="s">
        <v>110</v>
      </c>
      <c r="B2" s="45" t="s">
        <v>111</v>
      </c>
      <c r="C2" s="46">
        <v>18226</v>
      </c>
      <c r="D2" s="46">
        <v>5850</v>
      </c>
      <c r="E2" s="46">
        <v>24076</v>
      </c>
      <c r="F2" s="47"/>
    </row>
    <row r="3" spans="1:6" x14ac:dyDescent="0.25">
      <c r="A3" t="s">
        <v>110</v>
      </c>
      <c r="B3" t="s">
        <v>112</v>
      </c>
      <c r="C3" s="48">
        <v>206</v>
      </c>
      <c r="D3" s="48">
        <v>767</v>
      </c>
      <c r="E3" s="48">
        <f>+SUM(C3:D3)</f>
        <v>973</v>
      </c>
    </row>
    <row r="4" spans="1:6" x14ac:dyDescent="0.25">
      <c r="A4" t="s">
        <v>110</v>
      </c>
      <c r="B4" t="s">
        <v>113</v>
      </c>
      <c r="C4" s="48">
        <v>1478</v>
      </c>
      <c r="D4" s="48">
        <v>96</v>
      </c>
      <c r="E4" s="48">
        <f>+SUM(C4:D4)</f>
        <v>1574</v>
      </c>
    </row>
    <row r="5" spans="1:6" x14ac:dyDescent="0.25">
      <c r="A5" s="44" t="s">
        <v>114</v>
      </c>
      <c r="B5" s="44" t="s">
        <v>111</v>
      </c>
      <c r="C5" s="49">
        <v>16954</v>
      </c>
      <c r="D5" s="49">
        <v>6521</v>
      </c>
      <c r="E5" s="49">
        <f>+SUM(C5:D5)</f>
        <v>23475</v>
      </c>
      <c r="F5" s="50">
        <f>+E5-E2</f>
        <v>-601</v>
      </c>
    </row>
    <row r="6" spans="1:6" x14ac:dyDescent="0.25">
      <c r="A6" t="s">
        <v>114</v>
      </c>
      <c r="B6" t="s">
        <v>112</v>
      </c>
      <c r="C6" s="48">
        <v>64</v>
      </c>
      <c r="D6" s="48">
        <v>413</v>
      </c>
      <c r="E6" s="48">
        <f t="shared" ref="E6:E7" si="0">+SUM(C6:D6)</f>
        <v>477</v>
      </c>
    </row>
    <row r="7" spans="1:6" x14ac:dyDescent="0.25">
      <c r="A7" t="s">
        <v>114</v>
      </c>
      <c r="B7" t="s">
        <v>113</v>
      </c>
      <c r="C7" s="48">
        <v>705</v>
      </c>
      <c r="D7" s="48">
        <v>1000</v>
      </c>
      <c r="E7" s="48">
        <f t="shared" si="0"/>
        <v>1705</v>
      </c>
    </row>
    <row r="8" spans="1:6" x14ac:dyDescent="0.25">
      <c r="A8" s="44" t="s">
        <v>115</v>
      </c>
      <c r="B8" s="44" t="s">
        <v>111</v>
      </c>
      <c r="C8" s="49">
        <v>16313</v>
      </c>
      <c r="D8" s="49">
        <v>5934</v>
      </c>
      <c r="E8" s="49">
        <f>+SUM(C8:D8)</f>
        <v>22247</v>
      </c>
      <c r="F8" s="50">
        <f>+E8-E5</f>
        <v>-1228</v>
      </c>
    </row>
    <row r="9" spans="1:6" x14ac:dyDescent="0.25">
      <c r="A9" t="s">
        <v>115</v>
      </c>
      <c r="B9" t="s">
        <v>112</v>
      </c>
      <c r="C9" s="48">
        <v>66</v>
      </c>
      <c r="D9" s="48">
        <v>387</v>
      </c>
      <c r="E9" s="48">
        <f t="shared" ref="E9:E10" si="1">+SUM(C9:D9)</f>
        <v>453</v>
      </c>
    </row>
    <row r="10" spans="1:6" x14ac:dyDescent="0.25">
      <c r="A10" t="s">
        <v>115</v>
      </c>
      <c r="B10" t="s">
        <v>113</v>
      </c>
      <c r="C10" s="48">
        <v>473</v>
      </c>
      <c r="D10" s="48">
        <v>209</v>
      </c>
      <c r="E10" s="48">
        <f t="shared" si="1"/>
        <v>682</v>
      </c>
    </row>
    <row r="11" spans="1:6" x14ac:dyDescent="0.25">
      <c r="A11" s="44" t="s">
        <v>116</v>
      </c>
      <c r="B11" s="44" t="s">
        <v>111</v>
      </c>
      <c r="C11" s="49">
        <f>+C8+C9-C10</f>
        <v>15906</v>
      </c>
      <c r="D11" s="49">
        <f t="shared" ref="D11:E11" si="2">+D8+D9-D10</f>
        <v>6112</v>
      </c>
      <c r="E11" s="49">
        <f t="shared" si="2"/>
        <v>22018</v>
      </c>
      <c r="F11" s="50">
        <f>+E11-E8</f>
        <v>-229</v>
      </c>
    </row>
    <row r="13" spans="1:6" ht="16.5" x14ac:dyDescent="0.25">
      <c r="A13" s="51" t="s">
        <v>117</v>
      </c>
    </row>
    <row r="14" spans="1:6" ht="16.5" x14ac:dyDescent="0.25">
      <c r="A14" s="51" t="s">
        <v>118</v>
      </c>
    </row>
    <row r="15" spans="1:6" ht="16.5" x14ac:dyDescent="0.25">
      <c r="A15" s="51" t="s">
        <v>119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P&amp;L</vt:lpstr>
      <vt:lpstr>Enterprise Valuation</vt:lpstr>
      <vt:lpstr>Depreciation</vt:lpstr>
      <vt:lpstr>Model</vt:lpstr>
      <vt:lpstr>Notes</vt:lpstr>
      <vt:lpstr>working &amp; assumptions</vt:lpstr>
      <vt:lpstr>Tenancy Movement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Rachit</dc:creator>
  <cp:lastModifiedBy>Gaurav Kumar</cp:lastModifiedBy>
  <dcterms:created xsi:type="dcterms:W3CDTF">2015-06-05T18:17:20Z</dcterms:created>
  <dcterms:modified xsi:type="dcterms:W3CDTF">2025-02-12T10:26:30Z</dcterms:modified>
</cp:coreProperties>
</file>