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1025"/>
  </bookViews>
  <sheets>
    <sheet name="Sheet1 (2)" sheetId="5" r:id="rId1"/>
    <sheet name="Sheet6" sheetId="8" r:id="rId2"/>
    <sheet name="Additional Cost" sheetId="9" r:id="rId3"/>
    <sheet name="Sheet3" sheetId="10" r:id="rId4"/>
    <sheet name="Sheet2" sheetId="11" r:id="rId5"/>
    <sheet name="Sheet1" sheetId="12" r:id="rId6"/>
    <sheet name="Assmp.-TPR" sheetId="13" r:id="rId7"/>
    <sheet name="Sheet4" sheetId="14" r:id="rId8"/>
  </sheets>
  <externalReferences>
    <externalReference r:id="rId9"/>
  </externalReferences>
  <definedNames>
    <definedName name="__123Graph_A" hidden="1">#REF!</definedName>
    <definedName name="__123Graph_ACHART1" hidden="1">#REF!</definedName>
    <definedName name="__123Graph_ACHART2" hidden="1">#REF!</definedName>
    <definedName name="__123Graph_ACURRENT" hidden="1">#REF!</definedName>
    <definedName name="__123Graph_B" hidden="1">#REF!</definedName>
    <definedName name="__123Graph_BCHART1" hidden="1">#REF!</definedName>
    <definedName name="__123Graph_BCHART2" hidden="1">#REF!</definedName>
    <definedName name="__123Graph_BCURRENT" hidden="1">#REF!</definedName>
    <definedName name="__123Graph_C" hidden="1">#REF!</definedName>
    <definedName name="__123Graph_CCHART1" hidden="1">#REF!</definedName>
    <definedName name="__123Graph_CCHART2" hidden="1">#REF!</definedName>
    <definedName name="__123Graph_CCURRENT" hidden="1">#REF!</definedName>
    <definedName name="__123Graph_D" hidden="1">#REF!</definedName>
    <definedName name="__123Graph_DCHART1" hidden="1">#REF!</definedName>
    <definedName name="__123Graph_DCHART2" hidden="1">#REF!</definedName>
    <definedName name="__123Graph_DCURRENT" hidden="1">#REF!</definedName>
    <definedName name="__123Graph_E" hidden="1">#REF!</definedName>
    <definedName name="__123Graph_ECHART1" hidden="1">#REF!</definedName>
    <definedName name="__123Graph_ECHART2" hidden="1">#REF!</definedName>
    <definedName name="__123Graph_ECURRENT" hidden="1">#REF!</definedName>
    <definedName name="__123Graph_F" hidden="1">#REF!</definedName>
    <definedName name="__123Graph_FCHART1" hidden="1">#REF!</definedName>
    <definedName name="__123Graph_FCHART2" hidden="1">#REF!</definedName>
    <definedName name="__123Graph_FCURRENT" hidden="1">#REF!</definedName>
    <definedName name="__123Graph_X" hidden="1">#REF!</definedName>
    <definedName name="__123Graph_XCHART1" hidden="1">#REF!</definedName>
    <definedName name="__123Graph_XCHART2" hidden="1">#REF!</definedName>
    <definedName name="__123Graph_XCURRENT" hidden="1">#REF!</definedName>
    <definedName name="abc">'[1]Projections (2)'!#REF!</definedName>
    <definedName name="_xlnm.Print_Area" localSheetId="6">'Assmp.-TPR'!$A$1:$Q$29</definedName>
    <definedName name="_xlnm.Print_Area">#REF!</definedName>
    <definedName name="PRINT_AREA_MI">#REF!</definedName>
    <definedName name="s15.">#REF!</definedName>
    <definedName name="vsffd">#REF!</definedName>
  </definedNames>
  <calcPr calcId="152511"/>
</workbook>
</file>

<file path=xl/calcChain.xml><?xml version="1.0" encoding="utf-8"?>
<calcChain xmlns="http://schemas.openxmlformats.org/spreadsheetml/2006/main">
  <c r="V25" i="5" l="1"/>
  <c r="AB17" i="5"/>
  <c r="AA15" i="5"/>
  <c r="Y18" i="10"/>
  <c r="Y17" i="10"/>
  <c r="X17" i="10"/>
  <c r="X16" i="10"/>
  <c r="AC3" i="5"/>
  <c r="U23" i="5"/>
  <c r="K27" i="14" l="1"/>
  <c r="P22" i="14"/>
  <c r="AA27" i="5"/>
  <c r="AA26" i="5"/>
  <c r="AA24" i="5"/>
  <c r="X3" i="5"/>
  <c r="M18" i="14"/>
  <c r="L23" i="14"/>
  <c r="L19" i="14"/>
  <c r="L18" i="14"/>
  <c r="L17" i="14"/>
  <c r="G11" i="14"/>
  <c r="G10" i="14"/>
  <c r="G9" i="14"/>
  <c r="G8" i="14"/>
  <c r="V16" i="10"/>
  <c r="S7" i="10"/>
  <c r="W2" i="10"/>
  <c r="I9" i="12"/>
  <c r="H9" i="12"/>
  <c r="H8" i="12"/>
  <c r="F29" i="12"/>
  <c r="F28" i="12"/>
  <c r="G24" i="12"/>
  <c r="F21" i="12"/>
  <c r="K20" i="12" l="1"/>
  <c r="K18" i="12"/>
  <c r="J18" i="12"/>
  <c r="I19" i="12"/>
  <c r="I18" i="12"/>
  <c r="H19" i="12"/>
  <c r="H18" i="12"/>
  <c r="F19" i="12"/>
  <c r="F18" i="12"/>
  <c r="F10" i="12"/>
  <c r="I4" i="13"/>
  <c r="P7" i="13"/>
  <c r="P9" i="13" s="1"/>
  <c r="P8" i="13"/>
  <c r="O9" i="13"/>
  <c r="E14" i="13" s="1"/>
  <c r="P10" i="13"/>
  <c r="O11" i="13"/>
  <c r="C13" i="13"/>
  <c r="E13" i="13"/>
  <c r="C16" i="13"/>
  <c r="C17" i="13" s="1"/>
  <c r="C26" i="13" s="1"/>
  <c r="C23" i="13"/>
  <c r="I23" i="13" s="1"/>
  <c r="G23" i="13"/>
  <c r="H23" i="13"/>
  <c r="J23" i="13" s="1"/>
  <c r="G24" i="13"/>
  <c r="G25" i="13"/>
  <c r="G26" i="13"/>
  <c r="G27" i="13"/>
  <c r="K27" i="13"/>
  <c r="N28" i="13"/>
  <c r="E15" i="13" l="1"/>
  <c r="C27" i="13"/>
  <c r="P11" i="13"/>
  <c r="C14" i="13"/>
  <c r="C24" i="13" s="1"/>
  <c r="H26" i="13"/>
  <c r="I26" i="13"/>
  <c r="M26" i="13" s="1"/>
  <c r="O26" i="13" s="1"/>
  <c r="C15" i="13"/>
  <c r="C9" i="13" s="1"/>
  <c r="C25" i="13"/>
  <c r="J26" i="13" l="1"/>
  <c r="L26" i="13"/>
  <c r="P26" i="13" s="1"/>
  <c r="I25" i="13"/>
  <c r="M25" i="13" s="1"/>
  <c r="O25" i="13" s="1"/>
  <c r="H25" i="13"/>
  <c r="H24" i="13"/>
  <c r="I24" i="13"/>
  <c r="H27" i="13"/>
  <c r="I27" i="13"/>
  <c r="M27" i="13" s="1"/>
  <c r="O27" i="13" s="1"/>
  <c r="C12" i="13"/>
  <c r="C8" i="13" s="1"/>
  <c r="P27" i="13" l="1"/>
  <c r="J25" i="13"/>
  <c r="L25" i="13"/>
  <c r="P25" i="13" s="1"/>
  <c r="L27" i="13"/>
  <c r="J27" i="13"/>
  <c r="K24" i="13"/>
  <c r="M24" i="13"/>
  <c r="O24" i="13" s="1"/>
  <c r="J24" i="13"/>
  <c r="L24" i="13" l="1"/>
  <c r="P24" i="13" s="1"/>
  <c r="K23" i="13"/>
  <c r="L23" i="13" l="1"/>
  <c r="L28" i="13" s="1"/>
  <c r="M23" i="13"/>
  <c r="O23" i="13" l="1"/>
  <c r="M28" i="13"/>
  <c r="O28" i="13" l="1"/>
  <c r="P23" i="13"/>
  <c r="P28" i="13" s="1"/>
  <c r="T25" i="10"/>
  <c r="Q61" i="8" l="1"/>
  <c r="W5" i="10"/>
  <c r="H32" i="11"/>
  <c r="X13" i="9"/>
  <c r="H30" i="11"/>
  <c r="H20" i="11" l="1"/>
  <c r="H22" i="11" s="1"/>
  <c r="H21" i="11"/>
  <c r="H19" i="11"/>
  <c r="G22" i="11"/>
  <c r="AC19" i="5" l="1"/>
  <c r="AA11" i="5"/>
  <c r="Z11" i="5"/>
  <c r="Q64" i="8" l="1"/>
  <c r="G3" i="8"/>
  <c r="H3" i="8" s="1"/>
  <c r="I3" i="8" s="1"/>
  <c r="Q3" i="8" s="1"/>
  <c r="L3" i="8"/>
  <c r="O3" i="8"/>
  <c r="J16" i="10"/>
  <c r="AA5" i="10"/>
  <c r="Q63" i="8" l="1"/>
  <c r="R3" i="8"/>
  <c r="T3" i="8" s="1"/>
  <c r="U3" i="8" s="1"/>
  <c r="N6" i="10"/>
  <c r="Q6" i="10"/>
  <c r="N7" i="10"/>
  <c r="Q7" i="10"/>
  <c r="I7" i="10"/>
  <c r="S6" i="10"/>
  <c r="Q5" i="10"/>
  <c r="N5" i="10"/>
  <c r="S5" i="10"/>
  <c r="Q4" i="10"/>
  <c r="N4" i="10"/>
  <c r="I4" i="10"/>
  <c r="S4" i="10" s="1"/>
  <c r="Q3" i="10"/>
  <c r="N3" i="10"/>
  <c r="H3" i="10"/>
  <c r="I3" i="10" s="1"/>
  <c r="E29" i="9"/>
  <c r="E28" i="9"/>
  <c r="M20" i="9"/>
  <c r="M19" i="9"/>
  <c r="M18" i="9"/>
  <c r="M17" i="9"/>
  <c r="M16" i="9"/>
  <c r="M15" i="9"/>
  <c r="J14" i="9"/>
  <c r="M14" i="9" s="1"/>
  <c r="J13" i="9"/>
  <c r="M13" i="9" s="1"/>
  <c r="M12" i="9"/>
  <c r="M11" i="9"/>
  <c r="M10" i="9"/>
  <c r="M9" i="9"/>
  <c r="M8" i="9"/>
  <c r="M7" i="9"/>
  <c r="M6" i="9"/>
  <c r="R12" i="10" l="1"/>
  <c r="S12" i="10" s="1"/>
  <c r="S15" i="10" s="1"/>
  <c r="M21" i="9"/>
  <c r="S3" i="10"/>
  <c r="J10" i="10"/>
  <c r="S8" i="10" l="1"/>
  <c r="H6" i="8"/>
  <c r="I6" i="8" s="1"/>
  <c r="Q6" i="8" s="1"/>
  <c r="H7" i="8"/>
  <c r="I7" i="8" s="1"/>
  <c r="Q7" i="8" s="1"/>
  <c r="H5" i="8"/>
  <c r="I5" i="8" s="1"/>
  <c r="Q5" i="8" s="1"/>
  <c r="H22" i="8"/>
  <c r="I22" i="8" s="1"/>
  <c r="L4" i="8"/>
  <c r="O4" i="8"/>
  <c r="L5" i="8"/>
  <c r="O5" i="8"/>
  <c r="L6" i="8"/>
  <c r="O6" i="8"/>
  <c r="L7" i="8"/>
  <c r="O7" i="8"/>
  <c r="L8" i="8"/>
  <c r="O8" i="8"/>
  <c r="L9" i="8"/>
  <c r="O9" i="8"/>
  <c r="L10" i="8"/>
  <c r="O10" i="8"/>
  <c r="L11" i="8"/>
  <c r="O11" i="8"/>
  <c r="L12" i="8"/>
  <c r="O12" i="8"/>
  <c r="L13" i="8"/>
  <c r="O13" i="8"/>
  <c r="L14" i="8"/>
  <c r="O14" i="8"/>
  <c r="L15" i="8"/>
  <c r="O15" i="8"/>
  <c r="L16" i="8"/>
  <c r="O16" i="8"/>
  <c r="L17" i="8"/>
  <c r="O17" i="8"/>
  <c r="L18" i="8"/>
  <c r="O18" i="8"/>
  <c r="L19" i="8"/>
  <c r="O19" i="8"/>
  <c r="L20" i="8"/>
  <c r="O20" i="8"/>
  <c r="L21" i="8"/>
  <c r="O21" i="8"/>
  <c r="L22" i="8"/>
  <c r="O22" i="8"/>
  <c r="L23" i="8"/>
  <c r="O23" i="8"/>
  <c r="L24" i="8"/>
  <c r="O24" i="8"/>
  <c r="L25" i="8"/>
  <c r="O25" i="8"/>
  <c r="L26" i="8"/>
  <c r="O26" i="8"/>
  <c r="L27" i="8"/>
  <c r="O27" i="8"/>
  <c r="L28" i="8"/>
  <c r="O28" i="8"/>
  <c r="L29" i="8"/>
  <c r="O29" i="8"/>
  <c r="L30" i="8"/>
  <c r="O30" i="8"/>
  <c r="L31" i="8"/>
  <c r="O31" i="8"/>
  <c r="L32" i="8"/>
  <c r="O32" i="8"/>
  <c r="L33" i="8"/>
  <c r="O33" i="8"/>
  <c r="L34" i="8"/>
  <c r="O34" i="8"/>
  <c r="L35" i="8"/>
  <c r="O35" i="8"/>
  <c r="L36" i="8"/>
  <c r="O36" i="8"/>
  <c r="L37" i="8"/>
  <c r="O37" i="8"/>
  <c r="L38" i="8"/>
  <c r="O38" i="8"/>
  <c r="L39" i="8"/>
  <c r="O39" i="8"/>
  <c r="L40" i="8"/>
  <c r="O40" i="8"/>
  <c r="L41" i="8"/>
  <c r="O41" i="8"/>
  <c r="L42" i="8"/>
  <c r="O42" i="8"/>
  <c r="L43" i="8"/>
  <c r="O43" i="8"/>
  <c r="L44" i="8"/>
  <c r="O44" i="8"/>
  <c r="L45" i="8"/>
  <c r="O45" i="8"/>
  <c r="L46" i="8"/>
  <c r="O46" i="8"/>
  <c r="L47" i="8"/>
  <c r="O47" i="8"/>
  <c r="L48" i="8"/>
  <c r="O48" i="8"/>
  <c r="L49" i="8"/>
  <c r="O49" i="8"/>
  <c r="I33" i="8"/>
  <c r="Q33" i="8" s="1"/>
  <c r="I34" i="8"/>
  <c r="Q34" i="8" s="1"/>
  <c r="I35" i="8"/>
  <c r="Q35" i="8" s="1"/>
  <c r="I36" i="8"/>
  <c r="Q36" i="8" s="1"/>
  <c r="I37" i="8"/>
  <c r="Q37" i="8" s="1"/>
  <c r="I38" i="8"/>
  <c r="Q38" i="8" s="1"/>
  <c r="I39" i="8"/>
  <c r="Q39" i="8" s="1"/>
  <c r="I40" i="8"/>
  <c r="Q40" i="8" s="1"/>
  <c r="I41" i="8"/>
  <c r="Q41" i="8" s="1"/>
  <c r="I42" i="8"/>
  <c r="Q42" i="8" s="1"/>
  <c r="I43" i="8"/>
  <c r="Q43" i="8" s="1"/>
  <c r="I44" i="8"/>
  <c r="Q44" i="8" s="1"/>
  <c r="I45" i="8"/>
  <c r="Q45" i="8" s="1"/>
  <c r="I46" i="8"/>
  <c r="Q46" i="8" s="1"/>
  <c r="I47" i="8"/>
  <c r="Q47" i="8" s="1"/>
  <c r="I48" i="8"/>
  <c r="Q48" i="8" s="1"/>
  <c r="I49" i="8"/>
  <c r="Q49" i="8" s="1"/>
  <c r="I4" i="8"/>
  <c r="Q4" i="8" s="1"/>
  <c r="I32" i="8"/>
  <c r="Q32" i="8" s="1"/>
  <c r="I24" i="8"/>
  <c r="Q24" i="8" s="1"/>
  <c r="I25" i="8"/>
  <c r="Q25" i="8" s="1"/>
  <c r="I26" i="8"/>
  <c r="Q26" i="8" s="1"/>
  <c r="I27" i="8"/>
  <c r="Q27" i="8" s="1"/>
  <c r="I28" i="8"/>
  <c r="Q28" i="8" s="1"/>
  <c r="I29" i="8"/>
  <c r="Q29" i="8" s="1"/>
  <c r="I30" i="8"/>
  <c r="Q30" i="8" s="1"/>
  <c r="I31" i="8"/>
  <c r="Q31" i="8" s="1"/>
  <c r="I23" i="8"/>
  <c r="Q23" i="8" s="1"/>
  <c r="I9" i="8"/>
  <c r="Q9" i="8" s="1"/>
  <c r="I10" i="8"/>
  <c r="Q10" i="8" s="1"/>
  <c r="I11" i="8"/>
  <c r="Q11" i="8" s="1"/>
  <c r="I12" i="8"/>
  <c r="Q12" i="8" s="1"/>
  <c r="I13" i="8"/>
  <c r="Q13" i="8" s="1"/>
  <c r="I14" i="8"/>
  <c r="Q14" i="8" s="1"/>
  <c r="I15" i="8"/>
  <c r="Q15" i="8" s="1"/>
  <c r="I16" i="8"/>
  <c r="Q16" i="8" s="1"/>
  <c r="I17" i="8"/>
  <c r="Q17" i="8" s="1"/>
  <c r="I18" i="8"/>
  <c r="Q18" i="8" s="1"/>
  <c r="I19" i="8"/>
  <c r="Q19" i="8" s="1"/>
  <c r="I20" i="8"/>
  <c r="Q20" i="8" s="1"/>
  <c r="I21" i="8"/>
  <c r="Q21" i="8" s="1"/>
  <c r="I8" i="8"/>
  <c r="Q8" i="8" s="1"/>
  <c r="I3" i="5"/>
  <c r="J3" i="5" s="1"/>
  <c r="M3" i="5"/>
  <c r="P3" i="5"/>
  <c r="AA3" i="5"/>
  <c r="I4" i="5"/>
  <c r="J4" i="5" s="1"/>
  <c r="M4" i="5"/>
  <c r="P4" i="5"/>
  <c r="R4" i="5"/>
  <c r="I5" i="5"/>
  <c r="J5" i="5" s="1"/>
  <c r="M5" i="5"/>
  <c r="P5" i="5"/>
  <c r="R5" i="5"/>
  <c r="I6" i="5"/>
  <c r="J6" i="5" s="1"/>
  <c r="M6" i="5"/>
  <c r="P6" i="5"/>
  <c r="R6" i="5"/>
  <c r="I7" i="5"/>
  <c r="J7" i="5" s="1"/>
  <c r="M7" i="5"/>
  <c r="P7" i="5"/>
  <c r="R7" i="5"/>
  <c r="I8" i="5"/>
  <c r="J8" i="5" s="1"/>
  <c r="M8" i="5"/>
  <c r="P8" i="5"/>
  <c r="H9" i="5"/>
  <c r="T9" i="5"/>
  <c r="L18" i="5"/>
  <c r="AF18" i="5"/>
  <c r="O19" i="5"/>
  <c r="P19" i="5" s="1"/>
  <c r="R19" i="5"/>
  <c r="M20" i="5"/>
  <c r="AA4" i="5" l="1"/>
  <c r="AA18" i="5"/>
  <c r="X11" i="10"/>
  <c r="X12" i="10"/>
  <c r="X13" i="10"/>
  <c r="S4" i="5"/>
  <c r="S5" i="5"/>
  <c r="U5" i="5" s="1"/>
  <c r="V5" i="5" s="1"/>
  <c r="R8" i="5"/>
  <c r="S8" i="5" s="1"/>
  <c r="S7" i="5"/>
  <c r="U7" i="5" s="1"/>
  <c r="V7" i="5" s="1"/>
  <c r="R36" i="8"/>
  <c r="T36" i="8" s="1"/>
  <c r="U36" i="8" s="1"/>
  <c r="R32" i="8"/>
  <c r="T32" i="8" s="1"/>
  <c r="U32" i="8" s="1"/>
  <c r="R28" i="8"/>
  <c r="T28" i="8" s="1"/>
  <c r="U28" i="8" s="1"/>
  <c r="R24" i="8"/>
  <c r="T24" i="8" s="1"/>
  <c r="U24" i="8" s="1"/>
  <c r="R20" i="8"/>
  <c r="T20" i="8" s="1"/>
  <c r="U20" i="8" s="1"/>
  <c r="R16" i="8"/>
  <c r="T16" i="8" s="1"/>
  <c r="U16" i="8" s="1"/>
  <c r="R12" i="8"/>
  <c r="T12" i="8" s="1"/>
  <c r="U12" i="8" s="1"/>
  <c r="R8" i="8"/>
  <c r="T8" i="8" s="1"/>
  <c r="U8" i="8" s="1"/>
  <c r="R4" i="8"/>
  <c r="T4" i="8" s="1"/>
  <c r="U4" i="8" s="1"/>
  <c r="Q22" i="8"/>
  <c r="R22" i="8" s="1"/>
  <c r="T22" i="8" s="1"/>
  <c r="U22" i="8" s="1"/>
  <c r="R42" i="8"/>
  <c r="T42" i="8" s="1"/>
  <c r="U42" i="8" s="1"/>
  <c r="R34" i="8"/>
  <c r="T34" i="8" s="1"/>
  <c r="U34" i="8" s="1"/>
  <c r="R30" i="8"/>
  <c r="T30" i="8" s="1"/>
  <c r="U30" i="8" s="1"/>
  <c r="R26" i="8"/>
  <c r="T26" i="8" s="1"/>
  <c r="U26" i="8" s="1"/>
  <c r="R49" i="8"/>
  <c r="T49" i="8" s="1"/>
  <c r="U49" i="8" s="1"/>
  <c r="R47" i="8"/>
  <c r="T47" i="8" s="1"/>
  <c r="U47" i="8" s="1"/>
  <c r="R45" i="8"/>
  <c r="T45" i="8" s="1"/>
  <c r="U45" i="8" s="1"/>
  <c r="R43" i="8"/>
  <c r="T43" i="8" s="1"/>
  <c r="U43" i="8" s="1"/>
  <c r="R41" i="8"/>
  <c r="T41" i="8" s="1"/>
  <c r="U41" i="8" s="1"/>
  <c r="R39" i="8"/>
  <c r="T39" i="8" s="1"/>
  <c r="U39" i="8" s="1"/>
  <c r="R37" i="8"/>
  <c r="T37" i="8" s="1"/>
  <c r="U37" i="8" s="1"/>
  <c r="R35" i="8"/>
  <c r="T35" i="8" s="1"/>
  <c r="U35" i="8" s="1"/>
  <c r="R33" i="8"/>
  <c r="T33" i="8" s="1"/>
  <c r="U33" i="8" s="1"/>
  <c r="R31" i="8"/>
  <c r="T31" i="8" s="1"/>
  <c r="U31" i="8" s="1"/>
  <c r="R29" i="8"/>
  <c r="T29" i="8" s="1"/>
  <c r="U29" i="8" s="1"/>
  <c r="R27" i="8"/>
  <c r="T27" i="8" s="1"/>
  <c r="U27" i="8" s="1"/>
  <c r="R25" i="8"/>
  <c r="T25" i="8" s="1"/>
  <c r="U25" i="8" s="1"/>
  <c r="R23" i="8"/>
  <c r="T23" i="8" s="1"/>
  <c r="U23" i="8" s="1"/>
  <c r="R21" i="8"/>
  <c r="T21" i="8" s="1"/>
  <c r="U21" i="8" s="1"/>
  <c r="R19" i="8"/>
  <c r="T19" i="8" s="1"/>
  <c r="U19" i="8" s="1"/>
  <c r="R17" i="8"/>
  <c r="T17" i="8" s="1"/>
  <c r="U17" i="8" s="1"/>
  <c r="R15" i="8"/>
  <c r="T15" i="8" s="1"/>
  <c r="U15" i="8" s="1"/>
  <c r="R13" i="8"/>
  <c r="T13" i="8" s="1"/>
  <c r="U13" i="8" s="1"/>
  <c r="R11" i="8"/>
  <c r="R9" i="8"/>
  <c r="T9" i="8" s="1"/>
  <c r="U9" i="8" s="1"/>
  <c r="R7" i="8"/>
  <c r="T7" i="8" s="1"/>
  <c r="U7" i="8" s="1"/>
  <c r="R5" i="8"/>
  <c r="T5" i="8" s="1"/>
  <c r="U5" i="8" s="1"/>
  <c r="T11" i="8"/>
  <c r="U11" i="8" s="1"/>
  <c r="R46" i="8"/>
  <c r="T46" i="8" s="1"/>
  <c r="U46" i="8" s="1"/>
  <c r="R38" i="8"/>
  <c r="T38" i="8" s="1"/>
  <c r="U38" i="8" s="1"/>
  <c r="R48" i="8"/>
  <c r="T48" i="8" s="1"/>
  <c r="U48" i="8" s="1"/>
  <c r="R44" i="8"/>
  <c r="T44" i="8" s="1"/>
  <c r="U44" i="8" s="1"/>
  <c r="R40" i="8"/>
  <c r="T40" i="8" s="1"/>
  <c r="U40" i="8" s="1"/>
  <c r="R18" i="8"/>
  <c r="T18" i="8" s="1"/>
  <c r="U18" i="8" s="1"/>
  <c r="R14" i="8"/>
  <c r="T14" i="8" s="1"/>
  <c r="U14" i="8" s="1"/>
  <c r="R10" i="8"/>
  <c r="T10" i="8" s="1"/>
  <c r="U10" i="8" s="1"/>
  <c r="R6" i="8"/>
  <c r="T6" i="8" s="1"/>
  <c r="U6" i="8" s="1"/>
  <c r="P20" i="5"/>
  <c r="O20" i="5" s="1"/>
  <c r="S6" i="5"/>
  <c r="U6" i="5" s="1"/>
  <c r="V6" i="5" s="1"/>
  <c r="R3" i="5"/>
  <c r="S3" i="5" s="1"/>
  <c r="U4" i="5"/>
  <c r="V4" i="5" s="1"/>
  <c r="AB31" i="5"/>
  <c r="I9" i="5"/>
  <c r="J9" i="5" s="1"/>
  <c r="X14" i="10" l="1"/>
  <c r="W4" i="10" s="1"/>
  <c r="S21" i="10"/>
  <c r="U8" i="5"/>
  <c r="V8" i="5" s="1"/>
  <c r="Q50" i="8"/>
  <c r="S9" i="5"/>
  <c r="AA35" i="5"/>
  <c r="U50" i="8"/>
  <c r="U3" i="5"/>
  <c r="V3" i="5" s="1"/>
  <c r="R9" i="5"/>
  <c r="AC9" i="5" s="1"/>
  <c r="AA37" i="5" l="1"/>
  <c r="U9" i="5"/>
  <c r="V9" i="5"/>
  <c r="AC4" i="5" s="1"/>
  <c r="Q53" i="8"/>
  <c r="Q55" i="8"/>
  <c r="Q54" i="8"/>
  <c r="AC35" i="5"/>
  <c r="AF22" i="5" s="1"/>
  <c r="Q57" i="8" l="1"/>
  <c r="Q59" i="8" s="1"/>
  <c r="Q60" i="8" s="1"/>
  <c r="AC5" i="5"/>
  <c r="AC6" i="5" l="1"/>
  <c r="AC7" i="5"/>
  <c r="AC8" i="5"/>
</calcChain>
</file>

<file path=xl/sharedStrings.xml><?xml version="1.0" encoding="utf-8"?>
<sst xmlns="http://schemas.openxmlformats.org/spreadsheetml/2006/main" count="437" uniqueCount="217">
  <si>
    <t>BASEMENT PARKING B3</t>
  </si>
  <si>
    <t>BASEMENT PARKING B2</t>
  </si>
  <si>
    <t>BASEMENT PARKING B1</t>
  </si>
  <si>
    <t>GROUND FLOOR LOBBY L</t>
  </si>
  <si>
    <t>CSP</t>
  </si>
  <si>
    <t>EWS</t>
  </si>
  <si>
    <t>DV</t>
  </si>
  <si>
    <t>RV</t>
  </si>
  <si>
    <t>land</t>
  </si>
  <si>
    <t>builtup</t>
  </si>
  <si>
    <t>4. The Valuation is done by considering the depreciated replacement cost and while calculating D.R.C. 10% salvage value is considered.</t>
  </si>
  <si>
    <t>3. Age of construction taken from the information as per documents provided to us.</t>
  </si>
  <si>
    <t xml:space="preserve">2.The maintenance of the building was average as per site survey observation from external. </t>
  </si>
  <si>
    <t>1. All the details pertaining to the building area statement such as area, floor, etc has been taken from the documents provided to us.</t>
  </si>
  <si>
    <t>Remarks:</t>
  </si>
  <si>
    <t>Insurance</t>
  </si>
  <si>
    <t>Total</t>
  </si>
  <si>
    <t>First Floor</t>
  </si>
  <si>
    <t>Upper Ground Floor</t>
  </si>
  <si>
    <t>Lower Ground Floor</t>
  </si>
  <si>
    <t>2nd Villa</t>
  </si>
  <si>
    <t>FMV</t>
  </si>
  <si>
    <t>L&amp;B</t>
  </si>
  <si>
    <t xml:space="preserve">Total Value - </t>
  </si>
  <si>
    <t>RCC Structure</t>
  </si>
  <si>
    <t>1st Villa</t>
  </si>
  <si>
    <t>Market Value</t>
  </si>
  <si>
    <t xml:space="preserve">Govt. Value </t>
  </si>
  <si>
    <t>Govt. Rate per sq.mtr.</t>
  </si>
  <si>
    <t>Land Area in Sq.mtr.</t>
  </si>
  <si>
    <t>Land Area in Sq.yds.</t>
  </si>
  <si>
    <t>Fair Market Value         (INR)</t>
  </si>
  <si>
    <t>Depreciated Replacement Cost
(INR)</t>
  </si>
  <si>
    <t>Deterioration</t>
  </si>
  <si>
    <t xml:space="preserve">Depreciation
(INR) </t>
  </si>
  <si>
    <t>Gross Replacement value
(INR)</t>
  </si>
  <si>
    <t>Plinth Area  Rate 
(INR per sq feet)</t>
  </si>
  <si>
    <t>Depreciation Rate</t>
  </si>
  <si>
    <t>Salvage value</t>
  </si>
  <si>
    <t>Total Economical Life
(In year)</t>
  </si>
  <si>
    <t>Total Life Consumed 
(In year)</t>
  </si>
  <si>
    <t xml:space="preserve">Year of Valuation </t>
  </si>
  <si>
    <t xml:space="preserve">Year of Construction </t>
  </si>
  <si>
    <t>Total Built-up Area</t>
  </si>
  <si>
    <t>Built-up area 
(in sq ft.)</t>
  </si>
  <si>
    <t>Built-up Area 
(in sq mtr)</t>
  </si>
  <si>
    <t>Type of Structure</t>
  </si>
  <si>
    <t>Height 
(in ft.)</t>
  </si>
  <si>
    <t>Total Floors</t>
  </si>
  <si>
    <t>Floor Name</t>
  </si>
  <si>
    <t>Block Name</t>
  </si>
  <si>
    <t>Sr. No.</t>
  </si>
  <si>
    <t>M/S JM Holdings Pvt. Ltd</t>
  </si>
  <si>
    <t>per sq.yds</t>
  </si>
  <si>
    <t>sq.mt</t>
  </si>
  <si>
    <t>Disc-40%</t>
  </si>
  <si>
    <t>Total Flats</t>
  </si>
  <si>
    <t>Category</t>
  </si>
  <si>
    <t>6th</t>
  </si>
  <si>
    <t>7th</t>
  </si>
  <si>
    <t>8th</t>
  </si>
  <si>
    <t>9th</t>
  </si>
  <si>
    <t xml:space="preserve">10th </t>
  </si>
  <si>
    <t>11th</t>
  </si>
  <si>
    <t xml:space="preserve">12th </t>
  </si>
  <si>
    <t>13th</t>
  </si>
  <si>
    <t>14th</t>
  </si>
  <si>
    <t>15th</t>
  </si>
  <si>
    <t>16th</t>
  </si>
  <si>
    <t>17th</t>
  </si>
  <si>
    <t>18th</t>
  </si>
  <si>
    <t>19th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</si>
  <si>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</si>
  <si>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</si>
  <si>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</si>
  <si>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</si>
  <si>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</si>
  <si>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</si>
  <si>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</si>
  <si>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</si>
  <si>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</si>
  <si>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20th (Fire Check)</t>
  </si>
  <si>
    <t>Non EWS</t>
  </si>
  <si>
    <t>1st</t>
  </si>
  <si>
    <t>2nd</t>
  </si>
  <si>
    <t>3rd</t>
  </si>
  <si>
    <t>4th</t>
  </si>
  <si>
    <t>RCC</t>
  </si>
  <si>
    <t>NA</t>
  </si>
  <si>
    <t>Extra cost of fittings and construction</t>
  </si>
  <si>
    <t>Description</t>
  </si>
  <si>
    <t>Item</t>
  </si>
  <si>
    <t>Cost</t>
  </si>
  <si>
    <t>Cost of item</t>
  </si>
  <si>
    <t>Complete Italian Flooring</t>
  </si>
  <si>
    <t>Italian Flooring</t>
  </si>
  <si>
    <t>Rs. 600/ sq.ft (Inclusive all)</t>
  </si>
  <si>
    <t>Quantity</t>
  </si>
  <si>
    <t>Total Units</t>
  </si>
  <si>
    <t>Per Unit Cost</t>
  </si>
  <si>
    <t>Total Cost</t>
  </si>
  <si>
    <t>Washroom Walls and Flooring Italian</t>
  </si>
  <si>
    <t>Geyser</t>
  </si>
  <si>
    <t>Tiles behind cupboard</t>
  </si>
  <si>
    <t>Locals tiles where required</t>
  </si>
  <si>
    <t>Fans</t>
  </si>
  <si>
    <t>Per Kitchen Fittings</t>
  </si>
  <si>
    <t>7,50,000/-</t>
  </si>
  <si>
    <t>Exhaust</t>
  </si>
  <si>
    <t>AC</t>
  </si>
  <si>
    <t>Powder Washroom Sanitary Fittings washroom</t>
  </si>
  <si>
    <t>Penthouse</t>
  </si>
  <si>
    <t>Internal Wiring</t>
  </si>
  <si>
    <t>Finolex &amp; Havells</t>
  </si>
  <si>
    <t>Modular switch board</t>
  </si>
  <si>
    <t>Smart light in drawing and dining (Alexa)</t>
  </si>
  <si>
    <t>Per washroom</t>
  </si>
  <si>
    <t>4th floor/Gym</t>
  </si>
  <si>
    <t>Washroom vanities</t>
  </si>
  <si>
    <t>Main Security lock</t>
  </si>
  <si>
    <t>Yale make</t>
  </si>
  <si>
    <t>Exhast Fans</t>
  </si>
  <si>
    <t>per piece</t>
  </si>
  <si>
    <t>Fire Check(20th) Floor</t>
  </si>
  <si>
    <t>Total units</t>
  </si>
  <si>
    <t>Total Area</t>
  </si>
  <si>
    <t>Plinth Rate</t>
  </si>
  <si>
    <t>EWS/ CSP</t>
  </si>
  <si>
    <t>Basement</t>
  </si>
  <si>
    <t>Non EWS Flats</t>
  </si>
  <si>
    <t>28th-29th</t>
  </si>
  <si>
    <t>1st-4th</t>
  </si>
  <si>
    <t>Total Cost of Construction
(INR)</t>
  </si>
  <si>
    <t>Total Built-up Area (Sq.ft)</t>
  </si>
  <si>
    <t>Total Flats/ Units</t>
  </si>
  <si>
    <t xml:space="preserve">GROUND FLOOR LOBBY </t>
  </si>
  <si>
    <t>Fire Check</t>
  </si>
  <si>
    <t>20th</t>
  </si>
  <si>
    <t>6th-19th
21st-27th</t>
  </si>
  <si>
    <t>Group Housing Project-Akashha</t>
  </si>
  <si>
    <t xml:space="preserve">COMMUNITY HALL </t>
  </si>
  <si>
    <t>Gound Floor</t>
  </si>
  <si>
    <t xml:space="preserve">4th, 5th </t>
  </si>
  <si>
    <t xml:space="preserve">COMMUNITY HALL/ SWIMMING POOL </t>
  </si>
  <si>
    <t xml:space="preserve">Name </t>
  </si>
  <si>
    <t>Area</t>
  </si>
  <si>
    <t>Mr. Sanjay Surana</t>
  </si>
  <si>
    <t xml:space="preserve">Mrs. Chandrika Aggarwal </t>
  </si>
  <si>
    <t>Mr. Surajmal Suarna</t>
  </si>
  <si>
    <t>4006 sq.yds</t>
  </si>
  <si>
    <t>328 sq.yds</t>
  </si>
  <si>
    <t>166 sq.yds</t>
  </si>
  <si>
    <t>Non EWS-CSP/GYM</t>
  </si>
  <si>
    <t>Non EWS Residential Flats</t>
  </si>
  <si>
    <t>Non EWS-Community Centre</t>
  </si>
  <si>
    <t>4th and 5th</t>
  </si>
  <si>
    <t>Area(Sq.ft)</t>
  </si>
  <si>
    <t>Non EWS units</t>
  </si>
  <si>
    <t>Total (Rs.)</t>
  </si>
  <si>
    <t>Rate (Rs.)</t>
  </si>
  <si>
    <t xml:space="preserve">Market Value of Inventory </t>
  </si>
  <si>
    <t>Built-up</t>
  </si>
  <si>
    <t>Proposed FAR</t>
  </si>
  <si>
    <t>Stilt</t>
  </si>
  <si>
    <t>Proposed Green</t>
  </si>
  <si>
    <t>Permitted FAR</t>
  </si>
  <si>
    <t>Parking Required</t>
  </si>
  <si>
    <t>Nos.</t>
  </si>
  <si>
    <t>Misc. Income (Clubhouse, etc.)</t>
  </si>
  <si>
    <t>Parking - Others</t>
  </si>
  <si>
    <t>Parking - EWS</t>
  </si>
  <si>
    <t>Sq. ft.</t>
  </si>
  <si>
    <t>Flats/Units - Others</t>
  </si>
  <si>
    <t>Flats/Units - EWS</t>
  </si>
  <si>
    <t>Developer's Share</t>
  </si>
  <si>
    <t>Less: Settlement with Landowner for extra fractional area</t>
  </si>
  <si>
    <t>Land Owner's Share</t>
  </si>
  <si>
    <t>Saleable Flats</t>
  </si>
  <si>
    <t>Sale Value (Rs in Crore)</t>
  </si>
  <si>
    <t>Rate</t>
  </si>
  <si>
    <t>Area (Sq. ft.)</t>
  </si>
  <si>
    <t>Percentage (%)</t>
  </si>
  <si>
    <t>UOM</t>
  </si>
  <si>
    <t>Apportionment of Space/Area</t>
  </si>
  <si>
    <t xml:space="preserve"> - Others</t>
  </si>
  <si>
    <t xml:space="preserve"> - EWS Units</t>
  </si>
  <si>
    <t>Parking</t>
  </si>
  <si>
    <t>Flats/Units</t>
  </si>
  <si>
    <t>SBUA</t>
  </si>
  <si>
    <t>Particulars</t>
  </si>
  <si>
    <t>Nos</t>
  </si>
  <si>
    <t>sqft</t>
  </si>
  <si>
    <t>Normal</t>
  </si>
  <si>
    <t xml:space="preserve">Saleable Area </t>
  </si>
  <si>
    <t>No. of Units</t>
  </si>
  <si>
    <t>Area Statement</t>
  </si>
  <si>
    <t>Super Built-up Area</t>
  </si>
  <si>
    <t xml:space="preserve">Completion Month </t>
  </si>
  <si>
    <t>ASSUMPTIONS - THE PLATINUM, ROHINI, NEW DELHI</t>
  </si>
  <si>
    <t>Stilt + Club</t>
  </si>
  <si>
    <t>Mumty Guard Room ATM and public toilet</t>
  </si>
  <si>
    <t xml:space="preserve">1st-19th and 21st-29th </t>
  </si>
  <si>
    <t>Non EWS in Tower 1 &amp; Tower 3</t>
  </si>
  <si>
    <t>Super Built-up</t>
  </si>
  <si>
    <t>1st-19th</t>
  </si>
  <si>
    <t>EWS Tower 2</t>
  </si>
  <si>
    <t>Club</t>
  </si>
  <si>
    <t>Platinum-Group Hosuing Project</t>
  </si>
  <si>
    <t>Govt Built up rate</t>
  </si>
  <si>
    <t>Total Govt Rate</t>
  </si>
  <si>
    <t>Area Considered from Site Plan</t>
  </si>
  <si>
    <t>Aesthitic</t>
  </si>
  <si>
    <t xml:space="preserve">Land </t>
  </si>
  <si>
    <t>COC</t>
  </si>
  <si>
    <t xml:space="preserve">Total </t>
  </si>
  <si>
    <t>Composite Rate</t>
  </si>
  <si>
    <t>Market Rate per sq.yds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</si>
</sst>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₹&quot;\ #,##0;[Red]&quot;₹&quot;\ \-#,##0"/>
    <numFmt numFmtId="43" formatCode="_ * #,##0.00_ ;_ * \-#,##0.00_ ;_ * &quot;-&quot;??_ ;_ @_ "/>
    <numFmt numFmtId="164" formatCode="_ * #,##0_ ;_ * \-#,##0_ ;_ * &quot;-&quot;??_ ;_ @_ "/>
    <numFmt numFmtId="165" formatCode="0.0000"/>
    <numFmt numFmtId="166" formatCode="_ [$₹-439]* #,##0_ ;_ [$₹-439]* \-#,##0_ ;_ [$₹-439]* &quot;-&quot;??_ ;_ @_ "/>
    <numFmt numFmtId="167" formatCode="_(* #,##0.00_);_(* \(#,##0.00\);_(* &quot;-&quot;??_);_(@_)"/>
    <numFmt numFmtId="168" formatCode="_(* #,##0_);_(* \(#,##0\);_(* &quot;-&quot;??_);_(@_)"/>
    <numFmt numFmtId="169" formatCode="_ * #,##0.0_ ;_ * \-#,##0.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12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u/>
      <sz val="12"/>
      <name val="Arial Narrow"/>
      <family val="2"/>
    </font>
    <font>
      <b/>
      <u/>
      <sz val="12"/>
      <name val="Arial Narrow"/>
      <family val="2"/>
    </font>
    <font>
      <i/>
      <sz val="12"/>
      <name val="Arial Narrow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E366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3" fillId="0" borderId="0"/>
    <xf numFmtId="167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47">
    <xf numFmtId="0" fontId="0" fillId="0" borderId="0" xfId="0"/>
    <xf numFmtId="3" fontId="0" fillId="0" borderId="0" xfId="0" applyNumberFormat="1"/>
    <xf numFmtId="6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/>
    <xf numFmtId="164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64" fontId="0" fillId="0" borderId="0" xfId="1" applyNumberFormat="1" applyFont="1" applyBorder="1" applyAlignment="1">
      <alignment horizontal="center"/>
    </xf>
    <xf numFmtId="164" fontId="0" fillId="0" borderId="1" xfId="1" applyNumberFormat="1" applyFont="1" applyBorder="1"/>
    <xf numFmtId="0" fontId="0" fillId="0" borderId="0" xfId="0" applyAlignment="1">
      <alignment wrapText="1"/>
    </xf>
    <xf numFmtId="2" fontId="0" fillId="0" borderId="0" xfId="0" applyNumberFormat="1"/>
    <xf numFmtId="9" fontId="0" fillId="0" borderId="1" xfId="2" applyFont="1" applyBorder="1"/>
    <xf numFmtId="9" fontId="0" fillId="0" borderId="0" xfId="2" applyFont="1"/>
    <xf numFmtId="164" fontId="6" fillId="0" borderId="1" xfId="1" applyNumberFormat="1" applyFont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64" fontId="0" fillId="3" borderId="0" xfId="0" applyNumberFormat="1" applyFill="1"/>
    <xf numFmtId="0" fontId="3" fillId="0" borderId="0" xfId="0" applyFont="1" applyAlignment="1">
      <alignment horizontal="right"/>
    </xf>
    <xf numFmtId="164" fontId="7" fillId="0" borderId="1" xfId="1" applyNumberFormat="1" applyFont="1" applyBorder="1" applyAlignment="1">
      <alignment horizontal="center" vertical="center" wrapText="1"/>
    </xf>
    <xf numFmtId="9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3" borderId="1" xfId="0" applyNumberFormat="1" applyFill="1" applyBorder="1"/>
    <xf numFmtId="0" fontId="3" fillId="0" borderId="11" xfId="0" applyFont="1" applyBorder="1" applyAlignment="1">
      <alignment horizontal="center" vertical="center" wrapText="1"/>
    </xf>
    <xf numFmtId="164" fontId="1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3" applyFont="1" applyBorder="1" applyAlignment="1">
      <alignment horizontal="center" vertical="center" wrapText="1"/>
    </xf>
    <xf numFmtId="166" fontId="3" fillId="2" borderId="1" xfId="3" applyNumberFormat="1" applyFont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/>
    </xf>
    <xf numFmtId="164" fontId="0" fillId="0" borderId="0" xfId="1" applyNumberFormat="1" applyFont="1"/>
    <xf numFmtId="9" fontId="0" fillId="0" borderId="0" xfId="0" applyNumberFormat="1"/>
    <xf numFmtId="164" fontId="0" fillId="0" borderId="1" xfId="1" applyNumberFormat="1" applyFont="1" applyBorder="1" applyAlignment="1">
      <alignment horizontal="center" vertical="center"/>
    </xf>
    <xf numFmtId="43" fontId="0" fillId="0" borderId="0" xfId="0" applyNumberFormat="1"/>
    <xf numFmtId="164" fontId="3" fillId="0" borderId="1" xfId="1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166" fontId="3" fillId="7" borderId="1" xfId="3" applyNumberFormat="1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9" borderId="14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0" fillId="0" borderId="1" xfId="0" applyNumberFormat="1" applyBorder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/>
    </xf>
    <xf numFmtId="1" fontId="0" fillId="11" borderId="1" xfId="0" applyNumberFormat="1" applyFill="1" applyBorder="1" applyAlignment="1">
      <alignment horizontal="center" vertical="center" wrapText="1"/>
    </xf>
    <xf numFmtId="0" fontId="3" fillId="2" borderId="4" xfId="3" applyFont="1" applyBorder="1" applyAlignment="1">
      <alignment horizontal="center" vertical="center" wrapText="1"/>
    </xf>
    <xf numFmtId="0" fontId="3" fillId="2" borderId="14" xfId="3" applyFont="1" applyBorder="1" applyAlignment="1">
      <alignment horizontal="center" vertical="center" wrapText="1"/>
    </xf>
    <xf numFmtId="0" fontId="3" fillId="6" borderId="14" xfId="3" applyFont="1" applyFill="1" applyBorder="1" applyAlignment="1">
      <alignment horizontal="center" vertical="center" wrapText="1"/>
    </xf>
    <xf numFmtId="0" fontId="3" fillId="4" borderId="14" xfId="3" applyFont="1" applyFill="1" applyBorder="1" applyAlignment="1">
      <alignment horizontal="center" vertical="center" wrapText="1"/>
    </xf>
    <xf numFmtId="0" fontId="3" fillId="2" borderId="15" xfId="3" applyFon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 wrapText="1"/>
    </xf>
    <xf numFmtId="164" fontId="3" fillId="0" borderId="3" xfId="1" applyNumberFormat="1" applyFont="1" applyBorder="1"/>
    <xf numFmtId="164" fontId="0" fillId="0" borderId="6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wrapText="1"/>
    </xf>
    <xf numFmtId="164" fontId="3" fillId="0" borderId="22" xfId="1" applyNumberFormat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/>
    <xf numFmtId="0" fontId="2" fillId="10" borderId="4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0" fillId="0" borderId="6" xfId="0" applyBorder="1"/>
    <xf numFmtId="3" fontId="10" fillId="0" borderId="0" xfId="0" applyNumberFormat="1" applyFont="1"/>
    <xf numFmtId="0" fontId="3" fillId="12" borderId="1" xfId="0" applyFont="1" applyFill="1" applyBorder="1" applyAlignment="1">
      <alignment horizontal="center" vertical="center"/>
    </xf>
    <xf numFmtId="0" fontId="11" fillId="2" borderId="4" xfId="3" applyFont="1" applyBorder="1" applyAlignment="1">
      <alignment horizontal="center" vertical="center" wrapText="1"/>
    </xf>
    <xf numFmtId="0" fontId="11" fillId="2" borderId="14" xfId="3" applyFont="1" applyBorder="1" applyAlignment="1">
      <alignment horizontal="center" vertical="center" wrapText="1"/>
    </xf>
    <xf numFmtId="0" fontId="11" fillId="2" borderId="15" xfId="3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1" fontId="12" fillId="11" borderId="5" xfId="0" applyNumberFormat="1" applyFont="1" applyFill="1" applyBorder="1" applyAlignment="1">
      <alignment horizontal="center" vertical="center" wrapText="1"/>
    </xf>
    <xf numFmtId="1" fontId="12" fillId="11" borderId="1" xfId="0" applyNumberFormat="1" applyFont="1" applyFill="1" applyBorder="1" applyAlignment="1">
      <alignment horizontal="center" vertical="center" wrapText="1"/>
    </xf>
    <xf numFmtId="1" fontId="12" fillId="11" borderId="6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14" fillId="0" borderId="0" xfId="4" applyFont="1" applyAlignment="1">
      <alignment vertical="top"/>
    </xf>
    <xf numFmtId="2" fontId="14" fillId="0" borderId="0" xfId="4" applyNumberFormat="1" applyFont="1" applyAlignment="1">
      <alignment vertical="top"/>
    </xf>
    <xf numFmtId="0" fontId="15" fillId="0" borderId="0" xfId="4" applyFont="1" applyAlignment="1">
      <alignment horizontal="right" vertical="top"/>
    </xf>
    <xf numFmtId="168" fontId="15" fillId="0" borderId="0" xfId="5" applyNumberFormat="1" applyFont="1" applyFill="1" applyAlignment="1">
      <alignment horizontal="right" vertical="top"/>
    </xf>
    <xf numFmtId="2" fontId="14" fillId="0" borderId="0" xfId="4" applyNumberFormat="1" applyFont="1"/>
    <xf numFmtId="0" fontId="14" fillId="0" borderId="0" xfId="4" applyFont="1"/>
    <xf numFmtId="9" fontId="14" fillId="0" borderId="0" xfId="4" applyNumberFormat="1" applyFont="1" applyAlignment="1">
      <alignment horizontal="right"/>
    </xf>
    <xf numFmtId="9" fontId="14" fillId="0" borderId="0" xfId="6" applyFont="1" applyAlignment="1">
      <alignment horizontal="right"/>
    </xf>
    <xf numFmtId="168" fontId="14" fillId="0" borderId="0" xfId="6" applyNumberFormat="1" applyFont="1" applyAlignment="1">
      <alignment horizontal="right"/>
    </xf>
    <xf numFmtId="0" fontId="15" fillId="0" borderId="0" xfId="4" applyFont="1" applyAlignment="1">
      <alignment horizontal="right"/>
    </xf>
    <xf numFmtId="168" fontId="15" fillId="0" borderId="0" xfId="5" applyNumberFormat="1" applyFont="1" applyFill="1" applyAlignment="1">
      <alignment horizontal="right"/>
    </xf>
    <xf numFmtId="2" fontId="14" fillId="0" borderId="2" xfId="4" applyNumberFormat="1" applyFont="1" applyBorder="1"/>
    <xf numFmtId="1" fontId="14" fillId="0" borderId="0" xfId="4" applyNumberFormat="1" applyFont="1"/>
    <xf numFmtId="9" fontId="14" fillId="0" borderId="0" xfId="6" applyFont="1" applyFill="1" applyBorder="1" applyAlignment="1">
      <alignment wrapText="1"/>
    </xf>
    <xf numFmtId="9" fontId="14" fillId="0" borderId="0" xfId="6" applyFont="1" applyBorder="1"/>
    <xf numFmtId="9" fontId="14" fillId="0" borderId="0" xfId="6" applyFont="1" applyFill="1" applyBorder="1" applyAlignment="1">
      <alignment horizontal="right" wrapText="1"/>
    </xf>
    <xf numFmtId="1" fontId="14" fillId="0" borderId="2" xfId="4" applyNumberFormat="1" applyFont="1" applyBorder="1"/>
    <xf numFmtId="9" fontId="14" fillId="0" borderId="2" xfId="6" applyFont="1" applyFill="1" applyBorder="1" applyAlignment="1">
      <alignment wrapText="1"/>
    </xf>
    <xf numFmtId="9" fontId="14" fillId="0" borderId="2" xfId="6" applyFont="1" applyFill="1" applyBorder="1" applyAlignment="1">
      <alignment horizontal="right" wrapText="1"/>
    </xf>
    <xf numFmtId="0" fontId="14" fillId="0" borderId="2" xfId="4" applyFont="1" applyBorder="1"/>
    <xf numFmtId="2" fontId="14" fillId="0" borderId="17" xfId="4" applyNumberFormat="1" applyFont="1" applyBorder="1"/>
    <xf numFmtId="1" fontId="14" fillId="0" borderId="17" xfId="4" applyNumberFormat="1" applyFont="1" applyBorder="1"/>
    <xf numFmtId="9" fontId="14" fillId="0" borderId="17" xfId="6" applyFont="1" applyFill="1" applyBorder="1" applyAlignment="1">
      <alignment wrapText="1"/>
    </xf>
    <xf numFmtId="9" fontId="14" fillId="0" borderId="17" xfId="6" applyFont="1" applyFill="1" applyBorder="1" applyAlignment="1">
      <alignment horizontal="right" wrapText="1"/>
    </xf>
    <xf numFmtId="0" fontId="14" fillId="0" borderId="17" xfId="4" applyFont="1" applyBorder="1"/>
    <xf numFmtId="168" fontId="14" fillId="0" borderId="0" xfId="5" applyNumberFormat="1" applyFont="1" applyFill="1" applyBorder="1" applyAlignment="1">
      <alignment vertical="top"/>
    </xf>
    <xf numFmtId="0" fontId="14" fillId="0" borderId="17" xfId="4" applyFont="1" applyBorder="1" applyAlignment="1">
      <alignment vertical="top"/>
    </xf>
    <xf numFmtId="9" fontId="16" fillId="0" borderId="0" xfId="6" applyFont="1" applyFill="1" applyAlignment="1">
      <alignment horizontal="left" vertical="top"/>
    </xf>
    <xf numFmtId="2" fontId="14" fillId="0" borderId="18" xfId="4" applyNumberFormat="1" applyFont="1" applyBorder="1"/>
    <xf numFmtId="1" fontId="14" fillId="0" borderId="18" xfId="4" applyNumberFormat="1" applyFont="1" applyBorder="1"/>
    <xf numFmtId="9" fontId="14" fillId="0" borderId="18" xfId="6" applyFont="1" applyFill="1" applyBorder="1" applyAlignment="1">
      <alignment wrapText="1"/>
    </xf>
    <xf numFmtId="9" fontId="14" fillId="0" borderId="18" xfId="6" applyFont="1" applyFill="1" applyBorder="1"/>
    <xf numFmtId="9" fontId="14" fillId="0" borderId="18" xfId="6" applyFont="1" applyFill="1" applyBorder="1" applyAlignment="1">
      <alignment horizontal="right" wrapText="1"/>
    </xf>
    <xf numFmtId="0" fontId="14" fillId="0" borderId="18" xfId="4" applyFont="1" applyBorder="1" applyAlignment="1">
      <alignment vertical="top"/>
    </xf>
    <xf numFmtId="0" fontId="14" fillId="0" borderId="18" xfId="4" applyFont="1" applyBorder="1"/>
    <xf numFmtId="0" fontId="14" fillId="0" borderId="26" xfId="4" applyFont="1" applyBorder="1"/>
    <xf numFmtId="0" fontId="15" fillId="0" borderId="2" xfId="4" applyFont="1" applyBorder="1"/>
    <xf numFmtId="0" fontId="14" fillId="0" borderId="26" xfId="4" applyFont="1" applyBorder="1" applyAlignment="1">
      <alignment horizontal="right" vertical="top"/>
    </xf>
    <xf numFmtId="0" fontId="17" fillId="0" borderId="26" xfId="4" applyFont="1" applyBorder="1" applyAlignment="1">
      <alignment horizontal="right"/>
    </xf>
    <xf numFmtId="0" fontId="17" fillId="0" borderId="2" xfId="4" applyFont="1" applyBorder="1" applyAlignment="1">
      <alignment horizontal="right"/>
    </xf>
    <xf numFmtId="0" fontId="17" fillId="0" borderId="2" xfId="4" applyFont="1" applyBorder="1"/>
    <xf numFmtId="0" fontId="14" fillId="0" borderId="27" xfId="4" applyFont="1" applyBorder="1"/>
    <xf numFmtId="0" fontId="15" fillId="0" borderId="17" xfId="4" applyFont="1" applyBorder="1"/>
    <xf numFmtId="0" fontId="14" fillId="0" borderId="27" xfId="4" applyFont="1" applyBorder="1" applyAlignment="1">
      <alignment horizontal="right" vertical="top"/>
    </xf>
    <xf numFmtId="0" fontId="17" fillId="0" borderId="27" xfId="4" applyFont="1" applyBorder="1" applyAlignment="1">
      <alignment horizontal="right"/>
    </xf>
    <xf numFmtId="0" fontId="17" fillId="0" borderId="17" xfId="4" applyFont="1" applyBorder="1" applyAlignment="1">
      <alignment horizontal="right"/>
    </xf>
    <xf numFmtId="0" fontId="17" fillId="0" borderId="17" xfId="4" applyFont="1" applyBorder="1"/>
    <xf numFmtId="0" fontId="15" fillId="0" borderId="29" xfId="4" applyFont="1" applyBorder="1" applyAlignment="1">
      <alignment horizontal="right"/>
    </xf>
    <xf numFmtId="0" fontId="15" fillId="0" borderId="29" xfId="4" applyFont="1" applyBorder="1" applyAlignment="1">
      <alignment horizontal="right" vertical="top"/>
    </xf>
    <xf numFmtId="0" fontId="15" fillId="0" borderId="1" xfId="4" applyFont="1" applyBorder="1" applyAlignment="1">
      <alignment horizontal="right"/>
    </xf>
    <xf numFmtId="0" fontId="17" fillId="0" borderId="29" xfId="4" applyFont="1" applyBorder="1" applyAlignment="1">
      <alignment horizontal="left"/>
    </xf>
    <xf numFmtId="0" fontId="17" fillId="0" borderId="18" xfId="4" applyFont="1" applyBorder="1" applyAlignment="1">
      <alignment horizontal="right"/>
    </xf>
    <xf numFmtId="0" fontId="17" fillId="0" borderId="18" xfId="4" applyFont="1" applyBorder="1"/>
    <xf numFmtId="0" fontId="13" fillId="0" borderId="0" xfId="4" applyFont="1"/>
    <xf numFmtId="0" fontId="14" fillId="0" borderId="2" xfId="4" applyFont="1" applyBorder="1" applyAlignment="1">
      <alignment vertical="top"/>
    </xf>
    <xf numFmtId="168" fontId="14" fillId="0" borderId="2" xfId="5" applyNumberFormat="1" applyFont="1" applyFill="1" applyBorder="1" applyAlignment="1">
      <alignment horizontal="right" vertical="top"/>
    </xf>
    <xf numFmtId="0" fontId="18" fillId="0" borderId="2" xfId="4" applyFont="1" applyBorder="1" applyAlignment="1">
      <alignment vertical="top"/>
    </xf>
    <xf numFmtId="43" fontId="14" fillId="0" borderId="0" xfId="4" applyNumberFormat="1" applyFont="1" applyAlignment="1">
      <alignment vertical="top"/>
    </xf>
    <xf numFmtId="0" fontId="14" fillId="0" borderId="17" xfId="4" applyFont="1" applyBorder="1" applyAlignment="1">
      <alignment horizontal="left" vertical="top"/>
    </xf>
    <xf numFmtId="168" fontId="14" fillId="0" borderId="17" xfId="5" applyNumberFormat="1" applyFont="1" applyFill="1" applyBorder="1" applyAlignment="1">
      <alignment horizontal="right" vertical="top"/>
    </xf>
    <xf numFmtId="0" fontId="18" fillId="0" borderId="17" xfId="4" applyFont="1" applyBorder="1" applyAlignment="1">
      <alignment vertical="top"/>
    </xf>
    <xf numFmtId="1" fontId="14" fillId="0" borderId="0" xfId="4" applyNumberFormat="1" applyFont="1" applyAlignment="1">
      <alignment vertical="top"/>
    </xf>
    <xf numFmtId="1" fontId="14" fillId="0" borderId="18" xfId="4" applyNumberFormat="1" applyFont="1" applyBorder="1" applyAlignment="1">
      <alignment vertical="top"/>
    </xf>
    <xf numFmtId="0" fontId="14" fillId="0" borderId="31" xfId="4" applyFont="1" applyBorder="1"/>
    <xf numFmtId="168" fontId="14" fillId="0" borderId="13" xfId="4" applyNumberFormat="1" applyFont="1" applyBorder="1"/>
    <xf numFmtId="1" fontId="18" fillId="0" borderId="2" xfId="4" applyNumberFormat="1" applyFont="1" applyBorder="1" applyAlignment="1">
      <alignment vertical="top"/>
    </xf>
    <xf numFmtId="168" fontId="14" fillId="0" borderId="0" xfId="4" applyNumberFormat="1" applyFont="1"/>
    <xf numFmtId="1" fontId="18" fillId="0" borderId="17" xfId="4" applyNumberFormat="1" applyFont="1" applyBorder="1" applyAlignment="1">
      <alignment vertical="top"/>
    </xf>
    <xf numFmtId="168" fontId="14" fillId="0" borderId="0" xfId="5" applyNumberFormat="1" applyFont="1" applyAlignment="1">
      <alignment horizontal="right" vertical="top"/>
    </xf>
    <xf numFmtId="0" fontId="14" fillId="0" borderId="0" xfId="4" applyFont="1" applyAlignment="1">
      <alignment horizontal="right" vertical="top"/>
    </xf>
    <xf numFmtId="0" fontId="15" fillId="0" borderId="1" xfId="4" applyFont="1" applyBorder="1" applyAlignment="1">
      <alignment horizontal="left" vertical="top"/>
    </xf>
    <xf numFmtId="0" fontId="15" fillId="0" borderId="1" xfId="4" applyFont="1" applyBorder="1" applyAlignment="1">
      <alignment horizontal="right" vertical="top"/>
    </xf>
    <xf numFmtId="0" fontId="15" fillId="0" borderId="1" xfId="4" applyFont="1" applyBorder="1" applyAlignment="1">
      <alignment vertical="top"/>
    </xf>
    <xf numFmtId="168" fontId="14" fillId="0" borderId="31" xfId="5" applyNumberFormat="1" applyFont="1" applyBorder="1" applyAlignment="1">
      <alignment horizontal="right" vertical="top"/>
    </xf>
    <xf numFmtId="0" fontId="14" fillId="0" borderId="0" xfId="4" applyFont="1" applyAlignment="1">
      <alignment horizontal="center" vertical="top"/>
    </xf>
    <xf numFmtId="0" fontId="17" fillId="0" borderId="0" xfId="4" applyFont="1" applyAlignment="1">
      <alignment horizontal="right" vertical="top"/>
    </xf>
    <xf numFmtId="0" fontId="15" fillId="0" borderId="0" xfId="4" applyFont="1" applyAlignment="1">
      <alignment horizontal="center" vertical="top"/>
    </xf>
    <xf numFmtId="167" fontId="14" fillId="0" borderId="0" xfId="5" applyFont="1" applyAlignment="1">
      <alignment vertical="top"/>
    </xf>
    <xf numFmtId="168" fontId="14" fillId="0" borderId="0" xfId="5" applyNumberFormat="1" applyFont="1" applyAlignment="1">
      <alignment vertical="top"/>
    </xf>
    <xf numFmtId="1" fontId="15" fillId="0" borderId="0" xfId="4" applyNumberFormat="1" applyFont="1" applyAlignment="1">
      <alignment vertical="top"/>
    </xf>
    <xf numFmtId="0" fontId="16" fillId="0" borderId="0" xfId="4" applyFont="1" applyAlignment="1">
      <alignment vertical="top"/>
    </xf>
    <xf numFmtId="0" fontId="14" fillId="0" borderId="1" xfId="4" applyFont="1" applyBorder="1" applyAlignment="1">
      <alignment horizontal="right" vertical="top"/>
    </xf>
    <xf numFmtId="0" fontId="17" fillId="0" borderId="0" xfId="4" applyFont="1" applyAlignment="1">
      <alignment vertical="top"/>
    </xf>
    <xf numFmtId="17" fontId="14" fillId="0" borderId="0" xfId="4" applyNumberFormat="1" applyFont="1" applyAlignment="1">
      <alignment vertical="top"/>
    </xf>
    <xf numFmtId="4" fontId="19" fillId="0" borderId="0" xfId="0" applyNumberFormat="1" applyFont="1"/>
    <xf numFmtId="169" fontId="0" fillId="0" borderId="0" xfId="1" applyNumberFormat="1" applyFont="1"/>
    <xf numFmtId="0" fontId="0" fillId="0" borderId="0" xfId="0" applyAlignment="1"/>
    <xf numFmtId="164" fontId="0" fillId="0" borderId="1" xfId="1" applyNumberFormat="1" applyFont="1" applyBorder="1" applyAlignment="1">
      <alignment vertical="center" wrapText="1"/>
    </xf>
    <xf numFmtId="169" fontId="0" fillId="0" borderId="0" xfId="1" applyNumberFormat="1" applyFont="1" applyAlignment="1">
      <alignment vertical="center"/>
    </xf>
    <xf numFmtId="169" fontId="0" fillId="0" borderId="1" xfId="1" applyNumberFormat="1" applyFont="1" applyBorder="1" applyAlignment="1">
      <alignment vertical="center" wrapText="1"/>
    </xf>
    <xf numFmtId="169" fontId="0" fillId="0" borderId="0" xfId="0" applyNumberFormat="1"/>
    <xf numFmtId="3" fontId="20" fillId="0" borderId="0" xfId="0" applyNumberFormat="1" applyFont="1"/>
    <xf numFmtId="43" fontId="0" fillId="0" borderId="0" xfId="0" applyNumberFormat="1" applyAlignment="1"/>
    <xf numFmtId="0" fontId="4" fillId="0" borderId="1" xfId="0" applyFont="1" applyBorder="1" applyAlignment="1">
      <alignment horizontal="left" vertical="center" wrapText="1"/>
    </xf>
    <xf numFmtId="164" fontId="0" fillId="0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164" fontId="0" fillId="0" borderId="11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9" fillId="8" borderId="19" xfId="0" applyFont="1" applyFill="1" applyBorder="1" applyAlignment="1">
      <alignment horizontal="center"/>
    </xf>
    <xf numFmtId="0" fontId="9" fillId="8" borderId="20" xfId="0" applyFont="1" applyFill="1" applyBorder="1" applyAlignment="1">
      <alignment horizontal="center"/>
    </xf>
    <xf numFmtId="0" fontId="9" fillId="8" borderId="21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10" borderId="19" xfId="0" applyFont="1" applyFill="1" applyBorder="1" applyAlignment="1">
      <alignment horizontal="center"/>
    </xf>
    <xf numFmtId="0" fontId="9" fillId="10" borderId="20" xfId="0" applyFont="1" applyFill="1" applyBorder="1" applyAlignment="1">
      <alignment horizontal="center"/>
    </xf>
    <xf numFmtId="0" fontId="9" fillId="10" borderId="2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15" fillId="0" borderId="30" xfId="4" applyNumberFormat="1" applyFont="1" applyBorder="1" applyAlignment="1">
      <alignment horizontal="center" wrapText="1"/>
    </xf>
    <xf numFmtId="2" fontId="15" fillId="0" borderId="28" xfId="4" applyNumberFormat="1" applyFont="1" applyBorder="1" applyAlignment="1">
      <alignment horizontal="center" wrapText="1"/>
    </xf>
    <xf numFmtId="2" fontId="15" fillId="0" borderId="13" xfId="4" applyNumberFormat="1" applyFont="1" applyBorder="1" applyAlignment="1">
      <alignment horizontal="center" wrapText="1"/>
    </xf>
    <xf numFmtId="0" fontId="15" fillId="0" borderId="18" xfId="4" applyFont="1" applyBorder="1" applyAlignment="1">
      <alignment horizontal="right" vertical="top" wrapText="1"/>
    </xf>
    <xf numFmtId="0" fontId="15" fillId="0" borderId="17" xfId="4" applyFont="1" applyBorder="1" applyAlignment="1">
      <alignment horizontal="right" vertical="top" wrapText="1"/>
    </xf>
    <xf numFmtId="0" fontId="15" fillId="0" borderId="2" xfId="4" applyFont="1" applyBorder="1" applyAlignment="1">
      <alignment horizontal="right" vertical="top" wrapText="1"/>
    </xf>
    <xf numFmtId="0" fontId="15" fillId="0" borderId="11" xfId="4" applyFont="1" applyBorder="1" applyAlignment="1">
      <alignment horizontal="center"/>
    </xf>
    <xf numFmtId="0" fontId="14" fillId="0" borderId="12" xfId="4" applyFont="1" applyBorder="1" applyAlignment="1">
      <alignment horizontal="center"/>
    </xf>
    <xf numFmtId="0" fontId="14" fillId="0" borderId="16" xfId="4" applyFont="1" applyBorder="1" applyAlignment="1">
      <alignment horizontal="center"/>
    </xf>
    <xf numFmtId="0" fontId="15" fillId="0" borderId="12" xfId="4" applyFont="1" applyBorder="1" applyAlignment="1">
      <alignment horizontal="center"/>
    </xf>
    <xf numFmtId="0" fontId="15" fillId="0" borderId="29" xfId="4" applyFont="1" applyBorder="1" applyAlignment="1">
      <alignment horizontal="right" vertical="top" wrapText="1"/>
    </xf>
    <xf numFmtId="0" fontId="15" fillId="0" borderId="27" xfId="4" applyFont="1" applyBorder="1" applyAlignment="1">
      <alignment horizontal="right" vertical="top" wrapText="1"/>
    </xf>
    <xf numFmtId="0" fontId="15" fillId="0" borderId="26" xfId="4" applyFont="1" applyBorder="1" applyAlignment="1">
      <alignment horizontal="right" vertical="top" wrapText="1"/>
    </xf>
    <xf numFmtId="164" fontId="0" fillId="0" borderId="0" xfId="1" applyNumberFormat="1" applyFont="1" applyBorder="1"/>
  </cellXfs>
  <cellStyles count="7">
    <cellStyle name="40% - Accent1" xfId="3" builtinId="31"/>
    <cellStyle name="Comma" xfId="1" builtinId="3"/>
    <cellStyle name="Comma 2" xfId="5"/>
    <cellStyle name="Normal" xfId="0" builtinId="0"/>
    <cellStyle name="Normal 2" xfId="4"/>
    <cellStyle name="Percent" xfId="2" builtinId="5"/>
    <cellStyle name="Percent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os\Projects\VantageMotors\A\MongiaHiTech_Projectio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"/>
      <sheetName val="Projections"/>
      <sheetName val="FORM II - OP STAT"/>
      <sheetName val="FORM III"/>
      <sheetName val="FORM IV"/>
      <sheetName val="ABF"/>
      <sheetName val="FORM VI"/>
      <sheetName val="Perf. Indicators"/>
      <sheetName val="capex (2)"/>
      <sheetName val="Projections (2)"/>
      <sheetName val="FORM II - OP STAT (2)"/>
      <sheetName val="FORM III (2)"/>
      <sheetName val="FORM IV (2)"/>
      <sheetName val="ABF (2)"/>
      <sheetName val="FORM VI (2)"/>
      <sheetName val="Perf. Indicators (2)"/>
      <sheetName val="consolidated"/>
      <sheetName val="FORM II - OP STAT (3)"/>
      <sheetName val="FORM III (3)"/>
      <sheetName val="FORM IV (3)"/>
      <sheetName val="ABF (3)"/>
      <sheetName val="FORM VI (3)"/>
      <sheetName val="Perf. Indicators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tabSelected="1" topLeftCell="K1" zoomScale="85" zoomScaleNormal="85" workbookViewId="0">
      <selection activeCell="AC3" sqref="AC3:AD3"/>
    </sheetView>
  </sheetViews>
  <sheetFormatPr defaultRowHeight="15" x14ac:dyDescent="0.25"/>
  <cols>
    <col min="1" max="1" width="4.28515625" customWidth="1"/>
    <col min="2" max="3" width="12.5703125" customWidth="1"/>
    <col min="4" max="4" width="8.28515625" customWidth="1"/>
    <col min="5" max="5" width="7" customWidth="1"/>
    <col min="6" max="6" width="6.7109375" customWidth="1"/>
    <col min="7" max="7" width="8.85546875" customWidth="1"/>
    <col min="8" max="8" width="11.140625" customWidth="1"/>
    <col min="9" max="10" width="10" customWidth="1"/>
    <col min="11" max="11" width="12" customWidth="1"/>
    <col min="12" max="12" width="9.7109375" customWidth="1"/>
    <col min="13" max="13" width="10.140625" customWidth="1"/>
    <col min="14" max="14" width="10.7109375" customWidth="1"/>
    <col min="15" max="15" width="9" customWidth="1"/>
    <col min="16" max="16" width="14.28515625" customWidth="1"/>
    <col min="17" max="17" width="9.140625" customWidth="1"/>
    <col min="18" max="18" width="11.5703125" customWidth="1"/>
    <col min="19" max="19" width="10.85546875" customWidth="1"/>
    <col min="20" max="20" width="9.140625" customWidth="1"/>
    <col min="21" max="21" width="12.7109375" customWidth="1"/>
    <col min="22" max="22" width="11.5703125" customWidth="1"/>
    <col min="23" max="23" width="14.42578125" bestFit="1" customWidth="1"/>
    <col min="24" max="24" width="7.5703125" customWidth="1"/>
    <col min="25" max="25" width="9.7109375" customWidth="1"/>
    <col min="26" max="26" width="13.42578125" customWidth="1"/>
    <col min="27" max="27" width="17" bestFit="1" customWidth="1"/>
    <col min="28" max="28" width="14.42578125" bestFit="1" customWidth="1"/>
    <col min="29" max="29" width="17" bestFit="1" customWidth="1"/>
    <col min="30" max="30" width="6.140625" customWidth="1"/>
    <col min="32" max="32" width="11.7109375" bestFit="1" customWidth="1"/>
  </cols>
  <sheetData>
    <row r="1" spans="1:31" ht="15.75" customHeight="1" x14ac:dyDescent="0.25">
      <c r="A1" s="202" t="s">
        <v>52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4"/>
    </row>
    <row r="2" spans="1:31" ht="75" x14ac:dyDescent="0.25">
      <c r="A2" s="40" t="s">
        <v>51</v>
      </c>
      <c r="B2" s="40" t="s">
        <v>50</v>
      </c>
      <c r="C2" s="40" t="s">
        <v>49</v>
      </c>
      <c r="D2" s="40" t="s">
        <v>48</v>
      </c>
      <c r="E2" s="40"/>
      <c r="F2" s="40" t="s">
        <v>47</v>
      </c>
      <c r="G2" s="40" t="s">
        <v>46</v>
      </c>
      <c r="H2" s="40" t="s">
        <v>45</v>
      </c>
      <c r="I2" s="40" t="s">
        <v>44</v>
      </c>
      <c r="J2" s="40" t="s">
        <v>43</v>
      </c>
      <c r="K2" s="40" t="s">
        <v>42</v>
      </c>
      <c r="L2" s="42" t="s">
        <v>41</v>
      </c>
      <c r="M2" s="40" t="s">
        <v>40</v>
      </c>
      <c r="N2" s="40" t="s">
        <v>39</v>
      </c>
      <c r="O2" s="42" t="s">
        <v>38</v>
      </c>
      <c r="P2" s="42" t="s">
        <v>37</v>
      </c>
      <c r="Q2" s="40" t="s">
        <v>36</v>
      </c>
      <c r="R2" s="41" t="s">
        <v>35</v>
      </c>
      <c r="S2" s="41" t="s">
        <v>34</v>
      </c>
      <c r="T2" s="41" t="s">
        <v>33</v>
      </c>
      <c r="U2" s="40" t="s">
        <v>32</v>
      </c>
      <c r="V2" s="40" t="s">
        <v>31</v>
      </c>
      <c r="X2" s="38" t="s">
        <v>30</v>
      </c>
      <c r="Y2" s="38" t="s">
        <v>29</v>
      </c>
      <c r="Z2" s="36" t="s">
        <v>28</v>
      </c>
      <c r="AA2" s="39" t="s">
        <v>27</v>
      </c>
      <c r="AB2" s="34" t="s">
        <v>216</v>
      </c>
      <c r="AC2" s="212" t="s">
        <v>26</v>
      </c>
      <c r="AD2" s="213"/>
    </row>
    <row r="3" spans="1:31" ht="24" x14ac:dyDescent="0.25">
      <c r="A3" s="20">
        <v>1</v>
      </c>
      <c r="B3" s="205" t="s">
        <v>25</v>
      </c>
      <c r="C3" s="31" t="s">
        <v>19</v>
      </c>
      <c r="D3" s="29">
        <v>1</v>
      </c>
      <c r="E3" s="29"/>
      <c r="F3" s="29">
        <v>20</v>
      </c>
      <c r="G3" s="208" t="s">
        <v>24</v>
      </c>
      <c r="H3" s="21">
        <v>75.31</v>
      </c>
      <c r="I3" s="21">
        <f t="shared" ref="I3:I8" si="0">H3*10.7639</f>
        <v>810.62930900000003</v>
      </c>
      <c r="J3" s="21">
        <f t="shared" ref="J3:J9" si="1">I3</f>
        <v>810.62930900000003</v>
      </c>
      <c r="K3" s="20">
        <v>2024</v>
      </c>
      <c r="L3" s="28">
        <v>2024</v>
      </c>
      <c r="M3" s="28">
        <f t="shared" ref="M3:M8" si="2">L3-K3</f>
        <v>0</v>
      </c>
      <c r="N3" s="28">
        <v>70</v>
      </c>
      <c r="O3" s="18">
        <v>0.1</v>
      </c>
      <c r="P3" s="17">
        <f t="shared" ref="P3:P8" si="3">(1-O3)/N3</f>
        <v>1.2857142857142857E-2</v>
      </c>
      <c r="Q3" s="27">
        <v>1500</v>
      </c>
      <c r="R3" s="25">
        <f t="shared" ref="R3:R8" si="4">Q3*I3</f>
        <v>1215943.9635000001</v>
      </c>
      <c r="S3" s="25">
        <f t="shared" ref="S3:S8" si="5">P3*M3*R3</f>
        <v>0</v>
      </c>
      <c r="T3" s="26">
        <v>0</v>
      </c>
      <c r="U3" s="25">
        <f t="shared" ref="U3:U8" si="6">R3-S3</f>
        <v>1215943.9635000001</v>
      </c>
      <c r="V3" s="25">
        <f t="shared" ref="V3:V8" si="7">U3-T3*U3</f>
        <v>1215943.9635000001</v>
      </c>
      <c r="X3" s="38">
        <f>Y3*1.196</f>
        <v>9005.8799999999992</v>
      </c>
      <c r="Y3" s="37">
        <v>7530</v>
      </c>
      <c r="Z3" s="47">
        <v>70080</v>
      </c>
      <c r="AA3" s="35">
        <f>Z3*Y3</f>
        <v>527702400</v>
      </c>
      <c r="AB3" s="34">
        <v>185500</v>
      </c>
      <c r="AC3" s="194">
        <f>AB3*X3</f>
        <v>1670590739.9999998</v>
      </c>
      <c r="AD3" s="194"/>
    </row>
    <row r="4" spans="1:31" ht="24.75" x14ac:dyDescent="0.25">
      <c r="A4" s="20">
        <v>2</v>
      </c>
      <c r="B4" s="206"/>
      <c r="C4" s="30" t="s">
        <v>18</v>
      </c>
      <c r="D4" s="29">
        <v>1</v>
      </c>
      <c r="E4" s="29"/>
      <c r="F4" s="29">
        <v>20</v>
      </c>
      <c r="G4" s="209"/>
      <c r="H4" s="21">
        <v>476.17</v>
      </c>
      <c r="I4" s="21">
        <f t="shared" si="0"/>
        <v>5125.4462629999998</v>
      </c>
      <c r="J4" s="21">
        <f t="shared" si="1"/>
        <v>5125.4462629999998</v>
      </c>
      <c r="K4" s="20">
        <v>2024</v>
      </c>
      <c r="L4" s="28">
        <v>2024</v>
      </c>
      <c r="M4" s="28">
        <f t="shared" si="2"/>
        <v>0</v>
      </c>
      <c r="N4" s="28">
        <v>70</v>
      </c>
      <c r="O4" s="18">
        <v>0.1</v>
      </c>
      <c r="P4" s="17">
        <f t="shared" si="3"/>
        <v>1.2857142857142857E-2</v>
      </c>
      <c r="Q4" s="27">
        <v>1500</v>
      </c>
      <c r="R4" s="25">
        <f t="shared" si="4"/>
        <v>7688169.3944999995</v>
      </c>
      <c r="S4" s="25">
        <f t="shared" si="5"/>
        <v>0</v>
      </c>
      <c r="T4" s="26">
        <v>0</v>
      </c>
      <c r="U4" s="25">
        <f t="shared" si="6"/>
        <v>7688169.3944999995</v>
      </c>
      <c r="V4" s="25">
        <f t="shared" si="7"/>
        <v>7688169.3944999995</v>
      </c>
      <c r="X4" s="195" t="s">
        <v>23</v>
      </c>
      <c r="Y4" s="195"/>
      <c r="Z4" s="195"/>
      <c r="AA4" s="33">
        <f>SUM(AA3:AA3)</f>
        <v>527702400</v>
      </c>
      <c r="AB4" s="32" t="s">
        <v>22</v>
      </c>
      <c r="AC4" s="196">
        <f>V9</f>
        <v>31520735.662499998</v>
      </c>
      <c r="AD4" s="197"/>
    </row>
    <row r="5" spans="1:31" x14ac:dyDescent="0.25">
      <c r="A5" s="20">
        <v>3</v>
      </c>
      <c r="B5" s="207"/>
      <c r="C5" s="30" t="s">
        <v>17</v>
      </c>
      <c r="D5" s="29">
        <v>1</v>
      </c>
      <c r="E5" s="29"/>
      <c r="F5" s="29">
        <v>20</v>
      </c>
      <c r="G5" s="209"/>
      <c r="H5" s="21">
        <v>375.31</v>
      </c>
      <c r="I5" s="21">
        <f t="shared" si="0"/>
        <v>4039.799309</v>
      </c>
      <c r="J5" s="21">
        <f t="shared" si="1"/>
        <v>4039.799309</v>
      </c>
      <c r="K5" s="20">
        <v>2024</v>
      </c>
      <c r="L5" s="28">
        <v>2024</v>
      </c>
      <c r="M5" s="28">
        <f t="shared" si="2"/>
        <v>0</v>
      </c>
      <c r="N5" s="28">
        <v>70</v>
      </c>
      <c r="O5" s="18">
        <v>0.1</v>
      </c>
      <c r="P5" s="17">
        <f t="shared" si="3"/>
        <v>1.2857142857142857E-2</v>
      </c>
      <c r="Q5" s="27">
        <v>1500</v>
      </c>
      <c r="R5" s="25">
        <f t="shared" si="4"/>
        <v>6059698.9634999996</v>
      </c>
      <c r="S5" s="25">
        <f t="shared" si="5"/>
        <v>0</v>
      </c>
      <c r="T5" s="26">
        <v>0</v>
      </c>
      <c r="U5" s="25">
        <f t="shared" si="6"/>
        <v>6059698.9634999996</v>
      </c>
      <c r="V5" s="25">
        <f t="shared" si="7"/>
        <v>6059698.9634999996</v>
      </c>
      <c r="X5" s="24"/>
      <c r="Y5" s="24"/>
      <c r="Z5" s="24"/>
      <c r="AA5" s="23"/>
      <c r="AB5" s="7" t="s">
        <v>21</v>
      </c>
      <c r="AC5" s="196">
        <f>AC4+AC3</f>
        <v>1702111475.6624997</v>
      </c>
      <c r="AD5" s="197"/>
    </row>
    <row r="6" spans="1:31" ht="24" x14ac:dyDescent="0.25">
      <c r="A6" s="20"/>
      <c r="B6" s="205" t="s">
        <v>20</v>
      </c>
      <c r="C6" s="31" t="s">
        <v>19</v>
      </c>
      <c r="D6" s="29">
        <v>1</v>
      </c>
      <c r="E6" s="29"/>
      <c r="F6" s="29">
        <v>20</v>
      </c>
      <c r="G6" s="209"/>
      <c r="H6" s="21">
        <v>72.069999999999993</v>
      </c>
      <c r="I6" s="21">
        <f t="shared" si="0"/>
        <v>775.7542729999999</v>
      </c>
      <c r="J6" s="21">
        <f t="shared" si="1"/>
        <v>775.7542729999999</v>
      </c>
      <c r="K6" s="20">
        <v>2024</v>
      </c>
      <c r="L6" s="28">
        <v>2024</v>
      </c>
      <c r="M6" s="28">
        <f t="shared" si="2"/>
        <v>0</v>
      </c>
      <c r="N6" s="28">
        <v>70</v>
      </c>
      <c r="O6" s="18">
        <v>0.1</v>
      </c>
      <c r="P6" s="17">
        <f t="shared" si="3"/>
        <v>1.2857142857142857E-2</v>
      </c>
      <c r="Q6" s="27">
        <v>1500</v>
      </c>
      <c r="R6" s="25">
        <f t="shared" si="4"/>
        <v>1163631.4094999998</v>
      </c>
      <c r="S6" s="25">
        <f t="shared" si="5"/>
        <v>0</v>
      </c>
      <c r="T6" s="26">
        <v>0</v>
      </c>
      <c r="U6" s="25">
        <f t="shared" si="6"/>
        <v>1163631.4094999998</v>
      </c>
      <c r="V6" s="25">
        <f t="shared" si="7"/>
        <v>1163631.4094999998</v>
      </c>
      <c r="X6" s="24"/>
      <c r="Y6" s="24"/>
      <c r="Z6" s="24"/>
      <c r="AA6" s="23"/>
      <c r="AC6" s="211">
        <f>ROUND(AC5,-6)</f>
        <v>1702000000</v>
      </c>
      <c r="AD6" s="211"/>
    </row>
    <row r="7" spans="1:31" ht="24.75" x14ac:dyDescent="0.25">
      <c r="A7" s="20"/>
      <c r="B7" s="206"/>
      <c r="C7" s="30" t="s">
        <v>18</v>
      </c>
      <c r="D7" s="29">
        <v>1</v>
      </c>
      <c r="E7" s="29"/>
      <c r="F7" s="29">
        <v>20</v>
      </c>
      <c r="G7" s="209"/>
      <c r="H7" s="21">
        <v>477.15</v>
      </c>
      <c r="I7" s="21">
        <f t="shared" si="0"/>
        <v>5135.9948849999992</v>
      </c>
      <c r="J7" s="21">
        <f t="shared" si="1"/>
        <v>5135.9948849999992</v>
      </c>
      <c r="K7" s="20">
        <v>2024</v>
      </c>
      <c r="L7" s="28">
        <v>2024</v>
      </c>
      <c r="M7" s="28">
        <f t="shared" si="2"/>
        <v>0</v>
      </c>
      <c r="N7" s="28">
        <v>70</v>
      </c>
      <c r="O7" s="18">
        <v>0.1</v>
      </c>
      <c r="P7" s="17">
        <f t="shared" si="3"/>
        <v>1.2857142857142857E-2</v>
      </c>
      <c r="Q7" s="27">
        <v>1500</v>
      </c>
      <c r="R7" s="25">
        <f t="shared" si="4"/>
        <v>7703992.3274999987</v>
      </c>
      <c r="S7" s="25">
        <f t="shared" si="5"/>
        <v>0</v>
      </c>
      <c r="T7" s="26">
        <v>0</v>
      </c>
      <c r="U7" s="25">
        <f t="shared" si="6"/>
        <v>7703992.3274999987</v>
      </c>
      <c r="V7" s="25">
        <f t="shared" si="7"/>
        <v>7703992.3274999987</v>
      </c>
      <c r="X7" s="24"/>
      <c r="Y7" s="24"/>
      <c r="Z7" s="24"/>
      <c r="AA7" s="23"/>
      <c r="AB7" s="7" t="s">
        <v>7</v>
      </c>
      <c r="AC7" s="200">
        <f>AC5*AE11</f>
        <v>1446794754.3131247</v>
      </c>
      <c r="AD7" s="201"/>
    </row>
    <row r="8" spans="1:31" x14ac:dyDescent="0.25">
      <c r="A8" s="20"/>
      <c r="B8" s="207"/>
      <c r="C8" s="30" t="s">
        <v>17</v>
      </c>
      <c r="D8" s="29">
        <v>1</v>
      </c>
      <c r="E8" s="29"/>
      <c r="F8" s="29">
        <v>20</v>
      </c>
      <c r="G8" s="210"/>
      <c r="H8" s="21">
        <v>476.24</v>
      </c>
      <c r="I8" s="21">
        <f t="shared" si="0"/>
        <v>5126.1997359999996</v>
      </c>
      <c r="J8" s="21">
        <f t="shared" si="1"/>
        <v>5126.1997359999996</v>
      </c>
      <c r="K8" s="20">
        <v>2024</v>
      </c>
      <c r="L8" s="28">
        <v>2024</v>
      </c>
      <c r="M8" s="28">
        <f t="shared" si="2"/>
        <v>0</v>
      </c>
      <c r="N8" s="28">
        <v>70</v>
      </c>
      <c r="O8" s="18">
        <v>0.1</v>
      </c>
      <c r="P8" s="17">
        <f t="shared" si="3"/>
        <v>1.2857142857142857E-2</v>
      </c>
      <c r="Q8" s="27">
        <v>1500</v>
      </c>
      <c r="R8" s="25">
        <f t="shared" si="4"/>
        <v>7689299.6039999994</v>
      </c>
      <c r="S8" s="25">
        <f t="shared" si="5"/>
        <v>0</v>
      </c>
      <c r="T8" s="26">
        <v>0</v>
      </c>
      <c r="U8" s="25">
        <f t="shared" si="6"/>
        <v>7689299.6039999994</v>
      </c>
      <c r="V8" s="25">
        <f t="shared" si="7"/>
        <v>7689299.6039999994</v>
      </c>
      <c r="X8" s="24"/>
      <c r="Y8" s="24"/>
      <c r="Z8" s="24"/>
      <c r="AA8" s="23"/>
      <c r="AB8" s="7" t="s">
        <v>6</v>
      </c>
      <c r="AC8" s="200">
        <f>AC5*AE12</f>
        <v>1276583606.7468748</v>
      </c>
      <c r="AD8" s="201"/>
    </row>
    <row r="9" spans="1:31" x14ac:dyDescent="0.25">
      <c r="A9" s="198" t="s">
        <v>16</v>
      </c>
      <c r="B9" s="198"/>
      <c r="C9" s="198"/>
      <c r="D9" s="198"/>
      <c r="E9" s="198"/>
      <c r="F9" s="198"/>
      <c r="G9" s="198"/>
      <c r="H9" s="22">
        <f>SUM(H3:H8)</f>
        <v>1952.2499999999998</v>
      </c>
      <c r="I9" s="22">
        <f>SUM(I3:I5)</f>
        <v>9975.8748809999997</v>
      </c>
      <c r="J9" s="21">
        <f t="shared" si="1"/>
        <v>9975.8748809999997</v>
      </c>
      <c r="K9" s="20"/>
      <c r="L9" s="19"/>
      <c r="M9" s="19"/>
      <c r="N9" s="19"/>
      <c r="O9" s="18"/>
      <c r="P9" s="17"/>
      <c r="Q9" s="16"/>
      <c r="R9" s="15">
        <f>SUM(R3:R8)</f>
        <v>31520735.662499998</v>
      </c>
      <c r="S9" s="15">
        <f>SUM(S3:S8)</f>
        <v>0</v>
      </c>
      <c r="T9" s="15">
        <f>SUM(T3:T4)</f>
        <v>0</v>
      </c>
      <c r="U9" s="15">
        <f>SUM(U3:U8)</f>
        <v>31520735.662499998</v>
      </c>
      <c r="V9" s="15">
        <f>SUM(V3:V8)</f>
        <v>31520735.662499998</v>
      </c>
      <c r="AB9" s="7" t="s">
        <v>15</v>
      </c>
      <c r="AC9" s="200">
        <f>R9*0.8</f>
        <v>25216588.530000001</v>
      </c>
      <c r="AD9" s="201"/>
    </row>
    <row r="10" spans="1:31" ht="15" customHeight="1" x14ac:dyDescent="0.25">
      <c r="A10" s="199" t="s">
        <v>14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</row>
    <row r="11" spans="1:31" x14ac:dyDescent="0.25">
      <c r="A11" s="193" t="s">
        <v>13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Z11" s="46">
        <f>Z3/1.19599</f>
        <v>58595.807657254656</v>
      </c>
      <c r="AA11" s="46">
        <f>4500*Z11</f>
        <v>263681134.45764595</v>
      </c>
      <c r="AE11" s="14">
        <v>0.85</v>
      </c>
    </row>
    <row r="12" spans="1:31" ht="15" customHeight="1" x14ac:dyDescent="0.25">
      <c r="A12" s="193" t="s">
        <v>12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AE12" s="14">
        <v>0.75</v>
      </c>
    </row>
    <row r="13" spans="1:31" ht="11.25" customHeight="1" x14ac:dyDescent="0.25">
      <c r="A13" s="193" t="s">
        <v>11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Z13" s="7"/>
      <c r="AA13" s="13"/>
      <c r="AC13" s="4"/>
      <c r="AD13" s="4"/>
    </row>
    <row r="14" spans="1:31" ht="24" customHeight="1" x14ac:dyDescent="0.25">
      <c r="A14" s="193" t="s">
        <v>10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AA14" s="35"/>
      <c r="AC14" s="4"/>
      <c r="AD14" s="4"/>
    </row>
    <row r="15" spans="1:31" ht="26.25" customHeight="1" x14ac:dyDescent="0.25">
      <c r="AA15" s="246">
        <f>49043*Y3</f>
        <v>369293790</v>
      </c>
      <c r="AB15">
        <v>9360</v>
      </c>
    </row>
    <row r="16" spans="1:31" ht="16.5" customHeight="1" x14ac:dyDescent="0.25">
      <c r="AA16" s="3"/>
      <c r="AB16">
        <v>49043.37</v>
      </c>
    </row>
    <row r="17" spans="12:36" ht="15" customHeight="1" x14ac:dyDescent="0.25">
      <c r="V17" s="12"/>
      <c r="Z17" t="s">
        <v>208</v>
      </c>
      <c r="AA17" s="191">
        <v>459045943</v>
      </c>
      <c r="AB17">
        <f>AB15*AB16</f>
        <v>459045943.20000005</v>
      </c>
      <c r="AD17" s="9"/>
      <c r="AJ17" s="12">
        <v>0.42</v>
      </c>
    </row>
    <row r="18" spans="12:36" x14ac:dyDescent="0.25">
      <c r="L18" s="197">
        <f>220*10^7</f>
        <v>2200000000</v>
      </c>
      <c r="M18" s="197"/>
      <c r="N18" s="7"/>
      <c r="O18" s="7"/>
      <c r="P18" s="7"/>
      <c r="Q18" s="11"/>
      <c r="R18" s="11"/>
      <c r="S18" s="11"/>
      <c r="T18" s="11"/>
      <c r="V18" s="11"/>
      <c r="Z18" s="186" t="s">
        <v>209</v>
      </c>
      <c r="AA18" s="192">
        <f>AA17+AA3</f>
        <v>986748343</v>
      </c>
      <c r="AB18" s="3"/>
      <c r="AC18" s="34"/>
      <c r="AD18" s="9"/>
      <c r="AE18" s="9"/>
      <c r="AF18" s="11" t="e">
        <f>1952+#REF!*5</f>
        <v>#REF!</v>
      </c>
      <c r="AG18" s="11"/>
      <c r="AH18" s="11"/>
      <c r="AJ18" s="11"/>
    </row>
    <row r="19" spans="12:36" x14ac:dyDescent="0.25">
      <c r="L19" s="7" t="s">
        <v>9</v>
      </c>
      <c r="M19" s="7">
        <v>18494</v>
      </c>
      <c r="N19" s="7">
        <v>1500</v>
      </c>
      <c r="O19" s="7">
        <f>N19*V17</f>
        <v>0</v>
      </c>
      <c r="P19" s="10">
        <f>O19*M19</f>
        <v>0</v>
      </c>
      <c r="R19" s="1">
        <f>2170+1050</f>
        <v>3220</v>
      </c>
      <c r="S19" s="1"/>
      <c r="T19" s="2"/>
      <c r="U19" s="1"/>
      <c r="V19" s="1"/>
      <c r="AB19" s="3"/>
      <c r="AC19" s="3">
        <f>AC18/1.19599</f>
        <v>0</v>
      </c>
      <c r="AD19" s="4"/>
      <c r="AE19" s="9"/>
      <c r="AF19" s="1"/>
      <c r="AG19" s="1"/>
      <c r="AH19" s="2"/>
      <c r="AI19" s="1"/>
      <c r="AJ19" s="1"/>
    </row>
    <row r="20" spans="12:36" x14ac:dyDescent="0.25">
      <c r="L20" s="7" t="s">
        <v>8</v>
      </c>
      <c r="M20" s="8">
        <f>19883/9</f>
        <v>2209.2222222222222</v>
      </c>
      <c r="N20" s="7"/>
      <c r="O20" s="6">
        <f>P20/M20</f>
        <v>995825.57964089932</v>
      </c>
      <c r="P20" s="6">
        <f>L18-P19</f>
        <v>2200000000</v>
      </c>
      <c r="R20" s="1"/>
      <c r="S20" s="1"/>
      <c r="T20" s="2"/>
      <c r="U20" s="1"/>
      <c r="V20" s="1"/>
      <c r="AA20" s="5"/>
      <c r="AB20" s="3"/>
      <c r="AE20" s="4"/>
      <c r="AF20" s="1"/>
      <c r="AG20" s="1"/>
      <c r="AH20" s="2"/>
      <c r="AI20" s="1"/>
      <c r="AJ20" s="1"/>
    </row>
    <row r="21" spans="12:36" x14ac:dyDescent="0.25">
      <c r="R21" s="1"/>
      <c r="S21" s="1"/>
      <c r="T21" s="2"/>
      <c r="U21" s="1">
        <v>0.7</v>
      </c>
      <c r="V21" s="1"/>
      <c r="Z21" t="s">
        <v>211</v>
      </c>
      <c r="AA21" s="79">
        <v>233644358</v>
      </c>
      <c r="AB21" s="3"/>
      <c r="AF21" s="1"/>
      <c r="AG21" s="1"/>
      <c r="AH21" s="2"/>
      <c r="AI21" s="1"/>
      <c r="AJ21" s="1"/>
    </row>
    <row r="22" spans="12:36" ht="29.25" customHeight="1" x14ac:dyDescent="0.25">
      <c r="R22" s="1"/>
      <c r="S22" s="1"/>
      <c r="T22" s="2"/>
      <c r="U22" s="1">
        <v>265000</v>
      </c>
      <c r="V22" s="1"/>
      <c r="Z22" t="s">
        <v>212</v>
      </c>
      <c r="AA22">
        <v>2701763999.9999995</v>
      </c>
      <c r="AF22" s="46">
        <f>AC35/Y3</f>
        <v>358799.99999999994</v>
      </c>
    </row>
    <row r="23" spans="12:36" x14ac:dyDescent="0.25">
      <c r="R23" s="1"/>
      <c r="S23" s="1"/>
      <c r="T23" s="2"/>
      <c r="U23" s="1">
        <f>U22*U21</f>
        <v>185500</v>
      </c>
      <c r="V23" s="1"/>
      <c r="Z23" t="s">
        <v>213</v>
      </c>
      <c r="AA23" s="79">
        <v>1112592182</v>
      </c>
    </row>
    <row r="24" spans="12:36" x14ac:dyDescent="0.25">
      <c r="R24" s="1"/>
      <c r="S24" s="1"/>
      <c r="T24" s="2"/>
      <c r="U24" s="1"/>
      <c r="V24" s="1"/>
      <c r="Z24" t="s">
        <v>214</v>
      </c>
      <c r="AA24" s="1">
        <f>SUM(AA23,AA22,AA21)</f>
        <v>4048000539.9999995</v>
      </c>
    </row>
    <row r="25" spans="12:36" ht="28.5" customHeight="1" x14ac:dyDescent="0.25">
      <c r="R25" s="1"/>
      <c r="S25" s="1"/>
      <c r="T25" s="2"/>
      <c r="U25" s="1"/>
      <c r="V25" s="1">
        <f>7530*1.196</f>
        <v>9005.8799999999992</v>
      </c>
      <c r="W25" s="43"/>
      <c r="Z25" t="s">
        <v>214</v>
      </c>
      <c r="AA25" s="1">
        <v>4050000000</v>
      </c>
      <c r="AB25">
        <v>4000000000</v>
      </c>
    </row>
    <row r="26" spans="12:36" ht="15" customHeight="1" x14ac:dyDescent="0.25">
      <c r="R26" s="1"/>
      <c r="S26" s="1"/>
      <c r="T26" s="2"/>
      <c r="U26" s="1"/>
      <c r="V26" s="1"/>
      <c r="W26" s="3"/>
      <c r="Z26" s="44">
        <v>0.9</v>
      </c>
      <c r="AA26" s="43">
        <f>AA25*Z26</f>
        <v>3645000000</v>
      </c>
    </row>
    <row r="27" spans="12:36" ht="15" customHeight="1" x14ac:dyDescent="0.25">
      <c r="S27" s="1"/>
      <c r="T27" s="1"/>
      <c r="U27" s="1"/>
      <c r="Z27" s="44">
        <v>0.75</v>
      </c>
      <c r="AA27" s="43">
        <f>AA25*Z27</f>
        <v>3037500000</v>
      </c>
    </row>
    <row r="28" spans="12:36" ht="15" customHeight="1" x14ac:dyDescent="0.25"/>
    <row r="29" spans="12:36" ht="28.5" customHeight="1" x14ac:dyDescent="0.25"/>
    <row r="30" spans="12:36" ht="15" customHeight="1" x14ac:dyDescent="0.25"/>
    <row r="31" spans="12:36" x14ac:dyDescent="0.25">
      <c r="AB31" t="e">
        <f>AVERAGE(AA30,AB30)</f>
        <v>#DIV/0!</v>
      </c>
    </row>
    <row r="32" spans="12:36" ht="33" customHeight="1" x14ac:dyDescent="0.25">
      <c r="AA32">
        <v>375000</v>
      </c>
    </row>
    <row r="34" spans="26:29" x14ac:dyDescent="0.25">
      <c r="Z34" t="s">
        <v>55</v>
      </c>
      <c r="AA34" s="44">
        <v>0.8</v>
      </c>
    </row>
    <row r="35" spans="26:29" x14ac:dyDescent="0.25">
      <c r="Z35" t="s">
        <v>53</v>
      </c>
      <c r="AA35" s="43">
        <f>AA32*AA34</f>
        <v>300000</v>
      </c>
      <c r="AC35" s="43">
        <f>AA35*X3</f>
        <v>2701763999.9999995</v>
      </c>
    </row>
    <row r="36" spans="26:29" x14ac:dyDescent="0.25">
      <c r="Z36" t="s">
        <v>54</v>
      </c>
    </row>
    <row r="37" spans="26:29" x14ac:dyDescent="0.25">
      <c r="AA37" s="46">
        <f>AA35/1.19599</f>
        <v>250838.21771085041</v>
      </c>
    </row>
  </sheetData>
  <mergeCells count="20">
    <mergeCell ref="A1:V1"/>
    <mergeCell ref="B3:B5"/>
    <mergeCell ref="B6:B8"/>
    <mergeCell ref="G3:G8"/>
    <mergeCell ref="AC6:AD6"/>
    <mergeCell ref="AC5:AD5"/>
    <mergeCell ref="AC7:AD7"/>
    <mergeCell ref="AC8:AD8"/>
    <mergeCell ref="AC2:AD2"/>
    <mergeCell ref="A11:V11"/>
    <mergeCell ref="AC3:AD3"/>
    <mergeCell ref="X4:Z4"/>
    <mergeCell ref="AC4:AD4"/>
    <mergeCell ref="L18:M18"/>
    <mergeCell ref="A14:V14"/>
    <mergeCell ref="A13:V13"/>
    <mergeCell ref="A9:G9"/>
    <mergeCell ref="A10:V10"/>
    <mergeCell ref="A12:V12"/>
    <mergeCell ref="AC9:A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topLeftCell="A40" zoomScaleNormal="100" workbookViewId="0">
      <selection activeCell="Q61" sqref="Q61"/>
    </sheetView>
  </sheetViews>
  <sheetFormatPr defaultRowHeight="15" x14ac:dyDescent="0.25"/>
  <cols>
    <col min="1" max="1" width="6.85546875" bestFit="1" customWidth="1"/>
    <col min="2" max="2" width="8.85546875" bestFit="1" customWidth="1"/>
    <col min="3" max="3" width="15.7109375" customWidth="1"/>
    <col min="4" max="4" width="10" bestFit="1" customWidth="1"/>
    <col min="5" max="5" width="14.140625" hidden="1" customWidth="1"/>
    <col min="6" max="6" width="16.28515625" hidden="1" customWidth="1"/>
    <col min="7" max="7" width="23.85546875" hidden="1" customWidth="1"/>
    <col min="8" max="8" width="22.42578125" hidden="1" customWidth="1"/>
    <col min="9" max="9" width="17.85546875" bestFit="1" customWidth="1"/>
    <col min="10" max="10" width="19.7109375" hidden="1" customWidth="1"/>
    <col min="11" max="11" width="16.85546875" hidden="1" customWidth="1"/>
    <col min="12" max="12" width="28.5703125" hidden="1" customWidth="1"/>
    <col min="13" max="13" width="28.7109375" hidden="1" customWidth="1"/>
    <col min="14" max="14" width="13.140625" hidden="1" customWidth="1"/>
    <col min="15" max="15" width="17" hidden="1" customWidth="1"/>
    <col min="16" max="16" width="32.5703125" bestFit="1" customWidth="1"/>
    <col min="17" max="17" width="30.7109375" bestFit="1" customWidth="1"/>
    <col min="18" max="18" width="19.7109375" hidden="1" customWidth="1"/>
    <col min="19" max="19" width="14" hidden="1" customWidth="1"/>
    <col min="20" max="20" width="34.85546875" hidden="1" customWidth="1"/>
    <col min="21" max="21" width="25.7109375" hidden="1" customWidth="1"/>
  </cols>
  <sheetData>
    <row r="1" spans="1:21" ht="15.75" x14ac:dyDescent="0.25">
      <c r="A1" s="202" t="s">
        <v>139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4"/>
    </row>
    <row r="2" spans="1:21" ht="30" x14ac:dyDescent="0.25">
      <c r="A2" s="40" t="s">
        <v>51</v>
      </c>
      <c r="B2" s="40" t="s">
        <v>57</v>
      </c>
      <c r="C2" s="40" t="s">
        <v>49</v>
      </c>
      <c r="D2" s="40" t="s">
        <v>56</v>
      </c>
      <c r="E2" s="40" t="s">
        <v>47</v>
      </c>
      <c r="F2" s="40" t="s">
        <v>46</v>
      </c>
      <c r="G2" s="40" t="s">
        <v>45</v>
      </c>
      <c r="H2" s="40" t="s">
        <v>44</v>
      </c>
      <c r="I2" s="40" t="s">
        <v>43</v>
      </c>
      <c r="J2" s="40" t="s">
        <v>42</v>
      </c>
      <c r="K2" s="61" t="s">
        <v>41</v>
      </c>
      <c r="L2" s="40" t="s">
        <v>40</v>
      </c>
      <c r="M2" s="40" t="s">
        <v>39</v>
      </c>
      <c r="N2" s="42" t="s">
        <v>38</v>
      </c>
      <c r="O2" s="42" t="s">
        <v>37</v>
      </c>
      <c r="P2" s="40" t="s">
        <v>36</v>
      </c>
      <c r="Q2" s="50" t="s">
        <v>132</v>
      </c>
      <c r="R2" s="41" t="s">
        <v>34</v>
      </c>
      <c r="S2" s="41" t="s">
        <v>33</v>
      </c>
      <c r="T2" s="40" t="s">
        <v>32</v>
      </c>
      <c r="U2" s="40" t="s">
        <v>31</v>
      </c>
    </row>
    <row r="3" spans="1:21" ht="30" x14ac:dyDescent="0.25">
      <c r="A3" s="48">
        <v>1</v>
      </c>
      <c r="B3" s="48" t="s">
        <v>82</v>
      </c>
      <c r="C3" s="48" t="s">
        <v>140</v>
      </c>
      <c r="D3" s="48" t="s">
        <v>88</v>
      </c>
      <c r="E3" s="48"/>
      <c r="F3" s="48" t="s">
        <v>87</v>
      </c>
      <c r="G3" s="48">
        <f>186.67+282.15+412.08</f>
        <v>880.89999999999986</v>
      </c>
      <c r="H3" s="48">
        <f>G3*10.764</f>
        <v>9482.0075999999972</v>
      </c>
      <c r="I3" s="48">
        <f>H3</f>
        <v>9482.0075999999972</v>
      </c>
      <c r="J3" s="48">
        <v>2025</v>
      </c>
      <c r="K3" s="48">
        <v>2025</v>
      </c>
      <c r="L3" s="48">
        <f>K3-J3</f>
        <v>0</v>
      </c>
      <c r="M3" s="48">
        <v>70</v>
      </c>
      <c r="N3" s="48">
        <v>0.9</v>
      </c>
      <c r="O3" s="48">
        <f>(1-N3)/M3</f>
        <v>1.4285714285714284E-3</v>
      </c>
      <c r="P3" s="48">
        <v>2200</v>
      </c>
      <c r="Q3" s="48">
        <f>I3*P3</f>
        <v>20860416.719999995</v>
      </c>
      <c r="R3" s="48">
        <f>O3*Q3*L3</f>
        <v>0</v>
      </c>
      <c r="S3" s="48">
        <v>0</v>
      </c>
      <c r="T3" s="48">
        <f>Q3-R3</f>
        <v>20860416.719999995</v>
      </c>
      <c r="U3" s="48">
        <f>T3-S3*T3</f>
        <v>20860416.719999995</v>
      </c>
    </row>
    <row r="4" spans="1:21" ht="30" x14ac:dyDescent="0.25">
      <c r="A4" s="48">
        <v>5</v>
      </c>
      <c r="B4" s="48" t="s">
        <v>82</v>
      </c>
      <c r="C4" s="48" t="s">
        <v>3</v>
      </c>
      <c r="D4" s="48">
        <v>1</v>
      </c>
      <c r="E4" s="48"/>
      <c r="F4" s="48" t="s">
        <v>87</v>
      </c>
      <c r="G4" s="48"/>
      <c r="H4" s="48">
        <v>4545.4972679999992</v>
      </c>
      <c r="I4" s="48">
        <f t="shared" ref="I4" si="0">H4</f>
        <v>4545.4972679999992</v>
      </c>
      <c r="J4" s="48">
        <v>2025</v>
      </c>
      <c r="K4" s="48">
        <v>2025</v>
      </c>
      <c r="L4" s="48">
        <f t="shared" ref="L4:L49" si="1">K4-J4</f>
        <v>0</v>
      </c>
      <c r="M4" s="48">
        <v>70</v>
      </c>
      <c r="N4" s="48">
        <v>0.9</v>
      </c>
      <c r="O4" s="48">
        <f t="shared" ref="O4:O49" si="2">(1-N4)/M4</f>
        <v>1.4285714285714284E-3</v>
      </c>
      <c r="P4" s="48">
        <v>1800</v>
      </c>
      <c r="Q4" s="48">
        <f t="shared" ref="Q4:Q49" si="3">I4*P4</f>
        <v>8181895.0823999988</v>
      </c>
      <c r="R4" s="48">
        <f t="shared" ref="R4:R49" si="4">O4*Q4*L4</f>
        <v>0</v>
      </c>
      <c r="S4" s="48">
        <v>0</v>
      </c>
      <c r="T4" s="48">
        <f t="shared" ref="T4:T49" si="5">Q4-R4</f>
        <v>8181895.0823999988</v>
      </c>
      <c r="U4" s="48">
        <f t="shared" ref="U4:U49" si="6">T4-S4*T4</f>
        <v>8181895.0823999988</v>
      </c>
    </row>
    <row r="5" spans="1:21" ht="30" x14ac:dyDescent="0.25">
      <c r="A5" s="48">
        <v>6</v>
      </c>
      <c r="B5" s="48" t="s">
        <v>82</v>
      </c>
      <c r="C5" s="48" t="s">
        <v>2</v>
      </c>
      <c r="D5" s="48">
        <v>1</v>
      </c>
      <c r="E5" s="48"/>
      <c r="F5" s="48" t="s">
        <v>87</v>
      </c>
      <c r="G5" s="48">
        <v>1934.64</v>
      </c>
      <c r="H5" s="48">
        <f>G5*10.764</f>
        <v>20824.464960000001</v>
      </c>
      <c r="I5" s="48">
        <f>H5</f>
        <v>20824.464960000001</v>
      </c>
      <c r="J5" s="48">
        <v>2025</v>
      </c>
      <c r="K5" s="48">
        <v>2025</v>
      </c>
      <c r="L5" s="48">
        <f t="shared" si="1"/>
        <v>0</v>
      </c>
      <c r="M5" s="48">
        <v>70</v>
      </c>
      <c r="N5" s="48">
        <v>0.9</v>
      </c>
      <c r="O5" s="48">
        <f t="shared" si="2"/>
        <v>1.4285714285714284E-3</v>
      </c>
      <c r="P5" s="48">
        <v>2000</v>
      </c>
      <c r="Q5" s="48">
        <f t="shared" si="3"/>
        <v>41648929.920000002</v>
      </c>
      <c r="R5" s="48">
        <f t="shared" si="4"/>
        <v>0</v>
      </c>
      <c r="S5" s="48">
        <v>0</v>
      </c>
      <c r="T5" s="48">
        <f t="shared" si="5"/>
        <v>41648929.920000002</v>
      </c>
      <c r="U5" s="48">
        <f t="shared" si="6"/>
        <v>41648929.920000002</v>
      </c>
    </row>
    <row r="6" spans="1:21" ht="30" x14ac:dyDescent="0.25">
      <c r="A6" s="48">
        <v>7</v>
      </c>
      <c r="B6" s="48" t="s">
        <v>82</v>
      </c>
      <c r="C6" s="48" t="s">
        <v>1</v>
      </c>
      <c r="D6" s="48">
        <v>1</v>
      </c>
      <c r="E6" s="48"/>
      <c r="F6" s="48" t="s">
        <v>87</v>
      </c>
      <c r="G6" s="48">
        <v>2113.37</v>
      </c>
      <c r="H6" s="48">
        <f t="shared" ref="H6:H7" si="7">G6*10.764</f>
        <v>22748.314679999996</v>
      </c>
      <c r="I6" s="48">
        <f t="shared" ref="I6:I7" si="8">H6</f>
        <v>22748.314679999996</v>
      </c>
      <c r="J6" s="48">
        <v>2025</v>
      </c>
      <c r="K6" s="48">
        <v>2025</v>
      </c>
      <c r="L6" s="48">
        <f t="shared" si="1"/>
        <v>0</v>
      </c>
      <c r="M6" s="48">
        <v>70</v>
      </c>
      <c r="N6" s="48">
        <v>0.9</v>
      </c>
      <c r="O6" s="48">
        <f t="shared" si="2"/>
        <v>1.4285714285714284E-3</v>
      </c>
      <c r="P6" s="48">
        <v>2000</v>
      </c>
      <c r="Q6" s="48">
        <f t="shared" si="3"/>
        <v>45496629.359999992</v>
      </c>
      <c r="R6" s="48">
        <f t="shared" si="4"/>
        <v>0</v>
      </c>
      <c r="S6" s="48">
        <v>0</v>
      </c>
      <c r="T6" s="48">
        <f t="shared" si="5"/>
        <v>45496629.359999992</v>
      </c>
      <c r="U6" s="48">
        <f t="shared" si="6"/>
        <v>45496629.359999992</v>
      </c>
    </row>
    <row r="7" spans="1:21" ht="30" x14ac:dyDescent="0.25">
      <c r="A7" s="48">
        <v>8</v>
      </c>
      <c r="B7" s="48" t="s">
        <v>82</v>
      </c>
      <c r="C7" s="48" t="s">
        <v>0</v>
      </c>
      <c r="D7" s="48">
        <v>1</v>
      </c>
      <c r="E7" s="48"/>
      <c r="F7" s="48" t="s">
        <v>87</v>
      </c>
      <c r="G7" s="48">
        <v>1312.56</v>
      </c>
      <c r="H7" s="48">
        <f t="shared" si="7"/>
        <v>14128.395839999999</v>
      </c>
      <c r="I7" s="48">
        <f t="shared" si="8"/>
        <v>14128.395839999999</v>
      </c>
      <c r="J7" s="48">
        <v>2025</v>
      </c>
      <c r="K7" s="48">
        <v>2025</v>
      </c>
      <c r="L7" s="48">
        <f t="shared" si="1"/>
        <v>0</v>
      </c>
      <c r="M7" s="48">
        <v>70</v>
      </c>
      <c r="N7" s="48">
        <v>0.9</v>
      </c>
      <c r="O7" s="48">
        <f t="shared" si="2"/>
        <v>1.4285714285714284E-3</v>
      </c>
      <c r="P7" s="48">
        <v>2000</v>
      </c>
      <c r="Q7" s="48">
        <f t="shared" si="3"/>
        <v>28256791.68</v>
      </c>
      <c r="R7" s="48">
        <f t="shared" si="4"/>
        <v>0</v>
      </c>
      <c r="S7" s="48">
        <v>0</v>
      </c>
      <c r="T7" s="48">
        <f t="shared" si="5"/>
        <v>28256791.68</v>
      </c>
      <c r="U7" s="48">
        <f t="shared" si="6"/>
        <v>28256791.68</v>
      </c>
    </row>
    <row r="8" spans="1:21" ht="30" x14ac:dyDescent="0.25">
      <c r="A8" s="48">
        <v>9</v>
      </c>
      <c r="B8" s="48" t="s">
        <v>82</v>
      </c>
      <c r="C8" s="48" t="s">
        <v>58</v>
      </c>
      <c r="D8" s="48">
        <v>2</v>
      </c>
      <c r="E8" s="48"/>
      <c r="F8" s="48" t="s">
        <v>87</v>
      </c>
      <c r="G8" s="48"/>
      <c r="H8" s="48">
        <v>4709.87</v>
      </c>
      <c r="I8" s="48">
        <f t="shared" ref="I8:I21" si="9">H8*D8</f>
        <v>9419.74</v>
      </c>
      <c r="J8" s="48">
        <v>2025</v>
      </c>
      <c r="K8" s="48">
        <v>2025</v>
      </c>
      <c r="L8" s="48">
        <f t="shared" si="1"/>
        <v>0</v>
      </c>
      <c r="M8" s="48">
        <v>70</v>
      </c>
      <c r="N8" s="48">
        <v>0.9</v>
      </c>
      <c r="O8" s="48">
        <f t="shared" si="2"/>
        <v>1.4285714285714284E-3</v>
      </c>
      <c r="P8" s="48">
        <v>2000</v>
      </c>
      <c r="Q8" s="48">
        <f t="shared" si="3"/>
        <v>18839480</v>
      </c>
      <c r="R8" s="48">
        <f t="shared" si="4"/>
        <v>0</v>
      </c>
      <c r="S8" s="48">
        <v>0</v>
      </c>
      <c r="T8" s="48">
        <f t="shared" si="5"/>
        <v>18839480</v>
      </c>
      <c r="U8" s="48">
        <f t="shared" si="6"/>
        <v>18839480</v>
      </c>
    </row>
    <row r="9" spans="1:21" ht="30" x14ac:dyDescent="0.25">
      <c r="A9" s="48">
        <v>10</v>
      </c>
      <c r="B9" s="48" t="s">
        <v>82</v>
      </c>
      <c r="C9" s="48" t="s">
        <v>59</v>
      </c>
      <c r="D9" s="48">
        <v>2</v>
      </c>
      <c r="E9" s="48"/>
      <c r="F9" s="48" t="s">
        <v>87</v>
      </c>
      <c r="G9" s="48"/>
      <c r="H9" s="48">
        <v>3745.23</v>
      </c>
      <c r="I9" s="48">
        <f t="shared" si="9"/>
        <v>7490.46</v>
      </c>
      <c r="J9" s="48">
        <v>2025</v>
      </c>
      <c r="K9" s="48">
        <v>2025</v>
      </c>
      <c r="L9" s="48">
        <f t="shared" si="1"/>
        <v>0</v>
      </c>
      <c r="M9" s="48">
        <v>70</v>
      </c>
      <c r="N9" s="48">
        <v>0.9</v>
      </c>
      <c r="O9" s="48">
        <f t="shared" si="2"/>
        <v>1.4285714285714284E-3</v>
      </c>
      <c r="P9" s="48">
        <v>2000</v>
      </c>
      <c r="Q9" s="48">
        <f t="shared" si="3"/>
        <v>14980920</v>
      </c>
      <c r="R9" s="48">
        <f t="shared" si="4"/>
        <v>0</v>
      </c>
      <c r="S9" s="48">
        <v>0</v>
      </c>
      <c r="T9" s="48">
        <f t="shared" si="5"/>
        <v>14980920</v>
      </c>
      <c r="U9" s="48">
        <f t="shared" si="6"/>
        <v>14980920</v>
      </c>
    </row>
    <row r="10" spans="1:21" ht="30" x14ac:dyDescent="0.25">
      <c r="A10" s="48">
        <v>11</v>
      </c>
      <c r="B10" s="48" t="s">
        <v>82</v>
      </c>
      <c r="C10" s="48" t="s">
        <v>60</v>
      </c>
      <c r="D10" s="48">
        <v>2</v>
      </c>
      <c r="E10" s="48"/>
      <c r="F10" s="48" t="s">
        <v>87</v>
      </c>
      <c r="G10" s="48"/>
      <c r="H10" s="48">
        <v>3745.23</v>
      </c>
      <c r="I10" s="48">
        <f t="shared" si="9"/>
        <v>7490.46</v>
      </c>
      <c r="J10" s="48">
        <v>2025</v>
      </c>
      <c r="K10" s="48">
        <v>2025</v>
      </c>
      <c r="L10" s="48">
        <f t="shared" si="1"/>
        <v>0</v>
      </c>
      <c r="M10" s="48">
        <v>70</v>
      </c>
      <c r="N10" s="48">
        <v>0.9</v>
      </c>
      <c r="O10" s="48">
        <f t="shared" si="2"/>
        <v>1.4285714285714284E-3</v>
      </c>
      <c r="P10" s="48">
        <v>2000</v>
      </c>
      <c r="Q10" s="48">
        <f t="shared" si="3"/>
        <v>14980920</v>
      </c>
      <c r="R10" s="48">
        <f t="shared" si="4"/>
        <v>0</v>
      </c>
      <c r="S10" s="48">
        <v>0</v>
      </c>
      <c r="T10" s="48">
        <f t="shared" si="5"/>
        <v>14980920</v>
      </c>
      <c r="U10" s="48">
        <f t="shared" si="6"/>
        <v>14980920</v>
      </c>
    </row>
    <row r="11" spans="1:21" ht="30" x14ac:dyDescent="0.25">
      <c r="A11" s="48">
        <v>12</v>
      </c>
      <c r="B11" s="48" t="s">
        <v>82</v>
      </c>
      <c r="C11" s="48" t="s">
        <v>61</v>
      </c>
      <c r="D11" s="48">
        <v>2</v>
      </c>
      <c r="E11" s="48"/>
      <c r="F11" s="48" t="s">
        <v>87</v>
      </c>
      <c r="G11" s="48"/>
      <c r="H11" s="48">
        <v>3745.23</v>
      </c>
      <c r="I11" s="48">
        <f t="shared" si="9"/>
        <v>7490.46</v>
      </c>
      <c r="J11" s="48">
        <v>2025</v>
      </c>
      <c r="K11" s="48">
        <v>2025</v>
      </c>
      <c r="L11" s="48">
        <f t="shared" si="1"/>
        <v>0</v>
      </c>
      <c r="M11" s="48">
        <v>70</v>
      </c>
      <c r="N11" s="48">
        <v>0.9</v>
      </c>
      <c r="O11" s="48">
        <f t="shared" si="2"/>
        <v>1.4285714285714284E-3</v>
      </c>
      <c r="P11" s="48">
        <v>2000</v>
      </c>
      <c r="Q11" s="48">
        <f t="shared" si="3"/>
        <v>14980920</v>
      </c>
      <c r="R11" s="48">
        <f t="shared" si="4"/>
        <v>0</v>
      </c>
      <c r="S11" s="48">
        <v>0</v>
      </c>
      <c r="T11" s="48">
        <f t="shared" si="5"/>
        <v>14980920</v>
      </c>
      <c r="U11" s="48">
        <f t="shared" si="6"/>
        <v>14980920</v>
      </c>
    </row>
    <row r="12" spans="1:21" ht="30" x14ac:dyDescent="0.25">
      <c r="A12" s="48">
        <v>13</v>
      </c>
      <c r="B12" s="48" t="s">
        <v>82</v>
      </c>
      <c r="C12" s="48" t="s">
        <v>62</v>
      </c>
      <c r="D12" s="48">
        <v>2</v>
      </c>
      <c r="E12" s="48"/>
      <c r="F12" s="48" t="s">
        <v>87</v>
      </c>
      <c r="G12" s="48"/>
      <c r="H12" s="48">
        <v>3745.23</v>
      </c>
      <c r="I12" s="48">
        <f t="shared" si="9"/>
        <v>7490.46</v>
      </c>
      <c r="J12" s="48">
        <v>2025</v>
      </c>
      <c r="K12" s="48">
        <v>2025</v>
      </c>
      <c r="L12" s="48">
        <f t="shared" si="1"/>
        <v>0</v>
      </c>
      <c r="M12" s="48">
        <v>70</v>
      </c>
      <c r="N12" s="48">
        <v>0.9</v>
      </c>
      <c r="O12" s="48">
        <f t="shared" si="2"/>
        <v>1.4285714285714284E-3</v>
      </c>
      <c r="P12" s="48">
        <v>2000</v>
      </c>
      <c r="Q12" s="48">
        <f t="shared" si="3"/>
        <v>14980920</v>
      </c>
      <c r="R12" s="48">
        <f t="shared" si="4"/>
        <v>0</v>
      </c>
      <c r="S12" s="48">
        <v>0</v>
      </c>
      <c r="T12" s="48">
        <f t="shared" si="5"/>
        <v>14980920</v>
      </c>
      <c r="U12" s="48">
        <f t="shared" si="6"/>
        <v>14980920</v>
      </c>
    </row>
    <row r="13" spans="1:21" ht="30" x14ac:dyDescent="0.25">
      <c r="A13" s="48">
        <v>14</v>
      </c>
      <c r="B13" s="48" t="s">
        <v>82</v>
      </c>
      <c r="C13" s="48" t="s">
        <v>63</v>
      </c>
      <c r="D13" s="48">
        <v>2</v>
      </c>
      <c r="E13" s="48"/>
      <c r="F13" s="48" t="s">
        <v>87</v>
      </c>
      <c r="G13" s="48"/>
      <c r="H13" s="48">
        <v>3745.23</v>
      </c>
      <c r="I13" s="48">
        <f t="shared" si="9"/>
        <v>7490.46</v>
      </c>
      <c r="J13" s="48">
        <v>2025</v>
      </c>
      <c r="K13" s="48">
        <v>2025</v>
      </c>
      <c r="L13" s="48">
        <f t="shared" si="1"/>
        <v>0</v>
      </c>
      <c r="M13" s="48">
        <v>70</v>
      </c>
      <c r="N13" s="48">
        <v>0.9</v>
      </c>
      <c r="O13" s="48">
        <f t="shared" si="2"/>
        <v>1.4285714285714284E-3</v>
      </c>
      <c r="P13" s="48">
        <v>2000</v>
      </c>
      <c r="Q13" s="48">
        <f t="shared" si="3"/>
        <v>14980920</v>
      </c>
      <c r="R13" s="48">
        <f t="shared" si="4"/>
        <v>0</v>
      </c>
      <c r="S13" s="48">
        <v>0</v>
      </c>
      <c r="T13" s="48">
        <f t="shared" si="5"/>
        <v>14980920</v>
      </c>
      <c r="U13" s="48">
        <f t="shared" si="6"/>
        <v>14980920</v>
      </c>
    </row>
    <row r="14" spans="1:21" ht="30" x14ac:dyDescent="0.25">
      <c r="A14" s="48">
        <v>15</v>
      </c>
      <c r="B14" s="48" t="s">
        <v>82</v>
      </c>
      <c r="C14" s="48" t="s">
        <v>64</v>
      </c>
      <c r="D14" s="48">
        <v>2</v>
      </c>
      <c r="E14" s="48"/>
      <c r="F14" s="48" t="s">
        <v>87</v>
      </c>
      <c r="G14" s="48"/>
      <c r="H14" s="48">
        <v>3745.23</v>
      </c>
      <c r="I14" s="48">
        <f t="shared" si="9"/>
        <v>7490.46</v>
      </c>
      <c r="J14" s="48">
        <v>2025</v>
      </c>
      <c r="K14" s="48">
        <v>2025</v>
      </c>
      <c r="L14" s="48">
        <f t="shared" si="1"/>
        <v>0</v>
      </c>
      <c r="M14" s="48">
        <v>70</v>
      </c>
      <c r="N14" s="48">
        <v>0.9</v>
      </c>
      <c r="O14" s="48">
        <f t="shared" si="2"/>
        <v>1.4285714285714284E-3</v>
      </c>
      <c r="P14" s="48">
        <v>2000</v>
      </c>
      <c r="Q14" s="48">
        <f t="shared" si="3"/>
        <v>14980920</v>
      </c>
      <c r="R14" s="48">
        <f t="shared" si="4"/>
        <v>0</v>
      </c>
      <c r="S14" s="48">
        <v>0</v>
      </c>
      <c r="T14" s="48">
        <f t="shared" si="5"/>
        <v>14980920</v>
      </c>
      <c r="U14" s="48">
        <f t="shared" si="6"/>
        <v>14980920</v>
      </c>
    </row>
    <row r="15" spans="1:21" ht="30" x14ac:dyDescent="0.25">
      <c r="A15" s="48">
        <v>16</v>
      </c>
      <c r="B15" s="48" t="s">
        <v>82</v>
      </c>
      <c r="C15" s="48" t="s">
        <v>65</v>
      </c>
      <c r="D15" s="48">
        <v>2</v>
      </c>
      <c r="E15" s="48"/>
      <c r="F15" s="48" t="s">
        <v>87</v>
      </c>
      <c r="G15" s="48"/>
      <c r="H15" s="48">
        <v>3745.23</v>
      </c>
      <c r="I15" s="48">
        <f t="shared" si="9"/>
        <v>7490.46</v>
      </c>
      <c r="J15" s="48">
        <v>2025</v>
      </c>
      <c r="K15" s="48">
        <v>2025</v>
      </c>
      <c r="L15" s="48">
        <f t="shared" si="1"/>
        <v>0</v>
      </c>
      <c r="M15" s="48">
        <v>70</v>
      </c>
      <c r="N15" s="48">
        <v>0.9</v>
      </c>
      <c r="O15" s="48">
        <f t="shared" si="2"/>
        <v>1.4285714285714284E-3</v>
      </c>
      <c r="P15" s="48">
        <v>2000</v>
      </c>
      <c r="Q15" s="48">
        <f t="shared" si="3"/>
        <v>14980920</v>
      </c>
      <c r="R15" s="48">
        <f t="shared" si="4"/>
        <v>0</v>
      </c>
      <c r="S15" s="48">
        <v>0</v>
      </c>
      <c r="T15" s="48">
        <f t="shared" si="5"/>
        <v>14980920</v>
      </c>
      <c r="U15" s="48">
        <f t="shared" si="6"/>
        <v>14980920</v>
      </c>
    </row>
    <row r="16" spans="1:21" ht="30" x14ac:dyDescent="0.25">
      <c r="A16" s="48">
        <v>17</v>
      </c>
      <c r="B16" s="48" t="s">
        <v>82</v>
      </c>
      <c r="C16" s="48" t="s">
        <v>66</v>
      </c>
      <c r="D16" s="48">
        <v>2</v>
      </c>
      <c r="E16" s="48"/>
      <c r="F16" s="48" t="s">
        <v>87</v>
      </c>
      <c r="G16" s="48"/>
      <c r="H16" s="48">
        <v>3745.23</v>
      </c>
      <c r="I16" s="48">
        <f t="shared" si="9"/>
        <v>7490.46</v>
      </c>
      <c r="J16" s="48">
        <v>2025</v>
      </c>
      <c r="K16" s="48">
        <v>2025</v>
      </c>
      <c r="L16" s="48">
        <f t="shared" si="1"/>
        <v>0</v>
      </c>
      <c r="M16" s="48">
        <v>70</v>
      </c>
      <c r="N16" s="48">
        <v>0.9</v>
      </c>
      <c r="O16" s="48">
        <f t="shared" si="2"/>
        <v>1.4285714285714284E-3</v>
      </c>
      <c r="P16" s="48">
        <v>2000</v>
      </c>
      <c r="Q16" s="48">
        <f t="shared" si="3"/>
        <v>14980920</v>
      </c>
      <c r="R16" s="48">
        <f t="shared" si="4"/>
        <v>0</v>
      </c>
      <c r="S16" s="48">
        <v>0</v>
      </c>
      <c r="T16" s="48">
        <f t="shared" si="5"/>
        <v>14980920</v>
      </c>
      <c r="U16" s="48">
        <f t="shared" si="6"/>
        <v>14980920</v>
      </c>
    </row>
    <row r="17" spans="1:21" ht="30" x14ac:dyDescent="0.25">
      <c r="A17" s="48">
        <v>18</v>
      </c>
      <c r="B17" s="48" t="s">
        <v>82</v>
      </c>
      <c r="C17" s="48" t="s">
        <v>67</v>
      </c>
      <c r="D17" s="48">
        <v>2</v>
      </c>
      <c r="E17" s="48"/>
      <c r="F17" s="48" t="s">
        <v>87</v>
      </c>
      <c r="G17" s="48"/>
      <c r="H17" s="48">
        <v>3745.23</v>
      </c>
      <c r="I17" s="48">
        <f t="shared" si="9"/>
        <v>7490.46</v>
      </c>
      <c r="J17" s="48">
        <v>2025</v>
      </c>
      <c r="K17" s="48">
        <v>2025</v>
      </c>
      <c r="L17" s="48">
        <f t="shared" si="1"/>
        <v>0</v>
      </c>
      <c r="M17" s="48">
        <v>70</v>
      </c>
      <c r="N17" s="48">
        <v>0.9</v>
      </c>
      <c r="O17" s="48">
        <f t="shared" si="2"/>
        <v>1.4285714285714284E-3</v>
      </c>
      <c r="P17" s="48">
        <v>2000</v>
      </c>
      <c r="Q17" s="48">
        <f t="shared" si="3"/>
        <v>14980920</v>
      </c>
      <c r="R17" s="48">
        <f t="shared" si="4"/>
        <v>0</v>
      </c>
      <c r="S17" s="48">
        <v>0</v>
      </c>
      <c r="T17" s="48">
        <f t="shared" si="5"/>
        <v>14980920</v>
      </c>
      <c r="U17" s="49">
        <f>T17-S17*T17</f>
        <v>14980920</v>
      </c>
    </row>
    <row r="18" spans="1:21" ht="30" x14ac:dyDescent="0.25">
      <c r="A18" s="48">
        <v>19</v>
      </c>
      <c r="B18" s="48" t="s">
        <v>82</v>
      </c>
      <c r="C18" s="48" t="s">
        <v>68</v>
      </c>
      <c r="D18" s="48">
        <v>2</v>
      </c>
      <c r="E18" s="48"/>
      <c r="F18" s="48" t="s">
        <v>87</v>
      </c>
      <c r="G18" s="48"/>
      <c r="H18" s="48">
        <v>3745.23</v>
      </c>
      <c r="I18" s="48">
        <f t="shared" si="9"/>
        <v>7490.46</v>
      </c>
      <c r="J18" s="48">
        <v>2025</v>
      </c>
      <c r="K18" s="48">
        <v>2025</v>
      </c>
      <c r="L18" s="48">
        <f t="shared" si="1"/>
        <v>0</v>
      </c>
      <c r="M18" s="48">
        <v>70</v>
      </c>
      <c r="N18" s="48">
        <v>0.9</v>
      </c>
      <c r="O18" s="48">
        <f t="shared" si="2"/>
        <v>1.4285714285714284E-3</v>
      </c>
      <c r="P18" s="48">
        <v>2000</v>
      </c>
      <c r="Q18" s="48">
        <f t="shared" si="3"/>
        <v>14980920</v>
      </c>
      <c r="R18" s="48">
        <f t="shared" si="4"/>
        <v>0</v>
      </c>
      <c r="S18" s="48">
        <v>0</v>
      </c>
      <c r="T18" s="48">
        <f t="shared" si="5"/>
        <v>14980920</v>
      </c>
      <c r="U18" s="48">
        <f t="shared" si="6"/>
        <v>14980920</v>
      </c>
    </row>
    <row r="19" spans="1:21" ht="30" x14ac:dyDescent="0.25">
      <c r="A19" s="48">
        <v>20</v>
      </c>
      <c r="B19" s="48" t="s">
        <v>82</v>
      </c>
      <c r="C19" s="48" t="s">
        <v>69</v>
      </c>
      <c r="D19" s="48">
        <v>2</v>
      </c>
      <c r="E19" s="48"/>
      <c r="F19" s="48" t="s">
        <v>87</v>
      </c>
      <c r="G19" s="48"/>
      <c r="H19" s="48">
        <v>3745.23</v>
      </c>
      <c r="I19" s="48">
        <f t="shared" si="9"/>
        <v>7490.46</v>
      </c>
      <c r="J19" s="48">
        <v>2025</v>
      </c>
      <c r="K19" s="48">
        <v>2025</v>
      </c>
      <c r="L19" s="48">
        <f t="shared" si="1"/>
        <v>0</v>
      </c>
      <c r="M19" s="48">
        <v>70</v>
      </c>
      <c r="N19" s="48">
        <v>0.9</v>
      </c>
      <c r="O19" s="48">
        <f t="shared" si="2"/>
        <v>1.4285714285714284E-3</v>
      </c>
      <c r="P19" s="48">
        <v>2000</v>
      </c>
      <c r="Q19" s="48">
        <f t="shared" si="3"/>
        <v>14980920</v>
      </c>
      <c r="R19" s="48">
        <f t="shared" si="4"/>
        <v>0</v>
      </c>
      <c r="S19" s="48">
        <v>0</v>
      </c>
      <c r="T19" s="48">
        <f t="shared" si="5"/>
        <v>14980920</v>
      </c>
      <c r="U19" s="48">
        <f t="shared" si="6"/>
        <v>14980920</v>
      </c>
    </row>
    <row r="20" spans="1:21" ht="30" x14ac:dyDescent="0.25">
      <c r="A20" s="48">
        <v>21</v>
      </c>
      <c r="B20" s="48" t="s">
        <v>82</v>
      </c>
      <c r="C20" s="48" t="s">
        <v>70</v>
      </c>
      <c r="D20" s="48">
        <v>2</v>
      </c>
      <c r="E20" s="48"/>
      <c r="F20" s="48" t="s">
        <v>87</v>
      </c>
      <c r="G20" s="48"/>
      <c r="H20" s="48">
        <v>3745.23</v>
      </c>
      <c r="I20" s="48">
        <f t="shared" si="9"/>
        <v>7490.46</v>
      </c>
      <c r="J20" s="48">
        <v>2025</v>
      </c>
      <c r="K20" s="48">
        <v>2025</v>
      </c>
      <c r="L20" s="48">
        <f t="shared" si="1"/>
        <v>0</v>
      </c>
      <c r="M20" s="48">
        <v>70</v>
      </c>
      <c r="N20" s="48">
        <v>0.9</v>
      </c>
      <c r="O20" s="48">
        <f t="shared" si="2"/>
        <v>1.4285714285714284E-3</v>
      </c>
      <c r="P20" s="48">
        <v>2000</v>
      </c>
      <c r="Q20" s="48">
        <f t="shared" si="3"/>
        <v>14980920</v>
      </c>
      <c r="R20" s="48">
        <f t="shared" si="4"/>
        <v>0</v>
      </c>
      <c r="S20" s="48">
        <v>0</v>
      </c>
      <c r="T20" s="48">
        <f t="shared" si="5"/>
        <v>14980920</v>
      </c>
      <c r="U20" s="48">
        <f t="shared" si="6"/>
        <v>14980920</v>
      </c>
    </row>
    <row r="21" spans="1:21" ht="30" x14ac:dyDescent="0.25">
      <c r="A21" s="48">
        <v>22</v>
      </c>
      <c r="B21" s="48" t="s">
        <v>82</v>
      </c>
      <c r="C21" s="48" t="s">
        <v>71</v>
      </c>
      <c r="D21" s="48">
        <v>2</v>
      </c>
      <c r="E21" s="48"/>
      <c r="F21" s="48" t="s">
        <v>87</v>
      </c>
      <c r="G21" s="48"/>
      <c r="H21" s="48">
        <v>3745.23</v>
      </c>
      <c r="I21" s="48">
        <f t="shared" si="9"/>
        <v>7490.46</v>
      </c>
      <c r="J21" s="48">
        <v>2025</v>
      </c>
      <c r="K21" s="48">
        <v>2025</v>
      </c>
      <c r="L21" s="48">
        <f t="shared" si="1"/>
        <v>0</v>
      </c>
      <c r="M21" s="48">
        <v>70</v>
      </c>
      <c r="N21" s="48">
        <v>0.9</v>
      </c>
      <c r="O21" s="48">
        <f t="shared" si="2"/>
        <v>1.4285714285714284E-3</v>
      </c>
      <c r="P21" s="48">
        <v>2000</v>
      </c>
      <c r="Q21" s="48">
        <f t="shared" si="3"/>
        <v>14980920</v>
      </c>
      <c r="R21" s="48">
        <f t="shared" si="4"/>
        <v>0</v>
      </c>
      <c r="S21" s="48">
        <v>0</v>
      </c>
      <c r="T21" s="48">
        <f t="shared" si="5"/>
        <v>14980920</v>
      </c>
      <c r="U21" s="48">
        <f t="shared" si="6"/>
        <v>14980920</v>
      </c>
    </row>
    <row r="22" spans="1:21" ht="30" x14ac:dyDescent="0.25">
      <c r="A22" s="48">
        <v>23</v>
      </c>
      <c r="B22" s="48" t="s">
        <v>82</v>
      </c>
      <c r="C22" s="48" t="s">
        <v>81</v>
      </c>
      <c r="D22" s="48">
        <v>2</v>
      </c>
      <c r="E22" s="48"/>
      <c r="F22" s="48" t="s">
        <v>87</v>
      </c>
      <c r="G22" s="48">
        <v>583.75</v>
      </c>
      <c r="H22" s="48">
        <f t="shared" ref="H22" si="10">G22*10.764</f>
        <v>6283.4849999999997</v>
      </c>
      <c r="I22" s="48">
        <f>H22</f>
        <v>6283.4849999999997</v>
      </c>
      <c r="J22" s="48">
        <v>2025</v>
      </c>
      <c r="K22" s="48">
        <v>2025</v>
      </c>
      <c r="L22" s="48">
        <f t="shared" si="1"/>
        <v>0</v>
      </c>
      <c r="M22" s="48">
        <v>70</v>
      </c>
      <c r="N22" s="48">
        <v>0.9</v>
      </c>
      <c r="O22" s="48">
        <f t="shared" si="2"/>
        <v>1.4285714285714284E-3</v>
      </c>
      <c r="P22" s="48">
        <v>1300</v>
      </c>
      <c r="Q22" s="48">
        <f t="shared" si="3"/>
        <v>8168530.5</v>
      </c>
      <c r="R22" s="48">
        <f t="shared" si="4"/>
        <v>0</v>
      </c>
      <c r="S22" s="48">
        <v>0</v>
      </c>
      <c r="T22" s="48">
        <f t="shared" si="5"/>
        <v>8168530.5</v>
      </c>
      <c r="U22" s="48">
        <f t="shared" si="6"/>
        <v>8168530.5</v>
      </c>
    </row>
    <row r="23" spans="1:21" ht="30" x14ac:dyDescent="0.25">
      <c r="A23" s="48">
        <v>24</v>
      </c>
      <c r="B23" s="48" t="s">
        <v>82</v>
      </c>
      <c r="C23" s="48" t="s">
        <v>72</v>
      </c>
      <c r="D23" s="48">
        <v>2</v>
      </c>
      <c r="E23" s="48"/>
      <c r="F23" s="48" t="s">
        <v>87</v>
      </c>
      <c r="G23" s="48"/>
      <c r="H23" s="48">
        <v>3745.23</v>
      </c>
      <c r="I23" s="48">
        <f t="shared" ref="I23:I49" si="11">H23*D23</f>
        <v>7490.46</v>
      </c>
      <c r="J23" s="48">
        <v>2025</v>
      </c>
      <c r="K23" s="48">
        <v>2025</v>
      </c>
      <c r="L23" s="48">
        <f t="shared" si="1"/>
        <v>0</v>
      </c>
      <c r="M23" s="48">
        <v>70</v>
      </c>
      <c r="N23" s="48">
        <v>0.9</v>
      </c>
      <c r="O23" s="48">
        <f t="shared" si="2"/>
        <v>1.4285714285714284E-3</v>
      </c>
      <c r="P23" s="48">
        <v>2000</v>
      </c>
      <c r="Q23" s="48">
        <f t="shared" si="3"/>
        <v>14980920</v>
      </c>
      <c r="R23" s="48">
        <f t="shared" si="4"/>
        <v>0</v>
      </c>
      <c r="S23" s="48">
        <v>0</v>
      </c>
      <c r="T23" s="48">
        <f t="shared" si="5"/>
        <v>14980920</v>
      </c>
      <c r="U23" s="48">
        <f t="shared" si="6"/>
        <v>14980920</v>
      </c>
    </row>
    <row r="24" spans="1:21" ht="30" x14ac:dyDescent="0.25">
      <c r="A24" s="48">
        <v>25</v>
      </c>
      <c r="B24" s="48" t="s">
        <v>82</v>
      </c>
      <c r="C24" s="48" t="s">
        <v>73</v>
      </c>
      <c r="D24" s="48">
        <v>2</v>
      </c>
      <c r="E24" s="48"/>
      <c r="F24" s="48" t="s">
        <v>87</v>
      </c>
      <c r="G24" s="48"/>
      <c r="H24" s="48">
        <v>3745.23</v>
      </c>
      <c r="I24" s="48">
        <f t="shared" si="11"/>
        <v>7490.46</v>
      </c>
      <c r="J24" s="48">
        <v>2025</v>
      </c>
      <c r="K24" s="48">
        <v>2025</v>
      </c>
      <c r="L24" s="48">
        <f t="shared" si="1"/>
        <v>0</v>
      </c>
      <c r="M24" s="48">
        <v>70</v>
      </c>
      <c r="N24" s="48">
        <v>0.9</v>
      </c>
      <c r="O24" s="48">
        <f t="shared" si="2"/>
        <v>1.4285714285714284E-3</v>
      </c>
      <c r="P24" s="48">
        <v>2000</v>
      </c>
      <c r="Q24" s="48">
        <f t="shared" si="3"/>
        <v>14980920</v>
      </c>
      <c r="R24" s="48">
        <f t="shared" si="4"/>
        <v>0</v>
      </c>
      <c r="S24" s="48">
        <v>0</v>
      </c>
      <c r="T24" s="48">
        <f t="shared" si="5"/>
        <v>14980920</v>
      </c>
      <c r="U24" s="48">
        <f t="shared" si="6"/>
        <v>14980920</v>
      </c>
    </row>
    <row r="25" spans="1:21" ht="30" x14ac:dyDescent="0.25">
      <c r="A25" s="48">
        <v>26</v>
      </c>
      <c r="B25" s="48" t="s">
        <v>82</v>
      </c>
      <c r="C25" s="48" t="s">
        <v>74</v>
      </c>
      <c r="D25" s="48">
        <v>2</v>
      </c>
      <c r="E25" s="48"/>
      <c r="F25" s="48" t="s">
        <v>87</v>
      </c>
      <c r="G25" s="48"/>
      <c r="H25" s="48">
        <v>3745.23</v>
      </c>
      <c r="I25" s="48">
        <f t="shared" si="11"/>
        <v>7490.46</v>
      </c>
      <c r="J25" s="48">
        <v>2025</v>
      </c>
      <c r="K25" s="48">
        <v>2025</v>
      </c>
      <c r="L25" s="48">
        <f t="shared" si="1"/>
        <v>0</v>
      </c>
      <c r="M25" s="48">
        <v>70</v>
      </c>
      <c r="N25" s="48">
        <v>0.9</v>
      </c>
      <c r="O25" s="48">
        <f t="shared" si="2"/>
        <v>1.4285714285714284E-3</v>
      </c>
      <c r="P25" s="48">
        <v>2000</v>
      </c>
      <c r="Q25" s="48">
        <f t="shared" si="3"/>
        <v>14980920</v>
      </c>
      <c r="R25" s="48">
        <f t="shared" si="4"/>
        <v>0</v>
      </c>
      <c r="S25" s="48">
        <v>0</v>
      </c>
      <c r="T25" s="48">
        <f t="shared" si="5"/>
        <v>14980920</v>
      </c>
      <c r="U25" s="48">
        <f t="shared" si="6"/>
        <v>14980920</v>
      </c>
    </row>
    <row r="26" spans="1:21" ht="30" x14ac:dyDescent="0.25">
      <c r="A26" s="48">
        <v>27</v>
      </c>
      <c r="B26" s="48" t="s">
        <v>82</v>
      </c>
      <c r="C26" s="48" t="s">
        <v>75</v>
      </c>
      <c r="D26" s="48">
        <v>2</v>
      </c>
      <c r="E26" s="48"/>
      <c r="F26" s="48" t="s">
        <v>87</v>
      </c>
      <c r="G26" s="48"/>
      <c r="H26" s="48">
        <v>3745.23</v>
      </c>
      <c r="I26" s="48">
        <f t="shared" si="11"/>
        <v>7490.46</v>
      </c>
      <c r="J26" s="48">
        <v>2025</v>
      </c>
      <c r="K26" s="48">
        <v>2025</v>
      </c>
      <c r="L26" s="48">
        <f t="shared" si="1"/>
        <v>0</v>
      </c>
      <c r="M26" s="48">
        <v>70</v>
      </c>
      <c r="N26" s="48">
        <v>0.9</v>
      </c>
      <c r="O26" s="48">
        <f t="shared" si="2"/>
        <v>1.4285714285714284E-3</v>
      </c>
      <c r="P26" s="48">
        <v>2000</v>
      </c>
      <c r="Q26" s="48">
        <f t="shared" si="3"/>
        <v>14980920</v>
      </c>
      <c r="R26" s="48">
        <f t="shared" si="4"/>
        <v>0</v>
      </c>
      <c r="S26" s="48">
        <v>0</v>
      </c>
      <c r="T26" s="48">
        <f t="shared" si="5"/>
        <v>14980920</v>
      </c>
      <c r="U26" s="48">
        <f t="shared" si="6"/>
        <v>14980920</v>
      </c>
    </row>
    <row r="27" spans="1:21" ht="30" x14ac:dyDescent="0.25">
      <c r="A27" s="48">
        <v>28</v>
      </c>
      <c r="B27" s="48" t="s">
        <v>82</v>
      </c>
      <c r="C27" s="48" t="s">
        <v>76</v>
      </c>
      <c r="D27" s="48">
        <v>2</v>
      </c>
      <c r="E27" s="48"/>
      <c r="F27" s="48" t="s">
        <v>87</v>
      </c>
      <c r="G27" s="48"/>
      <c r="H27" s="48">
        <v>3745.23</v>
      </c>
      <c r="I27" s="48">
        <f t="shared" si="11"/>
        <v>7490.46</v>
      </c>
      <c r="J27" s="48">
        <v>2025</v>
      </c>
      <c r="K27" s="48">
        <v>2025</v>
      </c>
      <c r="L27" s="48">
        <f t="shared" si="1"/>
        <v>0</v>
      </c>
      <c r="M27" s="48">
        <v>70</v>
      </c>
      <c r="N27" s="48">
        <v>0.9</v>
      </c>
      <c r="O27" s="48">
        <f t="shared" si="2"/>
        <v>1.4285714285714284E-3</v>
      </c>
      <c r="P27" s="48">
        <v>2000</v>
      </c>
      <c r="Q27" s="48">
        <f t="shared" si="3"/>
        <v>14980920</v>
      </c>
      <c r="R27" s="48">
        <f t="shared" si="4"/>
        <v>0</v>
      </c>
      <c r="S27" s="48">
        <v>0</v>
      </c>
      <c r="T27" s="48">
        <f t="shared" si="5"/>
        <v>14980920</v>
      </c>
      <c r="U27" s="48">
        <f t="shared" si="6"/>
        <v>14980920</v>
      </c>
    </row>
    <row r="28" spans="1:21" ht="30" x14ac:dyDescent="0.25">
      <c r="A28" s="48">
        <v>29</v>
      </c>
      <c r="B28" s="48" t="s">
        <v>82</v>
      </c>
      <c r="C28" s="48" t="s">
        <v>77</v>
      </c>
      <c r="D28" s="48">
        <v>2</v>
      </c>
      <c r="E28" s="48"/>
      <c r="F28" s="48" t="s">
        <v>87</v>
      </c>
      <c r="G28" s="48"/>
      <c r="H28" s="48">
        <v>3745.23</v>
      </c>
      <c r="I28" s="48">
        <f t="shared" si="11"/>
        <v>7490.46</v>
      </c>
      <c r="J28" s="48">
        <v>2025</v>
      </c>
      <c r="K28" s="48">
        <v>2025</v>
      </c>
      <c r="L28" s="48">
        <f t="shared" si="1"/>
        <v>0</v>
      </c>
      <c r="M28" s="48">
        <v>70</v>
      </c>
      <c r="N28" s="48">
        <v>0.9</v>
      </c>
      <c r="O28" s="48">
        <f t="shared" si="2"/>
        <v>1.4285714285714284E-3</v>
      </c>
      <c r="P28" s="48">
        <v>2000</v>
      </c>
      <c r="Q28" s="48">
        <f t="shared" si="3"/>
        <v>14980920</v>
      </c>
      <c r="R28" s="48">
        <f t="shared" si="4"/>
        <v>0</v>
      </c>
      <c r="S28" s="48">
        <v>0</v>
      </c>
      <c r="T28" s="48">
        <f t="shared" si="5"/>
        <v>14980920</v>
      </c>
      <c r="U28" s="48">
        <f t="shared" si="6"/>
        <v>14980920</v>
      </c>
    </row>
    <row r="29" spans="1:21" ht="30" x14ac:dyDescent="0.25">
      <c r="A29" s="48">
        <v>30</v>
      </c>
      <c r="B29" s="48" t="s">
        <v>82</v>
      </c>
      <c r="C29" s="48" t="s">
        <v>78</v>
      </c>
      <c r="D29" s="48">
        <v>2</v>
      </c>
      <c r="E29" s="48"/>
      <c r="F29" s="48" t="s">
        <v>87</v>
      </c>
      <c r="G29" s="48"/>
      <c r="H29" s="48">
        <v>3745.23</v>
      </c>
      <c r="I29" s="48">
        <f t="shared" si="11"/>
        <v>7490.46</v>
      </c>
      <c r="J29" s="48">
        <v>2025</v>
      </c>
      <c r="K29" s="48">
        <v>2025</v>
      </c>
      <c r="L29" s="48">
        <f t="shared" si="1"/>
        <v>0</v>
      </c>
      <c r="M29" s="48">
        <v>70</v>
      </c>
      <c r="N29" s="48">
        <v>0.9</v>
      </c>
      <c r="O29" s="48">
        <f t="shared" si="2"/>
        <v>1.4285714285714284E-3</v>
      </c>
      <c r="P29" s="48">
        <v>2000</v>
      </c>
      <c r="Q29" s="48">
        <f t="shared" si="3"/>
        <v>14980920</v>
      </c>
      <c r="R29" s="48">
        <f t="shared" si="4"/>
        <v>0</v>
      </c>
      <c r="S29" s="48">
        <v>0</v>
      </c>
      <c r="T29" s="48">
        <f t="shared" si="5"/>
        <v>14980920</v>
      </c>
      <c r="U29" s="48">
        <f t="shared" si="6"/>
        <v>14980920</v>
      </c>
    </row>
    <row r="30" spans="1:21" ht="30" x14ac:dyDescent="0.25">
      <c r="A30" s="48">
        <v>31</v>
      </c>
      <c r="B30" s="48" t="s">
        <v>82</v>
      </c>
      <c r="C30" s="48" t="s">
        <v>79</v>
      </c>
      <c r="D30" s="48">
        <v>1</v>
      </c>
      <c r="E30" s="48"/>
      <c r="F30" s="48" t="s">
        <v>87</v>
      </c>
      <c r="G30" s="48"/>
      <c r="H30" s="48">
        <v>5190.62</v>
      </c>
      <c r="I30" s="48">
        <f t="shared" si="11"/>
        <v>5190.62</v>
      </c>
      <c r="J30" s="48">
        <v>2025</v>
      </c>
      <c r="K30" s="48">
        <v>2025</v>
      </c>
      <c r="L30" s="48">
        <f t="shared" si="1"/>
        <v>0</v>
      </c>
      <c r="M30" s="48">
        <v>70</v>
      </c>
      <c r="N30" s="48">
        <v>0.9</v>
      </c>
      <c r="O30" s="48">
        <f t="shared" si="2"/>
        <v>1.4285714285714284E-3</v>
      </c>
      <c r="P30" s="48">
        <v>2000</v>
      </c>
      <c r="Q30" s="48">
        <f t="shared" si="3"/>
        <v>10381240</v>
      </c>
      <c r="R30" s="48">
        <f t="shared" si="4"/>
        <v>0</v>
      </c>
      <c r="S30" s="48">
        <v>0</v>
      </c>
      <c r="T30" s="48">
        <f t="shared" si="5"/>
        <v>10381240</v>
      </c>
      <c r="U30" s="48">
        <f t="shared" si="6"/>
        <v>10381240</v>
      </c>
    </row>
    <row r="31" spans="1:21" ht="30" x14ac:dyDescent="0.25">
      <c r="A31" s="48">
        <v>32</v>
      </c>
      <c r="B31" s="48" t="s">
        <v>82</v>
      </c>
      <c r="C31" s="48" t="s">
        <v>80</v>
      </c>
      <c r="D31" s="48">
        <v>1</v>
      </c>
      <c r="E31" s="48"/>
      <c r="F31" s="48" t="s">
        <v>87</v>
      </c>
      <c r="G31" s="48"/>
      <c r="H31" s="48">
        <v>5190.62</v>
      </c>
      <c r="I31" s="48">
        <f t="shared" si="11"/>
        <v>5190.62</v>
      </c>
      <c r="J31" s="48">
        <v>2025</v>
      </c>
      <c r="K31" s="48">
        <v>2025</v>
      </c>
      <c r="L31" s="48">
        <f t="shared" si="1"/>
        <v>0</v>
      </c>
      <c r="M31" s="48">
        <v>70</v>
      </c>
      <c r="N31" s="48">
        <v>0.9</v>
      </c>
      <c r="O31" s="48">
        <f t="shared" si="2"/>
        <v>1.4285714285714284E-3</v>
      </c>
      <c r="P31" s="48">
        <v>2000</v>
      </c>
      <c r="Q31" s="48">
        <f t="shared" si="3"/>
        <v>10381240</v>
      </c>
      <c r="R31" s="48">
        <f t="shared" si="4"/>
        <v>0</v>
      </c>
      <c r="S31" s="48">
        <v>0</v>
      </c>
      <c r="T31" s="48">
        <f t="shared" si="5"/>
        <v>10381240</v>
      </c>
      <c r="U31" s="48">
        <f t="shared" si="6"/>
        <v>10381240</v>
      </c>
    </row>
    <row r="32" spans="1:21" x14ac:dyDescent="0.25">
      <c r="A32" s="48">
        <v>33</v>
      </c>
      <c r="B32" s="48" t="s">
        <v>5</v>
      </c>
      <c r="C32" s="48" t="s">
        <v>83</v>
      </c>
      <c r="D32" s="48">
        <v>5</v>
      </c>
      <c r="E32" s="48"/>
      <c r="F32" s="48" t="s">
        <v>87</v>
      </c>
      <c r="G32" s="48"/>
      <c r="H32" s="48">
        <v>413.01</v>
      </c>
      <c r="I32" s="48">
        <f t="shared" si="11"/>
        <v>2065.0500000000002</v>
      </c>
      <c r="J32" s="48">
        <v>2025</v>
      </c>
      <c r="K32" s="48">
        <v>2025</v>
      </c>
      <c r="L32" s="48">
        <f t="shared" si="1"/>
        <v>0</v>
      </c>
      <c r="M32" s="48">
        <v>70</v>
      </c>
      <c r="N32" s="48">
        <v>0.9</v>
      </c>
      <c r="O32" s="48">
        <f t="shared" si="2"/>
        <v>1.4285714285714284E-3</v>
      </c>
      <c r="P32" s="48">
        <v>1400</v>
      </c>
      <c r="Q32" s="48">
        <f t="shared" si="3"/>
        <v>2891070.0000000005</v>
      </c>
      <c r="R32" s="48">
        <f t="shared" si="4"/>
        <v>0</v>
      </c>
      <c r="S32" s="48">
        <v>0</v>
      </c>
      <c r="T32" s="48">
        <f t="shared" si="5"/>
        <v>2891070.0000000005</v>
      </c>
      <c r="U32" s="48">
        <f t="shared" si="6"/>
        <v>2891070.0000000005</v>
      </c>
    </row>
    <row r="33" spans="1:21" x14ac:dyDescent="0.25">
      <c r="A33" s="48">
        <v>34</v>
      </c>
      <c r="B33" s="48" t="s">
        <v>5</v>
      </c>
      <c r="C33" s="48" t="s">
        <v>84</v>
      </c>
      <c r="D33" s="48">
        <v>5</v>
      </c>
      <c r="E33" s="48"/>
      <c r="F33" s="48" t="s">
        <v>87</v>
      </c>
      <c r="G33" s="48"/>
      <c r="H33" s="48">
        <v>413.01</v>
      </c>
      <c r="I33" s="48">
        <f t="shared" si="11"/>
        <v>2065.0500000000002</v>
      </c>
      <c r="J33" s="48">
        <v>2025</v>
      </c>
      <c r="K33" s="48">
        <v>2025</v>
      </c>
      <c r="L33" s="48">
        <f t="shared" si="1"/>
        <v>0</v>
      </c>
      <c r="M33" s="48">
        <v>70</v>
      </c>
      <c r="N33" s="48">
        <v>0.9</v>
      </c>
      <c r="O33" s="48">
        <f t="shared" si="2"/>
        <v>1.4285714285714284E-3</v>
      </c>
      <c r="P33" s="48">
        <v>1400</v>
      </c>
      <c r="Q33" s="48">
        <f t="shared" si="3"/>
        <v>2891070.0000000005</v>
      </c>
      <c r="R33" s="48">
        <f t="shared" si="4"/>
        <v>0</v>
      </c>
      <c r="S33" s="48">
        <v>0</v>
      </c>
      <c r="T33" s="48">
        <f t="shared" si="5"/>
        <v>2891070.0000000005</v>
      </c>
      <c r="U33" s="48">
        <f t="shared" si="6"/>
        <v>2891070.0000000005</v>
      </c>
    </row>
    <row r="34" spans="1:21" x14ac:dyDescent="0.25">
      <c r="A34" s="48">
        <v>35</v>
      </c>
      <c r="B34" s="48" t="s">
        <v>5</v>
      </c>
      <c r="C34" s="48" t="s">
        <v>85</v>
      </c>
      <c r="D34" s="48">
        <v>5</v>
      </c>
      <c r="E34" s="48"/>
      <c r="F34" s="48" t="s">
        <v>87</v>
      </c>
      <c r="G34" s="48"/>
      <c r="H34" s="48">
        <v>413.01</v>
      </c>
      <c r="I34" s="48">
        <f t="shared" si="11"/>
        <v>2065.0500000000002</v>
      </c>
      <c r="J34" s="48">
        <v>2025</v>
      </c>
      <c r="K34" s="48">
        <v>2025</v>
      </c>
      <c r="L34" s="48">
        <f t="shared" si="1"/>
        <v>0</v>
      </c>
      <c r="M34" s="48">
        <v>70</v>
      </c>
      <c r="N34" s="48">
        <v>0.9</v>
      </c>
      <c r="O34" s="48">
        <f t="shared" si="2"/>
        <v>1.4285714285714284E-3</v>
      </c>
      <c r="P34" s="48">
        <v>1400</v>
      </c>
      <c r="Q34" s="48">
        <f t="shared" si="3"/>
        <v>2891070.0000000005</v>
      </c>
      <c r="R34" s="48">
        <f t="shared" si="4"/>
        <v>0</v>
      </c>
      <c r="S34" s="48">
        <v>0</v>
      </c>
      <c r="T34" s="48">
        <f t="shared" si="5"/>
        <v>2891070.0000000005</v>
      </c>
      <c r="U34" s="48">
        <f t="shared" si="6"/>
        <v>2891070.0000000005</v>
      </c>
    </row>
    <row r="35" spans="1:21" x14ac:dyDescent="0.25">
      <c r="A35" s="48">
        <v>36</v>
      </c>
      <c r="B35" s="48" t="s">
        <v>4</v>
      </c>
      <c r="C35" s="48" t="s">
        <v>84</v>
      </c>
      <c r="D35" s="48">
        <v>1</v>
      </c>
      <c r="E35" s="48"/>
      <c r="F35" s="48" t="s">
        <v>87</v>
      </c>
      <c r="G35" s="48"/>
      <c r="H35" s="48">
        <v>446.6</v>
      </c>
      <c r="I35" s="48">
        <f t="shared" si="11"/>
        <v>446.6</v>
      </c>
      <c r="J35" s="48">
        <v>2025</v>
      </c>
      <c r="K35" s="48">
        <v>2025</v>
      </c>
      <c r="L35" s="48">
        <f t="shared" si="1"/>
        <v>0</v>
      </c>
      <c r="M35" s="48">
        <v>70</v>
      </c>
      <c r="N35" s="48">
        <v>0.9</v>
      </c>
      <c r="O35" s="48">
        <f t="shared" si="2"/>
        <v>1.4285714285714284E-3</v>
      </c>
      <c r="P35" s="48">
        <v>1400</v>
      </c>
      <c r="Q35" s="48">
        <f t="shared" si="3"/>
        <v>625240</v>
      </c>
      <c r="R35" s="48">
        <f t="shared" si="4"/>
        <v>0</v>
      </c>
      <c r="S35" s="48">
        <v>0</v>
      </c>
      <c r="T35" s="48">
        <f t="shared" si="5"/>
        <v>625240</v>
      </c>
      <c r="U35" s="48">
        <f t="shared" si="6"/>
        <v>625240</v>
      </c>
    </row>
    <row r="36" spans="1:21" x14ac:dyDescent="0.25">
      <c r="A36" s="48">
        <v>37</v>
      </c>
      <c r="B36" s="48" t="s">
        <v>4</v>
      </c>
      <c r="C36" s="48" t="s">
        <v>84</v>
      </c>
      <c r="D36" s="48">
        <v>1</v>
      </c>
      <c r="E36" s="48"/>
      <c r="F36" s="48" t="s">
        <v>87</v>
      </c>
      <c r="G36" s="48"/>
      <c r="H36" s="48">
        <v>463.93</v>
      </c>
      <c r="I36" s="48">
        <f t="shared" si="11"/>
        <v>463.93</v>
      </c>
      <c r="J36" s="48">
        <v>2025</v>
      </c>
      <c r="K36" s="48">
        <v>2025</v>
      </c>
      <c r="L36" s="48">
        <f t="shared" si="1"/>
        <v>0</v>
      </c>
      <c r="M36" s="48">
        <v>70</v>
      </c>
      <c r="N36" s="48">
        <v>0.9</v>
      </c>
      <c r="O36" s="48">
        <f t="shared" si="2"/>
        <v>1.4285714285714284E-3</v>
      </c>
      <c r="P36" s="48">
        <v>1400</v>
      </c>
      <c r="Q36" s="48">
        <f t="shared" si="3"/>
        <v>649502</v>
      </c>
      <c r="R36" s="48">
        <f t="shared" si="4"/>
        <v>0</v>
      </c>
      <c r="S36" s="48">
        <v>0</v>
      </c>
      <c r="T36" s="48">
        <f t="shared" si="5"/>
        <v>649502</v>
      </c>
      <c r="U36" s="48">
        <f t="shared" si="6"/>
        <v>649502</v>
      </c>
    </row>
    <row r="37" spans="1:21" x14ac:dyDescent="0.25">
      <c r="A37" s="48">
        <v>38</v>
      </c>
      <c r="B37" s="48" t="s">
        <v>4</v>
      </c>
      <c r="C37" s="48" t="s">
        <v>84</v>
      </c>
      <c r="D37" s="48">
        <v>1</v>
      </c>
      <c r="E37" s="48"/>
      <c r="F37" s="48" t="s">
        <v>87</v>
      </c>
      <c r="G37" s="48"/>
      <c r="H37" s="48">
        <v>437.02</v>
      </c>
      <c r="I37" s="48">
        <f t="shared" si="11"/>
        <v>437.02</v>
      </c>
      <c r="J37" s="48">
        <v>2025</v>
      </c>
      <c r="K37" s="48">
        <v>2025</v>
      </c>
      <c r="L37" s="48">
        <f t="shared" si="1"/>
        <v>0</v>
      </c>
      <c r="M37" s="48">
        <v>70</v>
      </c>
      <c r="N37" s="48">
        <v>0.9</v>
      </c>
      <c r="O37" s="48">
        <f t="shared" si="2"/>
        <v>1.4285714285714284E-3</v>
      </c>
      <c r="P37" s="48">
        <v>1400</v>
      </c>
      <c r="Q37" s="48">
        <f t="shared" si="3"/>
        <v>611828</v>
      </c>
      <c r="R37" s="48">
        <f t="shared" si="4"/>
        <v>0</v>
      </c>
      <c r="S37" s="48">
        <v>0</v>
      </c>
      <c r="T37" s="48">
        <f t="shared" si="5"/>
        <v>611828</v>
      </c>
      <c r="U37" s="48">
        <f t="shared" si="6"/>
        <v>611828</v>
      </c>
    </row>
    <row r="38" spans="1:21" x14ac:dyDescent="0.25">
      <c r="A38" s="48">
        <v>39</v>
      </c>
      <c r="B38" s="48" t="s">
        <v>4</v>
      </c>
      <c r="C38" s="48" t="s">
        <v>84</v>
      </c>
      <c r="D38" s="48">
        <v>1</v>
      </c>
      <c r="E38" s="48"/>
      <c r="F38" s="48" t="s">
        <v>87</v>
      </c>
      <c r="G38" s="48"/>
      <c r="H38" s="48">
        <v>437.02</v>
      </c>
      <c r="I38" s="48">
        <f t="shared" si="11"/>
        <v>437.02</v>
      </c>
      <c r="J38" s="48">
        <v>2025</v>
      </c>
      <c r="K38" s="48">
        <v>2025</v>
      </c>
      <c r="L38" s="48">
        <f t="shared" si="1"/>
        <v>0</v>
      </c>
      <c r="M38" s="48">
        <v>70</v>
      </c>
      <c r="N38" s="48">
        <v>0.9</v>
      </c>
      <c r="O38" s="48">
        <f t="shared" si="2"/>
        <v>1.4285714285714284E-3</v>
      </c>
      <c r="P38" s="48">
        <v>1400</v>
      </c>
      <c r="Q38" s="48">
        <f t="shared" si="3"/>
        <v>611828</v>
      </c>
      <c r="R38" s="48">
        <f t="shared" si="4"/>
        <v>0</v>
      </c>
      <c r="S38" s="48">
        <v>0</v>
      </c>
      <c r="T38" s="48">
        <f t="shared" si="5"/>
        <v>611828</v>
      </c>
      <c r="U38" s="48">
        <f t="shared" si="6"/>
        <v>611828</v>
      </c>
    </row>
    <row r="39" spans="1:21" x14ac:dyDescent="0.25">
      <c r="A39" s="48">
        <v>40</v>
      </c>
      <c r="B39" s="48" t="s">
        <v>4</v>
      </c>
      <c r="C39" s="48" t="s">
        <v>84</v>
      </c>
      <c r="D39" s="48">
        <v>1</v>
      </c>
      <c r="E39" s="48"/>
      <c r="F39" s="48" t="s">
        <v>87</v>
      </c>
      <c r="G39" s="48"/>
      <c r="H39" s="48">
        <v>383.2</v>
      </c>
      <c r="I39" s="48">
        <f t="shared" si="11"/>
        <v>383.2</v>
      </c>
      <c r="J39" s="48">
        <v>2025</v>
      </c>
      <c r="K39" s="48">
        <v>2025</v>
      </c>
      <c r="L39" s="48">
        <f t="shared" si="1"/>
        <v>0</v>
      </c>
      <c r="M39" s="48">
        <v>70</v>
      </c>
      <c r="N39" s="48">
        <v>0.9</v>
      </c>
      <c r="O39" s="48">
        <f t="shared" si="2"/>
        <v>1.4285714285714284E-3</v>
      </c>
      <c r="P39" s="48">
        <v>1400</v>
      </c>
      <c r="Q39" s="48">
        <f t="shared" si="3"/>
        <v>536480</v>
      </c>
      <c r="R39" s="48">
        <f t="shared" si="4"/>
        <v>0</v>
      </c>
      <c r="S39" s="48">
        <v>0</v>
      </c>
      <c r="T39" s="48">
        <f t="shared" si="5"/>
        <v>536480</v>
      </c>
      <c r="U39" s="48">
        <f t="shared" si="6"/>
        <v>536480</v>
      </c>
    </row>
    <row r="40" spans="1:21" x14ac:dyDescent="0.25">
      <c r="A40" s="48">
        <v>41</v>
      </c>
      <c r="B40" s="48" t="s">
        <v>4</v>
      </c>
      <c r="C40" s="48" t="s">
        <v>84</v>
      </c>
      <c r="D40" s="48">
        <v>1</v>
      </c>
      <c r="E40" s="48"/>
      <c r="F40" s="48" t="s">
        <v>87</v>
      </c>
      <c r="G40" s="48"/>
      <c r="H40" s="48">
        <v>502.68</v>
      </c>
      <c r="I40" s="48">
        <f t="shared" si="11"/>
        <v>502.68</v>
      </c>
      <c r="J40" s="48">
        <v>2025</v>
      </c>
      <c r="K40" s="48">
        <v>2025</v>
      </c>
      <c r="L40" s="48">
        <f t="shared" si="1"/>
        <v>0</v>
      </c>
      <c r="M40" s="48">
        <v>70</v>
      </c>
      <c r="N40" s="48">
        <v>0.9</v>
      </c>
      <c r="O40" s="48">
        <f t="shared" si="2"/>
        <v>1.4285714285714284E-3</v>
      </c>
      <c r="P40" s="48">
        <v>1400</v>
      </c>
      <c r="Q40" s="48">
        <f t="shared" si="3"/>
        <v>703752</v>
      </c>
      <c r="R40" s="48">
        <f t="shared" si="4"/>
        <v>0</v>
      </c>
      <c r="S40" s="48">
        <v>0</v>
      </c>
      <c r="T40" s="48">
        <f t="shared" si="5"/>
        <v>703752</v>
      </c>
      <c r="U40" s="48">
        <f t="shared" si="6"/>
        <v>703752</v>
      </c>
    </row>
    <row r="41" spans="1:21" x14ac:dyDescent="0.25">
      <c r="A41" s="48">
        <v>42</v>
      </c>
      <c r="B41" s="48" t="s">
        <v>4</v>
      </c>
      <c r="C41" s="48" t="s">
        <v>85</v>
      </c>
      <c r="D41" s="48">
        <v>1</v>
      </c>
      <c r="E41" s="48"/>
      <c r="F41" s="48" t="s">
        <v>87</v>
      </c>
      <c r="G41" s="48"/>
      <c r="H41" s="48">
        <v>446.6</v>
      </c>
      <c r="I41" s="48">
        <f t="shared" si="11"/>
        <v>446.6</v>
      </c>
      <c r="J41" s="48">
        <v>2025</v>
      </c>
      <c r="K41" s="48">
        <v>2025</v>
      </c>
      <c r="L41" s="48">
        <f t="shared" si="1"/>
        <v>0</v>
      </c>
      <c r="M41" s="48">
        <v>70</v>
      </c>
      <c r="N41" s="48">
        <v>0.9</v>
      </c>
      <c r="O41" s="48">
        <f t="shared" si="2"/>
        <v>1.4285714285714284E-3</v>
      </c>
      <c r="P41" s="48">
        <v>1400</v>
      </c>
      <c r="Q41" s="48">
        <f t="shared" si="3"/>
        <v>625240</v>
      </c>
      <c r="R41" s="48">
        <f t="shared" si="4"/>
        <v>0</v>
      </c>
      <c r="S41" s="48">
        <v>0</v>
      </c>
      <c r="T41" s="48">
        <f t="shared" si="5"/>
        <v>625240</v>
      </c>
      <c r="U41" s="48">
        <f t="shared" si="6"/>
        <v>625240</v>
      </c>
    </row>
    <row r="42" spans="1:21" x14ac:dyDescent="0.25">
      <c r="A42" s="48">
        <v>43</v>
      </c>
      <c r="B42" s="48" t="s">
        <v>4</v>
      </c>
      <c r="C42" s="48" t="s">
        <v>85</v>
      </c>
      <c r="D42" s="48">
        <v>1</v>
      </c>
      <c r="E42" s="48"/>
      <c r="F42" s="48" t="s">
        <v>87</v>
      </c>
      <c r="G42" s="48"/>
      <c r="H42" s="48">
        <v>463.93</v>
      </c>
      <c r="I42" s="48">
        <f t="shared" si="11"/>
        <v>463.93</v>
      </c>
      <c r="J42" s="48">
        <v>2025</v>
      </c>
      <c r="K42" s="48">
        <v>2025</v>
      </c>
      <c r="L42" s="48">
        <f t="shared" si="1"/>
        <v>0</v>
      </c>
      <c r="M42" s="48">
        <v>70</v>
      </c>
      <c r="N42" s="48">
        <v>0.9</v>
      </c>
      <c r="O42" s="48">
        <f t="shared" si="2"/>
        <v>1.4285714285714284E-3</v>
      </c>
      <c r="P42" s="48">
        <v>1400</v>
      </c>
      <c r="Q42" s="48">
        <f t="shared" si="3"/>
        <v>649502</v>
      </c>
      <c r="R42" s="48">
        <f t="shared" si="4"/>
        <v>0</v>
      </c>
      <c r="S42" s="48">
        <v>0</v>
      </c>
      <c r="T42" s="48">
        <f t="shared" si="5"/>
        <v>649502</v>
      </c>
      <c r="U42" s="48">
        <f t="shared" si="6"/>
        <v>649502</v>
      </c>
    </row>
    <row r="43" spans="1:21" x14ac:dyDescent="0.25">
      <c r="A43" s="48">
        <v>44</v>
      </c>
      <c r="B43" s="48" t="s">
        <v>4</v>
      </c>
      <c r="C43" s="48" t="s">
        <v>85</v>
      </c>
      <c r="D43" s="48">
        <v>1</v>
      </c>
      <c r="E43" s="48"/>
      <c r="F43" s="48" t="s">
        <v>87</v>
      </c>
      <c r="G43" s="48"/>
      <c r="H43" s="48">
        <v>437.02</v>
      </c>
      <c r="I43" s="48">
        <f t="shared" si="11"/>
        <v>437.02</v>
      </c>
      <c r="J43" s="48">
        <v>2025</v>
      </c>
      <c r="K43" s="48">
        <v>2025</v>
      </c>
      <c r="L43" s="48">
        <f t="shared" si="1"/>
        <v>0</v>
      </c>
      <c r="M43" s="48">
        <v>70</v>
      </c>
      <c r="N43" s="48">
        <v>0.9</v>
      </c>
      <c r="O43" s="48">
        <f t="shared" si="2"/>
        <v>1.4285714285714284E-3</v>
      </c>
      <c r="P43" s="48">
        <v>1400</v>
      </c>
      <c r="Q43" s="48">
        <f t="shared" si="3"/>
        <v>611828</v>
      </c>
      <c r="R43" s="48">
        <f t="shared" si="4"/>
        <v>0</v>
      </c>
      <c r="S43" s="48">
        <v>0</v>
      </c>
      <c r="T43" s="48">
        <f t="shared" si="5"/>
        <v>611828</v>
      </c>
      <c r="U43" s="48">
        <f t="shared" si="6"/>
        <v>611828</v>
      </c>
    </row>
    <row r="44" spans="1:21" x14ac:dyDescent="0.25">
      <c r="A44" s="48">
        <v>45</v>
      </c>
      <c r="B44" s="48" t="s">
        <v>4</v>
      </c>
      <c r="C44" s="48" t="s">
        <v>85</v>
      </c>
      <c r="D44" s="48">
        <v>1</v>
      </c>
      <c r="E44" s="48"/>
      <c r="F44" s="48" t="s">
        <v>87</v>
      </c>
      <c r="G44" s="48"/>
      <c r="H44" s="48">
        <v>437.02</v>
      </c>
      <c r="I44" s="48">
        <f t="shared" si="11"/>
        <v>437.02</v>
      </c>
      <c r="J44" s="48">
        <v>2025</v>
      </c>
      <c r="K44" s="48">
        <v>2025</v>
      </c>
      <c r="L44" s="48">
        <f t="shared" si="1"/>
        <v>0</v>
      </c>
      <c r="M44" s="48">
        <v>70</v>
      </c>
      <c r="N44" s="48">
        <v>0.9</v>
      </c>
      <c r="O44" s="48">
        <f t="shared" si="2"/>
        <v>1.4285714285714284E-3</v>
      </c>
      <c r="P44" s="48">
        <v>1400</v>
      </c>
      <c r="Q44" s="48">
        <f t="shared" si="3"/>
        <v>611828</v>
      </c>
      <c r="R44" s="48">
        <f t="shared" si="4"/>
        <v>0</v>
      </c>
      <c r="S44" s="48">
        <v>0</v>
      </c>
      <c r="T44" s="48">
        <f t="shared" si="5"/>
        <v>611828</v>
      </c>
      <c r="U44" s="48">
        <f t="shared" si="6"/>
        <v>611828</v>
      </c>
    </row>
    <row r="45" spans="1:21" x14ac:dyDescent="0.25">
      <c r="A45" s="48">
        <v>46</v>
      </c>
      <c r="B45" s="48" t="s">
        <v>4</v>
      </c>
      <c r="C45" s="48" t="s">
        <v>85</v>
      </c>
      <c r="D45" s="48">
        <v>1</v>
      </c>
      <c r="E45" s="48"/>
      <c r="F45" s="48" t="s">
        <v>87</v>
      </c>
      <c r="G45" s="48"/>
      <c r="H45" s="48">
        <v>383.2</v>
      </c>
      <c r="I45" s="48">
        <f t="shared" si="11"/>
        <v>383.2</v>
      </c>
      <c r="J45" s="48">
        <v>2025</v>
      </c>
      <c r="K45" s="48">
        <v>2025</v>
      </c>
      <c r="L45" s="48">
        <f t="shared" si="1"/>
        <v>0</v>
      </c>
      <c r="M45" s="48">
        <v>70</v>
      </c>
      <c r="N45" s="48">
        <v>0.9</v>
      </c>
      <c r="O45" s="48">
        <f t="shared" si="2"/>
        <v>1.4285714285714284E-3</v>
      </c>
      <c r="P45" s="48">
        <v>1400</v>
      </c>
      <c r="Q45" s="48">
        <f t="shared" si="3"/>
        <v>536480</v>
      </c>
      <c r="R45" s="48">
        <f t="shared" si="4"/>
        <v>0</v>
      </c>
      <c r="S45" s="48">
        <v>0</v>
      </c>
      <c r="T45" s="48">
        <f t="shared" si="5"/>
        <v>536480</v>
      </c>
      <c r="U45" s="48">
        <f t="shared" si="6"/>
        <v>536480</v>
      </c>
    </row>
    <row r="46" spans="1:21" x14ac:dyDescent="0.25">
      <c r="A46" s="48">
        <v>47</v>
      </c>
      <c r="B46" s="48" t="s">
        <v>4</v>
      </c>
      <c r="C46" s="48" t="s">
        <v>85</v>
      </c>
      <c r="D46" s="48">
        <v>1</v>
      </c>
      <c r="E46" s="48"/>
      <c r="F46" s="48" t="s">
        <v>87</v>
      </c>
      <c r="G46" s="48"/>
      <c r="H46" s="48">
        <v>502.68</v>
      </c>
      <c r="I46" s="48">
        <f t="shared" si="11"/>
        <v>502.68</v>
      </c>
      <c r="J46" s="48">
        <v>2025</v>
      </c>
      <c r="K46" s="48">
        <v>2025</v>
      </c>
      <c r="L46" s="48">
        <f t="shared" si="1"/>
        <v>0</v>
      </c>
      <c r="M46" s="48">
        <v>70</v>
      </c>
      <c r="N46" s="48">
        <v>0.9</v>
      </c>
      <c r="O46" s="48">
        <f t="shared" si="2"/>
        <v>1.4285714285714284E-3</v>
      </c>
      <c r="P46" s="48">
        <v>1400</v>
      </c>
      <c r="Q46" s="48">
        <f t="shared" si="3"/>
        <v>703752</v>
      </c>
      <c r="R46" s="48">
        <f t="shared" si="4"/>
        <v>0</v>
      </c>
      <c r="S46" s="48">
        <v>0</v>
      </c>
      <c r="T46" s="48">
        <f t="shared" si="5"/>
        <v>703752</v>
      </c>
      <c r="U46" s="48">
        <f t="shared" si="6"/>
        <v>703752</v>
      </c>
    </row>
    <row r="47" spans="1:21" x14ac:dyDescent="0.25">
      <c r="A47" s="48">
        <v>48</v>
      </c>
      <c r="B47" s="48" t="s">
        <v>4</v>
      </c>
      <c r="C47" s="48" t="s">
        <v>86</v>
      </c>
      <c r="D47" s="48">
        <v>1</v>
      </c>
      <c r="E47" s="48"/>
      <c r="F47" s="48" t="s">
        <v>87</v>
      </c>
      <c r="G47" s="48"/>
      <c r="H47" s="48">
        <v>645.52</v>
      </c>
      <c r="I47" s="48">
        <f t="shared" si="11"/>
        <v>645.52</v>
      </c>
      <c r="J47" s="48">
        <v>2025</v>
      </c>
      <c r="K47" s="48">
        <v>2025</v>
      </c>
      <c r="L47" s="48">
        <f t="shared" si="1"/>
        <v>0</v>
      </c>
      <c r="M47" s="48">
        <v>70</v>
      </c>
      <c r="N47" s="48">
        <v>0.9</v>
      </c>
      <c r="O47" s="48">
        <f t="shared" si="2"/>
        <v>1.4285714285714284E-3</v>
      </c>
      <c r="P47" s="48">
        <v>1400</v>
      </c>
      <c r="Q47" s="48">
        <f t="shared" si="3"/>
        <v>903728</v>
      </c>
      <c r="R47" s="48">
        <f t="shared" si="4"/>
        <v>0</v>
      </c>
      <c r="S47" s="48">
        <v>0</v>
      </c>
      <c r="T47" s="48">
        <f t="shared" si="5"/>
        <v>903728</v>
      </c>
      <c r="U47" s="48">
        <f t="shared" si="6"/>
        <v>903728</v>
      </c>
    </row>
    <row r="48" spans="1:21" x14ac:dyDescent="0.25">
      <c r="A48" s="48">
        <v>49</v>
      </c>
      <c r="B48" s="48" t="s">
        <v>4</v>
      </c>
      <c r="C48" s="48" t="s">
        <v>86</v>
      </c>
      <c r="D48" s="48">
        <v>1</v>
      </c>
      <c r="E48" s="48"/>
      <c r="F48" s="48" t="s">
        <v>87</v>
      </c>
      <c r="G48" s="48"/>
      <c r="H48" s="48">
        <v>462.85</v>
      </c>
      <c r="I48" s="48">
        <f t="shared" si="11"/>
        <v>462.85</v>
      </c>
      <c r="J48" s="48">
        <v>2025</v>
      </c>
      <c r="K48" s="48">
        <v>2025</v>
      </c>
      <c r="L48" s="48">
        <f t="shared" si="1"/>
        <v>0</v>
      </c>
      <c r="M48" s="48">
        <v>70</v>
      </c>
      <c r="N48" s="48">
        <v>0.9</v>
      </c>
      <c r="O48" s="48">
        <f t="shared" si="2"/>
        <v>1.4285714285714284E-3</v>
      </c>
      <c r="P48" s="48">
        <v>1400</v>
      </c>
      <c r="Q48" s="48">
        <f t="shared" si="3"/>
        <v>647990</v>
      </c>
      <c r="R48" s="48">
        <f t="shared" si="4"/>
        <v>0</v>
      </c>
      <c r="S48" s="48">
        <v>0</v>
      </c>
      <c r="T48" s="48">
        <f t="shared" si="5"/>
        <v>647990</v>
      </c>
      <c r="U48" s="48">
        <f t="shared" si="6"/>
        <v>647990</v>
      </c>
    </row>
    <row r="49" spans="1:22" ht="15.75" thickBot="1" x14ac:dyDescent="0.3">
      <c r="A49" s="69">
        <v>50</v>
      </c>
      <c r="B49" s="69" t="s">
        <v>4</v>
      </c>
      <c r="C49" s="69" t="s">
        <v>86</v>
      </c>
      <c r="D49" s="69">
        <v>1</v>
      </c>
      <c r="E49" s="69"/>
      <c r="F49" s="69" t="s">
        <v>87</v>
      </c>
      <c r="G49" s="69"/>
      <c r="H49" s="69">
        <v>437.02</v>
      </c>
      <c r="I49" s="69">
        <f t="shared" si="11"/>
        <v>437.02</v>
      </c>
      <c r="J49" s="69">
        <v>2025</v>
      </c>
      <c r="K49" s="69">
        <v>2025</v>
      </c>
      <c r="L49" s="69">
        <f t="shared" si="1"/>
        <v>0</v>
      </c>
      <c r="M49" s="69">
        <v>70</v>
      </c>
      <c r="N49" s="69">
        <v>0.9</v>
      </c>
      <c r="O49" s="69">
        <f t="shared" si="2"/>
        <v>1.4285714285714284E-3</v>
      </c>
      <c r="P49" s="69">
        <v>1400</v>
      </c>
      <c r="Q49" s="69">
        <f t="shared" si="3"/>
        <v>611828</v>
      </c>
      <c r="R49" s="48">
        <f t="shared" si="4"/>
        <v>0</v>
      </c>
      <c r="S49" s="48">
        <v>0</v>
      </c>
      <c r="T49" s="48">
        <f t="shared" si="5"/>
        <v>611828</v>
      </c>
      <c r="U49" s="48">
        <f t="shared" si="6"/>
        <v>611828</v>
      </c>
    </row>
    <row r="50" spans="1:22" ht="15.75" thickBot="1" x14ac:dyDescent="0.3">
      <c r="A50" s="214" t="s">
        <v>16</v>
      </c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6"/>
      <c r="Q50" s="73">
        <f>SUM(Q3:Q49)</f>
        <v>510147569.26240003</v>
      </c>
      <c r="R50" s="11"/>
      <c r="S50" s="11"/>
      <c r="T50" s="11"/>
      <c r="U50" s="72">
        <f>SUM(U3:U49)</f>
        <v>510147569.26240003</v>
      </c>
    </row>
    <row r="53" spans="1:22" x14ac:dyDescent="0.25">
      <c r="P53" s="44">
        <v>7.0000000000000007E-2</v>
      </c>
      <c r="Q53" s="3">
        <f>P53*Q50</f>
        <v>35710329.848368004</v>
      </c>
    </row>
    <row r="54" spans="1:22" x14ac:dyDescent="0.25">
      <c r="P54" s="44">
        <v>0.09</v>
      </c>
      <c r="Q54" s="3">
        <f>Q50*P54</f>
        <v>45913281.233616002</v>
      </c>
    </row>
    <row r="55" spans="1:22" x14ac:dyDescent="0.25">
      <c r="P55" s="44">
        <v>0.05</v>
      </c>
      <c r="Q55" s="3">
        <f>P55*Q50</f>
        <v>25507378.463120002</v>
      </c>
    </row>
    <row r="57" spans="1:22" x14ac:dyDescent="0.25">
      <c r="Q57" s="3">
        <f>Q55+Q54+21892500</f>
        <v>93313159.696736008</v>
      </c>
    </row>
    <row r="59" spans="1:22" x14ac:dyDescent="0.25">
      <c r="Q59" s="46">
        <f>1386968194+Q57+Q50</f>
        <v>1990428922.959136</v>
      </c>
    </row>
    <row r="60" spans="1:22" x14ac:dyDescent="0.25">
      <c r="Q60" s="46">
        <f>ROUND(Q59,-6)</f>
        <v>1990000000</v>
      </c>
    </row>
    <row r="61" spans="1:22" x14ac:dyDescent="0.25">
      <c r="Q61">
        <f>195*10^7</f>
        <v>1950000000</v>
      </c>
      <c r="V61" s="44">
        <v>0.85</v>
      </c>
    </row>
    <row r="62" spans="1:22" x14ac:dyDescent="0.25">
      <c r="V62" s="44">
        <v>0.75</v>
      </c>
    </row>
    <row r="63" spans="1:22" x14ac:dyDescent="0.25">
      <c r="Q63" s="43">
        <f>Q61*V61</f>
        <v>1657500000</v>
      </c>
    </row>
    <row r="64" spans="1:22" x14ac:dyDescent="0.25">
      <c r="Q64" s="43">
        <f>Q61*V62</f>
        <v>1462500000</v>
      </c>
    </row>
  </sheetData>
  <mergeCells count="2">
    <mergeCell ref="A1:U1"/>
    <mergeCell ref="A50:P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9"/>
  <sheetViews>
    <sheetView topLeftCell="A4" workbookViewId="0">
      <selection activeCell="M21" sqref="M21"/>
    </sheetView>
  </sheetViews>
  <sheetFormatPr defaultRowHeight="15" x14ac:dyDescent="0.25"/>
  <cols>
    <col min="2" max="2" width="34.140625" customWidth="1"/>
    <col min="3" max="3" width="33.140625" customWidth="1"/>
    <col min="4" max="4" width="25" bestFit="1" customWidth="1"/>
    <col min="5" max="5" width="10" bestFit="1" customWidth="1"/>
    <col min="6" max="6" width="12.7109375" bestFit="1" customWidth="1"/>
    <col min="8" max="8" width="20.7109375" bestFit="1" customWidth="1"/>
    <col min="13" max="13" width="14.28515625" bestFit="1" customWidth="1"/>
  </cols>
  <sheetData>
    <row r="2" spans="2:24" ht="15.75" thickBot="1" x14ac:dyDescent="0.3"/>
    <row r="3" spans="2:24" ht="16.5" thickBot="1" x14ac:dyDescent="0.3">
      <c r="B3" s="222" t="s">
        <v>89</v>
      </c>
      <c r="C3" s="223"/>
      <c r="D3" s="223"/>
      <c r="E3" s="223"/>
      <c r="F3" s="224"/>
    </row>
    <row r="4" spans="2:24" ht="16.5" thickBot="1" x14ac:dyDescent="0.3">
      <c r="B4" s="51" t="s">
        <v>90</v>
      </c>
      <c r="C4" s="52" t="s">
        <v>91</v>
      </c>
      <c r="D4" s="52" t="s">
        <v>92</v>
      </c>
      <c r="E4" s="52"/>
      <c r="F4" s="53" t="s">
        <v>93</v>
      </c>
    </row>
    <row r="5" spans="2:24" ht="30" x14ac:dyDescent="0.25">
      <c r="B5" s="54" t="s">
        <v>94</v>
      </c>
      <c r="C5" s="55" t="s">
        <v>95</v>
      </c>
      <c r="D5" s="55" t="s">
        <v>96</v>
      </c>
      <c r="E5" s="55">
        <v>600</v>
      </c>
      <c r="F5" s="56">
        <v>400</v>
      </c>
      <c r="H5" s="75" t="s">
        <v>57</v>
      </c>
      <c r="I5" s="76" t="s">
        <v>91</v>
      </c>
      <c r="J5" s="76" t="s">
        <v>97</v>
      </c>
      <c r="K5" s="76" t="s">
        <v>98</v>
      </c>
      <c r="L5" s="76" t="s">
        <v>99</v>
      </c>
      <c r="M5" s="77" t="s">
        <v>100</v>
      </c>
    </row>
    <row r="6" spans="2:24" x14ac:dyDescent="0.25">
      <c r="B6" s="54" t="s">
        <v>101</v>
      </c>
      <c r="C6" s="55" t="s">
        <v>95</v>
      </c>
      <c r="D6" s="55" t="s">
        <v>96</v>
      </c>
      <c r="E6" s="55">
        <v>600</v>
      </c>
      <c r="F6" s="56">
        <v>350</v>
      </c>
      <c r="H6" s="225" t="s">
        <v>82</v>
      </c>
      <c r="I6" s="7" t="s">
        <v>102</v>
      </c>
      <c r="J6" s="7">
        <v>4</v>
      </c>
      <c r="K6" s="7">
        <v>42</v>
      </c>
      <c r="L6" s="7">
        <v>13500</v>
      </c>
      <c r="M6" s="78">
        <f>L6*K6*J6</f>
        <v>2268000</v>
      </c>
    </row>
    <row r="7" spans="2:24" x14ac:dyDescent="0.25">
      <c r="B7" s="54" t="s">
        <v>103</v>
      </c>
      <c r="C7" s="55" t="s">
        <v>104</v>
      </c>
      <c r="D7" s="55"/>
      <c r="E7" s="55"/>
      <c r="F7" s="56"/>
      <c r="H7" s="226"/>
      <c r="I7" s="7" t="s">
        <v>105</v>
      </c>
      <c r="J7" s="7">
        <v>6</v>
      </c>
      <c r="K7" s="7">
        <v>42</v>
      </c>
      <c r="L7" s="7">
        <v>3000</v>
      </c>
      <c r="M7" s="78">
        <f t="shared" ref="M7:M20" si="0">L7*K7*J7</f>
        <v>756000</v>
      </c>
    </row>
    <row r="8" spans="2:24" x14ac:dyDescent="0.25">
      <c r="B8" s="54" t="s">
        <v>106</v>
      </c>
      <c r="C8" s="55"/>
      <c r="D8" s="55" t="s">
        <v>107</v>
      </c>
      <c r="E8" s="55">
        <v>750000</v>
      </c>
      <c r="F8" s="56"/>
      <c r="H8" s="226"/>
      <c r="I8" s="7" t="s">
        <v>108</v>
      </c>
      <c r="J8" s="7">
        <v>5</v>
      </c>
      <c r="K8" s="7">
        <v>42</v>
      </c>
      <c r="L8" s="7">
        <v>3000</v>
      </c>
      <c r="M8" s="78">
        <f t="shared" si="0"/>
        <v>630000</v>
      </c>
    </row>
    <row r="9" spans="2:24" ht="30" x14ac:dyDescent="0.25">
      <c r="B9" s="54" t="s">
        <v>110</v>
      </c>
      <c r="C9" s="55"/>
      <c r="D9" s="55">
        <v>40000</v>
      </c>
      <c r="E9" s="55"/>
      <c r="F9" s="56"/>
      <c r="H9" s="225" t="s">
        <v>111</v>
      </c>
      <c r="I9" s="7" t="s">
        <v>102</v>
      </c>
      <c r="J9" s="7">
        <v>5</v>
      </c>
      <c r="K9" s="7">
        <v>2</v>
      </c>
      <c r="L9" s="7">
        <v>13500</v>
      </c>
      <c r="M9" s="78">
        <f t="shared" si="0"/>
        <v>135000</v>
      </c>
    </row>
    <row r="10" spans="2:24" x14ac:dyDescent="0.25">
      <c r="B10" s="54" t="s">
        <v>112</v>
      </c>
      <c r="C10" s="55" t="s">
        <v>113</v>
      </c>
      <c r="D10" s="55"/>
      <c r="E10" s="55"/>
      <c r="F10" s="56"/>
      <c r="H10" s="226"/>
      <c r="I10" s="7" t="s">
        <v>105</v>
      </c>
      <c r="J10" s="7">
        <v>7</v>
      </c>
      <c r="K10" s="7">
        <v>2</v>
      </c>
      <c r="L10" s="7">
        <v>3000</v>
      </c>
      <c r="M10" s="78">
        <f t="shared" si="0"/>
        <v>42000</v>
      </c>
    </row>
    <row r="11" spans="2:24" ht="30" x14ac:dyDescent="0.25">
      <c r="B11" s="54" t="s">
        <v>114</v>
      </c>
      <c r="C11" s="55" t="s">
        <v>115</v>
      </c>
      <c r="D11" s="55"/>
      <c r="E11" s="55"/>
      <c r="F11" s="56"/>
      <c r="H11" s="226"/>
      <c r="I11" s="7" t="s">
        <v>108</v>
      </c>
      <c r="J11" s="7">
        <v>6</v>
      </c>
      <c r="K11" s="7">
        <v>2</v>
      </c>
      <c r="L11" s="7">
        <v>3000</v>
      </c>
      <c r="M11" s="78">
        <f t="shared" si="0"/>
        <v>36000</v>
      </c>
    </row>
    <row r="12" spans="2:24" x14ac:dyDescent="0.25">
      <c r="B12" s="54" t="s">
        <v>102</v>
      </c>
      <c r="C12" s="55" t="s">
        <v>116</v>
      </c>
      <c r="D12" s="55">
        <v>13500</v>
      </c>
      <c r="E12" s="55"/>
      <c r="F12" s="56"/>
      <c r="H12" s="225" t="s">
        <v>117</v>
      </c>
      <c r="I12" s="7" t="s">
        <v>102</v>
      </c>
      <c r="J12" s="7">
        <v>3</v>
      </c>
      <c r="K12" s="7">
        <v>1</v>
      </c>
      <c r="L12" s="7">
        <v>13500</v>
      </c>
      <c r="M12" s="78">
        <f t="shared" si="0"/>
        <v>40500</v>
      </c>
    </row>
    <row r="13" spans="2:24" x14ac:dyDescent="0.25">
      <c r="B13" s="54" t="s">
        <v>118</v>
      </c>
      <c r="C13" s="55"/>
      <c r="D13" s="55">
        <v>40000</v>
      </c>
      <c r="E13" s="55"/>
      <c r="F13" s="56"/>
      <c r="H13" s="226"/>
      <c r="I13" s="7" t="s">
        <v>108</v>
      </c>
      <c r="J13" s="7">
        <f>5+4</f>
        <v>9</v>
      </c>
      <c r="K13" s="7">
        <v>1</v>
      </c>
      <c r="L13" s="7">
        <v>3000</v>
      </c>
      <c r="M13" s="78">
        <f t="shared" si="0"/>
        <v>27000</v>
      </c>
      <c r="X13" s="3">
        <f>X18+S12+'Additional Cost'!M21</f>
        <v>4392500</v>
      </c>
    </row>
    <row r="14" spans="2:24" x14ac:dyDescent="0.25">
      <c r="B14" s="54" t="s">
        <v>119</v>
      </c>
      <c r="C14" s="55" t="s">
        <v>120</v>
      </c>
      <c r="D14" s="55">
        <v>20000</v>
      </c>
      <c r="E14" s="55"/>
      <c r="F14" s="56"/>
      <c r="H14" s="226"/>
      <c r="I14" s="7" t="s">
        <v>105</v>
      </c>
      <c r="J14" s="7">
        <f>8+6</f>
        <v>14</v>
      </c>
      <c r="K14" s="7">
        <v>1</v>
      </c>
      <c r="L14" s="7">
        <v>3000</v>
      </c>
      <c r="M14" s="78">
        <f t="shared" si="0"/>
        <v>42000</v>
      </c>
    </row>
    <row r="15" spans="2:24" x14ac:dyDescent="0.25">
      <c r="B15" s="54" t="s">
        <v>121</v>
      </c>
      <c r="C15" s="55" t="s">
        <v>122</v>
      </c>
      <c r="D15" s="55">
        <v>3000</v>
      </c>
      <c r="E15" s="55"/>
      <c r="F15" s="56"/>
      <c r="H15" s="227"/>
      <c r="I15" s="7" t="s">
        <v>109</v>
      </c>
      <c r="J15" s="7">
        <v>1</v>
      </c>
      <c r="K15" s="7">
        <v>1</v>
      </c>
      <c r="L15" s="57">
        <v>350000</v>
      </c>
      <c r="M15" s="78">
        <f t="shared" si="0"/>
        <v>350000</v>
      </c>
    </row>
    <row r="16" spans="2:24" ht="15.75" thickBot="1" x14ac:dyDescent="0.3">
      <c r="B16" s="58"/>
      <c r="C16" s="59"/>
      <c r="D16" s="59"/>
      <c r="E16" s="59"/>
      <c r="F16" s="60"/>
      <c r="H16" s="226" t="s">
        <v>141</v>
      </c>
      <c r="I16" s="7" t="s">
        <v>108</v>
      </c>
      <c r="J16" s="7">
        <v>4</v>
      </c>
      <c r="K16" s="7">
        <v>1</v>
      </c>
      <c r="L16" s="7">
        <v>3000</v>
      </c>
      <c r="M16" s="78">
        <f t="shared" si="0"/>
        <v>12000</v>
      </c>
    </row>
    <row r="17" spans="3:13" x14ac:dyDescent="0.25">
      <c r="H17" s="226"/>
      <c r="I17" s="7" t="s">
        <v>105</v>
      </c>
      <c r="J17" s="7">
        <v>6</v>
      </c>
      <c r="K17" s="7">
        <v>1</v>
      </c>
      <c r="L17" s="7">
        <v>3000</v>
      </c>
      <c r="M17" s="78">
        <f t="shared" si="0"/>
        <v>18000</v>
      </c>
    </row>
    <row r="18" spans="3:13" x14ac:dyDescent="0.25">
      <c r="H18" s="217" t="s">
        <v>123</v>
      </c>
      <c r="I18" s="7"/>
      <c r="J18" s="7"/>
      <c r="K18" s="7"/>
      <c r="L18" s="7"/>
      <c r="M18" s="78">
        <f t="shared" si="0"/>
        <v>0</v>
      </c>
    </row>
    <row r="19" spans="3:13" x14ac:dyDescent="0.25">
      <c r="H19" s="218"/>
      <c r="I19" s="7" t="s">
        <v>105</v>
      </c>
      <c r="J19" s="7">
        <v>6</v>
      </c>
      <c r="K19" s="7">
        <v>1</v>
      </c>
      <c r="L19" s="7">
        <v>3000</v>
      </c>
      <c r="M19" s="78">
        <f t="shared" si="0"/>
        <v>18000</v>
      </c>
    </row>
    <row r="20" spans="3:13" ht="15.75" thickBot="1" x14ac:dyDescent="0.3">
      <c r="H20" s="218"/>
      <c r="I20" s="7" t="s">
        <v>108</v>
      </c>
      <c r="J20" s="7">
        <v>6</v>
      </c>
      <c r="K20" s="7">
        <v>1</v>
      </c>
      <c r="L20" s="7">
        <v>3000</v>
      </c>
      <c r="M20" s="78">
        <f t="shared" si="0"/>
        <v>18000</v>
      </c>
    </row>
    <row r="21" spans="3:13" ht="15.75" thickBot="1" x14ac:dyDescent="0.3">
      <c r="H21" s="219" t="s">
        <v>16</v>
      </c>
      <c r="I21" s="220"/>
      <c r="J21" s="220"/>
      <c r="K21" s="220"/>
      <c r="L21" s="221"/>
      <c r="M21" s="74">
        <f>SUM(M6:M20)</f>
        <v>4392500</v>
      </c>
    </row>
    <row r="24" spans="3:13" x14ac:dyDescent="0.25">
      <c r="E24">
        <v>5190.62</v>
      </c>
    </row>
    <row r="25" spans="3:13" x14ac:dyDescent="0.25">
      <c r="D25" t="s">
        <v>124</v>
      </c>
      <c r="E25" t="s">
        <v>125</v>
      </c>
      <c r="F25" t="s">
        <v>126</v>
      </c>
    </row>
    <row r="26" spans="3:13" x14ac:dyDescent="0.25">
      <c r="C26" t="s">
        <v>129</v>
      </c>
      <c r="D26">
        <v>42</v>
      </c>
      <c r="E26">
        <v>169610.18</v>
      </c>
      <c r="F26">
        <v>2000</v>
      </c>
    </row>
    <row r="27" spans="3:13" x14ac:dyDescent="0.25">
      <c r="C27" t="s">
        <v>127</v>
      </c>
      <c r="D27">
        <v>30</v>
      </c>
      <c r="E27">
        <v>13081.440000000002</v>
      </c>
      <c r="F27">
        <v>1400</v>
      </c>
    </row>
    <row r="28" spans="3:13" x14ac:dyDescent="0.25">
      <c r="C28" t="s">
        <v>128</v>
      </c>
      <c r="D28">
        <v>3</v>
      </c>
      <c r="E28">
        <f>1312.56+2113.37+1934.64</f>
        <v>5360.57</v>
      </c>
      <c r="F28">
        <v>2200</v>
      </c>
    </row>
    <row r="29" spans="3:13" x14ac:dyDescent="0.25">
      <c r="C29" t="s">
        <v>111</v>
      </c>
      <c r="D29">
        <v>2</v>
      </c>
      <c r="E29">
        <f>E24*D29</f>
        <v>10381.24</v>
      </c>
      <c r="F29">
        <v>2000</v>
      </c>
    </row>
  </sheetData>
  <mergeCells count="7">
    <mergeCell ref="H18:H20"/>
    <mergeCell ref="H21:L21"/>
    <mergeCell ref="B3:F3"/>
    <mergeCell ref="H6:H8"/>
    <mergeCell ref="H9:H11"/>
    <mergeCell ref="H12:H15"/>
    <mergeCell ref="H16:H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5"/>
  <sheetViews>
    <sheetView workbookViewId="0">
      <selection activeCell="Y18" sqref="Y18"/>
    </sheetView>
  </sheetViews>
  <sheetFormatPr defaultRowHeight="15" x14ac:dyDescent="0.25"/>
  <cols>
    <col min="2" max="2" width="6.85546875" customWidth="1"/>
    <col min="3" max="3" width="11.28515625" style="11" customWidth="1"/>
    <col min="4" max="4" width="13.42578125" customWidth="1"/>
    <col min="5" max="5" width="7.5703125" customWidth="1"/>
    <col min="6" max="6" width="10.5703125" hidden="1" customWidth="1"/>
    <col min="7" max="7" width="11" hidden="1" customWidth="1"/>
    <col min="8" max="8" width="12.7109375" hidden="1" customWidth="1"/>
    <col min="9" max="9" width="12.42578125" hidden="1" customWidth="1"/>
    <col min="10" max="10" width="17.85546875" bestFit="1" customWidth="1"/>
    <col min="11" max="11" width="17.85546875" customWidth="1"/>
    <col min="12" max="12" width="10.5703125" hidden="1" customWidth="1"/>
    <col min="13" max="13" width="9.5703125" hidden="1" customWidth="1"/>
    <col min="14" max="14" width="19.7109375" hidden="1" customWidth="1"/>
    <col min="15" max="15" width="20.7109375" hidden="1" customWidth="1"/>
    <col min="16" max="16" width="10.140625" hidden="1" customWidth="1"/>
    <col min="17" max="17" width="10.7109375" hidden="1" customWidth="1"/>
    <col min="18" max="18" width="14" customWidth="1"/>
    <col min="19" max="19" width="16.85546875" bestFit="1" customWidth="1"/>
    <col min="23" max="25" width="16.85546875" bestFit="1" customWidth="1"/>
    <col min="26" max="26" width="15.28515625" bestFit="1" customWidth="1"/>
    <col min="27" max="27" width="11" bestFit="1" customWidth="1"/>
  </cols>
  <sheetData>
    <row r="1" spans="2:27" ht="16.5" thickBot="1" x14ac:dyDescent="0.3">
      <c r="B1" s="228" t="s">
        <v>207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30"/>
    </row>
    <row r="2" spans="2:27" ht="60" x14ac:dyDescent="0.25">
      <c r="B2" s="63" t="s">
        <v>51</v>
      </c>
      <c r="C2" s="64" t="s">
        <v>57</v>
      </c>
      <c r="D2" s="64" t="s">
        <v>49</v>
      </c>
      <c r="E2" s="64" t="s">
        <v>134</v>
      </c>
      <c r="F2" s="64" t="s">
        <v>47</v>
      </c>
      <c r="G2" s="64" t="s">
        <v>46</v>
      </c>
      <c r="H2" s="64" t="s">
        <v>45</v>
      </c>
      <c r="I2" s="64" t="s">
        <v>44</v>
      </c>
      <c r="J2" s="64" t="s">
        <v>133</v>
      </c>
      <c r="K2" s="64" t="s">
        <v>210</v>
      </c>
      <c r="L2" s="64" t="s">
        <v>42</v>
      </c>
      <c r="M2" s="65" t="s">
        <v>41</v>
      </c>
      <c r="N2" s="64" t="s">
        <v>40</v>
      </c>
      <c r="O2" s="64" t="s">
        <v>39</v>
      </c>
      <c r="P2" s="66" t="s">
        <v>38</v>
      </c>
      <c r="Q2" s="66" t="s">
        <v>37</v>
      </c>
      <c r="R2" s="64" t="s">
        <v>36</v>
      </c>
      <c r="S2" s="67" t="s">
        <v>132</v>
      </c>
      <c r="W2">
        <f>323.16+54.65</f>
        <v>377.81</v>
      </c>
    </row>
    <row r="3" spans="2:27" ht="45" x14ac:dyDescent="0.25">
      <c r="B3" s="68">
        <v>1</v>
      </c>
      <c r="C3" s="48" t="s">
        <v>202</v>
      </c>
      <c r="D3" s="48" t="s">
        <v>201</v>
      </c>
      <c r="E3" s="48">
        <v>112</v>
      </c>
      <c r="F3" s="48"/>
      <c r="G3" s="48" t="s">
        <v>87</v>
      </c>
      <c r="H3" s="48">
        <f>186.67+282.15+412.08</f>
        <v>880.89999999999986</v>
      </c>
      <c r="I3" s="48">
        <f>H3*10.764</f>
        <v>9482.0075999999972</v>
      </c>
      <c r="J3" s="187">
        <v>345791.88036000001</v>
      </c>
      <c r="K3" s="48" t="s">
        <v>203</v>
      </c>
      <c r="L3" s="48">
        <v>2025</v>
      </c>
      <c r="M3" s="48">
        <v>2025</v>
      </c>
      <c r="N3" s="48">
        <f>M3-L3</f>
        <v>0</v>
      </c>
      <c r="O3" s="48">
        <v>70</v>
      </c>
      <c r="P3" s="48">
        <v>0.9</v>
      </c>
      <c r="Q3" s="48">
        <f>(1-P3)/O3</f>
        <v>1.4285714285714284E-3</v>
      </c>
      <c r="R3" s="48">
        <v>1800</v>
      </c>
      <c r="S3" s="71">
        <f t="shared" ref="S3:S6" si="0">J3*R3</f>
        <v>622425384.648</v>
      </c>
      <c r="W3">
        <v>1341300000</v>
      </c>
    </row>
    <row r="4" spans="2:27" ht="30" x14ac:dyDescent="0.25">
      <c r="B4" s="68">
        <v>2</v>
      </c>
      <c r="C4" s="48" t="s">
        <v>205</v>
      </c>
      <c r="D4" s="48" t="s">
        <v>204</v>
      </c>
      <c r="E4" s="48">
        <v>57</v>
      </c>
      <c r="F4" s="48"/>
      <c r="G4" s="48" t="s">
        <v>87</v>
      </c>
      <c r="H4" s="48">
        <v>224.08</v>
      </c>
      <c r="I4" s="48">
        <f>H4*10.764</f>
        <v>2411.99712</v>
      </c>
      <c r="J4" s="187">
        <v>57777.158520000005</v>
      </c>
      <c r="K4" s="48" t="s">
        <v>203</v>
      </c>
      <c r="L4" s="48">
        <v>2025</v>
      </c>
      <c r="M4" s="48">
        <v>2025</v>
      </c>
      <c r="N4" s="48">
        <f>M4-L4</f>
        <v>0</v>
      </c>
      <c r="O4" s="48">
        <v>70</v>
      </c>
      <c r="P4" s="48">
        <v>0.9</v>
      </c>
      <c r="Q4" s="48">
        <f>(1-P4)/O4</f>
        <v>1.4285714285714284E-3</v>
      </c>
      <c r="R4" s="62">
        <v>1400</v>
      </c>
      <c r="S4" s="71">
        <f t="shared" si="0"/>
        <v>80888021.928000003</v>
      </c>
      <c r="W4" s="46">
        <f>W3+S8+X14</f>
        <v>2687536540.2684002</v>
      </c>
      <c r="AA4">
        <v>54</v>
      </c>
    </row>
    <row r="5" spans="2:27" ht="30" x14ac:dyDescent="0.25">
      <c r="B5" s="68">
        <v>4</v>
      </c>
      <c r="C5" s="48" t="s">
        <v>199</v>
      </c>
      <c r="D5" s="48" t="s">
        <v>135</v>
      </c>
      <c r="E5" s="48">
        <v>1</v>
      </c>
      <c r="F5" s="48"/>
      <c r="G5" s="48" t="s">
        <v>87</v>
      </c>
      <c r="H5" s="48"/>
      <c r="I5" s="48">
        <v>10532</v>
      </c>
      <c r="J5" s="188">
        <v>13384.38816</v>
      </c>
      <c r="K5" s="48" t="s">
        <v>161</v>
      </c>
      <c r="L5" s="48">
        <v>2025</v>
      </c>
      <c r="M5" s="48">
        <v>2025</v>
      </c>
      <c r="N5" s="48">
        <f>M5-L5</f>
        <v>0</v>
      </c>
      <c r="O5" s="48">
        <v>70</v>
      </c>
      <c r="P5" s="48">
        <v>0.9</v>
      </c>
      <c r="Q5" s="48">
        <f>(1-P5)/O5</f>
        <v>1.4285714285714284E-3</v>
      </c>
      <c r="R5" s="48">
        <v>1800</v>
      </c>
      <c r="S5" s="71">
        <f>J7*R5</f>
        <v>191171998.36799997</v>
      </c>
      <c r="W5">
        <f>9360*262652.364</f>
        <v>2458426127.04</v>
      </c>
      <c r="AA5">
        <f>562.5+210.52</f>
        <v>773.02</v>
      </c>
    </row>
    <row r="6" spans="2:27" ht="75" x14ac:dyDescent="0.25">
      <c r="B6" s="68">
        <v>5</v>
      </c>
      <c r="C6" s="55" t="s">
        <v>200</v>
      </c>
      <c r="D6" s="55"/>
      <c r="E6" s="48">
        <v>1</v>
      </c>
      <c r="F6" s="32"/>
      <c r="G6" s="48" t="s">
        <v>87</v>
      </c>
      <c r="H6" s="32"/>
      <c r="I6" s="32">
        <v>159229</v>
      </c>
      <c r="J6" s="189">
        <v>4066.7468399999998</v>
      </c>
      <c r="K6" s="48" t="s">
        <v>161</v>
      </c>
      <c r="L6" s="48">
        <v>2025</v>
      </c>
      <c r="M6" s="48">
        <v>2025</v>
      </c>
      <c r="N6" s="48">
        <f t="shared" ref="N6:N7" si="1">M6-L6</f>
        <v>0</v>
      </c>
      <c r="O6" s="48">
        <v>70</v>
      </c>
      <c r="P6" s="48">
        <v>0.9</v>
      </c>
      <c r="Q6" s="48">
        <f t="shared" ref="Q6:Q7" si="2">(1-P6)/O6</f>
        <v>1.4285714285714284E-3</v>
      </c>
      <c r="R6" s="48">
        <v>1400</v>
      </c>
      <c r="S6" s="71">
        <f t="shared" si="0"/>
        <v>5693445.5759999994</v>
      </c>
      <c r="W6">
        <v>9360</v>
      </c>
      <c r="X6">
        <v>1670590739.9999998</v>
      </c>
      <c r="AA6">
        <v>561.69000000000005</v>
      </c>
    </row>
    <row r="7" spans="2:27" ht="15.75" thickBot="1" x14ac:dyDescent="0.3">
      <c r="B7" s="68">
        <v>7</v>
      </c>
      <c r="C7" s="55" t="s">
        <v>128</v>
      </c>
      <c r="D7" s="32" t="s">
        <v>128</v>
      </c>
      <c r="E7" s="32">
        <v>2</v>
      </c>
      <c r="F7" s="32"/>
      <c r="G7" s="48" t="s">
        <v>87</v>
      </c>
      <c r="H7" s="32"/>
      <c r="I7" s="32">
        <f>1312.56+2113.37+1934.64</f>
        <v>5360.57</v>
      </c>
      <c r="J7" s="189">
        <v>106206.66575999999</v>
      </c>
      <c r="K7" s="48" t="s">
        <v>161</v>
      </c>
      <c r="L7" s="48">
        <v>2025</v>
      </c>
      <c r="M7" s="48">
        <v>2025</v>
      </c>
      <c r="N7" s="48">
        <f t="shared" si="1"/>
        <v>0</v>
      </c>
      <c r="O7" s="48">
        <v>70</v>
      </c>
      <c r="P7" s="48">
        <v>0.9</v>
      </c>
      <c r="Q7" s="48">
        <f t="shared" si="2"/>
        <v>1.4285714285714284E-3</v>
      </c>
      <c r="R7" s="48">
        <v>2000</v>
      </c>
      <c r="S7" s="71">
        <f>R7*J7</f>
        <v>212413331.51999998</v>
      </c>
      <c r="U7">
        <v>10.763999999999999</v>
      </c>
      <c r="W7" s="79">
        <v>262162973</v>
      </c>
    </row>
    <row r="8" spans="2:27" ht="15.75" thickBot="1" x14ac:dyDescent="0.3">
      <c r="B8" s="219" t="s">
        <v>16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1"/>
      <c r="S8" s="70">
        <f>SUM(S3:S7)</f>
        <v>1112592182.04</v>
      </c>
    </row>
    <row r="10" spans="2:27" x14ac:dyDescent="0.25">
      <c r="J10" s="5" t="e">
        <f>J8-J4-#REF!</f>
        <v>#REF!</v>
      </c>
      <c r="K10" s="5"/>
    </row>
    <row r="11" spans="2:27" x14ac:dyDescent="0.25">
      <c r="R11">
        <v>276834.03732</v>
      </c>
      <c r="W11" s="44">
        <v>7.0000000000000007E-2</v>
      </c>
      <c r="X11" s="46">
        <f>W11*$S$8</f>
        <v>77881452.742799997</v>
      </c>
      <c r="Y11" s="79"/>
      <c r="Z11" s="46"/>
      <c r="AA11">
        <v>1386968194.779</v>
      </c>
    </row>
    <row r="12" spans="2:27" x14ac:dyDescent="0.25">
      <c r="J12">
        <v>6046</v>
      </c>
      <c r="R12" s="5" t="e">
        <f>J3+#REF!+J4</f>
        <v>#REF!</v>
      </c>
      <c r="S12" s="5" t="e">
        <f>R11-R12</f>
        <v>#REF!</v>
      </c>
      <c r="W12" s="44">
        <v>0.09</v>
      </c>
      <c r="X12" s="46">
        <f t="shared" ref="X12:X13" si="3">W12*$S$8</f>
        <v>100133296.3836</v>
      </c>
    </row>
    <row r="13" spans="2:27" x14ac:dyDescent="0.25">
      <c r="W13" s="44">
        <v>0.05</v>
      </c>
      <c r="X13" s="3">
        <f t="shared" si="3"/>
        <v>55629609.101999998</v>
      </c>
      <c r="Z13" s="3"/>
    </row>
    <row r="14" spans="2:27" x14ac:dyDescent="0.25">
      <c r="X14" s="46">
        <f>SUM(X13,X12,X11)</f>
        <v>233644358.22839999</v>
      </c>
      <c r="Z14" s="3"/>
    </row>
    <row r="15" spans="2:27" x14ac:dyDescent="0.25">
      <c r="S15" s="5" t="e">
        <f>S12+S13+S14</f>
        <v>#REF!</v>
      </c>
    </row>
    <row r="16" spans="2:27" x14ac:dyDescent="0.25">
      <c r="J16">
        <f>584*42*10.764/2</f>
        <v>132009.696</v>
      </c>
      <c r="V16">
        <f>49043*10.764</f>
        <v>527898.85199999996</v>
      </c>
      <c r="X16" s="3">
        <f>X6+X14+S8</f>
        <v>3016827280.2683997</v>
      </c>
      <c r="Y16" s="1">
        <v>3050000000</v>
      </c>
    </row>
    <row r="17" spans="19:25" x14ac:dyDescent="0.25">
      <c r="W17" s="44">
        <v>0.9</v>
      </c>
      <c r="X17" s="46">
        <f>X16*W17</f>
        <v>2715144552.24156</v>
      </c>
      <c r="Y17" s="43">
        <f>Y16*W17</f>
        <v>2745000000</v>
      </c>
    </row>
    <row r="18" spans="19:25" x14ac:dyDescent="0.25">
      <c r="W18" s="44">
        <v>0.75</v>
      </c>
      <c r="X18" s="79"/>
      <c r="Y18" s="43">
        <f>W18*Y16</f>
        <v>2287500000</v>
      </c>
    </row>
    <row r="19" spans="19:25" x14ac:dyDescent="0.25">
      <c r="X19" s="79"/>
    </row>
    <row r="20" spans="19:25" x14ac:dyDescent="0.25">
      <c r="X20" s="1"/>
    </row>
    <row r="21" spans="19:25" x14ac:dyDescent="0.25">
      <c r="S21" s="46">
        <f>135*10^7+S8+X11+X12+X13+Y11</f>
        <v>2696236540.2684002</v>
      </c>
    </row>
    <row r="25" spans="19:25" x14ac:dyDescent="0.25">
      <c r="T25">
        <f>692702/4048</f>
        <v>171.12203557312253</v>
      </c>
    </row>
  </sheetData>
  <mergeCells count="2">
    <mergeCell ref="B1:S1"/>
    <mergeCell ref="B8:R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N32"/>
  <sheetViews>
    <sheetView topLeftCell="A13" workbookViewId="0">
      <selection activeCell="O29" sqref="M29:O31"/>
    </sheetView>
  </sheetViews>
  <sheetFormatPr defaultRowHeight="15" x14ac:dyDescent="0.25"/>
  <cols>
    <col min="4" max="4" width="14" bestFit="1" customWidth="1"/>
    <col min="5" max="5" width="17.42578125" customWidth="1"/>
    <col min="6" max="6" width="11" bestFit="1" customWidth="1"/>
    <col min="7" max="7" width="10.7109375" bestFit="1" customWidth="1"/>
    <col min="8" max="8" width="16.85546875" bestFit="1" customWidth="1"/>
    <col min="12" max="12" width="11.7109375" customWidth="1"/>
    <col min="13" max="13" width="16.5703125" customWidth="1"/>
    <col min="14" max="14" width="7.7109375" bestFit="1" customWidth="1"/>
  </cols>
  <sheetData>
    <row r="7" spans="5:14" x14ac:dyDescent="0.25">
      <c r="E7" s="80" t="s">
        <v>144</v>
      </c>
      <c r="F7" s="80" t="s">
        <v>145</v>
      </c>
    </row>
    <row r="8" spans="5:14" x14ac:dyDescent="0.25">
      <c r="E8" s="32" t="s">
        <v>146</v>
      </c>
      <c r="F8" s="32" t="s">
        <v>149</v>
      </c>
    </row>
    <row r="9" spans="5:14" x14ac:dyDescent="0.25">
      <c r="E9" s="32" t="s">
        <v>147</v>
      </c>
      <c r="F9" s="32" t="s">
        <v>150</v>
      </c>
    </row>
    <row r="10" spans="5:14" x14ac:dyDescent="0.25">
      <c r="E10" s="32" t="s">
        <v>148</v>
      </c>
      <c r="F10" s="32" t="s">
        <v>151</v>
      </c>
    </row>
    <row r="13" spans="5:14" ht="15.75" thickBot="1" x14ac:dyDescent="0.3"/>
    <row r="14" spans="5:14" ht="38.25" x14ac:dyDescent="0.25">
      <c r="K14" s="81" t="s">
        <v>51</v>
      </c>
      <c r="L14" s="82" t="s">
        <v>57</v>
      </c>
      <c r="M14" s="82" t="s">
        <v>49</v>
      </c>
      <c r="N14" s="83" t="s">
        <v>134</v>
      </c>
    </row>
    <row r="15" spans="5:14" ht="25.5" x14ac:dyDescent="0.25">
      <c r="K15" s="84">
        <v>1</v>
      </c>
      <c r="L15" s="85" t="s">
        <v>82</v>
      </c>
      <c r="M15" s="85" t="s">
        <v>143</v>
      </c>
      <c r="N15" s="86" t="s">
        <v>142</v>
      </c>
    </row>
    <row r="16" spans="5:14" ht="25.5" x14ac:dyDescent="0.25">
      <c r="K16" s="84">
        <v>2</v>
      </c>
      <c r="L16" s="85" t="s">
        <v>152</v>
      </c>
      <c r="M16" s="85" t="s">
        <v>86</v>
      </c>
      <c r="N16" s="86">
        <v>1</v>
      </c>
    </row>
    <row r="17" spans="4:14" ht="38.25" x14ac:dyDescent="0.25">
      <c r="D17" s="231" t="s">
        <v>160</v>
      </c>
      <c r="E17" s="231"/>
      <c r="F17" s="231"/>
      <c r="G17" s="231"/>
      <c r="H17" s="231"/>
      <c r="K17" s="87">
        <v>3</v>
      </c>
      <c r="L17" s="88" t="s">
        <v>154</v>
      </c>
      <c r="M17" s="88" t="s">
        <v>155</v>
      </c>
      <c r="N17" s="89" t="s">
        <v>88</v>
      </c>
    </row>
    <row r="18" spans="4:14" ht="25.5" x14ac:dyDescent="0.25">
      <c r="D18" s="99" t="s">
        <v>90</v>
      </c>
      <c r="E18" s="99"/>
      <c r="F18" s="99" t="s">
        <v>159</v>
      </c>
      <c r="G18" s="99" t="s">
        <v>156</v>
      </c>
      <c r="H18" s="99" t="s">
        <v>158</v>
      </c>
      <c r="K18" s="84">
        <v>4</v>
      </c>
      <c r="L18" s="85" t="s">
        <v>82</v>
      </c>
      <c r="M18" s="85" t="s">
        <v>135</v>
      </c>
      <c r="N18" s="86">
        <v>1</v>
      </c>
    </row>
    <row r="19" spans="4:14" ht="38.25" x14ac:dyDescent="0.25">
      <c r="D19" s="32" t="s">
        <v>157</v>
      </c>
      <c r="E19" s="32">
        <v>42</v>
      </c>
      <c r="F19" s="97">
        <v>20000</v>
      </c>
      <c r="G19" s="32">
        <v>159228.94000000003</v>
      </c>
      <c r="H19" s="45">
        <f>F19*G19</f>
        <v>3184578800.0000005</v>
      </c>
      <c r="K19" s="84">
        <v>5</v>
      </c>
      <c r="L19" s="90" t="s">
        <v>153</v>
      </c>
      <c r="M19" s="90" t="s">
        <v>138</v>
      </c>
      <c r="N19" s="86">
        <v>42</v>
      </c>
    </row>
    <row r="20" spans="4:14" x14ac:dyDescent="0.25">
      <c r="D20" s="32" t="s">
        <v>4</v>
      </c>
      <c r="E20" s="32">
        <v>15</v>
      </c>
      <c r="F20" s="97">
        <v>20000</v>
      </c>
      <c r="G20" s="32">
        <v>6886.2900000000009</v>
      </c>
      <c r="H20" s="45">
        <f t="shared" ref="H20:H21" si="0">F20*G20</f>
        <v>137725800.00000003</v>
      </c>
      <c r="K20" s="87">
        <v>6</v>
      </c>
      <c r="L20" s="90" t="s">
        <v>127</v>
      </c>
      <c r="M20" s="85" t="s">
        <v>131</v>
      </c>
      <c r="N20" s="91">
        <v>30</v>
      </c>
    </row>
    <row r="21" spans="4:14" x14ac:dyDescent="0.25">
      <c r="D21" s="32" t="s">
        <v>111</v>
      </c>
      <c r="E21" s="32">
        <v>2</v>
      </c>
      <c r="F21" s="97">
        <v>20000</v>
      </c>
      <c r="G21" s="32">
        <v>10381.24</v>
      </c>
      <c r="H21" s="45">
        <f t="shared" si="0"/>
        <v>207624800</v>
      </c>
      <c r="K21" s="87"/>
      <c r="L21" s="90" t="s">
        <v>136</v>
      </c>
      <c r="M21" s="85" t="s">
        <v>137</v>
      </c>
      <c r="N21" s="91">
        <v>1</v>
      </c>
    </row>
    <row r="22" spans="4:14" x14ac:dyDescent="0.25">
      <c r="D22" s="212" t="s">
        <v>16</v>
      </c>
      <c r="E22" s="232"/>
      <c r="F22" s="213"/>
      <c r="G22" s="39">
        <f>SUM(G19:G21)</f>
        <v>176496.47000000003</v>
      </c>
      <c r="H22" s="98">
        <f>SUM(H21,H20,H19)</f>
        <v>3529929400.0000005</v>
      </c>
      <c r="K22" s="84">
        <v>7</v>
      </c>
      <c r="L22" s="90" t="s">
        <v>128</v>
      </c>
      <c r="M22" s="92" t="s">
        <v>128</v>
      </c>
      <c r="N22" s="91">
        <v>3</v>
      </c>
    </row>
    <row r="23" spans="4:14" ht="15.75" thickBot="1" x14ac:dyDescent="0.3">
      <c r="K23" s="93">
        <v>8</v>
      </c>
      <c r="L23" s="94" t="s">
        <v>111</v>
      </c>
      <c r="M23" s="95" t="s">
        <v>130</v>
      </c>
      <c r="N23" s="96">
        <v>2</v>
      </c>
    </row>
    <row r="30" spans="4:14" x14ac:dyDescent="0.25">
      <c r="H30" s="43">
        <f>262652.364*9360</f>
        <v>2458426127.04</v>
      </c>
    </row>
    <row r="31" spans="4:14" x14ac:dyDescent="0.25">
      <c r="H31">
        <v>262162973</v>
      </c>
    </row>
    <row r="32" spans="4:14" x14ac:dyDescent="0.25">
      <c r="H32" s="3">
        <f>H31+H30</f>
        <v>2720589100.04</v>
      </c>
    </row>
  </sheetData>
  <mergeCells count="2">
    <mergeCell ref="D17:H17"/>
    <mergeCell ref="D22:F2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K29"/>
  <sheetViews>
    <sheetView workbookViewId="0">
      <selection activeCell="B8" sqref="B8"/>
    </sheetView>
  </sheetViews>
  <sheetFormatPr defaultRowHeight="15" x14ac:dyDescent="0.25"/>
  <cols>
    <col min="6" max="6" width="14.28515625" bestFit="1" customWidth="1"/>
    <col min="7" max="7" width="15.28515625" bestFit="1" customWidth="1"/>
    <col min="9" max="9" width="11.5703125" bestFit="1" customWidth="1"/>
    <col min="11" max="11" width="15.28515625" bestFit="1" customWidth="1"/>
  </cols>
  <sheetData>
    <row r="7" spans="2:9" x14ac:dyDescent="0.25">
      <c r="B7" t="s">
        <v>165</v>
      </c>
      <c r="F7" t="s">
        <v>162</v>
      </c>
      <c r="H7" t="s">
        <v>128</v>
      </c>
      <c r="I7" t="s">
        <v>206</v>
      </c>
    </row>
    <row r="8" spans="2:9" x14ac:dyDescent="0.25">
      <c r="B8">
        <v>15460</v>
      </c>
      <c r="F8">
        <v>15058.4</v>
      </c>
      <c r="H8">
        <f>4878.39+4988.45</f>
        <v>9866.84</v>
      </c>
      <c r="I8">
        <v>1243.44</v>
      </c>
    </row>
    <row r="9" spans="2:9" x14ac:dyDescent="0.25">
      <c r="F9">
        <v>399.24</v>
      </c>
      <c r="H9">
        <f>H8*10.764</f>
        <v>106206.66575999999</v>
      </c>
      <c r="I9">
        <f>I8*10.764</f>
        <v>13384.38816</v>
      </c>
    </row>
    <row r="10" spans="2:9" x14ac:dyDescent="0.25">
      <c r="F10">
        <f>F9+F8</f>
        <v>15457.64</v>
      </c>
    </row>
    <row r="11" spans="2:9" x14ac:dyDescent="0.25">
      <c r="E11" t="s">
        <v>163</v>
      </c>
    </row>
    <row r="13" spans="2:9" x14ac:dyDescent="0.25">
      <c r="F13" t="s">
        <v>164</v>
      </c>
    </row>
    <row r="14" spans="2:9" x14ac:dyDescent="0.25">
      <c r="F14">
        <v>2097.58</v>
      </c>
    </row>
    <row r="16" spans="2:9" x14ac:dyDescent="0.25">
      <c r="B16" t="s">
        <v>166</v>
      </c>
    </row>
    <row r="17" spans="2:11" x14ac:dyDescent="0.25">
      <c r="B17">
        <v>271</v>
      </c>
      <c r="I17" s="44">
        <v>0.7</v>
      </c>
    </row>
    <row r="18" spans="2:11" x14ac:dyDescent="0.25">
      <c r="F18">
        <f>10*10^7</f>
        <v>100000000</v>
      </c>
      <c r="G18">
        <v>400</v>
      </c>
      <c r="H18">
        <f>F18/G18</f>
        <v>250000</v>
      </c>
      <c r="I18">
        <f>AVERAGE(H18,H19)</f>
        <v>265000</v>
      </c>
      <c r="J18">
        <f>7530*1.196</f>
        <v>9005.8799999999992</v>
      </c>
      <c r="K18">
        <f>58595.81</f>
        <v>58595.81</v>
      </c>
    </row>
    <row r="19" spans="2:11" x14ac:dyDescent="0.25">
      <c r="F19">
        <f>7*10^7</f>
        <v>70000000</v>
      </c>
      <c r="G19">
        <v>250</v>
      </c>
      <c r="H19">
        <f>F19/G19</f>
        <v>280000</v>
      </c>
      <c r="I19" s="43">
        <f>I18*I17</f>
        <v>185500</v>
      </c>
      <c r="K19">
        <v>7530</v>
      </c>
    </row>
    <row r="20" spans="2:11" x14ac:dyDescent="0.25">
      <c r="K20" s="43">
        <f>K19*K18</f>
        <v>441226449.30000001</v>
      </c>
    </row>
    <row r="21" spans="2:11" x14ac:dyDescent="0.25">
      <c r="F21" s="3">
        <f>7530*I19</f>
        <v>1396815000</v>
      </c>
    </row>
    <row r="24" spans="2:11" x14ac:dyDescent="0.25">
      <c r="F24">
        <v>9360</v>
      </c>
      <c r="G24" s="43">
        <f>F24*F25</f>
        <v>459045943.20000005</v>
      </c>
    </row>
    <row r="25" spans="2:11" x14ac:dyDescent="0.25">
      <c r="F25" s="184">
        <v>49043.37</v>
      </c>
    </row>
    <row r="28" spans="2:11" x14ac:dyDescent="0.25">
      <c r="F28">
        <f>15058.4+17348.5</f>
        <v>32406.9</v>
      </c>
    </row>
    <row r="29" spans="2:11" x14ac:dyDescent="0.25">
      <c r="F29">
        <f>10.764*F28</f>
        <v>348827.87160000001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B2:Q30"/>
  <sheetViews>
    <sheetView view="pageBreakPreview" zoomScaleSheetLayoutView="100" workbookViewId="0">
      <pane ySplit="2" topLeftCell="A3" activePane="bottomLeft" state="frozen"/>
      <selection activeCell="Z59" sqref="Z59"/>
      <selection pane="bottomLeft" activeCell="O10" sqref="O10"/>
    </sheetView>
  </sheetViews>
  <sheetFormatPr defaultColWidth="6.42578125" defaultRowHeight="15.75" x14ac:dyDescent="0.25"/>
  <cols>
    <col min="1" max="1" width="1" style="100" customWidth="1"/>
    <col min="2" max="2" width="26.42578125" style="100" customWidth="1"/>
    <col min="3" max="3" width="12.140625" style="100" bestFit="1" customWidth="1"/>
    <col min="4" max="4" width="9.140625" style="100" customWidth="1"/>
    <col min="5" max="5" width="7.28515625" style="100" customWidth="1"/>
    <col min="6" max="6" width="10.5703125" style="100" customWidth="1"/>
    <col min="7" max="7" width="10.28515625" style="100" customWidth="1"/>
    <col min="8" max="8" width="8.28515625" style="100" customWidth="1"/>
    <col min="9" max="9" width="11.7109375" style="100" customWidth="1"/>
    <col min="10" max="10" width="7.7109375" style="100" bestFit="1" customWidth="1"/>
    <col min="11" max="11" width="8.140625" style="100" customWidth="1"/>
    <col min="12" max="12" width="8.28515625" style="100" customWidth="1"/>
    <col min="13" max="13" width="10" style="100" customWidth="1"/>
    <col min="14" max="14" width="8.140625" style="100" customWidth="1"/>
    <col min="15" max="15" width="10.42578125" style="100" customWidth="1"/>
    <col min="16" max="16" width="9" style="100" customWidth="1"/>
    <col min="17" max="17" width="1.7109375" style="100" customWidth="1"/>
    <col min="18" max="16384" width="6.42578125" style="100"/>
  </cols>
  <sheetData>
    <row r="2" spans="2:16" x14ac:dyDescent="0.25">
      <c r="B2" s="182" t="s">
        <v>198</v>
      </c>
    </row>
    <row r="4" spans="2:16" x14ac:dyDescent="0.25">
      <c r="B4" s="100" t="s">
        <v>197</v>
      </c>
      <c r="C4" s="183">
        <v>47118</v>
      </c>
      <c r="H4" s="100" t="s">
        <v>188</v>
      </c>
      <c r="I4" s="178">
        <f>370980</f>
        <v>370980</v>
      </c>
      <c r="J4" s="100" t="s">
        <v>171</v>
      </c>
      <c r="N4" s="182" t="s">
        <v>196</v>
      </c>
    </row>
    <row r="5" spans="2:16" x14ac:dyDescent="0.25">
      <c r="C5" s="183"/>
    </row>
    <row r="6" spans="2:16" x14ac:dyDescent="0.25">
      <c r="B6" s="182" t="s">
        <v>195</v>
      </c>
      <c r="N6" s="181" t="s">
        <v>188</v>
      </c>
      <c r="O6" s="181" t="s">
        <v>194</v>
      </c>
      <c r="P6" s="181" t="s">
        <v>16</v>
      </c>
    </row>
    <row r="7" spans="2:16" x14ac:dyDescent="0.25">
      <c r="B7" s="180" t="s">
        <v>193</v>
      </c>
      <c r="C7" s="179"/>
      <c r="D7" s="175"/>
      <c r="M7" s="100" t="s">
        <v>192</v>
      </c>
      <c r="N7" s="168">
        <v>2952</v>
      </c>
      <c r="O7" s="168">
        <v>42</v>
      </c>
      <c r="P7" s="168">
        <f>O7*N7</f>
        <v>123984</v>
      </c>
    </row>
    <row r="8" spans="2:16" x14ac:dyDescent="0.25">
      <c r="B8" s="100" t="s">
        <v>187</v>
      </c>
      <c r="C8" s="178">
        <f>C12</f>
        <v>387700</v>
      </c>
      <c r="D8" s="100" t="s">
        <v>191</v>
      </c>
      <c r="E8" s="161"/>
      <c r="F8" s="174"/>
      <c r="G8" s="174"/>
      <c r="H8" s="174"/>
      <c r="N8" s="168">
        <v>3142</v>
      </c>
      <c r="O8" s="173">
        <v>70</v>
      </c>
      <c r="P8" s="173">
        <f>O8*N8</f>
        <v>219940</v>
      </c>
    </row>
    <row r="9" spans="2:16" x14ac:dyDescent="0.25">
      <c r="B9" s="100" t="s">
        <v>186</v>
      </c>
      <c r="C9" s="161">
        <f>C15</f>
        <v>280</v>
      </c>
      <c r="D9" s="100" t="s">
        <v>190</v>
      </c>
      <c r="G9" s="174"/>
      <c r="H9" s="174"/>
      <c r="K9" s="177"/>
      <c r="N9" s="169"/>
      <c r="O9" s="168">
        <f>SUM(O7:O8)</f>
        <v>112</v>
      </c>
      <c r="P9" s="168">
        <f>SUM(P7:P8)</f>
        <v>343924</v>
      </c>
    </row>
    <row r="10" spans="2:16" x14ac:dyDescent="0.2">
      <c r="B10" s="176"/>
      <c r="D10" s="175"/>
      <c r="E10" s="153"/>
      <c r="F10" s="153"/>
      <c r="G10" s="174"/>
      <c r="H10" s="174"/>
      <c r="M10" s="100" t="s">
        <v>5</v>
      </c>
      <c r="N10" s="169">
        <v>768</v>
      </c>
      <c r="O10" s="173">
        <v>57</v>
      </c>
      <c r="P10" s="173">
        <f>O10*N10</f>
        <v>43776</v>
      </c>
    </row>
    <row r="11" spans="2:16" x14ac:dyDescent="0.2">
      <c r="B11" s="172" t="s">
        <v>189</v>
      </c>
      <c r="C11" s="171" t="s">
        <v>188</v>
      </c>
      <c r="D11" s="170" t="s">
        <v>182</v>
      </c>
      <c r="E11" s="153"/>
      <c r="F11" s="153"/>
      <c r="G11" s="102"/>
      <c r="N11" s="169"/>
      <c r="O11" s="168">
        <f>O9+O10</f>
        <v>169</v>
      </c>
      <c r="P11" s="168">
        <f>P9+P10</f>
        <v>387700</v>
      </c>
    </row>
    <row r="12" spans="2:16" ht="15.75" customHeight="1" x14ac:dyDescent="0.2">
      <c r="B12" s="133" t="s">
        <v>187</v>
      </c>
      <c r="C12" s="162">
        <f>SUM(C13:C14)</f>
        <v>387700</v>
      </c>
      <c r="D12" s="133" t="s">
        <v>171</v>
      </c>
      <c r="E12" s="153"/>
      <c r="F12" s="153"/>
      <c r="G12" s="101"/>
    </row>
    <row r="13" spans="2:16" x14ac:dyDescent="0.25">
      <c r="B13" s="160" t="s">
        <v>185</v>
      </c>
      <c r="C13" s="167">
        <f>P10</f>
        <v>43776</v>
      </c>
      <c r="D13" s="126" t="s">
        <v>171</v>
      </c>
      <c r="E13" s="166">
        <f>O10</f>
        <v>57</v>
      </c>
      <c r="F13" s="105" t="s">
        <v>167</v>
      </c>
      <c r="G13" s="101"/>
    </row>
    <row r="14" spans="2:16" ht="14.45" customHeight="1" x14ac:dyDescent="0.25">
      <c r="B14" s="156" t="s">
        <v>184</v>
      </c>
      <c r="C14" s="165">
        <f>P9</f>
        <v>343924</v>
      </c>
      <c r="D14" s="154" t="s">
        <v>171</v>
      </c>
      <c r="E14" s="164">
        <f>O9</f>
        <v>112</v>
      </c>
      <c r="F14" s="163" t="s">
        <v>167</v>
      </c>
      <c r="G14" s="101"/>
    </row>
    <row r="15" spans="2:16" x14ac:dyDescent="0.25">
      <c r="B15" s="133" t="s">
        <v>186</v>
      </c>
      <c r="C15" s="162">
        <f>C16+C17</f>
        <v>280</v>
      </c>
      <c r="D15" s="133" t="s">
        <v>167</v>
      </c>
      <c r="E15" s="105">
        <f>SUM(E13:E14)</f>
        <v>169</v>
      </c>
      <c r="F15" s="105" t="s">
        <v>167</v>
      </c>
      <c r="G15" s="161"/>
      <c r="H15" s="101"/>
    </row>
    <row r="16" spans="2:16" x14ac:dyDescent="0.2">
      <c r="B16" s="160" t="s">
        <v>185</v>
      </c>
      <c r="C16" s="159">
        <f>29</f>
        <v>29</v>
      </c>
      <c r="D16" s="158" t="s">
        <v>167</v>
      </c>
      <c r="E16" s="153"/>
      <c r="F16" s="153"/>
      <c r="G16" s="101"/>
      <c r="H16" s="157"/>
    </row>
    <row r="17" spans="2:17" ht="15" customHeight="1" x14ac:dyDescent="0.2">
      <c r="B17" s="156" t="s">
        <v>184</v>
      </c>
      <c r="C17" s="155">
        <f>280-C16</f>
        <v>251</v>
      </c>
      <c r="D17" s="154" t="s">
        <v>167</v>
      </c>
      <c r="E17" s="153"/>
      <c r="F17" s="153"/>
      <c r="G17" s="101"/>
    </row>
    <row r="18" spans="2:17" x14ac:dyDescent="0.25">
      <c r="C18" s="103"/>
      <c r="D18" s="102"/>
      <c r="F18" s="101"/>
      <c r="G18" s="101"/>
    </row>
    <row r="19" spans="2:17" x14ac:dyDescent="0.25">
      <c r="B19" s="152" t="s">
        <v>183</v>
      </c>
      <c r="C19" s="151" t="s">
        <v>145</v>
      </c>
      <c r="D19" s="150" t="s">
        <v>182</v>
      </c>
      <c r="E19" s="239" t="s">
        <v>181</v>
      </c>
      <c r="F19" s="240"/>
      <c r="G19" s="241"/>
      <c r="H19" s="239" t="s">
        <v>180</v>
      </c>
      <c r="I19" s="240"/>
      <c r="J19" s="241"/>
      <c r="K19" s="149" t="s">
        <v>179</v>
      </c>
      <c r="L19" s="239" t="s">
        <v>178</v>
      </c>
      <c r="M19" s="242"/>
      <c r="N19" s="240"/>
      <c r="O19" s="241"/>
    </row>
    <row r="20" spans="2:17" ht="15.6" customHeight="1" x14ac:dyDescent="0.25">
      <c r="B20" s="146" t="s">
        <v>177</v>
      </c>
      <c r="C20" s="145"/>
      <c r="D20" s="144"/>
      <c r="E20" s="236" t="s">
        <v>176</v>
      </c>
      <c r="F20" s="243" t="s">
        <v>174</v>
      </c>
      <c r="G20" s="147" t="s">
        <v>16</v>
      </c>
      <c r="H20" s="236" t="s">
        <v>176</v>
      </c>
      <c r="I20" s="243" t="s">
        <v>174</v>
      </c>
      <c r="J20" s="148" t="s">
        <v>16</v>
      </c>
      <c r="K20" s="105"/>
      <c r="L20" s="236" t="s">
        <v>176</v>
      </c>
      <c r="M20" s="243" t="s">
        <v>174</v>
      </c>
      <c r="N20" s="233" t="s">
        <v>175</v>
      </c>
      <c r="O20" s="236" t="s">
        <v>174</v>
      </c>
      <c r="P20" s="147" t="s">
        <v>16</v>
      </c>
    </row>
    <row r="21" spans="2:17" x14ac:dyDescent="0.25">
      <c r="B21" s="146"/>
      <c r="C21" s="145"/>
      <c r="D21" s="144"/>
      <c r="E21" s="237"/>
      <c r="F21" s="244"/>
      <c r="G21" s="141"/>
      <c r="H21" s="237"/>
      <c r="I21" s="244"/>
      <c r="J21" s="143"/>
      <c r="K21" s="142"/>
      <c r="L21" s="237"/>
      <c r="M21" s="244"/>
      <c r="N21" s="234"/>
      <c r="O21" s="237"/>
      <c r="P21" s="141"/>
    </row>
    <row r="22" spans="2:17" x14ac:dyDescent="0.25">
      <c r="B22" s="140"/>
      <c r="C22" s="139"/>
      <c r="D22" s="138"/>
      <c r="E22" s="238"/>
      <c r="F22" s="245"/>
      <c r="G22" s="135"/>
      <c r="H22" s="238"/>
      <c r="I22" s="245"/>
      <c r="J22" s="137"/>
      <c r="K22" s="136"/>
      <c r="L22" s="238"/>
      <c r="M22" s="245"/>
      <c r="N22" s="235"/>
      <c r="O22" s="238"/>
      <c r="P22" s="135"/>
    </row>
    <row r="23" spans="2:17" x14ac:dyDescent="0.25">
      <c r="B23" s="134" t="s">
        <v>173</v>
      </c>
      <c r="C23" s="129">
        <f>C13</f>
        <v>43776</v>
      </c>
      <c r="D23" s="133" t="s">
        <v>171</v>
      </c>
      <c r="E23" s="132">
        <v>0</v>
      </c>
      <c r="F23" s="131">
        <v>1</v>
      </c>
      <c r="G23" s="130">
        <f>E23+F23</f>
        <v>1</v>
      </c>
      <c r="H23" s="129">
        <f>C23*E23</f>
        <v>0</v>
      </c>
      <c r="I23" s="129">
        <f>C23*F23</f>
        <v>43776</v>
      </c>
      <c r="J23" s="129">
        <f>H23+I23</f>
        <v>43776</v>
      </c>
      <c r="K23" s="129">
        <f>((I23*0.5*K24)+(I23*0.5*6500))/I23</f>
        <v>7550</v>
      </c>
      <c r="L23" s="128">
        <f>K23*H23/10^7</f>
        <v>0</v>
      </c>
      <c r="M23" s="128">
        <f>I23*K23/10^7</f>
        <v>33.050879999999999</v>
      </c>
      <c r="N23" s="120">
        <v>0</v>
      </c>
      <c r="O23" s="128">
        <f>M23-N23</f>
        <v>33.050879999999999</v>
      </c>
      <c r="P23" s="128">
        <f>O23+L23</f>
        <v>33.050879999999999</v>
      </c>
    </row>
    <row r="24" spans="2:17" x14ac:dyDescent="0.25">
      <c r="B24" s="124" t="s">
        <v>172</v>
      </c>
      <c r="C24" s="121">
        <f>C14</f>
        <v>343924</v>
      </c>
      <c r="D24" s="126" t="s">
        <v>171</v>
      </c>
      <c r="E24" s="123">
        <v>0</v>
      </c>
      <c r="F24" s="123">
        <v>1</v>
      </c>
      <c r="G24" s="122">
        <f>F24+E24</f>
        <v>1</v>
      </c>
      <c r="H24" s="121">
        <f>C24*E24</f>
        <v>0</v>
      </c>
      <c r="I24" s="121">
        <f>C24*F24</f>
        <v>343924</v>
      </c>
      <c r="J24" s="121">
        <f>H24+I24</f>
        <v>343924</v>
      </c>
      <c r="K24" s="121">
        <f>((I24*0.4*8000)+(I24*0.6*9000))/I24</f>
        <v>8600</v>
      </c>
      <c r="L24" s="120">
        <f>K24*H24/10^7</f>
        <v>0</v>
      </c>
      <c r="M24" s="120">
        <f>I24*K24/10^7</f>
        <v>295.77463999999998</v>
      </c>
      <c r="N24" s="120">
        <v>0</v>
      </c>
      <c r="O24" s="120">
        <f>M24-N24</f>
        <v>295.77463999999998</v>
      </c>
      <c r="P24" s="120">
        <f>O24+L24</f>
        <v>295.77463999999998</v>
      </c>
      <c r="Q24" s="127"/>
    </row>
    <row r="25" spans="2:17" x14ac:dyDescent="0.25">
      <c r="B25" s="124" t="s">
        <v>170</v>
      </c>
      <c r="C25" s="121">
        <f>C16</f>
        <v>29</v>
      </c>
      <c r="D25" s="126" t="s">
        <v>167</v>
      </c>
      <c r="E25" s="123">
        <v>0</v>
      </c>
      <c r="F25" s="123">
        <v>1</v>
      </c>
      <c r="G25" s="122">
        <f>F25+E25</f>
        <v>1</v>
      </c>
      <c r="H25" s="121">
        <f>C25*E25</f>
        <v>0</v>
      </c>
      <c r="I25" s="121">
        <f>C25*F25</f>
        <v>29</v>
      </c>
      <c r="J25" s="121">
        <f>H25+I25</f>
        <v>29</v>
      </c>
      <c r="K25" s="121">
        <v>350000</v>
      </c>
      <c r="L25" s="120">
        <f>K25*H25/10^7</f>
        <v>0</v>
      </c>
      <c r="M25" s="120">
        <f>I25*K25/10^7</f>
        <v>1.0149999999999999</v>
      </c>
      <c r="N25" s="120">
        <v>0</v>
      </c>
      <c r="O25" s="120">
        <f>M25-N25</f>
        <v>1.0149999999999999</v>
      </c>
      <c r="P25" s="120">
        <f>O25+L25</f>
        <v>1.0149999999999999</v>
      </c>
      <c r="Q25" s="125"/>
    </row>
    <row r="26" spans="2:17" x14ac:dyDescent="0.25">
      <c r="B26" s="124" t="s">
        <v>169</v>
      </c>
      <c r="C26" s="121">
        <f>C17-E14</f>
        <v>139</v>
      </c>
      <c r="D26" s="124" t="s">
        <v>167</v>
      </c>
      <c r="E26" s="123">
        <v>0</v>
      </c>
      <c r="F26" s="123">
        <v>1</v>
      </c>
      <c r="G26" s="122">
        <f>E26+F26</f>
        <v>1</v>
      </c>
      <c r="H26" s="121">
        <f>C26*E26</f>
        <v>0</v>
      </c>
      <c r="I26" s="121">
        <f>C26*F26</f>
        <v>139</v>
      </c>
      <c r="J26" s="121">
        <f>H26+I26</f>
        <v>139</v>
      </c>
      <c r="K26" s="121">
        <v>700000</v>
      </c>
      <c r="L26" s="120">
        <f>K26*H26/10^7</f>
        <v>0</v>
      </c>
      <c r="M26" s="120">
        <f>I26*K26/10^7</f>
        <v>9.73</v>
      </c>
      <c r="N26" s="120">
        <v>0</v>
      </c>
      <c r="O26" s="120">
        <f>M26-N26</f>
        <v>9.73</v>
      </c>
      <c r="P26" s="120">
        <f>O26+L26</f>
        <v>9.73</v>
      </c>
    </row>
    <row r="27" spans="2:17" x14ac:dyDescent="0.25">
      <c r="B27" s="119" t="s">
        <v>168</v>
      </c>
      <c r="C27" s="116">
        <f>E14</f>
        <v>112</v>
      </c>
      <c r="D27" s="119" t="s">
        <v>167</v>
      </c>
      <c r="E27" s="118">
        <v>0</v>
      </c>
      <c r="F27" s="118">
        <v>1</v>
      </c>
      <c r="G27" s="117">
        <f>E27+F27</f>
        <v>1</v>
      </c>
      <c r="H27" s="116">
        <f>C27*E27</f>
        <v>0</v>
      </c>
      <c r="I27" s="116">
        <f>C27*F27</f>
        <v>112</v>
      </c>
      <c r="J27" s="116">
        <f>H27+I27</f>
        <v>112</v>
      </c>
      <c r="K27" s="116">
        <f>500000*52%</f>
        <v>260000</v>
      </c>
      <c r="L27" s="111">
        <f>K27*H27/10^7</f>
        <v>0</v>
      </c>
      <c r="M27" s="111">
        <f>I27*K27/10^7</f>
        <v>2.9119999999999999</v>
      </c>
      <c r="N27" s="111">
        <v>0</v>
      </c>
      <c r="O27" s="111">
        <f>M27-N27</f>
        <v>2.9119999999999999</v>
      </c>
      <c r="P27" s="111">
        <f>O27+L27</f>
        <v>2.9119999999999999</v>
      </c>
    </row>
    <row r="28" spans="2:17" x14ac:dyDescent="0.25">
      <c r="B28" s="105"/>
      <c r="C28" s="112"/>
      <c r="D28" s="105"/>
      <c r="E28" s="115"/>
      <c r="F28" s="114"/>
      <c r="G28" s="113"/>
      <c r="H28" s="112"/>
      <c r="I28" s="112"/>
      <c r="J28" s="112"/>
      <c r="K28" s="112"/>
      <c r="L28" s="111">
        <f>SUM(L23:L27)</f>
        <v>0</v>
      </c>
      <c r="M28" s="111">
        <f>SUM(M23:M27)</f>
        <v>342.48251999999997</v>
      </c>
      <c r="N28" s="111">
        <f>SUM(N23:N27)</f>
        <v>0</v>
      </c>
      <c r="O28" s="111">
        <f>SUM(O23:O27)</f>
        <v>342.48251999999997</v>
      </c>
      <c r="P28" s="111">
        <f>SUM(P23:P27)</f>
        <v>342.48251999999997</v>
      </c>
    </row>
    <row r="29" spans="2:17" x14ac:dyDescent="0.25">
      <c r="B29" s="105"/>
      <c r="C29" s="110"/>
      <c r="D29" s="109"/>
      <c r="E29" s="108"/>
      <c r="F29" s="107"/>
      <c r="G29" s="106"/>
      <c r="H29" s="107"/>
      <c r="I29" s="107"/>
      <c r="J29" s="106"/>
      <c r="K29" s="105"/>
      <c r="N29" s="104"/>
    </row>
    <row r="30" spans="2:17" x14ac:dyDescent="0.25">
      <c r="C30" s="103"/>
      <c r="D30" s="102"/>
      <c r="F30" s="101"/>
      <c r="G30" s="101"/>
    </row>
  </sheetData>
  <mergeCells count="11">
    <mergeCell ref="N20:N22"/>
    <mergeCell ref="O20:O22"/>
    <mergeCell ref="E19:G19"/>
    <mergeCell ref="H19:J19"/>
    <mergeCell ref="L19:O19"/>
    <mergeCell ref="E20:E22"/>
    <mergeCell ref="F20:F22"/>
    <mergeCell ref="H20:H22"/>
    <mergeCell ref="I20:I22"/>
    <mergeCell ref="L20:L22"/>
    <mergeCell ref="M20:M22"/>
  </mergeCells>
  <printOptions horizontalCentered="1"/>
  <pageMargins left="0.19685039370078741" right="0.11811023622047245" top="0.59055118110236227" bottom="0.11811023622047245" header="0.11811023622047245" footer="0.11811023622047245"/>
  <pageSetup paperSize="9" scale="58" fitToHeight="2" orientation="landscape" r:id="rId1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G8:P27"/>
  <sheetViews>
    <sheetView workbookViewId="0">
      <selection activeCell="K27" sqref="K27"/>
    </sheetView>
  </sheetViews>
  <sheetFormatPr defaultRowHeight="15" x14ac:dyDescent="0.25"/>
  <cols>
    <col min="11" max="11" width="16.85546875" bestFit="1" customWidth="1"/>
    <col min="12" max="12" width="11.5703125" bestFit="1" customWidth="1"/>
  </cols>
  <sheetData>
    <row r="8" spans="7:7" x14ac:dyDescent="0.25">
      <c r="G8">
        <f>2300.71</f>
        <v>2300.71</v>
      </c>
    </row>
    <row r="9" spans="7:7" x14ac:dyDescent="0.25">
      <c r="G9">
        <f>3170.83-94.92</f>
        <v>3075.91</v>
      </c>
    </row>
    <row r="10" spans="7:7" x14ac:dyDescent="0.25">
      <c r="G10">
        <f>G9+G8</f>
        <v>5376.62</v>
      </c>
    </row>
    <row r="11" spans="7:7" x14ac:dyDescent="0.25">
      <c r="G11">
        <f>G10*10.764</f>
        <v>57873.937679999995</v>
      </c>
    </row>
    <row r="17" spans="10:16" x14ac:dyDescent="0.25">
      <c r="J17">
        <v>16089.33</v>
      </c>
      <c r="K17">
        <v>2</v>
      </c>
      <c r="L17" s="185">
        <f>K17*J17*K18</f>
        <v>345791.88036000001</v>
      </c>
      <c r="M17">
        <v>49043.37</v>
      </c>
    </row>
    <row r="18" spans="10:16" x14ac:dyDescent="0.25">
      <c r="J18">
        <v>5376.62</v>
      </c>
      <c r="K18">
        <v>10.746</v>
      </c>
      <c r="L18">
        <f>K18*J18</f>
        <v>57777.158520000005</v>
      </c>
      <c r="M18">
        <f>M17*K18</f>
        <v>527020.05402000004</v>
      </c>
    </row>
    <row r="19" spans="10:16" x14ac:dyDescent="0.25">
      <c r="L19">
        <f>SUM(L18,L17)</f>
        <v>403569.03888000001</v>
      </c>
    </row>
    <row r="20" spans="10:16" x14ac:dyDescent="0.25">
      <c r="L20" s="189">
        <v>106206.66575999999</v>
      </c>
    </row>
    <row r="21" spans="10:16" x14ac:dyDescent="0.25">
      <c r="L21" s="188">
        <v>13384.38816</v>
      </c>
    </row>
    <row r="22" spans="10:16" x14ac:dyDescent="0.25">
      <c r="L22" s="189">
        <v>4066.7468399999998</v>
      </c>
      <c r="P22">
        <f>9.5*10^7/390</f>
        <v>243589.74358974359</v>
      </c>
    </row>
    <row r="23" spans="10:16" x14ac:dyDescent="0.25">
      <c r="L23" s="190">
        <f>SUM(L22,L21,L20,L19)</f>
        <v>527226.83964000002</v>
      </c>
    </row>
    <row r="26" spans="10:16" x14ac:dyDescent="0.25">
      <c r="K26" t="s">
        <v>215</v>
      </c>
    </row>
    <row r="27" spans="10:16" x14ac:dyDescent="0.25">
      <c r="K27" s="3">
        <f>L17*15000</f>
        <v>5186878205.4000006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Sheet1 (2)</vt:lpstr>
      <vt:lpstr>Sheet6</vt:lpstr>
      <vt:lpstr>Additional Cost</vt:lpstr>
      <vt:lpstr>Sheet3</vt:lpstr>
      <vt:lpstr>Sheet2</vt:lpstr>
      <vt:lpstr>Sheet1</vt:lpstr>
      <vt:lpstr>Assmp.-TPR</vt:lpstr>
      <vt:lpstr>Sheet4</vt:lpstr>
      <vt:lpstr>'Assmp.-TPR'!Print_Area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2025-02-05T13:17:34Z</dcterms:modified>
</cp:coreProperties>
</file>